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2.xml" ContentType="application/vnd.openxmlformats-officedocument.spreadsheetml.table+xml"/>
  <Override PartName="/xl/slicers/slicer3.xml" ContentType="application/vnd.ms-excel.slicer+xml"/>
  <Override PartName="/xl/drawings/drawing4.xml" ContentType="application/vnd.openxmlformats-officedocument.drawing+xml"/>
  <Override PartName="/xl/tables/table3.xml" ContentType="application/vnd.openxmlformats-officedocument.spreadsheetml.table+xml"/>
  <Override PartName="/xl/slicers/slicer4.xml" ContentType="application/vnd.ms-excel.slicer+xml"/>
  <Override PartName="/xl/drawings/drawing5.xml" ContentType="application/vnd.openxmlformats-officedocument.drawing+xml"/>
  <Override PartName="/xl/tables/table4.xml" ContentType="application/vnd.openxmlformats-officedocument.spreadsheetml.table+xml"/>
  <Override PartName="/xl/slicers/slicer5.xml" ContentType="application/vnd.ms-excel.slicer+xml"/>
  <Override PartName="/xl/tables/table5.xml" ContentType="application/vnd.openxmlformats-officedocument.spreadsheetml.table+xml"/>
  <Override PartName="/xl/queryTables/queryTable1.xml" ContentType="application/vnd.openxmlformats-officedocument.spreadsheetml.queryTable+xml"/>
  <Override PartName="/xl/drawings/drawing6.xml" ContentType="application/vnd.openxmlformats-officedocument.drawing+xml"/>
  <Override PartName="/xl/tables/table6.xml" ContentType="application/vnd.openxmlformats-officedocument.spreadsheetml.table+xml"/>
  <Override PartName="/xl/slicers/slicer6.xml" ContentType="application/vnd.ms-excel.slicer+xml"/>
  <Override PartName="/xl/tables/table7.xml" ContentType="application/vnd.openxmlformats-officedocument.spreadsheetml.table+xml"/>
  <Override PartName="/xl/tables/table8.xml" ContentType="application/vnd.openxmlformats-officedocument.spreadsheetml.table+xml"/>
  <Override PartName="/xl/queryTables/queryTable2.xml" ContentType="application/vnd.openxmlformats-officedocument.spreadsheetml.queryTable+xml"/>
  <Override PartName="/xl/tables/table9.xml" ContentType="application/vnd.openxmlformats-officedocument.spreadsheetml.table+xml"/>
  <Override PartName="/xl/queryTables/queryTable3.xml" ContentType="application/vnd.openxmlformats-officedocument.spreadsheetml.queryTable+xml"/>
  <Override PartName="/xl/tables/table10.xml" ContentType="application/vnd.openxmlformats-officedocument.spreadsheetml.table+xml"/>
  <Override PartName="/xl/queryTables/queryTable4.xml" ContentType="application/vnd.openxmlformats-officedocument.spreadsheetml.queryTable+xml"/>
  <Override PartName="/xl/tables/table11.xml" ContentType="application/vnd.openxmlformats-officedocument.spreadsheetml.table+xml"/>
  <Override PartName="/xl/queryTables/queryTable5.xml" ContentType="application/vnd.openxmlformats-officedocument.spreadsheetml.queryTable+xml"/>
  <Override PartName="/xl/tables/table12.xml" ContentType="application/vnd.openxmlformats-officedocument.spreadsheetml.table+xml"/>
  <Override PartName="/xl/queryTables/queryTable6.xml" ContentType="application/vnd.openxmlformats-officedocument.spreadsheetml.queryTable+xml"/>
  <Override PartName="/xl/drawings/drawing7.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codeName="EstaPastaDeTrabalho" hidePivotFieldList="1" defaultThemeVersion="166925"/>
  <mc:AlternateContent xmlns:mc="http://schemas.openxmlformats.org/markup-compatibility/2006">
    <mc:Choice Requires="x15">
      <x15ac:absPath xmlns:x15ac="http://schemas.microsoft.com/office/spreadsheetml/2010/11/ac" url="C:\Users\Geison\Meu Drive\2-APJ\15-CONTRATO ES\0.GESTAO INTEGRADA\"/>
    </mc:Choice>
  </mc:AlternateContent>
  <xr:revisionPtr revIDLastSave="0" documentId="13_ncr:8001_{1A94C64A-2F6D-4DDB-B6D4-9560C9C222A9}" xr6:coauthVersionLast="47" xr6:coauthVersionMax="47" xr10:uidLastSave="{00000000-0000-0000-0000-000000000000}"/>
  <workbookProtection workbookAlgorithmName="SHA-512" workbookHashValue="8apXBYoeSCZ+w8intNlhU2Z0lWy9Md6Z65Sq2lNxFFtM3USFucUwcoj4PrMLqjcfhbbGFQ50fXSZmZ1U+w9OrQ==" workbookSaltValue="YKnijFlpnAacoAmF52i98w==" workbookSpinCount="100000" lockStructure="1"/>
  <bookViews>
    <workbookView xWindow="-108" yWindow="-108" windowWidth="23256" windowHeight="12456" tabRatio="856" activeTab="1" xr2:uid="{E4E3FE07-F996-49CD-8D10-FB6CCECEFFE8}"/>
  </bookViews>
  <sheets>
    <sheet name="PAINEL" sheetId="32" r:id="rId1"/>
    <sheet name="INTEGRADO" sheetId="24" r:id="rId2"/>
    <sheet name="CONTROLE EC" sheetId="30" r:id="rId3"/>
    <sheet name="CONTROLE CRONOG" sheetId="31" r:id="rId4"/>
    <sheet name="PACOTE INICIAL" sheetId="33" state="hidden" r:id="rId5"/>
    <sheet name="CONTROLE FIN" sheetId="23" r:id="rId6"/>
    <sheet name="DISTR-MÊS" sheetId="40" state="hidden" r:id="rId7"/>
    <sheet name="DISTR-FIN" sheetId="38" r:id="rId8"/>
    <sheet name="BD-RO" sheetId="45" state="hidden" r:id="rId9"/>
    <sheet name="BD-RA" sheetId="47" state="hidden" r:id="rId10"/>
    <sheet name="CONTR.RO-RA" sheetId="46" r:id="rId11"/>
    <sheet name="CONTR-HHPLAN" sheetId="48" state="hidden" r:id="rId12"/>
    <sheet name="Hh EXE-TOTAL" sheetId="52" state="hidden" r:id="rId13"/>
    <sheet name="Tb_HhEXEC UTGC" sheetId="44" state="hidden" r:id="rId14"/>
    <sheet name="Tb_HhEXEC EDIVIT" sheetId="43" state="hidden" r:id="rId15"/>
    <sheet name="DISTR-FIN_0" sheetId="41" state="hidden" r:id="rId16"/>
    <sheet name="DISTR_FASE" sheetId="39" state="hidden" r:id="rId17"/>
    <sheet name="AUX" sheetId="36" state="hidden" r:id="rId18"/>
    <sheet name="CLASS-FIN" sheetId="42" state="hidden" r:id="rId19"/>
  </sheets>
  <definedNames>
    <definedName name="\0">#REF!</definedName>
    <definedName name="\a">#REF!</definedName>
    <definedName name="\b">#N/A</definedName>
    <definedName name="\c">#N/A</definedName>
    <definedName name="\d">#REF!</definedName>
    <definedName name="\e">#REF!</definedName>
    <definedName name="\f">#N/A</definedName>
    <definedName name="\g">#N/A</definedName>
    <definedName name="\h">#N/A</definedName>
    <definedName name="\i">#REF!</definedName>
    <definedName name="\j">#N/A</definedName>
    <definedName name="\m">#REF!</definedName>
    <definedName name="\n">#REF!</definedName>
    <definedName name="\p">#N/A</definedName>
    <definedName name="\PAG1">#REF!</definedName>
    <definedName name="\PAG10">#REF!</definedName>
    <definedName name="\PAG11">#REF!</definedName>
    <definedName name="\PAG13">#REF!</definedName>
    <definedName name="\PAG14">#REF!</definedName>
    <definedName name="\PAG2">#REF!</definedName>
    <definedName name="\PAG3">#REF!</definedName>
    <definedName name="\PAG4">#REF!</definedName>
    <definedName name="\PAG5">#REF!</definedName>
    <definedName name="\PAG6">#REF!</definedName>
    <definedName name="\PAG7">#REF!</definedName>
    <definedName name="\PAG8">#REF!</definedName>
    <definedName name="\PAG9">#REF!</definedName>
    <definedName name="\q">#REF!</definedName>
    <definedName name="\r">#N/A</definedName>
    <definedName name="\s">#N/A</definedName>
    <definedName name="\t">#N/A</definedName>
    <definedName name="\u">#N/A</definedName>
    <definedName name="\v">#N/A</definedName>
    <definedName name="\x">#N/A</definedName>
    <definedName name="\z">#N/A</definedName>
    <definedName name="_">#REF!</definedName>
    <definedName name="________________pl056">#REF!</definedName>
    <definedName name="_______________pl056">#REF!</definedName>
    <definedName name="______________pl056">#REF!</definedName>
    <definedName name="_____________pl056">#REF!</definedName>
    <definedName name="____________pl056">#REF!</definedName>
    <definedName name="___________pl056">#REF!</definedName>
    <definedName name="__________pl056">#REF!</definedName>
    <definedName name="_________bar1" localSheetId="3" hidden="1">{#N/A,#N/A,FALSE,"GERAL";#N/A,#N/A,FALSE,"012-96";#N/A,#N/A,FALSE,"018-96";#N/A,#N/A,FALSE,"027-96";#N/A,#N/A,FALSE,"059-96";#N/A,#N/A,FALSE,"076-96";#N/A,#N/A,FALSE,"019-97";#N/A,#N/A,FALSE,"021-97";#N/A,#N/A,FALSE,"022-97";#N/A,#N/A,FALSE,"028-97"}</definedName>
    <definedName name="_________bar1" localSheetId="2" hidden="1">{#N/A,#N/A,FALSE,"GERAL";#N/A,#N/A,FALSE,"012-96";#N/A,#N/A,FALSE,"018-96";#N/A,#N/A,FALSE,"027-96";#N/A,#N/A,FALSE,"059-96";#N/A,#N/A,FALSE,"076-96";#N/A,#N/A,FALSE,"019-97";#N/A,#N/A,FALSE,"021-97";#N/A,#N/A,FALSE,"022-97";#N/A,#N/A,FALSE,"028-97"}</definedName>
    <definedName name="_________bar1" localSheetId="5" hidden="1">{#N/A,#N/A,FALSE,"GERAL";#N/A,#N/A,FALSE,"012-96";#N/A,#N/A,FALSE,"018-96";#N/A,#N/A,FALSE,"027-96";#N/A,#N/A,FALSE,"059-96";#N/A,#N/A,FALSE,"076-96";#N/A,#N/A,FALSE,"019-97";#N/A,#N/A,FALSE,"021-97";#N/A,#N/A,FALSE,"022-97";#N/A,#N/A,FALSE,"028-97"}</definedName>
    <definedName name="_________bar1" localSheetId="7" hidden="1">{#N/A,#N/A,FALSE,"GERAL";#N/A,#N/A,FALSE,"012-96";#N/A,#N/A,FALSE,"018-96";#N/A,#N/A,FALSE,"027-96";#N/A,#N/A,FALSE,"059-96";#N/A,#N/A,FALSE,"076-96";#N/A,#N/A,FALSE,"019-97";#N/A,#N/A,FALSE,"021-97";#N/A,#N/A,FALSE,"022-97";#N/A,#N/A,FALSE,"028-97"}</definedName>
    <definedName name="_________bar1" localSheetId="1" hidden="1">{#N/A,#N/A,FALSE,"GERAL";#N/A,#N/A,FALSE,"012-96";#N/A,#N/A,FALSE,"018-96";#N/A,#N/A,FALSE,"027-96";#N/A,#N/A,FALSE,"059-96";#N/A,#N/A,FALSE,"076-96";#N/A,#N/A,FALSE,"019-97";#N/A,#N/A,FALSE,"021-97";#N/A,#N/A,FALSE,"022-97";#N/A,#N/A,FALSE,"028-97"}</definedName>
    <definedName name="_________bar1" hidden="1">{#N/A,#N/A,FALSE,"GERAL";#N/A,#N/A,FALSE,"012-96";#N/A,#N/A,FALSE,"018-96";#N/A,#N/A,FALSE,"027-96";#N/A,#N/A,FALSE,"059-96";#N/A,#N/A,FALSE,"076-96";#N/A,#N/A,FALSE,"019-97";#N/A,#N/A,FALSE,"021-97";#N/A,#N/A,FALSE,"022-97";#N/A,#N/A,FALSE,"028-97"}</definedName>
    <definedName name="_________pl056">#REF!</definedName>
    <definedName name="________bar1" localSheetId="3" hidden="1">{#N/A,#N/A,FALSE,"GERAL";#N/A,#N/A,FALSE,"012-96";#N/A,#N/A,FALSE,"018-96";#N/A,#N/A,FALSE,"027-96";#N/A,#N/A,FALSE,"059-96";#N/A,#N/A,FALSE,"076-96";#N/A,#N/A,FALSE,"019-97";#N/A,#N/A,FALSE,"021-97";#N/A,#N/A,FALSE,"022-97";#N/A,#N/A,FALSE,"028-97"}</definedName>
    <definedName name="________bar1" localSheetId="2" hidden="1">{#N/A,#N/A,FALSE,"GERAL";#N/A,#N/A,FALSE,"012-96";#N/A,#N/A,FALSE,"018-96";#N/A,#N/A,FALSE,"027-96";#N/A,#N/A,FALSE,"059-96";#N/A,#N/A,FALSE,"076-96";#N/A,#N/A,FALSE,"019-97";#N/A,#N/A,FALSE,"021-97";#N/A,#N/A,FALSE,"022-97";#N/A,#N/A,FALSE,"028-97"}</definedName>
    <definedName name="________bar1" localSheetId="5" hidden="1">{#N/A,#N/A,FALSE,"GERAL";#N/A,#N/A,FALSE,"012-96";#N/A,#N/A,FALSE,"018-96";#N/A,#N/A,FALSE,"027-96";#N/A,#N/A,FALSE,"059-96";#N/A,#N/A,FALSE,"076-96";#N/A,#N/A,FALSE,"019-97";#N/A,#N/A,FALSE,"021-97";#N/A,#N/A,FALSE,"022-97";#N/A,#N/A,FALSE,"028-97"}</definedName>
    <definedName name="________bar1" localSheetId="7" hidden="1">{#N/A,#N/A,FALSE,"GERAL";#N/A,#N/A,FALSE,"012-96";#N/A,#N/A,FALSE,"018-96";#N/A,#N/A,FALSE,"027-96";#N/A,#N/A,FALSE,"059-96";#N/A,#N/A,FALSE,"076-96";#N/A,#N/A,FALSE,"019-97";#N/A,#N/A,FALSE,"021-97";#N/A,#N/A,FALSE,"022-97";#N/A,#N/A,FALSE,"028-97"}</definedName>
    <definedName name="________bar1" localSheetId="1" hidden="1">{#N/A,#N/A,FALSE,"GERAL";#N/A,#N/A,FALSE,"012-96";#N/A,#N/A,FALSE,"018-96";#N/A,#N/A,FALSE,"027-96";#N/A,#N/A,FALSE,"059-96";#N/A,#N/A,FALSE,"076-96";#N/A,#N/A,FALSE,"019-97";#N/A,#N/A,FALSE,"021-97";#N/A,#N/A,FALSE,"022-97";#N/A,#N/A,FALSE,"028-97"}</definedName>
    <definedName name="________bar1" hidden="1">{#N/A,#N/A,FALSE,"GERAL";#N/A,#N/A,FALSE,"012-96";#N/A,#N/A,FALSE,"018-96";#N/A,#N/A,FALSE,"027-96";#N/A,#N/A,FALSE,"059-96";#N/A,#N/A,FALSE,"076-96";#N/A,#N/A,FALSE,"019-97";#N/A,#N/A,FALSE,"021-97";#N/A,#N/A,FALSE,"022-97";#N/A,#N/A,FALSE,"028-97"}</definedName>
    <definedName name="________pl056">#REF!</definedName>
    <definedName name="_______bar1" localSheetId="3" hidden="1">{#N/A,#N/A,FALSE,"GERAL";#N/A,#N/A,FALSE,"012-96";#N/A,#N/A,FALSE,"018-96";#N/A,#N/A,FALSE,"027-96";#N/A,#N/A,FALSE,"059-96";#N/A,#N/A,FALSE,"076-96";#N/A,#N/A,FALSE,"019-97";#N/A,#N/A,FALSE,"021-97";#N/A,#N/A,FALSE,"022-97";#N/A,#N/A,FALSE,"028-97"}</definedName>
    <definedName name="_______bar1" localSheetId="2" hidden="1">{#N/A,#N/A,FALSE,"GERAL";#N/A,#N/A,FALSE,"012-96";#N/A,#N/A,FALSE,"018-96";#N/A,#N/A,FALSE,"027-96";#N/A,#N/A,FALSE,"059-96";#N/A,#N/A,FALSE,"076-96";#N/A,#N/A,FALSE,"019-97";#N/A,#N/A,FALSE,"021-97";#N/A,#N/A,FALSE,"022-97";#N/A,#N/A,FALSE,"028-97"}</definedName>
    <definedName name="_______bar1" localSheetId="5" hidden="1">{#N/A,#N/A,FALSE,"GERAL";#N/A,#N/A,FALSE,"012-96";#N/A,#N/A,FALSE,"018-96";#N/A,#N/A,FALSE,"027-96";#N/A,#N/A,FALSE,"059-96";#N/A,#N/A,FALSE,"076-96";#N/A,#N/A,FALSE,"019-97";#N/A,#N/A,FALSE,"021-97";#N/A,#N/A,FALSE,"022-97";#N/A,#N/A,FALSE,"028-97"}</definedName>
    <definedName name="_______bar1" localSheetId="7" hidden="1">{#N/A,#N/A,FALSE,"GERAL";#N/A,#N/A,FALSE,"012-96";#N/A,#N/A,FALSE,"018-96";#N/A,#N/A,FALSE,"027-96";#N/A,#N/A,FALSE,"059-96";#N/A,#N/A,FALSE,"076-96";#N/A,#N/A,FALSE,"019-97";#N/A,#N/A,FALSE,"021-97";#N/A,#N/A,FALSE,"022-97";#N/A,#N/A,FALSE,"028-97"}</definedName>
    <definedName name="_______bar1" localSheetId="1" hidden="1">{#N/A,#N/A,FALSE,"GERAL";#N/A,#N/A,FALSE,"012-96";#N/A,#N/A,FALSE,"018-96";#N/A,#N/A,FALSE,"027-96";#N/A,#N/A,FALSE,"059-96";#N/A,#N/A,FALSE,"076-96";#N/A,#N/A,FALSE,"019-97";#N/A,#N/A,FALSE,"021-97";#N/A,#N/A,FALSE,"022-97";#N/A,#N/A,FALSE,"028-97"}</definedName>
    <definedName name="_______bar1" hidden="1">{#N/A,#N/A,FALSE,"GERAL";#N/A,#N/A,FALSE,"012-96";#N/A,#N/A,FALSE,"018-96";#N/A,#N/A,FALSE,"027-96";#N/A,#N/A,FALSE,"059-96";#N/A,#N/A,FALSE,"076-96";#N/A,#N/A,FALSE,"019-97";#N/A,#N/A,FALSE,"021-97";#N/A,#N/A,FALSE,"022-97";#N/A,#N/A,FALSE,"028-97"}</definedName>
    <definedName name="_______pl056">#REF!</definedName>
    <definedName name="______bar1" localSheetId="3" hidden="1">{#N/A,#N/A,FALSE,"GERAL";#N/A,#N/A,FALSE,"012-96";#N/A,#N/A,FALSE,"018-96";#N/A,#N/A,FALSE,"027-96";#N/A,#N/A,FALSE,"059-96";#N/A,#N/A,FALSE,"076-96";#N/A,#N/A,FALSE,"019-97";#N/A,#N/A,FALSE,"021-97";#N/A,#N/A,FALSE,"022-97";#N/A,#N/A,FALSE,"028-97"}</definedName>
    <definedName name="______bar1" localSheetId="2" hidden="1">{#N/A,#N/A,FALSE,"GERAL";#N/A,#N/A,FALSE,"012-96";#N/A,#N/A,FALSE,"018-96";#N/A,#N/A,FALSE,"027-96";#N/A,#N/A,FALSE,"059-96";#N/A,#N/A,FALSE,"076-96";#N/A,#N/A,FALSE,"019-97";#N/A,#N/A,FALSE,"021-97";#N/A,#N/A,FALSE,"022-97";#N/A,#N/A,FALSE,"028-97"}</definedName>
    <definedName name="______bar1" localSheetId="5" hidden="1">{#N/A,#N/A,FALSE,"GERAL";#N/A,#N/A,FALSE,"012-96";#N/A,#N/A,FALSE,"018-96";#N/A,#N/A,FALSE,"027-96";#N/A,#N/A,FALSE,"059-96";#N/A,#N/A,FALSE,"076-96";#N/A,#N/A,FALSE,"019-97";#N/A,#N/A,FALSE,"021-97";#N/A,#N/A,FALSE,"022-97";#N/A,#N/A,FALSE,"028-97"}</definedName>
    <definedName name="______bar1" localSheetId="7" hidden="1">{#N/A,#N/A,FALSE,"GERAL";#N/A,#N/A,FALSE,"012-96";#N/A,#N/A,FALSE,"018-96";#N/A,#N/A,FALSE,"027-96";#N/A,#N/A,FALSE,"059-96";#N/A,#N/A,FALSE,"076-96";#N/A,#N/A,FALSE,"019-97";#N/A,#N/A,FALSE,"021-97";#N/A,#N/A,FALSE,"022-97";#N/A,#N/A,FALSE,"028-97"}</definedName>
    <definedName name="______bar1" localSheetId="1" hidden="1">{#N/A,#N/A,FALSE,"GERAL";#N/A,#N/A,FALSE,"012-96";#N/A,#N/A,FALSE,"018-96";#N/A,#N/A,FALSE,"027-96";#N/A,#N/A,FALSE,"059-96";#N/A,#N/A,FALSE,"076-96";#N/A,#N/A,FALSE,"019-97";#N/A,#N/A,FALSE,"021-97";#N/A,#N/A,FALSE,"022-97";#N/A,#N/A,FALSE,"028-97"}</definedName>
    <definedName name="______bar1" hidden="1">{#N/A,#N/A,FALSE,"GERAL";#N/A,#N/A,FALSE,"012-96";#N/A,#N/A,FALSE,"018-96";#N/A,#N/A,FALSE,"027-96";#N/A,#N/A,FALSE,"059-96";#N/A,#N/A,FALSE,"076-96";#N/A,#N/A,FALSE,"019-97";#N/A,#N/A,FALSE,"021-97";#N/A,#N/A,FALSE,"022-97";#N/A,#N/A,FALSE,"028-97"}</definedName>
    <definedName name="______COD1">#REF!</definedName>
    <definedName name="______COD10">#REF!</definedName>
    <definedName name="______COD11">#REF!</definedName>
    <definedName name="______COD13">#REF!</definedName>
    <definedName name="______COD138">#REF!</definedName>
    <definedName name="______COD140">#REF!</definedName>
    <definedName name="______COD144">#REF!</definedName>
    <definedName name="______COD146">#REF!</definedName>
    <definedName name="______COD149">#REF!</definedName>
    <definedName name="______COD152">#REF!</definedName>
    <definedName name="______COD154">#REF!</definedName>
    <definedName name="______COD155">#REF!</definedName>
    <definedName name="______COD156">#REF!</definedName>
    <definedName name="______COD157">#REF!</definedName>
    <definedName name="______COD158">#REF!</definedName>
    <definedName name="______COD16">#REF!</definedName>
    <definedName name="______COD161">#REF!</definedName>
    <definedName name="______COD166">#REF!</definedName>
    <definedName name="______COD168">#REF!</definedName>
    <definedName name="______COD169">#REF!</definedName>
    <definedName name="______COD17">#REF!</definedName>
    <definedName name="______COD170">#REF!</definedName>
    <definedName name="______COD171">#REF!</definedName>
    <definedName name="______COD172">#REF!</definedName>
    <definedName name="______COD173">#REF!</definedName>
    <definedName name="______COD174">#REF!</definedName>
    <definedName name="______COD175">#REF!</definedName>
    <definedName name="______COD177">#REF!</definedName>
    <definedName name="______COD178">#REF!</definedName>
    <definedName name="______COD179">#REF!</definedName>
    <definedName name="______COD180">#REF!</definedName>
    <definedName name="______COD184">#REF!</definedName>
    <definedName name="______COD189">#REF!</definedName>
    <definedName name="______COD191">#REF!</definedName>
    <definedName name="______COD192">#REF!</definedName>
    <definedName name="______COD195">#REF!</definedName>
    <definedName name="______COD198">#REF!</definedName>
    <definedName name="______COD199">#REF!</definedName>
    <definedName name="______COD200">#REF!</definedName>
    <definedName name="______COD21">#REF!</definedName>
    <definedName name="______COD23">#REF!</definedName>
    <definedName name="______COD24">#REF!</definedName>
    <definedName name="______COD28">#REF!</definedName>
    <definedName name="______COD29">#REF!</definedName>
    <definedName name="______COD32">#REF!</definedName>
    <definedName name="______COD35">#REF!</definedName>
    <definedName name="______COD36">#REF!</definedName>
    <definedName name="______COD37">#REF!</definedName>
    <definedName name="______COD41">#REF!</definedName>
    <definedName name="______COD42">#REF!</definedName>
    <definedName name="______COD43">#REF!</definedName>
    <definedName name="______COD44">#REF!</definedName>
    <definedName name="______COD46">#REF!</definedName>
    <definedName name="______COD47">#REF!</definedName>
    <definedName name="______COD49">#REF!</definedName>
    <definedName name="______COD50">#REF!</definedName>
    <definedName name="______COD55">#REF!</definedName>
    <definedName name="______COD60">#REF!</definedName>
    <definedName name="______COD62">#REF!</definedName>
    <definedName name="______COD65">#REF!</definedName>
    <definedName name="______COD66">#REF!</definedName>
    <definedName name="______COD68">#REF!</definedName>
    <definedName name="______COD8">#REF!</definedName>
    <definedName name="______DAT11">#REF!</definedName>
    <definedName name="______DAT12">#REF!</definedName>
    <definedName name="______DAT13">#REF!</definedName>
    <definedName name="______DAT15">#REF!</definedName>
    <definedName name="______DAT16">#REF!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LUP1">#N/A</definedName>
    <definedName name="______LUP2">#N/A</definedName>
    <definedName name="______pl056">#REF!</definedName>
    <definedName name="______R">#N/A</definedName>
    <definedName name="_____bar1" localSheetId="3" hidden="1">{#N/A,#N/A,FALSE,"GERAL";#N/A,#N/A,FALSE,"012-96";#N/A,#N/A,FALSE,"018-96";#N/A,#N/A,FALSE,"027-96";#N/A,#N/A,FALSE,"059-96";#N/A,#N/A,FALSE,"076-96";#N/A,#N/A,FALSE,"019-97";#N/A,#N/A,FALSE,"021-97";#N/A,#N/A,FALSE,"022-97";#N/A,#N/A,FALSE,"028-97"}</definedName>
    <definedName name="_____bar1" localSheetId="2" hidden="1">{#N/A,#N/A,FALSE,"GERAL";#N/A,#N/A,FALSE,"012-96";#N/A,#N/A,FALSE,"018-96";#N/A,#N/A,FALSE,"027-96";#N/A,#N/A,FALSE,"059-96";#N/A,#N/A,FALSE,"076-96";#N/A,#N/A,FALSE,"019-97";#N/A,#N/A,FALSE,"021-97";#N/A,#N/A,FALSE,"022-97";#N/A,#N/A,FALSE,"028-97"}</definedName>
    <definedName name="_____bar1" localSheetId="5" hidden="1">{#N/A,#N/A,FALSE,"GERAL";#N/A,#N/A,FALSE,"012-96";#N/A,#N/A,FALSE,"018-96";#N/A,#N/A,FALSE,"027-96";#N/A,#N/A,FALSE,"059-96";#N/A,#N/A,FALSE,"076-96";#N/A,#N/A,FALSE,"019-97";#N/A,#N/A,FALSE,"021-97";#N/A,#N/A,FALSE,"022-97";#N/A,#N/A,FALSE,"028-97"}</definedName>
    <definedName name="_____bar1" localSheetId="7" hidden="1">{#N/A,#N/A,FALSE,"GERAL";#N/A,#N/A,FALSE,"012-96";#N/A,#N/A,FALSE,"018-96";#N/A,#N/A,FALSE,"027-96";#N/A,#N/A,FALSE,"059-96";#N/A,#N/A,FALSE,"076-96";#N/A,#N/A,FALSE,"019-97";#N/A,#N/A,FALSE,"021-97";#N/A,#N/A,FALSE,"022-97";#N/A,#N/A,FALSE,"028-97"}</definedName>
    <definedName name="_____bar1" localSheetId="1" hidden="1">{#N/A,#N/A,FALSE,"GERAL";#N/A,#N/A,FALSE,"012-96";#N/A,#N/A,FALSE,"018-96";#N/A,#N/A,FALSE,"027-96";#N/A,#N/A,FALSE,"059-96";#N/A,#N/A,FALSE,"076-96";#N/A,#N/A,FALSE,"019-97";#N/A,#N/A,FALSE,"021-97";#N/A,#N/A,FALSE,"022-97";#N/A,#N/A,FALSE,"028-97"}</definedName>
    <definedName name="_____bar1" hidden="1">{#N/A,#N/A,FALSE,"GERAL";#N/A,#N/A,FALSE,"012-96";#N/A,#N/A,FALSE,"018-96";#N/A,#N/A,FALSE,"027-96";#N/A,#N/A,FALSE,"059-96";#N/A,#N/A,FALSE,"076-96";#N/A,#N/A,FALSE,"019-97";#N/A,#N/A,FALSE,"021-97";#N/A,#N/A,FALSE,"022-97";#N/A,#N/A,FALSE,"028-97"}</definedName>
    <definedName name="_____COD1">#REF!</definedName>
    <definedName name="_____COD10">#REF!</definedName>
    <definedName name="_____COD11">#REF!</definedName>
    <definedName name="_____COD13">#REF!</definedName>
    <definedName name="_____COD138">#REF!</definedName>
    <definedName name="_____COD140">#REF!</definedName>
    <definedName name="_____COD144">#REF!</definedName>
    <definedName name="_____COD146">#REF!</definedName>
    <definedName name="_____COD149">#REF!</definedName>
    <definedName name="_____COD152">#REF!</definedName>
    <definedName name="_____COD154">#REF!</definedName>
    <definedName name="_____COD155">#REF!</definedName>
    <definedName name="_____COD156">#REF!</definedName>
    <definedName name="_____COD157">#REF!</definedName>
    <definedName name="_____COD158">#REF!</definedName>
    <definedName name="_____COD16">#REF!</definedName>
    <definedName name="_____COD161">#REF!</definedName>
    <definedName name="_____COD166">#REF!</definedName>
    <definedName name="_____COD168">#REF!</definedName>
    <definedName name="_____COD169">#REF!</definedName>
    <definedName name="_____COD17">#REF!</definedName>
    <definedName name="_____COD170">#REF!</definedName>
    <definedName name="_____COD171">#REF!</definedName>
    <definedName name="_____COD172">#REF!</definedName>
    <definedName name="_____COD173">#REF!</definedName>
    <definedName name="_____COD174">#REF!</definedName>
    <definedName name="_____COD175">#REF!</definedName>
    <definedName name="_____COD177">#REF!</definedName>
    <definedName name="_____COD178">#REF!</definedName>
    <definedName name="_____COD179">#REF!</definedName>
    <definedName name="_____COD180">#REF!</definedName>
    <definedName name="_____COD184">#REF!</definedName>
    <definedName name="_____COD189">#REF!</definedName>
    <definedName name="_____COD191">#REF!</definedName>
    <definedName name="_____COD192">#REF!</definedName>
    <definedName name="_____COD195">#REF!</definedName>
    <definedName name="_____COD198">#REF!</definedName>
    <definedName name="_____COD199">#REF!</definedName>
    <definedName name="_____COD200">#REF!</definedName>
    <definedName name="_____COD21">#REF!</definedName>
    <definedName name="_____COD23">#REF!</definedName>
    <definedName name="_____COD24">#REF!</definedName>
    <definedName name="_____COD28">#REF!</definedName>
    <definedName name="_____COD29">#REF!</definedName>
    <definedName name="_____COD32">#REF!</definedName>
    <definedName name="_____COD35">#REF!</definedName>
    <definedName name="_____COD36">#REF!</definedName>
    <definedName name="_____COD37">#REF!</definedName>
    <definedName name="_____COD41">#REF!</definedName>
    <definedName name="_____COD42">#REF!</definedName>
    <definedName name="_____COD43">#REF!</definedName>
    <definedName name="_____COD44">#REF!</definedName>
    <definedName name="_____COD46">#REF!</definedName>
    <definedName name="_____COD47">#REF!</definedName>
    <definedName name="_____COD49">#REF!</definedName>
    <definedName name="_____COD50">#REF!</definedName>
    <definedName name="_____COD55">#REF!</definedName>
    <definedName name="_____COD60">#REF!</definedName>
    <definedName name="_____COD62">#REF!</definedName>
    <definedName name="_____COD65">#REF!</definedName>
    <definedName name="_____COD66">#REF!</definedName>
    <definedName name="_____COD68">#REF!</definedName>
    <definedName name="_____COD8">#REF!</definedName>
    <definedName name="_____DAT11">#REF!</definedName>
    <definedName name="_____DAT12">#REF!</definedName>
    <definedName name="_____DAT13">#REF!</definedName>
    <definedName name="_____DAT15">#REF!</definedName>
    <definedName name="_____DAT16">#REF!</definedName>
    <definedName name="_____DAT3">#REF!</definedName>
    <definedName name="_____DAT4">#REF!</definedName>
    <definedName name="_____DAT5">#REF!</definedName>
    <definedName name="_____DAT6">#REF!</definedName>
    <definedName name="_____DAT7">#REF!</definedName>
    <definedName name="_____DAT8">#REF!</definedName>
    <definedName name="_____LUP1">#N/A</definedName>
    <definedName name="_____LUP2">#N/A</definedName>
    <definedName name="_____pl056">#REF!</definedName>
    <definedName name="_____R">#N/A</definedName>
    <definedName name="_____xlnm.Print_Titles_18">#REF!</definedName>
    <definedName name="____bar1" localSheetId="3" hidden="1">{#N/A,#N/A,FALSE,"GERAL";#N/A,#N/A,FALSE,"012-96";#N/A,#N/A,FALSE,"018-96";#N/A,#N/A,FALSE,"027-96";#N/A,#N/A,FALSE,"059-96";#N/A,#N/A,FALSE,"076-96";#N/A,#N/A,FALSE,"019-97";#N/A,#N/A,FALSE,"021-97";#N/A,#N/A,FALSE,"022-97";#N/A,#N/A,FALSE,"028-97"}</definedName>
    <definedName name="____bar1" localSheetId="2" hidden="1">{#N/A,#N/A,FALSE,"GERAL";#N/A,#N/A,FALSE,"012-96";#N/A,#N/A,FALSE,"018-96";#N/A,#N/A,FALSE,"027-96";#N/A,#N/A,FALSE,"059-96";#N/A,#N/A,FALSE,"076-96";#N/A,#N/A,FALSE,"019-97";#N/A,#N/A,FALSE,"021-97";#N/A,#N/A,FALSE,"022-97";#N/A,#N/A,FALSE,"028-97"}</definedName>
    <definedName name="____bar1" localSheetId="5" hidden="1">{#N/A,#N/A,FALSE,"GERAL";#N/A,#N/A,FALSE,"012-96";#N/A,#N/A,FALSE,"018-96";#N/A,#N/A,FALSE,"027-96";#N/A,#N/A,FALSE,"059-96";#N/A,#N/A,FALSE,"076-96";#N/A,#N/A,FALSE,"019-97";#N/A,#N/A,FALSE,"021-97";#N/A,#N/A,FALSE,"022-97";#N/A,#N/A,FALSE,"028-97"}</definedName>
    <definedName name="____bar1" localSheetId="7" hidden="1">{#N/A,#N/A,FALSE,"GERAL";#N/A,#N/A,FALSE,"012-96";#N/A,#N/A,FALSE,"018-96";#N/A,#N/A,FALSE,"027-96";#N/A,#N/A,FALSE,"059-96";#N/A,#N/A,FALSE,"076-96";#N/A,#N/A,FALSE,"019-97";#N/A,#N/A,FALSE,"021-97";#N/A,#N/A,FALSE,"022-97";#N/A,#N/A,FALSE,"028-97"}</definedName>
    <definedName name="____bar1" localSheetId="1" hidden="1">{#N/A,#N/A,FALSE,"GERAL";#N/A,#N/A,FALSE,"012-96";#N/A,#N/A,FALSE,"018-96";#N/A,#N/A,FALSE,"027-96";#N/A,#N/A,FALSE,"059-96";#N/A,#N/A,FALSE,"076-96";#N/A,#N/A,FALSE,"019-97";#N/A,#N/A,FALSE,"021-97";#N/A,#N/A,FALSE,"022-97";#N/A,#N/A,FALSE,"028-97"}</definedName>
    <definedName name="____bar1" hidden="1">{#N/A,#N/A,FALSE,"GERAL";#N/A,#N/A,FALSE,"012-96";#N/A,#N/A,FALSE,"018-96";#N/A,#N/A,FALSE,"027-96";#N/A,#N/A,FALSE,"059-96";#N/A,#N/A,FALSE,"076-96";#N/A,#N/A,FALSE,"019-97";#N/A,#N/A,FALSE,"021-97";#N/A,#N/A,FALSE,"022-97";#N/A,#N/A,FALSE,"028-97"}</definedName>
    <definedName name="____COD1">#REF!</definedName>
    <definedName name="____COD10">#REF!</definedName>
    <definedName name="____COD11">#REF!</definedName>
    <definedName name="____COD13">#REF!</definedName>
    <definedName name="____COD138">#REF!</definedName>
    <definedName name="____COD140">#REF!</definedName>
    <definedName name="____COD144">#REF!</definedName>
    <definedName name="____COD146">#REF!</definedName>
    <definedName name="____COD149">#REF!</definedName>
    <definedName name="____COD152">#REF!</definedName>
    <definedName name="____COD154">#REF!</definedName>
    <definedName name="____COD155">#REF!</definedName>
    <definedName name="____COD156">#REF!</definedName>
    <definedName name="____COD157">#REF!</definedName>
    <definedName name="____COD158">#REF!</definedName>
    <definedName name="____COD16">#REF!</definedName>
    <definedName name="____COD161">#REF!</definedName>
    <definedName name="____COD166">#REF!</definedName>
    <definedName name="____COD168">#REF!</definedName>
    <definedName name="____COD169">#REF!</definedName>
    <definedName name="____COD17">#REF!</definedName>
    <definedName name="____COD170">#REF!</definedName>
    <definedName name="____COD171">#REF!</definedName>
    <definedName name="____COD172">#REF!</definedName>
    <definedName name="____COD173">#REF!</definedName>
    <definedName name="____COD174">#REF!</definedName>
    <definedName name="____COD175">#REF!</definedName>
    <definedName name="____COD177">#REF!</definedName>
    <definedName name="____COD178">#REF!</definedName>
    <definedName name="____COD179">#REF!</definedName>
    <definedName name="____COD180">#REF!</definedName>
    <definedName name="____COD184">#REF!</definedName>
    <definedName name="____COD189">#REF!</definedName>
    <definedName name="____COD191">#REF!</definedName>
    <definedName name="____COD192">#REF!</definedName>
    <definedName name="____COD195">#REF!</definedName>
    <definedName name="____COD198">#REF!</definedName>
    <definedName name="____COD199">#REF!</definedName>
    <definedName name="____COD200">#REF!</definedName>
    <definedName name="____COD21">#REF!</definedName>
    <definedName name="____COD23">#REF!</definedName>
    <definedName name="____COD24">#REF!</definedName>
    <definedName name="____COD28">#REF!</definedName>
    <definedName name="____COD29">#REF!</definedName>
    <definedName name="____COD32">#REF!</definedName>
    <definedName name="____COD35">#REF!</definedName>
    <definedName name="____COD36">#REF!</definedName>
    <definedName name="____COD37">#REF!</definedName>
    <definedName name="____COD41">#REF!</definedName>
    <definedName name="____COD42">#REF!</definedName>
    <definedName name="____COD43">#REF!</definedName>
    <definedName name="____COD44">#REF!</definedName>
    <definedName name="____COD46">#REF!</definedName>
    <definedName name="____COD47">#REF!</definedName>
    <definedName name="____COD49">#REF!</definedName>
    <definedName name="____COD50">#REF!</definedName>
    <definedName name="____COD55">#REF!</definedName>
    <definedName name="____COD60">#REF!</definedName>
    <definedName name="____COD62">#REF!</definedName>
    <definedName name="____COD65">#REF!</definedName>
    <definedName name="____COD66">#REF!</definedName>
    <definedName name="____COD68">#REF!</definedName>
    <definedName name="____COD8">#REF!</definedName>
    <definedName name="____DAT11">#REF!</definedName>
    <definedName name="____DAT12">#REF!</definedName>
    <definedName name="____DAT13">#REF!</definedName>
    <definedName name="____DAT15">#REF!</definedName>
    <definedName name="____DAT16">#REF!</definedName>
    <definedName name="____DAT3">#REF!</definedName>
    <definedName name="____DAT4">#REF!</definedName>
    <definedName name="____DAT5">#REF!</definedName>
    <definedName name="____DAT6">#REF!</definedName>
    <definedName name="____DAT7">#REF!</definedName>
    <definedName name="____DAT8">#REF!</definedName>
    <definedName name="____LUP1">#N/A</definedName>
    <definedName name="____LUP2">#N/A</definedName>
    <definedName name="____pl056">#REF!</definedName>
    <definedName name="____R">#N/A</definedName>
    <definedName name="____xlnm.Print_Titles_18">#REF!</definedName>
    <definedName name="___bar1" localSheetId="3" hidden="1">{#N/A,#N/A,FALSE,"GERAL";#N/A,#N/A,FALSE,"012-96";#N/A,#N/A,FALSE,"018-96";#N/A,#N/A,FALSE,"027-96";#N/A,#N/A,FALSE,"059-96";#N/A,#N/A,FALSE,"076-96";#N/A,#N/A,FALSE,"019-97";#N/A,#N/A,FALSE,"021-97";#N/A,#N/A,FALSE,"022-97";#N/A,#N/A,FALSE,"028-97"}</definedName>
    <definedName name="___bar1" localSheetId="2" hidden="1">{#N/A,#N/A,FALSE,"GERAL";#N/A,#N/A,FALSE,"012-96";#N/A,#N/A,FALSE,"018-96";#N/A,#N/A,FALSE,"027-96";#N/A,#N/A,FALSE,"059-96";#N/A,#N/A,FALSE,"076-96";#N/A,#N/A,FALSE,"019-97";#N/A,#N/A,FALSE,"021-97";#N/A,#N/A,FALSE,"022-97";#N/A,#N/A,FALSE,"028-97"}</definedName>
    <definedName name="___bar1" localSheetId="5" hidden="1">{#N/A,#N/A,FALSE,"GERAL";#N/A,#N/A,FALSE,"012-96";#N/A,#N/A,FALSE,"018-96";#N/A,#N/A,FALSE,"027-96";#N/A,#N/A,FALSE,"059-96";#N/A,#N/A,FALSE,"076-96";#N/A,#N/A,FALSE,"019-97";#N/A,#N/A,FALSE,"021-97";#N/A,#N/A,FALSE,"022-97";#N/A,#N/A,FALSE,"028-97"}</definedName>
    <definedName name="___bar1" localSheetId="7" hidden="1">{#N/A,#N/A,FALSE,"GERAL";#N/A,#N/A,FALSE,"012-96";#N/A,#N/A,FALSE,"018-96";#N/A,#N/A,FALSE,"027-96";#N/A,#N/A,FALSE,"059-96";#N/A,#N/A,FALSE,"076-96";#N/A,#N/A,FALSE,"019-97";#N/A,#N/A,FALSE,"021-97";#N/A,#N/A,FALSE,"022-97";#N/A,#N/A,FALSE,"028-97"}</definedName>
    <definedName name="___bar1" localSheetId="1" hidden="1">{#N/A,#N/A,FALSE,"GERAL";#N/A,#N/A,FALSE,"012-96";#N/A,#N/A,FALSE,"018-96";#N/A,#N/A,FALSE,"027-96";#N/A,#N/A,FALSE,"059-96";#N/A,#N/A,FALSE,"076-96";#N/A,#N/A,FALSE,"019-97";#N/A,#N/A,FALSE,"021-97";#N/A,#N/A,FALSE,"022-97";#N/A,#N/A,FALSE,"028-97"}</definedName>
    <definedName name="___bar1" hidden="1">{#N/A,#N/A,FALSE,"GERAL";#N/A,#N/A,FALSE,"012-96";#N/A,#N/A,FALSE,"018-96";#N/A,#N/A,FALSE,"027-96";#N/A,#N/A,FALSE,"059-96";#N/A,#N/A,FALSE,"076-96";#N/A,#N/A,FALSE,"019-97";#N/A,#N/A,FALSE,"021-97";#N/A,#N/A,FALSE,"022-97";#N/A,#N/A,FALSE,"028-97"}</definedName>
    <definedName name="___COD1">#REF!</definedName>
    <definedName name="___COD10">#REF!</definedName>
    <definedName name="___COD11">#REF!</definedName>
    <definedName name="___COD13">#REF!</definedName>
    <definedName name="___COD138">#REF!</definedName>
    <definedName name="___COD140">#REF!</definedName>
    <definedName name="___COD144">#REF!</definedName>
    <definedName name="___COD146">#REF!</definedName>
    <definedName name="___COD149">#REF!</definedName>
    <definedName name="___COD152">#REF!</definedName>
    <definedName name="___COD154">#REF!</definedName>
    <definedName name="___COD155">#REF!</definedName>
    <definedName name="___COD156">#REF!</definedName>
    <definedName name="___COD157">#REF!</definedName>
    <definedName name="___COD158">#REF!</definedName>
    <definedName name="___COD16">#REF!</definedName>
    <definedName name="___COD161">#REF!</definedName>
    <definedName name="___COD166">#REF!</definedName>
    <definedName name="___COD168">#REF!</definedName>
    <definedName name="___COD169">#REF!</definedName>
    <definedName name="___COD17">#REF!</definedName>
    <definedName name="___COD170">#REF!</definedName>
    <definedName name="___COD171">#REF!</definedName>
    <definedName name="___COD172">#REF!</definedName>
    <definedName name="___COD173">#REF!</definedName>
    <definedName name="___COD174">#REF!</definedName>
    <definedName name="___COD175">#REF!</definedName>
    <definedName name="___COD177">#REF!</definedName>
    <definedName name="___COD178">#REF!</definedName>
    <definedName name="___COD179">#REF!</definedName>
    <definedName name="___COD180">#REF!</definedName>
    <definedName name="___COD184">#REF!</definedName>
    <definedName name="___COD189">#REF!</definedName>
    <definedName name="___COD191">#REF!</definedName>
    <definedName name="___COD192">#REF!</definedName>
    <definedName name="___COD195">#REF!</definedName>
    <definedName name="___COD198">#REF!</definedName>
    <definedName name="___COD199">#REF!</definedName>
    <definedName name="___COD200">#REF!</definedName>
    <definedName name="___COD21">#REF!</definedName>
    <definedName name="___COD23">#REF!</definedName>
    <definedName name="___COD24">#REF!</definedName>
    <definedName name="___COD28">#REF!</definedName>
    <definedName name="___COD29">#REF!</definedName>
    <definedName name="___COD32">#REF!</definedName>
    <definedName name="___COD35">#REF!</definedName>
    <definedName name="___COD36">#REF!</definedName>
    <definedName name="___COD37">#REF!</definedName>
    <definedName name="___COD41">#REF!</definedName>
    <definedName name="___COD42">#REF!</definedName>
    <definedName name="___COD43">#REF!</definedName>
    <definedName name="___COD44">#REF!</definedName>
    <definedName name="___COD46">#REF!</definedName>
    <definedName name="___COD47">#REF!</definedName>
    <definedName name="___COD49">#REF!</definedName>
    <definedName name="___COD50">#REF!</definedName>
    <definedName name="___COD55">#REF!</definedName>
    <definedName name="___COD60">#REF!</definedName>
    <definedName name="___COD62">#REF!</definedName>
    <definedName name="___COD65">#REF!</definedName>
    <definedName name="___COD66">#REF!</definedName>
    <definedName name="___COD68">#REF!</definedName>
    <definedName name="___COD8">#REF!</definedName>
    <definedName name="___DAT11">#REF!</definedName>
    <definedName name="___DAT12">#REF!</definedName>
    <definedName name="___DAT13">#REF!</definedName>
    <definedName name="___DAT15">#REF!</definedName>
    <definedName name="___DAT16">#REF!</definedName>
    <definedName name="___DAT3">#REF!</definedName>
    <definedName name="___DAT4">#REF!</definedName>
    <definedName name="___DAT5">#REF!</definedName>
    <definedName name="___DAT6">#REF!</definedName>
    <definedName name="___DAT7">#REF!</definedName>
    <definedName name="___DAT8">#REF!</definedName>
    <definedName name="___LUP1">#N/A</definedName>
    <definedName name="___LUP2">#N/A</definedName>
    <definedName name="___pl056">#REF!</definedName>
    <definedName name="___R">#N/A</definedName>
    <definedName name="___xlnm.Print_Titles_18">#REF!</definedName>
    <definedName name="__123Graph_A" hidden="1">#REF!</definedName>
    <definedName name="__123Graph_ACUSTO" hidden="1">#REF!</definedName>
    <definedName name="__123Graph_AFAT" hidden="1">#REF!</definedName>
    <definedName name="__123Graph_ARES" hidden="1">#REF!</definedName>
    <definedName name="__123Graph_B" hidden="1">#REF!</definedName>
    <definedName name="__123Graph_BCUSTO" hidden="1">#REF!</definedName>
    <definedName name="__123Graph_BFAT" hidden="1">#REF!</definedName>
    <definedName name="__123Graph_BRES" hidden="1">#REF!</definedName>
    <definedName name="__123Graph_X" hidden="1">#REF!</definedName>
    <definedName name="__123Graph_XCUSTO" hidden="1">#REF!</definedName>
    <definedName name="__123Graph_XFAT" hidden="1">#REF!</definedName>
    <definedName name="__123Graph_XRES" hidden="1">#REF!</definedName>
    <definedName name="__bar1" localSheetId="3" hidden="1">{#N/A,#N/A,FALSE,"GERAL";#N/A,#N/A,FALSE,"012-96";#N/A,#N/A,FALSE,"018-96";#N/A,#N/A,FALSE,"027-96";#N/A,#N/A,FALSE,"059-96";#N/A,#N/A,FALSE,"076-96";#N/A,#N/A,FALSE,"019-97";#N/A,#N/A,FALSE,"021-97";#N/A,#N/A,FALSE,"022-97";#N/A,#N/A,FALSE,"028-97"}</definedName>
    <definedName name="__bar1" localSheetId="2" hidden="1">{#N/A,#N/A,FALSE,"GERAL";#N/A,#N/A,FALSE,"012-96";#N/A,#N/A,FALSE,"018-96";#N/A,#N/A,FALSE,"027-96";#N/A,#N/A,FALSE,"059-96";#N/A,#N/A,FALSE,"076-96";#N/A,#N/A,FALSE,"019-97";#N/A,#N/A,FALSE,"021-97";#N/A,#N/A,FALSE,"022-97";#N/A,#N/A,FALSE,"028-97"}</definedName>
    <definedName name="__bar1" localSheetId="5" hidden="1">{#N/A,#N/A,FALSE,"GERAL";#N/A,#N/A,FALSE,"012-96";#N/A,#N/A,FALSE,"018-96";#N/A,#N/A,FALSE,"027-96";#N/A,#N/A,FALSE,"059-96";#N/A,#N/A,FALSE,"076-96";#N/A,#N/A,FALSE,"019-97";#N/A,#N/A,FALSE,"021-97";#N/A,#N/A,FALSE,"022-97";#N/A,#N/A,FALSE,"028-97"}</definedName>
    <definedName name="__bar1" localSheetId="7" hidden="1">{#N/A,#N/A,FALSE,"GERAL";#N/A,#N/A,FALSE,"012-96";#N/A,#N/A,FALSE,"018-96";#N/A,#N/A,FALSE,"027-96";#N/A,#N/A,FALSE,"059-96";#N/A,#N/A,FALSE,"076-96";#N/A,#N/A,FALSE,"019-97";#N/A,#N/A,FALSE,"021-97";#N/A,#N/A,FALSE,"022-97";#N/A,#N/A,FALSE,"028-97"}</definedName>
    <definedName name="__bar1" localSheetId="1" hidden="1">{#N/A,#N/A,FALSE,"GERAL";#N/A,#N/A,FALSE,"012-96";#N/A,#N/A,FALSE,"018-96";#N/A,#N/A,FALSE,"027-96";#N/A,#N/A,FALSE,"059-96";#N/A,#N/A,FALSE,"076-96";#N/A,#N/A,FALSE,"019-97";#N/A,#N/A,FALSE,"021-97";#N/A,#N/A,FALSE,"022-97";#N/A,#N/A,FALSE,"028-97"}</definedName>
    <definedName name="__bar1" hidden="1">{#N/A,#N/A,FALSE,"GERAL";#N/A,#N/A,FALSE,"012-96";#N/A,#N/A,FALSE,"018-96";#N/A,#N/A,FALSE,"027-96";#N/A,#N/A,FALSE,"059-96";#N/A,#N/A,FALSE,"076-96";#N/A,#N/A,FALSE,"019-97";#N/A,#N/A,FALSE,"021-97";#N/A,#N/A,FALSE,"022-97";#N/A,#N/A,FALSE,"028-97"}</definedName>
    <definedName name="__COD1">#REF!</definedName>
    <definedName name="__COD10">#REF!</definedName>
    <definedName name="__COD11">#REF!</definedName>
    <definedName name="__COD13">#REF!</definedName>
    <definedName name="__COD138">#REF!</definedName>
    <definedName name="__COD140">#REF!</definedName>
    <definedName name="__COD144">#REF!</definedName>
    <definedName name="__COD146">#REF!</definedName>
    <definedName name="__COD149">#REF!</definedName>
    <definedName name="__COD152">#REF!</definedName>
    <definedName name="__COD154">#REF!</definedName>
    <definedName name="__COD155">#REF!</definedName>
    <definedName name="__COD156">#REF!</definedName>
    <definedName name="__COD157">#REF!</definedName>
    <definedName name="__COD158">#REF!</definedName>
    <definedName name="__COD16">#REF!</definedName>
    <definedName name="__COD161">#REF!</definedName>
    <definedName name="__COD166">#REF!</definedName>
    <definedName name="__COD168">#REF!</definedName>
    <definedName name="__COD169">#REF!</definedName>
    <definedName name="__COD17">#REF!</definedName>
    <definedName name="__COD170">#REF!</definedName>
    <definedName name="__COD171">#REF!</definedName>
    <definedName name="__COD172">#REF!</definedName>
    <definedName name="__COD173">#REF!</definedName>
    <definedName name="__COD174">#REF!</definedName>
    <definedName name="__COD175">#REF!</definedName>
    <definedName name="__COD177">#REF!</definedName>
    <definedName name="__COD178">#REF!</definedName>
    <definedName name="__COD179">#REF!</definedName>
    <definedName name="__COD180">#REF!</definedName>
    <definedName name="__COD184">#REF!</definedName>
    <definedName name="__COD189">#REF!</definedName>
    <definedName name="__COD191">#REF!</definedName>
    <definedName name="__COD192">#REF!</definedName>
    <definedName name="__COD195">#REF!</definedName>
    <definedName name="__COD198">#REF!</definedName>
    <definedName name="__COD199">#REF!</definedName>
    <definedName name="__COD200">#REF!</definedName>
    <definedName name="__COD21">#REF!</definedName>
    <definedName name="__COD23">#REF!</definedName>
    <definedName name="__COD24">#REF!</definedName>
    <definedName name="__COD28">#REF!</definedName>
    <definedName name="__COD29">#REF!</definedName>
    <definedName name="__COD32">#REF!</definedName>
    <definedName name="__COD35">#REF!</definedName>
    <definedName name="__COD36">#REF!</definedName>
    <definedName name="__COD37">#REF!</definedName>
    <definedName name="__COD41">#REF!</definedName>
    <definedName name="__COD42">#REF!</definedName>
    <definedName name="__COD43">#REF!</definedName>
    <definedName name="__COD44">#REF!</definedName>
    <definedName name="__COD46">#REF!</definedName>
    <definedName name="__COD47">#REF!</definedName>
    <definedName name="__COD49">#REF!</definedName>
    <definedName name="__COD50">#REF!</definedName>
    <definedName name="__COD55">#REF!</definedName>
    <definedName name="__COD60">#REF!</definedName>
    <definedName name="__COD62">#REF!</definedName>
    <definedName name="__COD65">#REF!</definedName>
    <definedName name="__COD66">#REF!</definedName>
    <definedName name="__COD68">#REF!</definedName>
    <definedName name="__COD8">#REF!</definedName>
    <definedName name="__DAT11">#REF!</definedName>
    <definedName name="__DAT12">#REF!</definedName>
    <definedName name="__DAT13">#REF!</definedName>
    <definedName name="__DAT15">#REF!</definedName>
    <definedName name="__DAT16">#REF!</definedName>
    <definedName name="__DAT3">#REF!</definedName>
    <definedName name="__DAT4">#REF!</definedName>
    <definedName name="__DAT5">#REF!</definedName>
    <definedName name="__DAT6">#REF!</definedName>
    <definedName name="__DAT7">#REF!</definedName>
    <definedName name="__DAT8">#REF!</definedName>
    <definedName name="__LUP1">#N/A</definedName>
    <definedName name="__LUP2">#N/A</definedName>
    <definedName name="__PAG1">#REF!</definedName>
    <definedName name="__PAG10">#REF!</definedName>
    <definedName name="__PAG11">#REF!</definedName>
    <definedName name="__PAG12">#REF!</definedName>
    <definedName name="__PAG13">#REF!</definedName>
    <definedName name="__PAG14">#REF!</definedName>
    <definedName name="__PAG15">#REF!</definedName>
    <definedName name="__PAG2">#REF!</definedName>
    <definedName name="__PAG3">#REF!</definedName>
    <definedName name="__PAG4">#REF!</definedName>
    <definedName name="__PAG5">#REF!</definedName>
    <definedName name="__PAG6">#REF!</definedName>
    <definedName name="__PAG7">#REF!</definedName>
    <definedName name="__PAG8">#REF!</definedName>
    <definedName name="__PAG9">#REF!</definedName>
    <definedName name="__pl056">#REF!</definedName>
    <definedName name="__PPU1" localSheetId="3" hidden="1">{#N/A,#N/A,FALSE,"Cronograma";#N/A,#N/A,FALSE,"Cronogr. 2"}</definedName>
    <definedName name="__PPU1" localSheetId="2" hidden="1">{#N/A,#N/A,FALSE,"Cronograma";#N/A,#N/A,FALSE,"Cronogr. 2"}</definedName>
    <definedName name="__PPU1" localSheetId="5" hidden="1">{#N/A,#N/A,FALSE,"Cronograma";#N/A,#N/A,FALSE,"Cronogr. 2"}</definedName>
    <definedName name="__PPU1" localSheetId="7" hidden="1">{#N/A,#N/A,FALSE,"Cronograma";#N/A,#N/A,FALSE,"Cronogr. 2"}</definedName>
    <definedName name="__PPU1" localSheetId="1" hidden="1">{#N/A,#N/A,FALSE,"Cronograma";#N/A,#N/A,FALSE,"Cronogr. 2"}</definedName>
    <definedName name="__PPU1" hidden="1">{#N/A,#N/A,FALSE,"Cronograma";#N/A,#N/A,FALSE,"Cronogr. 2"}</definedName>
    <definedName name="__ppu2" localSheetId="3" hidden="1">{#N/A,#N/A,FALSE,"Cronograma";#N/A,#N/A,FALSE,"Cronogr. 2"}</definedName>
    <definedName name="__ppu2" localSheetId="2" hidden="1">{#N/A,#N/A,FALSE,"Cronograma";#N/A,#N/A,FALSE,"Cronogr. 2"}</definedName>
    <definedName name="__ppu2" localSheetId="5" hidden="1">{#N/A,#N/A,FALSE,"Cronograma";#N/A,#N/A,FALSE,"Cronogr. 2"}</definedName>
    <definedName name="__ppu2" localSheetId="7" hidden="1">{#N/A,#N/A,FALSE,"Cronograma";#N/A,#N/A,FALSE,"Cronogr. 2"}</definedName>
    <definedName name="__ppu2" localSheetId="1" hidden="1">{#N/A,#N/A,FALSE,"Cronograma";#N/A,#N/A,FALSE,"Cronogr. 2"}</definedName>
    <definedName name="__ppu2" hidden="1">{#N/A,#N/A,FALSE,"Cronograma";#N/A,#N/A,FALSE,"Cronogr. 2"}</definedName>
    <definedName name="__R">"$#REF!.$E$13"</definedName>
    <definedName name="__tub12">#N/A</definedName>
    <definedName name="__xlnm.Print_Area_1">#REF!</definedName>
    <definedName name="__xlnm.Print_Area_2">#REF!</definedName>
    <definedName name="__xlnm.Print_Area_3">#REF!</definedName>
    <definedName name="__xlnm.Print_Titles_1">#REF!</definedName>
    <definedName name="__xlnm.Print_Titles_18">#REF!</definedName>
    <definedName name="__xlnm.Print_Titles_2">#REF!</definedName>
    <definedName name="__xlnm.Print_Titles_3">#REF!</definedName>
    <definedName name="_1Excel_BuiltIn_Print_Area_2_1">#REF!</definedName>
    <definedName name="_1Excel_BuiltIn_Print_Area_5_1">#REF!</definedName>
    <definedName name="_adw1" hidden="1">#REF!</definedName>
    <definedName name="_ADw23" hidden="1">#REF!</definedName>
    <definedName name="_adw6" hidden="1">#REF!</definedName>
    <definedName name="_AHM">#REF!</definedName>
    <definedName name="_AHS">#REF!</definedName>
    <definedName name="_ANM">#REF!</definedName>
    <definedName name="_ANS">#REF!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0</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6</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0</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ReportStyle" hidden="1">2</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we21" hidden="1">#REF!</definedName>
    <definedName name="_awe213" hidden="1">#REF!</definedName>
    <definedName name="_awe56163" hidden="1">#REF!</definedName>
    <definedName name="_bar1" localSheetId="3" hidden="1">{#N/A,#N/A,FALSE,"GERAL";#N/A,#N/A,FALSE,"012-96";#N/A,#N/A,FALSE,"018-96";#N/A,#N/A,FALSE,"027-96";#N/A,#N/A,FALSE,"059-96";#N/A,#N/A,FALSE,"076-96";#N/A,#N/A,FALSE,"019-97";#N/A,#N/A,FALSE,"021-97";#N/A,#N/A,FALSE,"022-97";#N/A,#N/A,FALSE,"028-97"}</definedName>
    <definedName name="_bar1" localSheetId="2" hidden="1">{#N/A,#N/A,FALSE,"GERAL";#N/A,#N/A,FALSE,"012-96";#N/A,#N/A,FALSE,"018-96";#N/A,#N/A,FALSE,"027-96";#N/A,#N/A,FALSE,"059-96";#N/A,#N/A,FALSE,"076-96";#N/A,#N/A,FALSE,"019-97";#N/A,#N/A,FALSE,"021-97";#N/A,#N/A,FALSE,"022-97";#N/A,#N/A,FALSE,"028-97"}</definedName>
    <definedName name="_bar1" localSheetId="5" hidden="1">{#N/A,#N/A,FALSE,"GERAL";#N/A,#N/A,FALSE,"012-96";#N/A,#N/A,FALSE,"018-96";#N/A,#N/A,FALSE,"027-96";#N/A,#N/A,FALSE,"059-96";#N/A,#N/A,FALSE,"076-96";#N/A,#N/A,FALSE,"019-97";#N/A,#N/A,FALSE,"021-97";#N/A,#N/A,FALSE,"022-97";#N/A,#N/A,FALSE,"028-97"}</definedName>
    <definedName name="_bar1" localSheetId="7" hidden="1">{#N/A,#N/A,FALSE,"GERAL";#N/A,#N/A,FALSE,"012-96";#N/A,#N/A,FALSE,"018-96";#N/A,#N/A,FALSE,"027-96";#N/A,#N/A,FALSE,"059-96";#N/A,#N/A,FALSE,"076-96";#N/A,#N/A,FALSE,"019-97";#N/A,#N/A,FALSE,"021-97";#N/A,#N/A,FALSE,"022-97";#N/A,#N/A,FALSE,"028-97"}</definedName>
    <definedName name="_bar1" localSheetId="1" hidden="1">{#N/A,#N/A,FALSE,"GERAL";#N/A,#N/A,FALSE,"012-96";#N/A,#N/A,FALSE,"018-96";#N/A,#N/A,FALSE,"027-96";#N/A,#N/A,FALSE,"059-96";#N/A,#N/A,FALSE,"076-96";#N/A,#N/A,FALSE,"019-97";#N/A,#N/A,FALSE,"021-97";#N/A,#N/A,FALSE,"022-97";#N/A,#N/A,FALSE,"028-97"}</definedName>
    <definedName name="_bar1" hidden="1">{#N/A,#N/A,FALSE,"GERAL";#N/A,#N/A,FALSE,"012-96";#N/A,#N/A,FALSE,"018-96";#N/A,#N/A,FALSE,"027-96";#N/A,#N/A,FALSE,"059-96";#N/A,#N/A,FALSE,"076-96";#N/A,#N/A,FALSE,"019-97";#N/A,#N/A,FALSE,"021-97";#N/A,#N/A,FALSE,"022-97";#N/A,#N/A,FALSE,"028-97"}</definedName>
    <definedName name="_CDN">#REF!</definedName>
    <definedName name="_COD1">#REF!</definedName>
    <definedName name="_COD10">#REF!</definedName>
    <definedName name="_COD11">#REF!</definedName>
    <definedName name="_COD13">#REF!</definedName>
    <definedName name="_COD138">#REF!</definedName>
    <definedName name="_COD140">#REF!</definedName>
    <definedName name="_COD144">#REF!</definedName>
    <definedName name="_COD146">#REF!</definedName>
    <definedName name="_COD149">#REF!</definedName>
    <definedName name="_COD152">#REF!</definedName>
    <definedName name="_COD154">#REF!</definedName>
    <definedName name="_COD155">#REF!</definedName>
    <definedName name="_COD156">#REF!</definedName>
    <definedName name="_COD157">#REF!</definedName>
    <definedName name="_COD158">#REF!</definedName>
    <definedName name="_COD16">#REF!</definedName>
    <definedName name="_COD161">#REF!</definedName>
    <definedName name="_COD166">#REF!</definedName>
    <definedName name="_COD168">#REF!</definedName>
    <definedName name="_COD169">#REF!</definedName>
    <definedName name="_COD17">#REF!</definedName>
    <definedName name="_COD170">#REF!</definedName>
    <definedName name="_COD171">#REF!</definedName>
    <definedName name="_COD172">#REF!</definedName>
    <definedName name="_COD173">#REF!</definedName>
    <definedName name="_COD174">#REF!</definedName>
    <definedName name="_COD175">#REF!</definedName>
    <definedName name="_COD177">#REF!</definedName>
    <definedName name="_COD178">#REF!</definedName>
    <definedName name="_COD179">#REF!</definedName>
    <definedName name="_COD180">#REF!</definedName>
    <definedName name="_COD184">#REF!</definedName>
    <definedName name="_COD189">#REF!</definedName>
    <definedName name="_COD191">#REF!</definedName>
    <definedName name="_COD192">#REF!</definedName>
    <definedName name="_COD195">#REF!</definedName>
    <definedName name="_COD198">#REF!</definedName>
    <definedName name="_COD199">#REF!</definedName>
    <definedName name="_COD200">#REF!</definedName>
    <definedName name="_COD21">#REF!</definedName>
    <definedName name="_COD23">#REF!</definedName>
    <definedName name="_COD24">#REF!</definedName>
    <definedName name="_COD28">#REF!</definedName>
    <definedName name="_COD29">#REF!</definedName>
    <definedName name="_COD32">#REF!</definedName>
    <definedName name="_COD35">#REF!</definedName>
    <definedName name="_COD36">#REF!</definedName>
    <definedName name="_COD37">#REF!</definedName>
    <definedName name="_COD41">#REF!</definedName>
    <definedName name="_COD42">#REF!</definedName>
    <definedName name="_COD43">#REF!</definedName>
    <definedName name="_COD44">#REF!</definedName>
    <definedName name="_COD46">#REF!</definedName>
    <definedName name="_COD47">#REF!</definedName>
    <definedName name="_COD49">#REF!</definedName>
    <definedName name="_COD50">#REF!</definedName>
    <definedName name="_COD55">#REF!</definedName>
    <definedName name="_COD60">#REF!</definedName>
    <definedName name="_COD62">#REF!</definedName>
    <definedName name="_COD65">#REF!</definedName>
    <definedName name="_COD66">#REF!</definedName>
    <definedName name="_COD68">#REF!</definedName>
    <definedName name="_COD8">#REF!</definedName>
    <definedName name="_CPN">#REF!</definedName>
    <definedName name="_DAT11">#REF!</definedName>
    <definedName name="_DAT12">#REF!</definedName>
    <definedName name="_DAT13">#REF!</definedName>
    <definedName name="_DAT15">#REF!</definedName>
    <definedName name="_DAT16">#REF!</definedName>
    <definedName name="_DAT3">#REF!</definedName>
    <definedName name="_DAT4">#REF!</definedName>
    <definedName name="_DAT5">#REF!</definedName>
    <definedName name="_DAT6">#REF!</definedName>
    <definedName name="_DAT7">#REF!</definedName>
    <definedName name="_DAT8">#REF!</definedName>
    <definedName name="_DCD">#REF!</definedName>
    <definedName name="_DCI">#REF!</definedName>
    <definedName name="_DEB">#REF!</definedName>
    <definedName name="_DEC">#REF!</definedName>
    <definedName name="_DGP">#REF!</definedName>
    <definedName name="_DI3">#REF!</definedName>
    <definedName name="_DLM">#REF!</definedName>
    <definedName name="_DLS">#REF!</definedName>
    <definedName name="_DMT">#REF!</definedName>
    <definedName name="_DPL">#REF!</definedName>
    <definedName name="_dpm">#REF!</definedName>
    <definedName name="_DSE">#REF!</definedName>
    <definedName name="_DSM">#REF!</definedName>
    <definedName name="_DVL">#REF!</definedName>
    <definedName name="_DVT">#REF!</definedName>
    <definedName name="_Fill" hidden="1">#REF!</definedName>
    <definedName name="_xlnm._FilterDatabase" localSheetId="8" hidden="1">'BD-RO'!$A$1:$AN$1</definedName>
    <definedName name="_HA1">#REF!</definedName>
    <definedName name="_HA2">#REF!</definedName>
    <definedName name="_HA3">#REF!</definedName>
    <definedName name="_HAA">#REF!</definedName>
    <definedName name="_HAS">#REF!</definedName>
    <definedName name="_HCE">#REF!</definedName>
    <definedName name="_HNM">#REF!</definedName>
    <definedName name="_HNS">#REF!</definedName>
    <definedName name="_HNV">#REF!</definedName>
    <definedName name="_HP0">#REF!</definedName>
    <definedName name="_HP1">#REF!</definedName>
    <definedName name="_HP2">#REF!</definedName>
    <definedName name="_HP3">#REF!</definedName>
    <definedName name="_HPC">#REF!</definedName>
    <definedName name="_HSC">#REF!</definedName>
    <definedName name="_HT1">#REF!</definedName>
    <definedName name="_HT2">#REF!</definedName>
    <definedName name="_HT3">#REF!</definedName>
    <definedName name="_HT4">#REF!</definedName>
    <definedName name="_HTP">#REF!</definedName>
    <definedName name="_Key1" hidden="1">#REF!</definedName>
    <definedName name="_Key2" hidden="1">#REF!</definedName>
    <definedName name="_LUP1">#N/A</definedName>
    <definedName name="_LUP2">#N/A</definedName>
    <definedName name="_MMT">#REF!</definedName>
    <definedName name="_MTV1">#REF!</definedName>
    <definedName name="_MTV2">#REF!</definedName>
    <definedName name="_MTV3">#REF!</definedName>
    <definedName name="_MTV4">#REF!</definedName>
    <definedName name="_MTV5">#REF!</definedName>
    <definedName name="_Order1" hidden="1">255</definedName>
    <definedName name="_Order2" hidden="1">255</definedName>
    <definedName name="_PAG1">#REF!</definedName>
    <definedName name="_PAG10">#REF!</definedName>
    <definedName name="_PAG11">#REF!</definedName>
    <definedName name="_PAG12">#REF!</definedName>
    <definedName name="_PAG13">#REF!</definedName>
    <definedName name="_PAG14">#REF!</definedName>
    <definedName name="_PAG15">#REF!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G9">#REF!</definedName>
    <definedName name="_pj34">#REF!</definedName>
    <definedName name="_pl056">#REF!</definedName>
    <definedName name="_PPU1" localSheetId="3" hidden="1">{#N/A,#N/A,FALSE,"Cronograma";#N/A,#N/A,FALSE,"Cronogr. 2"}</definedName>
    <definedName name="_PPU1" localSheetId="2" hidden="1">{#N/A,#N/A,FALSE,"Cronograma";#N/A,#N/A,FALSE,"Cronogr. 2"}</definedName>
    <definedName name="_PPU1" localSheetId="5" hidden="1">{#N/A,#N/A,FALSE,"Cronograma";#N/A,#N/A,FALSE,"Cronogr. 2"}</definedName>
    <definedName name="_PPU1" localSheetId="7" hidden="1">{#N/A,#N/A,FALSE,"Cronograma";#N/A,#N/A,FALSE,"Cronogr. 2"}</definedName>
    <definedName name="_PPU1" localSheetId="1" hidden="1">{#N/A,#N/A,FALSE,"Cronograma";#N/A,#N/A,FALSE,"Cronogr. 2"}</definedName>
    <definedName name="_PPU1" hidden="1">{#N/A,#N/A,FALSE,"Cronograma";#N/A,#N/A,FALSE,"Cronogr. 2"}</definedName>
    <definedName name="_ppu2" localSheetId="3" hidden="1">{#N/A,#N/A,FALSE,"Cronograma";#N/A,#N/A,FALSE,"Cronogr. 2"}</definedName>
    <definedName name="_ppu2" localSheetId="2" hidden="1">{#N/A,#N/A,FALSE,"Cronograma";#N/A,#N/A,FALSE,"Cronogr. 2"}</definedName>
    <definedName name="_ppu2" localSheetId="5" hidden="1">{#N/A,#N/A,FALSE,"Cronograma";#N/A,#N/A,FALSE,"Cronogr. 2"}</definedName>
    <definedName name="_ppu2" localSheetId="7" hidden="1">{#N/A,#N/A,FALSE,"Cronograma";#N/A,#N/A,FALSE,"Cronogr. 2"}</definedName>
    <definedName name="_ppu2" localSheetId="1" hidden="1">{#N/A,#N/A,FALSE,"Cronograma";#N/A,#N/A,FALSE,"Cronogr. 2"}</definedName>
    <definedName name="_ppu2" hidden="1">{#N/A,#N/A,FALSE,"Cronograma";#N/A,#N/A,FALSE,"Cronogr. 2"}</definedName>
    <definedName name="_R">#REF!</definedName>
    <definedName name="_Regression_Int">1</definedName>
    <definedName name="_sdf123" hidden="1">#REF!</definedName>
    <definedName name="_Sort" hidden="1">#REF!</definedName>
    <definedName name="_Toc514484924_3">#REF!</definedName>
    <definedName name="_tub075">#REF!</definedName>
    <definedName name="_tub1">#REF!</definedName>
    <definedName name="_tub10">#REF!</definedName>
    <definedName name="_tub12">#REF!</definedName>
    <definedName name="_tub14">#REF!</definedName>
    <definedName name="_tub2">#REF!</definedName>
    <definedName name="_tub3">#REF!</definedName>
    <definedName name="_tub4">#REF!</definedName>
    <definedName name="_tub6">#REF!</definedName>
    <definedName name="_tub8">#REF!</definedName>
    <definedName name="_we123" hidden="1">#REF!</definedName>
    <definedName name="_wea23" hidden="1">#REF!</definedName>
    <definedName name="_xlcn.WorksheetConnection_CONTROLEINTEGRADODEDEMANDASESMG.xlsxTb_HhEXEC_EDIVIT" hidden="1">Tb_HhEXEC_EDIVIT[]</definedName>
    <definedName name="_xlcn.WorksheetConnection_CONTROLEINTEGRADODEDEMANDASESMG.xlsxTb_HhEXEC_UTGC" hidden="1">Tb_HhEXEC_UTGC[]</definedName>
    <definedName name="a" localSheetId="3">{"dez","vinte","trinta","quarenta","cinquenta","sessenta","setenta","oitenta","noventa"}</definedName>
    <definedName name="a" localSheetId="2">{"dez","vinte","trinta","quarenta","cinquenta","sessenta","setenta","oitenta","noventa"}</definedName>
    <definedName name="a" localSheetId="5">{"dez","vinte","trinta","quarenta","cinquenta","sessenta","setenta","oitenta","noventa"}</definedName>
    <definedName name="a" localSheetId="7">{"dez","vinte","trinta","quarenta","cinquenta","sessenta","setenta","oitenta","noventa"}</definedName>
    <definedName name="a" localSheetId="1">{"dez","vinte","trinta","quarenta","cinquenta","sessenta","setenta","oitenta","noventa"}</definedName>
    <definedName name="a">{"dez","vinte","trinta","quarenta","cinquenta","sessenta","setenta","oitenta","noventa"}</definedName>
    <definedName name="Á1">#REF!</definedName>
    <definedName name="aa">#REF!</definedName>
    <definedName name="AAA" localSheetId="3">{"dez","vinte","trinta","quarenta","cinquenta","sessenta","setenta","oitenta","noventa"}</definedName>
    <definedName name="AAA" localSheetId="2">{"dez","vinte","trinta","quarenta","cinquenta","sessenta","setenta","oitenta","noventa"}</definedName>
    <definedName name="AAA" localSheetId="5">{"dez","vinte","trinta","quarenta","cinquenta","sessenta","setenta","oitenta","noventa"}</definedName>
    <definedName name="AAA" localSheetId="7">{"dez","vinte","trinta","quarenta","cinquenta","sessenta","setenta","oitenta","noventa"}</definedName>
    <definedName name="AAA" localSheetId="1">{"dez","vinte","trinta","quarenta","cinquenta","sessenta","setenta","oitenta","noventa"}</definedName>
    <definedName name="AAA">{"dez","vinte","trinta","quarenta","cinquenta","sessenta","setenta","oitenta","noventa"}</definedName>
    <definedName name="abc">#REF!</definedName>
    <definedName name="Acumulado">#REF!</definedName>
    <definedName name="ADB">#REF!</definedName>
    <definedName name="Adc">#REF!</definedName>
    <definedName name="Adc_23">#REF!</definedName>
    <definedName name="Adc_24">#REF!</definedName>
    <definedName name="Adc_25">#REF!</definedName>
    <definedName name="Adc_26">#REF!</definedName>
    <definedName name="ADCA">#REF!</definedName>
    <definedName name="ADCD">#REF!</definedName>
    <definedName name="ADCM">#REF!</definedName>
    <definedName name="ADCT">#REF!</definedName>
    <definedName name="ADCV">#REF!</definedName>
    <definedName name="ADE">#REF!</definedName>
    <definedName name="ademir" localSheetId="3" hidden="1">{#N/A,#N/A,FALSE,"Cronograma";#N/A,#N/A,FALSE,"Cronogr. 2"}</definedName>
    <definedName name="ademir" localSheetId="2" hidden="1">{#N/A,#N/A,FALSE,"Cronograma";#N/A,#N/A,FALSE,"Cronogr. 2"}</definedName>
    <definedName name="ademir" localSheetId="5" hidden="1">{#N/A,#N/A,FALSE,"Cronograma";#N/A,#N/A,FALSE,"Cronogr. 2"}</definedName>
    <definedName name="ademir" localSheetId="7" hidden="1">{#N/A,#N/A,FALSE,"Cronograma";#N/A,#N/A,FALSE,"Cronogr. 2"}</definedName>
    <definedName name="ademir" localSheetId="1" hidden="1">{#N/A,#N/A,FALSE,"Cronograma";#N/A,#N/A,FALSE,"Cronogr. 2"}</definedName>
    <definedName name="ademir" hidden="1">{#N/A,#N/A,FALSE,"Cronograma";#N/A,#N/A,FALSE,"Cronogr. 2"}</definedName>
    <definedName name="ADF">#REF!</definedName>
    <definedName name="ADJP">#REF!</definedName>
    <definedName name="ADLE">#REF!</definedName>
    <definedName name="ADM">#REF!</definedName>
    <definedName name="ADN">#REF!</definedName>
    <definedName name="ADP">#REF!</definedName>
    <definedName name="ADQ">#REF!</definedName>
    <definedName name="ADRP">#REF!</definedName>
    <definedName name="ADS">#REF!</definedName>
    <definedName name="ADTACF">#REF!</definedName>
    <definedName name="ADTACI">#REF!</definedName>
    <definedName name="ADTACR">#REF!</definedName>
    <definedName name="ADTACS">#REF!</definedName>
    <definedName name="ADTI">#REF!</definedName>
    <definedName name="ADTPEADS">#REF!</definedName>
    <definedName name="ADTPVCR">#REF!</definedName>
    <definedName name="ADTPVCS">#REF!</definedName>
    <definedName name="ADTRA">#REF!</definedName>
    <definedName name="AF" localSheetId="3" hidden="1">{#N/A,#N/A,FALSE,"GERAL";#N/A,#N/A,FALSE,"012-96";#N/A,#N/A,FALSE,"018-96";#N/A,#N/A,FALSE,"027-96";#N/A,#N/A,FALSE,"059-96";#N/A,#N/A,FALSE,"076-96";#N/A,#N/A,FALSE,"019-97";#N/A,#N/A,FALSE,"021-97";#N/A,#N/A,FALSE,"022-97";#N/A,#N/A,FALSE,"028-97"}</definedName>
    <definedName name="AF" localSheetId="2" hidden="1">{#N/A,#N/A,FALSE,"GERAL";#N/A,#N/A,FALSE,"012-96";#N/A,#N/A,FALSE,"018-96";#N/A,#N/A,FALSE,"027-96";#N/A,#N/A,FALSE,"059-96";#N/A,#N/A,FALSE,"076-96";#N/A,#N/A,FALSE,"019-97";#N/A,#N/A,FALSE,"021-97";#N/A,#N/A,FALSE,"022-97";#N/A,#N/A,FALSE,"028-97"}</definedName>
    <definedName name="AF" localSheetId="5" hidden="1">{#N/A,#N/A,FALSE,"GERAL";#N/A,#N/A,FALSE,"012-96";#N/A,#N/A,FALSE,"018-96";#N/A,#N/A,FALSE,"027-96";#N/A,#N/A,FALSE,"059-96";#N/A,#N/A,FALSE,"076-96";#N/A,#N/A,FALSE,"019-97";#N/A,#N/A,FALSE,"021-97";#N/A,#N/A,FALSE,"022-97";#N/A,#N/A,FALSE,"028-97"}</definedName>
    <definedName name="AF" localSheetId="7" hidden="1">{#N/A,#N/A,FALSE,"GERAL";#N/A,#N/A,FALSE,"012-96";#N/A,#N/A,FALSE,"018-96";#N/A,#N/A,FALSE,"027-96";#N/A,#N/A,FALSE,"059-96";#N/A,#N/A,FALSE,"076-96";#N/A,#N/A,FALSE,"019-97";#N/A,#N/A,FALSE,"021-97";#N/A,#N/A,FALSE,"022-97";#N/A,#N/A,FALSE,"028-97"}</definedName>
    <definedName name="AF" localSheetId="1" hidden="1">{#N/A,#N/A,FALSE,"GERAL";#N/A,#N/A,FALSE,"012-96";#N/A,#N/A,FALSE,"018-96";#N/A,#N/A,FALSE,"027-96";#N/A,#N/A,FALSE,"059-96";#N/A,#N/A,FALSE,"076-96";#N/A,#N/A,FALSE,"019-97";#N/A,#N/A,FALSE,"021-97";#N/A,#N/A,FALSE,"022-97";#N/A,#N/A,FALSE,"028-97"}</definedName>
    <definedName name="AF" hidden="1">{#N/A,#N/A,FALSE,"GERAL";#N/A,#N/A,FALSE,"012-96";#N/A,#N/A,FALSE,"018-96";#N/A,#N/A,FALSE,"027-96";#N/A,#N/A,FALSE,"059-96";#N/A,#N/A,FALSE,"076-96";#N/A,#N/A,FALSE,"019-97";#N/A,#N/A,FALSE,"021-97";#N/A,#N/A,FALSE,"022-97";#N/A,#N/A,FALSE,"028-97"}</definedName>
    <definedName name="AJUSTARANGE">#REF!</definedName>
    <definedName name="ALIMUNIT">#REF!</definedName>
    <definedName name="ALIQ_COFINS">0.076</definedName>
    <definedName name="ALIQ_PIS">0.0165</definedName>
    <definedName name="ALMOCO">#N/A</definedName>
    <definedName name="ALMOCOMES">#N/A</definedName>
    <definedName name="ALTABSAL">#N/A</definedName>
    <definedName name="ALTERSAL">#N/A</definedName>
    <definedName name="ALUGCOMBFRETE">#REF!</definedName>
    <definedName name="AnoInicio">#REF!</definedName>
    <definedName name="APAGTAB">#N/A</definedName>
    <definedName name="APOIOUNIT">#REF!</definedName>
    <definedName name="ar">#REF!</definedName>
    <definedName name="_xlnm.Extract">#REF!</definedName>
    <definedName name="_xlnm.Print_Area">#REF!</definedName>
    <definedName name="area_impressÃO">#REF!</definedName>
    <definedName name="Área_impressão_IM">#REF!</definedName>
    <definedName name="areacontainer">#REF!</definedName>
    <definedName name="arenoso">#REF!</definedName>
    <definedName name="arredondamento">#REF!</definedName>
    <definedName name="asd216qw2e1" hidden="1">#REF!</definedName>
    <definedName name="ASDF" localSheetId="3" hidden="1">{#N/A,#N/A,FALSE,"GERAL";#N/A,#N/A,FALSE,"012-96";#N/A,#N/A,FALSE,"018-96";#N/A,#N/A,FALSE,"027-96";#N/A,#N/A,FALSE,"059-96";#N/A,#N/A,FALSE,"076-96";#N/A,#N/A,FALSE,"019-97";#N/A,#N/A,FALSE,"021-97";#N/A,#N/A,FALSE,"022-97";#N/A,#N/A,FALSE,"028-97"}</definedName>
    <definedName name="ASDF" localSheetId="2" hidden="1">{#N/A,#N/A,FALSE,"GERAL";#N/A,#N/A,FALSE,"012-96";#N/A,#N/A,FALSE,"018-96";#N/A,#N/A,FALSE,"027-96";#N/A,#N/A,FALSE,"059-96";#N/A,#N/A,FALSE,"076-96";#N/A,#N/A,FALSE,"019-97";#N/A,#N/A,FALSE,"021-97";#N/A,#N/A,FALSE,"022-97";#N/A,#N/A,FALSE,"028-97"}</definedName>
    <definedName name="ASDF" localSheetId="5" hidden="1">{#N/A,#N/A,FALSE,"GERAL";#N/A,#N/A,FALSE,"012-96";#N/A,#N/A,FALSE,"018-96";#N/A,#N/A,FALSE,"027-96";#N/A,#N/A,FALSE,"059-96";#N/A,#N/A,FALSE,"076-96";#N/A,#N/A,FALSE,"019-97";#N/A,#N/A,FALSE,"021-97";#N/A,#N/A,FALSE,"022-97";#N/A,#N/A,FALSE,"028-97"}</definedName>
    <definedName name="ASDF" localSheetId="7" hidden="1">{#N/A,#N/A,FALSE,"GERAL";#N/A,#N/A,FALSE,"012-96";#N/A,#N/A,FALSE,"018-96";#N/A,#N/A,FALSE,"027-96";#N/A,#N/A,FALSE,"059-96";#N/A,#N/A,FALSE,"076-96";#N/A,#N/A,FALSE,"019-97";#N/A,#N/A,FALSE,"021-97";#N/A,#N/A,FALSE,"022-97";#N/A,#N/A,FALSE,"028-97"}</definedName>
    <definedName name="ASDF" localSheetId="1" hidden="1">{#N/A,#N/A,FALSE,"GERAL";#N/A,#N/A,FALSE,"012-96";#N/A,#N/A,FALSE,"018-96";#N/A,#N/A,FALSE,"027-96";#N/A,#N/A,FALSE,"059-96";#N/A,#N/A,FALSE,"076-96";#N/A,#N/A,FALSE,"019-97";#N/A,#N/A,FALSE,"021-97";#N/A,#N/A,FALSE,"022-97";#N/A,#N/A,FALSE,"028-97"}</definedName>
    <definedName name="ASDF" hidden="1">{#N/A,#N/A,FALSE,"GERAL";#N/A,#N/A,FALSE,"012-96";#N/A,#N/A,FALSE,"018-96";#N/A,#N/A,FALSE,"027-96";#N/A,#N/A,FALSE,"059-96";#N/A,#N/A,FALSE,"076-96";#N/A,#N/A,FALSE,"019-97";#N/A,#N/A,FALSE,"021-97";#N/A,#N/A,FALSE,"022-97";#N/A,#N/A,FALSE,"028-97"}</definedName>
    <definedName name="asdff">#REF!</definedName>
    <definedName name="asdw" hidden="1">#REF!</definedName>
    <definedName name="asf">#REF!</definedName>
    <definedName name="asfalto">#REF!</definedName>
    <definedName name="ASP">#REF!</definedName>
    <definedName name="Atraso">#REF!</definedName>
    <definedName name="AWd1q56" hidden="1">#REF!</definedName>
    <definedName name="B">#REF!</definedName>
    <definedName name="BANCO">#REF!</definedName>
    <definedName name="_xlnm.Database">#REF!</definedName>
    <definedName name="BANCO1">#REF!</definedName>
    <definedName name="BANCO2">#REF!</definedName>
    <definedName name="bar" localSheetId="3" hidden="1">{#N/A,#N/A,FALSE,"GERAL";#N/A,#N/A,FALSE,"012-96";#N/A,#N/A,FALSE,"018-96";#N/A,#N/A,FALSE,"027-96";#N/A,#N/A,FALSE,"059-96";#N/A,#N/A,FALSE,"076-96";#N/A,#N/A,FALSE,"019-97";#N/A,#N/A,FALSE,"021-97";#N/A,#N/A,FALSE,"022-97";#N/A,#N/A,FALSE,"028-97"}</definedName>
    <definedName name="bar" localSheetId="2" hidden="1">{#N/A,#N/A,FALSE,"GERAL";#N/A,#N/A,FALSE,"012-96";#N/A,#N/A,FALSE,"018-96";#N/A,#N/A,FALSE,"027-96";#N/A,#N/A,FALSE,"059-96";#N/A,#N/A,FALSE,"076-96";#N/A,#N/A,FALSE,"019-97";#N/A,#N/A,FALSE,"021-97";#N/A,#N/A,FALSE,"022-97";#N/A,#N/A,FALSE,"028-97"}</definedName>
    <definedName name="bar" localSheetId="5" hidden="1">{#N/A,#N/A,FALSE,"GERAL";#N/A,#N/A,FALSE,"012-96";#N/A,#N/A,FALSE,"018-96";#N/A,#N/A,FALSE,"027-96";#N/A,#N/A,FALSE,"059-96";#N/A,#N/A,FALSE,"076-96";#N/A,#N/A,FALSE,"019-97";#N/A,#N/A,FALSE,"021-97";#N/A,#N/A,FALSE,"022-97";#N/A,#N/A,FALSE,"028-97"}</definedName>
    <definedName name="bar" localSheetId="7" hidden="1">{#N/A,#N/A,FALSE,"GERAL";#N/A,#N/A,FALSE,"012-96";#N/A,#N/A,FALSE,"018-96";#N/A,#N/A,FALSE,"027-96";#N/A,#N/A,FALSE,"059-96";#N/A,#N/A,FALSE,"076-96";#N/A,#N/A,FALSE,"019-97";#N/A,#N/A,FALSE,"021-97";#N/A,#N/A,FALSE,"022-97";#N/A,#N/A,FALSE,"028-97"}</definedName>
    <definedName name="bar" localSheetId="1" hidden="1">{#N/A,#N/A,FALSE,"GERAL";#N/A,#N/A,FALSE,"012-96";#N/A,#N/A,FALSE,"018-96";#N/A,#N/A,FALSE,"027-96";#N/A,#N/A,FALSE,"059-96";#N/A,#N/A,FALSE,"076-96";#N/A,#N/A,FALSE,"019-97";#N/A,#N/A,FALSE,"021-97";#N/A,#N/A,FALSE,"022-97";#N/A,#N/A,FALSE,"028-97"}</definedName>
    <definedName name="bar" hidden="1">{#N/A,#N/A,FALSE,"GERAL";#N/A,#N/A,FALSE,"012-96";#N/A,#N/A,FALSE,"018-96";#N/A,#N/A,FALSE,"027-96";#N/A,#N/A,FALSE,"059-96";#N/A,#N/A,FALSE,"076-96";#N/A,#N/A,FALSE,"019-97";#N/A,#N/A,FALSE,"021-97";#N/A,#N/A,FALSE,"022-97";#N/A,#N/A,FALSE,"028-97"}</definedName>
    <definedName name="BARRACHEIA">#N/A</definedName>
    <definedName name="BARRAS">#N/A</definedName>
    <definedName name="BARRAUM">#N/A</definedName>
    <definedName name="BDI">#REF!</definedName>
    <definedName name="bdi_sub">#REF!</definedName>
    <definedName name="bdi_sub2">#REF!</definedName>
    <definedName name="BDICOMP">#REF!</definedName>
    <definedName name="BDIFIXO">#REF!</definedName>
    <definedName name="BDIUNIT">#REF!</definedName>
    <definedName name="bosta" localSheetId="3" hidden="1">{#N/A,#N/A,FALSE,"Cronograma";#N/A,#N/A,FALSE,"Cronogr. 2"}</definedName>
    <definedName name="bosta" localSheetId="2" hidden="1">{#N/A,#N/A,FALSE,"Cronograma";#N/A,#N/A,FALSE,"Cronogr. 2"}</definedName>
    <definedName name="bosta" localSheetId="5" hidden="1">{#N/A,#N/A,FALSE,"Cronograma";#N/A,#N/A,FALSE,"Cronogr. 2"}</definedName>
    <definedName name="bosta" localSheetId="7" hidden="1">{#N/A,#N/A,FALSE,"Cronograma";#N/A,#N/A,FALSE,"Cronogr. 2"}</definedName>
    <definedName name="bosta" localSheetId="1" hidden="1">{#N/A,#N/A,FALSE,"Cronograma";#N/A,#N/A,FALSE,"Cronogr. 2"}</definedName>
    <definedName name="bosta" hidden="1">{#N/A,#N/A,FALSE,"Cronograma";#N/A,#N/A,FALSE,"Cronogr. 2"}</definedName>
    <definedName name="BQ_TABLE1">#REF!</definedName>
    <definedName name="BRANCO">#N/A</definedName>
    <definedName name="BRANCO1">#N/A</definedName>
    <definedName name="brfdbe">#REF!</definedName>
    <definedName name="BRITAGEM" localSheetId="3" hidden="1">{#N/A,#N/A,FALSE,"GERAL";#N/A,#N/A,FALSE,"012-96";#N/A,#N/A,FALSE,"018-96";#N/A,#N/A,FALSE,"027-96";#N/A,#N/A,FALSE,"059-96";#N/A,#N/A,FALSE,"076-96";#N/A,#N/A,FALSE,"019-97";#N/A,#N/A,FALSE,"021-97";#N/A,#N/A,FALSE,"022-97";#N/A,#N/A,FALSE,"028-97"}</definedName>
    <definedName name="BRITAGEM" localSheetId="2" hidden="1">{#N/A,#N/A,FALSE,"GERAL";#N/A,#N/A,FALSE,"012-96";#N/A,#N/A,FALSE,"018-96";#N/A,#N/A,FALSE,"027-96";#N/A,#N/A,FALSE,"059-96";#N/A,#N/A,FALSE,"076-96";#N/A,#N/A,FALSE,"019-97";#N/A,#N/A,FALSE,"021-97";#N/A,#N/A,FALSE,"022-97";#N/A,#N/A,FALSE,"028-97"}</definedName>
    <definedName name="BRITAGEM" localSheetId="5" hidden="1">{#N/A,#N/A,FALSE,"GERAL";#N/A,#N/A,FALSE,"012-96";#N/A,#N/A,FALSE,"018-96";#N/A,#N/A,FALSE,"027-96";#N/A,#N/A,FALSE,"059-96";#N/A,#N/A,FALSE,"076-96";#N/A,#N/A,FALSE,"019-97";#N/A,#N/A,FALSE,"021-97";#N/A,#N/A,FALSE,"022-97";#N/A,#N/A,FALSE,"028-97"}</definedName>
    <definedName name="BRITAGEM" localSheetId="7" hidden="1">{#N/A,#N/A,FALSE,"GERAL";#N/A,#N/A,FALSE,"012-96";#N/A,#N/A,FALSE,"018-96";#N/A,#N/A,FALSE,"027-96";#N/A,#N/A,FALSE,"059-96";#N/A,#N/A,FALSE,"076-96";#N/A,#N/A,FALSE,"019-97";#N/A,#N/A,FALSE,"021-97";#N/A,#N/A,FALSE,"022-97";#N/A,#N/A,FALSE,"028-97"}</definedName>
    <definedName name="BRITAGEM" localSheetId="1" hidden="1">{#N/A,#N/A,FALSE,"GERAL";#N/A,#N/A,FALSE,"012-96";#N/A,#N/A,FALSE,"018-96";#N/A,#N/A,FALSE,"027-96";#N/A,#N/A,FALSE,"059-96";#N/A,#N/A,FALSE,"076-96";#N/A,#N/A,FALSE,"019-97";#N/A,#N/A,FALSE,"021-97";#N/A,#N/A,FALSE,"022-97";#N/A,#N/A,FALSE,"028-97"}</definedName>
    <definedName name="BRITAGEM" hidden="1">{#N/A,#N/A,FALSE,"GERAL";#N/A,#N/A,FALSE,"012-96";#N/A,#N/A,FALSE,"018-96";#N/A,#N/A,FALSE,"027-96";#N/A,#N/A,FALSE,"059-96";#N/A,#N/A,FALSE,"076-96";#N/A,#N/A,FALSE,"019-97";#N/A,#N/A,FALSE,"021-97";#N/A,#N/A,FALSE,"022-97";#N/A,#N/A,FALSE,"028-97"}</definedName>
    <definedName name="BuiltIn_AutoFilter___1">#REF!</definedName>
    <definedName name="BUSCTAB">#N/A</definedName>
    <definedName name="C_">#REF!</definedName>
    <definedName name="CA´L" localSheetId="3" hidden="1">{#N/A,#N/A,FALSE,"Cronograma";#N/A,#N/A,FALSE,"Cronogr. 2"}</definedName>
    <definedName name="CA´L" localSheetId="2" hidden="1">{#N/A,#N/A,FALSE,"Cronograma";#N/A,#N/A,FALSE,"Cronogr. 2"}</definedName>
    <definedName name="CA´L" localSheetId="5" hidden="1">{#N/A,#N/A,FALSE,"Cronograma";#N/A,#N/A,FALSE,"Cronogr. 2"}</definedName>
    <definedName name="CA´L" localSheetId="7" hidden="1">{#N/A,#N/A,FALSE,"Cronograma";#N/A,#N/A,FALSE,"Cronogr. 2"}</definedName>
    <definedName name="CA´L" localSheetId="1" hidden="1">{#N/A,#N/A,FALSE,"Cronograma";#N/A,#N/A,FALSE,"Cronogr. 2"}</definedName>
    <definedName name="CA´L" hidden="1">{#N/A,#N/A,FALSE,"Cronograma";#N/A,#N/A,FALSE,"Cronogr. 2"}</definedName>
    <definedName name="CA01_">#REF!</definedName>
    <definedName name="CABO">#REF!</definedName>
    <definedName name="CADASTRO">#REF!</definedName>
    <definedName name="CAIX">#REF!</definedName>
    <definedName name="CALCEQUIP">#N/A</definedName>
    <definedName name="CALCULA">#REF!</definedName>
    <definedName name="CALCULACP">#REF!</definedName>
    <definedName name="Caldereria">#REF!</definedName>
    <definedName name="CANTEIRO">#REF!</definedName>
    <definedName name="CAUX">#REF!</definedName>
    <definedName name="çç">#REF!</definedName>
    <definedName name="CDT">#REF!</definedName>
    <definedName name="cef" localSheetId="3" hidden="1">{#N/A,#N/A,FALSE,"Cronograma";#N/A,#N/A,FALSE,"Cronogr. 2"}</definedName>
    <definedName name="cef" localSheetId="2" hidden="1">{#N/A,#N/A,FALSE,"Cronograma";#N/A,#N/A,FALSE,"Cronogr. 2"}</definedName>
    <definedName name="cef" localSheetId="5" hidden="1">{#N/A,#N/A,FALSE,"Cronograma";#N/A,#N/A,FALSE,"Cronogr. 2"}</definedName>
    <definedName name="cef" localSheetId="7" hidden="1">{#N/A,#N/A,FALSE,"Cronograma";#N/A,#N/A,FALSE,"Cronogr. 2"}</definedName>
    <definedName name="cef" localSheetId="1" hidden="1">{#N/A,#N/A,FALSE,"Cronograma";#N/A,#N/A,FALSE,"Cronogr. 2"}</definedName>
    <definedName name="cef" hidden="1">{#N/A,#N/A,FALSE,"Cronograma";#N/A,#N/A,FALSE,"Cronogr. 2"}</definedName>
    <definedName name="Celular_Responsavel">#REF!</definedName>
    <definedName name="cff" localSheetId="3" hidden="1">{#N/A,#N/A,FALSE,"Cronograma";#N/A,#N/A,FALSE,"Cronogr. 2"}</definedName>
    <definedName name="cff" localSheetId="2" hidden="1">{#N/A,#N/A,FALSE,"Cronograma";#N/A,#N/A,FALSE,"Cronogr. 2"}</definedName>
    <definedName name="cff" localSheetId="5" hidden="1">{#N/A,#N/A,FALSE,"Cronograma";#N/A,#N/A,FALSE,"Cronogr. 2"}</definedName>
    <definedName name="cff" localSheetId="7" hidden="1">{#N/A,#N/A,FALSE,"Cronograma";#N/A,#N/A,FALSE,"Cronogr. 2"}</definedName>
    <definedName name="cff" localSheetId="1" hidden="1">{#N/A,#N/A,FALSE,"Cronograma";#N/A,#N/A,FALSE,"Cronogr. 2"}</definedName>
    <definedName name="cff" hidden="1">{#N/A,#N/A,FALSE,"Cronograma";#N/A,#N/A,FALSE,"Cronogr. 2"}</definedName>
    <definedName name="Chave_Responsavel">#REF!</definedName>
    <definedName name="CHEKGER">#N/A</definedName>
    <definedName name="CHEKGER1">#N/A</definedName>
    <definedName name="CHEKGER2">#N/A</definedName>
    <definedName name="circular">#REF!</definedName>
    <definedName name="CIV">#REF!</definedName>
    <definedName name="civil">#REF!</definedName>
    <definedName name="classe_HH">#REF!</definedName>
    <definedName name="CLIENTES">#REF!</definedName>
    <definedName name="CM">#REF!</definedName>
    <definedName name="co">#REF!</definedName>
    <definedName name="COD">#N/A</definedName>
    <definedName name="CODENOME">#N/A</definedName>
    <definedName name="CODENOME1" hidden="1">#N/A</definedName>
    <definedName name="CODIB">#REF!</definedName>
    <definedName name="CODIC">#REF!</definedName>
    <definedName name="CODICA">#REF!</definedName>
    <definedName name="CODICD">#REF!</definedName>
    <definedName name="CODICM">#REF!</definedName>
    <definedName name="CODICT">#REF!</definedName>
    <definedName name="CODICV">#REF!</definedName>
    <definedName name="CODIE">#REF!</definedName>
    <definedName name="CODIF">#REF!</definedName>
    <definedName name="CODIGO">"$#REF!.$Q$41"</definedName>
    <definedName name="CODIGOS">#REF!</definedName>
    <definedName name="CODIGOSEC">#REF!</definedName>
    <definedName name="CODIGOSERV">#REF!</definedName>
    <definedName name="CODILE">#REF!</definedName>
    <definedName name="CODIM">#REF!</definedName>
    <definedName name="CODIN">#REF!</definedName>
    <definedName name="CODIQ">#REF!</definedName>
    <definedName name="CODIS">#REF!</definedName>
    <definedName name="CODISJP">#REF!</definedName>
    <definedName name="CODISP">#REF!</definedName>
    <definedName name="CODISRP">#REF!</definedName>
    <definedName name="CODITACF">#REF!</definedName>
    <definedName name="CODITACI">#REF!</definedName>
    <definedName name="CODITACR">#REF!</definedName>
    <definedName name="CODITACS">#REF!</definedName>
    <definedName name="CODITI">#REF!</definedName>
    <definedName name="CODITPEADS">#REF!</definedName>
    <definedName name="CODITPVCR">#REF!</definedName>
    <definedName name="CODITPVCS">#REF!</definedName>
    <definedName name="CODITRA">#REF!</definedName>
    <definedName name="CODSECK">#REF!</definedName>
    <definedName name="CODSECLB">#REF!</definedName>
    <definedName name="CODSERVK">#REF!</definedName>
    <definedName name="CODSERVLB">#REF!</definedName>
    <definedName name="coi">#REF!</definedName>
    <definedName name="COLAUX">#REF!</definedName>
    <definedName name="COLCOD">#REF!</definedName>
    <definedName name="COLCOEF">#REF!</definedName>
    <definedName name="COLDESC">#REF!</definedName>
    <definedName name="COLDESCMOD">#REF!</definedName>
    <definedName name="COLDIF">#REF!</definedName>
    <definedName name="COLDIFHH">#REF!</definedName>
    <definedName name="COLDIFHHMACRO">#REF!</definedName>
    <definedName name="COLDIFMACRO">#REF!</definedName>
    <definedName name="COLEQUIP">#REF!</definedName>
    <definedName name="COLEQUIP1">#REF!</definedName>
    <definedName name="COLHHCAL">#REF!</definedName>
    <definedName name="colhhfun">#REF!</definedName>
    <definedName name="COLHHPROV">#REF!</definedName>
    <definedName name="COLHHSECCAL">#REF!</definedName>
    <definedName name="COLI">#REF!:INDIRECT(#REF!)</definedName>
    <definedName name="COLIND">#REF!</definedName>
    <definedName name="COLINDPROV">#REF!</definedName>
    <definedName name="COLINSUMOS">#REF!</definedName>
    <definedName name="COLMAT">#REF!</definedName>
    <definedName name="COLMAT1">#REF!</definedName>
    <definedName name="COLMAT10">#REF!</definedName>
    <definedName name="COLMAT2">#REF!</definedName>
    <definedName name="COLMAT3">#REF!</definedName>
    <definedName name="COLMAT4">#REF!</definedName>
    <definedName name="COLMAT5">#REF!</definedName>
    <definedName name="COLMAT6">#REF!</definedName>
    <definedName name="COLMAT7">#REF!</definedName>
    <definedName name="COLMAT8">#REF!</definedName>
    <definedName name="COLMAT9">#REF!</definedName>
    <definedName name="COLPRECOS">#REF!</definedName>
    <definedName name="COLPRECOUNIT">#REF!</definedName>
    <definedName name="COLPT">#REF!</definedName>
    <definedName name="COLPU">#REF!</definedName>
    <definedName name="COLQUANT">#REF!</definedName>
    <definedName name="COLUNASAUX">#REF!</definedName>
    <definedName name="COLUNID">#REF!</definedName>
    <definedName name="COMECO">#N/A</definedName>
    <definedName name="COMEÇO">#REF!</definedName>
    <definedName name="COMP">#REF!</definedName>
    <definedName name="Comp.">#REF!</definedName>
    <definedName name="comp1">#REF!</definedName>
    <definedName name="COMPAUX">#REF!</definedName>
    <definedName name="COMPLETO">#REF!</definedName>
    <definedName name="COMPO_VERTICAIS_CA">#REF!</definedName>
    <definedName name="composição" localSheetId="3" hidden="1">{#N/A,#N/A,FALSE,"GERAL";#N/A,#N/A,FALSE,"012-96";#N/A,#N/A,FALSE,"018-96";#N/A,#N/A,FALSE,"027-96";#N/A,#N/A,FALSE,"059-96";#N/A,#N/A,FALSE,"076-96";#N/A,#N/A,FALSE,"019-97";#N/A,#N/A,FALSE,"021-97";#N/A,#N/A,FALSE,"022-97";#N/A,#N/A,FALSE,"028-97"}</definedName>
    <definedName name="composição" localSheetId="2" hidden="1">{#N/A,#N/A,FALSE,"GERAL";#N/A,#N/A,FALSE,"012-96";#N/A,#N/A,FALSE,"018-96";#N/A,#N/A,FALSE,"027-96";#N/A,#N/A,FALSE,"059-96";#N/A,#N/A,FALSE,"076-96";#N/A,#N/A,FALSE,"019-97";#N/A,#N/A,FALSE,"021-97";#N/A,#N/A,FALSE,"022-97";#N/A,#N/A,FALSE,"028-97"}</definedName>
    <definedName name="composição" localSheetId="5" hidden="1">{#N/A,#N/A,FALSE,"GERAL";#N/A,#N/A,FALSE,"012-96";#N/A,#N/A,FALSE,"018-96";#N/A,#N/A,FALSE,"027-96";#N/A,#N/A,FALSE,"059-96";#N/A,#N/A,FALSE,"076-96";#N/A,#N/A,FALSE,"019-97";#N/A,#N/A,FALSE,"021-97";#N/A,#N/A,FALSE,"022-97";#N/A,#N/A,FALSE,"028-97"}</definedName>
    <definedName name="composição" localSheetId="7" hidden="1">{#N/A,#N/A,FALSE,"GERAL";#N/A,#N/A,FALSE,"012-96";#N/A,#N/A,FALSE,"018-96";#N/A,#N/A,FALSE,"027-96";#N/A,#N/A,FALSE,"059-96";#N/A,#N/A,FALSE,"076-96";#N/A,#N/A,FALSE,"019-97";#N/A,#N/A,FALSE,"021-97";#N/A,#N/A,FALSE,"022-97";#N/A,#N/A,FALSE,"028-97"}</definedName>
    <definedName name="composição" localSheetId="1" hidden="1">{#N/A,#N/A,FALSE,"GERAL";#N/A,#N/A,FALSE,"012-96";#N/A,#N/A,FALSE,"018-96";#N/A,#N/A,FALSE,"027-96";#N/A,#N/A,FALSE,"059-96";#N/A,#N/A,FALSE,"076-96";#N/A,#N/A,FALSE,"019-97";#N/A,#N/A,FALSE,"021-97";#N/A,#N/A,FALSE,"022-97";#N/A,#N/A,FALSE,"028-97"}</definedName>
    <definedName name="composição" hidden="1">{#N/A,#N/A,FALSE,"GERAL";#N/A,#N/A,FALSE,"012-96";#N/A,#N/A,FALSE,"018-96";#N/A,#N/A,FALSE,"027-96";#N/A,#N/A,FALSE,"059-96";#N/A,#N/A,FALSE,"076-96";#N/A,#N/A,FALSE,"019-97";#N/A,#N/A,FALSE,"021-97";#N/A,#N/A,FALSE,"022-97";#N/A,#N/A,FALSE,"028-97"}</definedName>
    <definedName name="concorrentes" localSheetId="3" hidden="1">{#N/A,#N/A,FALSE,"Cronograma";#N/A,#N/A,FALSE,"Cronogr. 2"}</definedName>
    <definedName name="concorrentes" localSheetId="2" hidden="1">{#N/A,#N/A,FALSE,"Cronograma";#N/A,#N/A,FALSE,"Cronogr. 2"}</definedName>
    <definedName name="concorrentes" localSheetId="5" hidden="1">{#N/A,#N/A,FALSE,"Cronograma";#N/A,#N/A,FALSE,"Cronogr. 2"}</definedName>
    <definedName name="concorrentes" localSheetId="7" hidden="1">{#N/A,#N/A,FALSE,"Cronograma";#N/A,#N/A,FALSE,"Cronogr. 2"}</definedName>
    <definedName name="concorrentes" localSheetId="1" hidden="1">{#N/A,#N/A,FALSE,"Cronograma";#N/A,#N/A,FALSE,"Cronogr. 2"}</definedName>
    <definedName name="concorrentes" hidden="1">{#N/A,#N/A,FALSE,"Cronograma";#N/A,#N/A,FALSE,"Cronogr. 2"}</definedName>
    <definedName name="COND">#REF!</definedName>
    <definedName name="CONE">#REF!</definedName>
    <definedName name="ConeVol">#REF!</definedName>
    <definedName name="CONTADOR">#N/A</definedName>
    <definedName name="CONTCRON">#REF!</definedName>
    <definedName name="CONTCRONMOB">#N/A</definedName>
    <definedName name="CONTFUN">#REF!</definedName>
    <definedName name="CONTFUNCP">#REF!</definedName>
    <definedName name="CONTLINHA">#N/A</definedName>
    <definedName name="CONTP">#REF!:INDIRECT(#REF!)</definedName>
    <definedName name="CONTPI">#REF!:INDIRECT(#REF!)</definedName>
    <definedName name="contrato">#REF!</definedName>
    <definedName name="COPDIR">#N/A</definedName>
    <definedName name="COPIAFORM">#REF!</definedName>
    <definedName name="COPIAFORM1">#REF!</definedName>
    <definedName name="COPIAFORM2">#REF!</definedName>
    <definedName name="COPIAR">#N/A</definedName>
    <definedName name="COPIND">#N/A</definedName>
    <definedName name="CP">#REF!</definedName>
    <definedName name="CPAV">#REF!</definedName>
    <definedName name="CPE">#REF!</definedName>
    <definedName name="CPM">#REF!</definedName>
    <definedName name="CPMO">#REF!</definedName>
    <definedName name="CPPROC">#REF!</definedName>
    <definedName name="CPPROCHH">#REF!</definedName>
    <definedName name="cpu">#REF!</definedName>
    <definedName name="cpu_mat">#REF!</definedName>
    <definedName name="cpu_mdo">#REF!</definedName>
    <definedName name="Criteria_MI">#REF!</definedName>
    <definedName name="_xlnm.Criteria">#REF!</definedName>
    <definedName name="cron" localSheetId="3" hidden="1">{#N/A,#N/A,FALSE,"Cronograma";#N/A,#N/A,FALSE,"Cronogr. 2"}</definedName>
    <definedName name="cron" localSheetId="2" hidden="1">{#N/A,#N/A,FALSE,"Cronograma";#N/A,#N/A,FALSE,"Cronogr. 2"}</definedName>
    <definedName name="cron" localSheetId="5" hidden="1">{#N/A,#N/A,FALSE,"Cronograma";#N/A,#N/A,FALSE,"Cronogr. 2"}</definedName>
    <definedName name="cron" localSheetId="7" hidden="1">{#N/A,#N/A,FALSE,"Cronograma";#N/A,#N/A,FALSE,"Cronogr. 2"}</definedName>
    <definedName name="cron" localSheetId="1" hidden="1">{#N/A,#N/A,FALSE,"Cronograma";#N/A,#N/A,FALSE,"Cronogr. 2"}</definedName>
    <definedName name="cron" hidden="1">{#N/A,#N/A,FALSE,"Cronograma";#N/A,#N/A,FALSE,"Cronogr. 2"}</definedName>
    <definedName name="CRONALCASA1">#REF!</definedName>
    <definedName name="CRONALCASA2">#REF!</definedName>
    <definedName name="CRONCANT1">#REF!</definedName>
    <definedName name="CRONCANT2">#REF!</definedName>
    <definedName name="CRONCANT3">#REF!</definedName>
    <definedName name="CRONCANT4">#REF!</definedName>
    <definedName name="CRONCANT5">#REF!</definedName>
    <definedName name="CRONEQLEVE1">#REF!</definedName>
    <definedName name="CRONEQLEVE2">#REF!</definedName>
    <definedName name="CRONEQLV2">#REF!</definedName>
    <definedName name="CRONEQLV3">#REF!</definedName>
    <definedName name="CRONEQLV4">#REF!</definedName>
    <definedName name="CRONEQLV5">#REF!</definedName>
    <definedName name="CRONEQLV7">#REF!</definedName>
    <definedName name="CRONEQLV8">#REF!</definedName>
    <definedName name="CRONEQMAN">#REF!</definedName>
    <definedName name="CRONEQPESALUG">#REF!</definedName>
    <definedName name="CRONFRETE1">#REF!</definedName>
    <definedName name="CRONFRETE2">#REF!</definedName>
    <definedName name="CRONGER">#N/A</definedName>
    <definedName name="CRONGERAL">#REF!</definedName>
    <definedName name="CRONHOSP1">#REF!</definedName>
    <definedName name="CRONIE1">#REF!</definedName>
    <definedName name="CRONIE2">#REF!</definedName>
    <definedName name="CRONIE3">#REF!</definedName>
    <definedName name="CRONIMP">#N/A</definedName>
    <definedName name="CRONMATCANT">#REF!</definedName>
    <definedName name="CRONMOEENG">#REF!</definedName>
    <definedName name="CRONMOEI">#REF!</definedName>
    <definedName name="CRONMOEI1">#REF!</definedName>
    <definedName name="CRONMOEI2">#REF!</definedName>
    <definedName name="CRONMOLE">#REF!</definedName>
    <definedName name="CRONMOLI1">#REF!</definedName>
    <definedName name="CRONMOLI2">#REF!</definedName>
    <definedName name="CRONMOLI3">#REF!</definedName>
    <definedName name="CRONMOPE">#REF!</definedName>
    <definedName name="CRONMOPI1">#REF!</definedName>
    <definedName name="CRONMOPI2">#REF!</definedName>
    <definedName name="CRONMUD1">#REF!</definedName>
    <definedName name="CRONOG0">#N/A</definedName>
    <definedName name="CRONOG1">#N/A</definedName>
    <definedName name="CRONOGFIS">#N/A</definedName>
    <definedName name="CRONOGIN">#REF!</definedName>
    <definedName name="CRONOGRAMAS">#N/A</definedName>
    <definedName name="CRONOPER">#REF!</definedName>
    <definedName name="CRONPAS1">#REF!</definedName>
    <definedName name="CRONPAS2">#REF!</definedName>
    <definedName name="CRONPERFORM">#REF!</definedName>
    <definedName name="CRONRECMAT">#REF!</definedName>
    <definedName name="CRONRESFEC1">#REF!</definedName>
    <definedName name="CRONRESFEC2">#REF!</definedName>
    <definedName name="CRONRESFEC3">#REF!</definedName>
    <definedName name="CRONSERVDIV">#REF!</definedName>
    <definedName name="CRONSUBEMP1">#REF!</definedName>
    <definedName name="CRONSUBEMP2">#REF!</definedName>
    <definedName name="CRONTESTES">#REF!</definedName>
    <definedName name="CRONTOPOGCIVIL">#REF!</definedName>
    <definedName name="CRONVEICMIP1">#REF!</definedName>
    <definedName name="CRONVEICMIP2">#REF!</definedName>
    <definedName name="CT">#REF!</definedName>
    <definedName name="Cte">#REF!</definedName>
    <definedName name="CUSTOCPU">#REF!</definedName>
    <definedName name="CUSTOSUNIT">#REF!</definedName>
    <definedName name="CV">#REF!</definedName>
    <definedName name="DadosExternos_1" localSheetId="16" hidden="1">DISTR_FASE!$A$1:$F$221</definedName>
    <definedName name="DadosExternos_1" localSheetId="6" hidden="1">'DISTR-MÊS'!$A$1:$E$332</definedName>
    <definedName name="DadosExternos_1" localSheetId="14" hidden="1">'Tb_HhEXEC EDIVIT'!$A$1:$E$145</definedName>
    <definedName name="DadosExternos_2" localSheetId="11" hidden="1">'CONTR-HHPLAN'!#REF!</definedName>
    <definedName name="DadosExternos_2" localSheetId="15" hidden="1">'DISTR-FIN_0'!$A$1:$G$221</definedName>
    <definedName name="DadosExternos_2" localSheetId="13" hidden="1">'Tb_HhEXEC UTGC'!$A$1:$E$145</definedName>
    <definedName name="DadosExternos_4" localSheetId="12" hidden="1">'Hh EXE-TOTAL'!$A$1:$D$97</definedName>
    <definedName name="DANIEL">#REF!</definedName>
    <definedName name="Data">#REF!</definedName>
    <definedName name="Database_MI">#REF!</definedName>
    <definedName name="dd" hidden="1">#REF!</definedName>
    <definedName name="dddd" localSheetId="11">ANEXO IVA [0]!MAT DE #REF!</definedName>
    <definedName name="dddd" localSheetId="3">ANEXO IVA [0]!MAT DE #REF!</definedName>
    <definedName name="dddd" localSheetId="2">ANEXO IVA [0]!MAT DE #REF!</definedName>
    <definedName name="dddd" localSheetId="5">ANEXO IVA [0]!MAT DE #REF!</definedName>
    <definedName name="dddd" localSheetId="7">ANEXO IVA [0]!MAT DE #REF!</definedName>
    <definedName name="dddd" localSheetId="1">ANEXO IVA [0]!MAT DE #REF!</definedName>
    <definedName name="dddd">ANEXO IVA [0]!MAT DE #REF!</definedName>
    <definedName name="DEC">#REF!</definedName>
    <definedName name="DEC_4">#N/A</definedName>
    <definedName name="DEC_5">#N/A</definedName>
    <definedName name="DEFEQUIP">#N/A</definedName>
    <definedName name="DEFEQUIP1">#N/A</definedName>
    <definedName name="del">#REF!</definedName>
    <definedName name="Descricao_projeto">#REF!</definedName>
    <definedName name="DESFPORC">#N/A</definedName>
    <definedName name="desniv" localSheetId="3" hidden="1">{#N/A,#N/A,FALSE,"RESUMO-BB1";#N/A,#N/A,FALSE,"MOD-A01-R - BB1";#N/A,#N/A,FALSE,"URB-BB1"}</definedName>
    <definedName name="desniv" localSheetId="2" hidden="1">{#N/A,#N/A,FALSE,"RESUMO-BB1";#N/A,#N/A,FALSE,"MOD-A01-R - BB1";#N/A,#N/A,FALSE,"URB-BB1"}</definedName>
    <definedName name="desniv" localSheetId="5" hidden="1">{#N/A,#N/A,FALSE,"RESUMO-BB1";#N/A,#N/A,FALSE,"MOD-A01-R - BB1";#N/A,#N/A,FALSE,"URB-BB1"}</definedName>
    <definedName name="desniv" localSheetId="7" hidden="1">{#N/A,#N/A,FALSE,"RESUMO-BB1";#N/A,#N/A,FALSE,"MOD-A01-R - BB1";#N/A,#N/A,FALSE,"URB-BB1"}</definedName>
    <definedName name="desniv" localSheetId="1" hidden="1">{#N/A,#N/A,FALSE,"RESUMO-BB1";#N/A,#N/A,FALSE,"MOD-A01-R - BB1";#N/A,#N/A,FALSE,"URB-BB1"}</definedName>
    <definedName name="desniv" hidden="1">{#N/A,#N/A,FALSE,"RESUMO-BB1";#N/A,#N/A,FALSE,"MOD-A01-R - BB1";#N/A,#N/A,FALSE,"URB-BB1"}</definedName>
    <definedName name="DESNIVEL" localSheetId="3" hidden="1">{#N/A,#N/A,FALSE,"RESUMO-BB1";#N/A,#N/A,FALSE,"MOD-A01-R - BB1";#N/A,#N/A,FALSE,"URB-BB1"}</definedName>
    <definedName name="DESNIVEL" localSheetId="2" hidden="1">{#N/A,#N/A,FALSE,"RESUMO-BB1";#N/A,#N/A,FALSE,"MOD-A01-R - BB1";#N/A,#N/A,FALSE,"URB-BB1"}</definedName>
    <definedName name="DESNIVEL" localSheetId="5" hidden="1">{#N/A,#N/A,FALSE,"RESUMO-BB1";#N/A,#N/A,FALSE,"MOD-A01-R - BB1";#N/A,#N/A,FALSE,"URB-BB1"}</definedName>
    <definedName name="DESNIVEL" localSheetId="7" hidden="1">{#N/A,#N/A,FALSE,"RESUMO-BB1";#N/A,#N/A,FALSE,"MOD-A01-R - BB1";#N/A,#N/A,FALSE,"URB-BB1"}</definedName>
    <definedName name="DESNIVEL" localSheetId="1" hidden="1">{#N/A,#N/A,FALSE,"RESUMO-BB1";#N/A,#N/A,FALSE,"MOD-A01-R - BB1";#N/A,#N/A,FALSE,"URB-BB1"}</definedName>
    <definedName name="DESNIVEL" hidden="1">{#N/A,#N/A,FALSE,"RESUMO-BB1";#N/A,#N/A,FALSE,"MOD-A01-R - BB1";#N/A,#N/A,FALSE,"URB-BB1"}</definedName>
    <definedName name="DESNIVELRES" localSheetId="3" hidden="1">{#N/A,#N/A,FALSE,"RESUMO-BB1";#N/A,#N/A,FALSE,"MOD-A01-R - BB1";#N/A,#N/A,FALSE,"URB-BB1"}</definedName>
    <definedName name="DESNIVELRES" localSheetId="2" hidden="1">{#N/A,#N/A,FALSE,"RESUMO-BB1";#N/A,#N/A,FALSE,"MOD-A01-R - BB1";#N/A,#N/A,FALSE,"URB-BB1"}</definedName>
    <definedName name="DESNIVELRES" localSheetId="5" hidden="1">{#N/A,#N/A,FALSE,"RESUMO-BB1";#N/A,#N/A,FALSE,"MOD-A01-R - BB1";#N/A,#N/A,FALSE,"URB-BB1"}</definedName>
    <definedName name="DESNIVELRES" localSheetId="7" hidden="1">{#N/A,#N/A,FALSE,"RESUMO-BB1";#N/A,#N/A,FALSE,"MOD-A01-R - BB1";#N/A,#N/A,FALSE,"URB-BB1"}</definedName>
    <definedName name="DESNIVELRES" localSheetId="1" hidden="1">{#N/A,#N/A,FALSE,"RESUMO-BB1";#N/A,#N/A,FALSE,"MOD-A01-R - BB1";#N/A,#N/A,FALSE,"URB-BB1"}</definedName>
    <definedName name="DESNIVELRES" hidden="1">{#N/A,#N/A,FALSE,"RESUMO-BB1";#N/A,#N/A,FALSE,"MOD-A01-R - BB1";#N/A,#N/A,FALSE,"URB-BB1"}</definedName>
    <definedName name="Desoneração">#REF!</definedName>
    <definedName name="Desonerado">#REF!</definedName>
    <definedName name="DIFHH">#N/A</definedName>
    <definedName name="DIFMOB">#N/A</definedName>
    <definedName name="DIFMOB1">#N/A</definedName>
    <definedName name="DIFMOB2">#N/A</definedName>
    <definedName name="DIN_Code">#REF!</definedName>
    <definedName name="DIRIND">#N/A</definedName>
    <definedName name="Disciplina">#REF!</definedName>
    <definedName name="Display_Data">#N/A</definedName>
    <definedName name="DIST">#REF!</definedName>
    <definedName name="DIST1">#REF!</definedName>
    <definedName name="DIST10">#REF!</definedName>
    <definedName name="DIST2">#REF!</definedName>
    <definedName name="DIVE">#REF!</definedName>
    <definedName name="DPM_Eletricidade_Ltda.">#REF!</definedName>
    <definedName name="Dqwfx231" hidden="1">#REF!</definedName>
    <definedName name="dsfs" localSheetId="3" hidden="1">{#N/A,#N/A,FALSE,"GERAL";#N/A,#N/A,FALSE,"012-96";#N/A,#N/A,FALSE,"018-96";#N/A,#N/A,FALSE,"027-96";#N/A,#N/A,FALSE,"059-96";#N/A,#N/A,FALSE,"076-96";#N/A,#N/A,FALSE,"019-97";#N/A,#N/A,FALSE,"021-97";#N/A,#N/A,FALSE,"022-97";#N/A,#N/A,FALSE,"028-97"}</definedName>
    <definedName name="dsfs" localSheetId="2" hidden="1">{#N/A,#N/A,FALSE,"GERAL";#N/A,#N/A,FALSE,"012-96";#N/A,#N/A,FALSE,"018-96";#N/A,#N/A,FALSE,"027-96";#N/A,#N/A,FALSE,"059-96";#N/A,#N/A,FALSE,"076-96";#N/A,#N/A,FALSE,"019-97";#N/A,#N/A,FALSE,"021-97";#N/A,#N/A,FALSE,"022-97";#N/A,#N/A,FALSE,"028-97"}</definedName>
    <definedName name="dsfs" localSheetId="5" hidden="1">{#N/A,#N/A,FALSE,"GERAL";#N/A,#N/A,FALSE,"012-96";#N/A,#N/A,FALSE,"018-96";#N/A,#N/A,FALSE,"027-96";#N/A,#N/A,FALSE,"059-96";#N/A,#N/A,FALSE,"076-96";#N/A,#N/A,FALSE,"019-97";#N/A,#N/A,FALSE,"021-97";#N/A,#N/A,FALSE,"022-97";#N/A,#N/A,FALSE,"028-97"}</definedName>
    <definedName name="dsfs" localSheetId="7" hidden="1">{#N/A,#N/A,FALSE,"GERAL";#N/A,#N/A,FALSE,"012-96";#N/A,#N/A,FALSE,"018-96";#N/A,#N/A,FALSE,"027-96";#N/A,#N/A,FALSE,"059-96";#N/A,#N/A,FALSE,"076-96";#N/A,#N/A,FALSE,"019-97";#N/A,#N/A,FALSE,"021-97";#N/A,#N/A,FALSE,"022-97";#N/A,#N/A,FALSE,"028-97"}</definedName>
    <definedName name="dsfs" localSheetId="1" hidden="1">{#N/A,#N/A,FALSE,"GERAL";#N/A,#N/A,FALSE,"012-96";#N/A,#N/A,FALSE,"018-96";#N/A,#N/A,FALSE,"027-96";#N/A,#N/A,FALSE,"059-96";#N/A,#N/A,FALSE,"076-96";#N/A,#N/A,FALSE,"019-97";#N/A,#N/A,FALSE,"021-97";#N/A,#N/A,FALSE,"022-97";#N/A,#N/A,FALSE,"028-97"}</definedName>
    <definedName name="dsfs" hidden="1">{#N/A,#N/A,FALSE,"GERAL";#N/A,#N/A,FALSE,"012-96";#N/A,#N/A,FALSE,"018-96";#N/A,#N/A,FALSE,"027-96";#N/A,#N/A,FALSE,"059-96";#N/A,#N/A,FALSE,"076-96";#N/A,#N/A,FALSE,"019-97";#N/A,#N/A,FALSE,"021-97";#N/A,#N/A,FALSE,"022-97";#N/A,#N/A,FALSE,"028-97"}</definedName>
    <definedName name="dsrgdergdrg" localSheetId="3" hidden="1">{#N/A,#N/A,FALSE,"GERAL";#N/A,#N/A,FALSE,"012-96";#N/A,#N/A,FALSE,"018-96";#N/A,#N/A,FALSE,"027-96";#N/A,#N/A,FALSE,"059-96";#N/A,#N/A,FALSE,"076-96";#N/A,#N/A,FALSE,"019-97";#N/A,#N/A,FALSE,"021-97";#N/A,#N/A,FALSE,"022-97";#N/A,#N/A,FALSE,"028-97"}</definedName>
    <definedName name="dsrgdergdrg" localSheetId="2" hidden="1">{#N/A,#N/A,FALSE,"GERAL";#N/A,#N/A,FALSE,"012-96";#N/A,#N/A,FALSE,"018-96";#N/A,#N/A,FALSE,"027-96";#N/A,#N/A,FALSE,"059-96";#N/A,#N/A,FALSE,"076-96";#N/A,#N/A,FALSE,"019-97";#N/A,#N/A,FALSE,"021-97";#N/A,#N/A,FALSE,"022-97";#N/A,#N/A,FALSE,"028-97"}</definedName>
    <definedName name="dsrgdergdrg" localSheetId="5" hidden="1">{#N/A,#N/A,FALSE,"GERAL";#N/A,#N/A,FALSE,"012-96";#N/A,#N/A,FALSE,"018-96";#N/A,#N/A,FALSE,"027-96";#N/A,#N/A,FALSE,"059-96";#N/A,#N/A,FALSE,"076-96";#N/A,#N/A,FALSE,"019-97";#N/A,#N/A,FALSE,"021-97";#N/A,#N/A,FALSE,"022-97";#N/A,#N/A,FALSE,"028-97"}</definedName>
    <definedName name="dsrgdergdrg" localSheetId="7" hidden="1">{#N/A,#N/A,FALSE,"GERAL";#N/A,#N/A,FALSE,"012-96";#N/A,#N/A,FALSE,"018-96";#N/A,#N/A,FALSE,"027-96";#N/A,#N/A,FALSE,"059-96";#N/A,#N/A,FALSE,"076-96";#N/A,#N/A,FALSE,"019-97";#N/A,#N/A,FALSE,"021-97";#N/A,#N/A,FALSE,"022-97";#N/A,#N/A,FALSE,"028-97"}</definedName>
    <definedName name="dsrgdergdrg" localSheetId="1" hidden="1">{#N/A,#N/A,FALSE,"GERAL";#N/A,#N/A,FALSE,"012-96";#N/A,#N/A,FALSE,"018-96";#N/A,#N/A,FALSE,"027-96";#N/A,#N/A,FALSE,"059-96";#N/A,#N/A,FALSE,"076-96";#N/A,#N/A,FALSE,"019-97";#N/A,#N/A,FALSE,"021-97";#N/A,#N/A,FALSE,"022-97";#N/A,#N/A,FALSE,"028-97"}</definedName>
    <definedName name="dsrgdergdrg" hidden="1">{#N/A,#N/A,FALSE,"GERAL";#N/A,#N/A,FALSE,"012-96";#N/A,#N/A,FALSE,"018-96";#N/A,#N/A,FALSE,"027-96";#N/A,#N/A,FALSE,"059-96";#N/A,#N/A,FALSE,"076-96";#N/A,#N/A,FALSE,"019-97";#N/A,#N/A,FALSE,"021-97";#N/A,#N/A,FALSE,"022-97";#N/A,#N/A,FALSE,"028-97"}</definedName>
    <definedName name="DSUM">#N/A</definedName>
    <definedName name="E">#REF!</definedName>
    <definedName name="E_23">#REF!</definedName>
    <definedName name="E_24">#REF!</definedName>
    <definedName name="E_25">#REF!</definedName>
    <definedName name="E_26">#REF!</definedName>
    <definedName name="EAP">#REF!</definedName>
    <definedName name="EEE" localSheetId="3" hidden="1">{#N/A,#N/A,FALSE,"GERAL";#N/A,#N/A,FALSE,"012-96";#N/A,#N/A,FALSE,"018-96";#N/A,#N/A,FALSE,"027-96";#N/A,#N/A,FALSE,"059-96";#N/A,#N/A,FALSE,"076-96";#N/A,#N/A,FALSE,"019-97";#N/A,#N/A,FALSE,"021-97";#N/A,#N/A,FALSE,"022-97";#N/A,#N/A,FALSE,"028-97"}</definedName>
    <definedName name="EEE" localSheetId="2" hidden="1">{#N/A,#N/A,FALSE,"GERAL";#N/A,#N/A,FALSE,"012-96";#N/A,#N/A,FALSE,"018-96";#N/A,#N/A,FALSE,"027-96";#N/A,#N/A,FALSE,"059-96";#N/A,#N/A,FALSE,"076-96";#N/A,#N/A,FALSE,"019-97";#N/A,#N/A,FALSE,"021-97";#N/A,#N/A,FALSE,"022-97";#N/A,#N/A,FALSE,"028-97"}</definedName>
    <definedName name="EEE" localSheetId="5" hidden="1">{#N/A,#N/A,FALSE,"GERAL";#N/A,#N/A,FALSE,"012-96";#N/A,#N/A,FALSE,"018-96";#N/A,#N/A,FALSE,"027-96";#N/A,#N/A,FALSE,"059-96";#N/A,#N/A,FALSE,"076-96";#N/A,#N/A,FALSE,"019-97";#N/A,#N/A,FALSE,"021-97";#N/A,#N/A,FALSE,"022-97";#N/A,#N/A,FALSE,"028-97"}</definedName>
    <definedName name="EEE" localSheetId="7" hidden="1">{#N/A,#N/A,FALSE,"GERAL";#N/A,#N/A,FALSE,"012-96";#N/A,#N/A,FALSE,"018-96";#N/A,#N/A,FALSE,"027-96";#N/A,#N/A,FALSE,"059-96";#N/A,#N/A,FALSE,"076-96";#N/A,#N/A,FALSE,"019-97";#N/A,#N/A,FALSE,"021-97";#N/A,#N/A,FALSE,"022-97";#N/A,#N/A,FALSE,"028-97"}</definedName>
    <definedName name="EEE" localSheetId="1" hidden="1">{#N/A,#N/A,FALSE,"GERAL";#N/A,#N/A,FALSE,"012-96";#N/A,#N/A,FALSE,"018-96";#N/A,#N/A,FALSE,"027-96";#N/A,#N/A,FALSE,"059-96";#N/A,#N/A,FALSE,"076-96";#N/A,#N/A,FALSE,"019-97";#N/A,#N/A,FALSE,"021-97";#N/A,#N/A,FALSE,"022-97";#N/A,#N/A,FALSE,"028-97"}</definedName>
    <definedName name="EEE" hidden="1">{#N/A,#N/A,FALSE,"GERAL";#N/A,#N/A,FALSE,"012-96";#N/A,#N/A,FALSE,"018-96";#N/A,#N/A,FALSE,"027-96";#N/A,#N/A,FALSE,"059-96";#N/A,#N/A,FALSE,"076-96";#N/A,#N/A,FALSE,"019-97";#N/A,#N/A,FALSE,"021-97";#N/A,#N/A,FALSE,"022-97";#N/A,#N/A,FALSE,"028-97"}</definedName>
    <definedName name="EFETOT">#REF!</definedName>
    <definedName name="EFETOTMES">#N/A</definedName>
    <definedName name="EFF" localSheetId="3" hidden="1">{#N/A,#N/A,FALSE,"GERAL";#N/A,#N/A,FALSE,"012-96";#N/A,#N/A,FALSE,"018-96";#N/A,#N/A,FALSE,"027-96";#N/A,#N/A,FALSE,"059-96";#N/A,#N/A,FALSE,"076-96";#N/A,#N/A,FALSE,"019-97";#N/A,#N/A,FALSE,"021-97";#N/A,#N/A,FALSE,"022-97";#N/A,#N/A,FALSE,"028-97"}</definedName>
    <definedName name="EFF" localSheetId="2" hidden="1">{#N/A,#N/A,FALSE,"GERAL";#N/A,#N/A,FALSE,"012-96";#N/A,#N/A,FALSE,"018-96";#N/A,#N/A,FALSE,"027-96";#N/A,#N/A,FALSE,"059-96";#N/A,#N/A,FALSE,"076-96";#N/A,#N/A,FALSE,"019-97";#N/A,#N/A,FALSE,"021-97";#N/A,#N/A,FALSE,"022-97";#N/A,#N/A,FALSE,"028-97"}</definedName>
    <definedName name="EFF" localSheetId="5" hidden="1">{#N/A,#N/A,FALSE,"GERAL";#N/A,#N/A,FALSE,"012-96";#N/A,#N/A,FALSE,"018-96";#N/A,#N/A,FALSE,"027-96";#N/A,#N/A,FALSE,"059-96";#N/A,#N/A,FALSE,"076-96";#N/A,#N/A,FALSE,"019-97";#N/A,#N/A,FALSE,"021-97";#N/A,#N/A,FALSE,"022-97";#N/A,#N/A,FALSE,"028-97"}</definedName>
    <definedName name="EFF" localSheetId="7" hidden="1">{#N/A,#N/A,FALSE,"GERAL";#N/A,#N/A,FALSE,"012-96";#N/A,#N/A,FALSE,"018-96";#N/A,#N/A,FALSE,"027-96";#N/A,#N/A,FALSE,"059-96";#N/A,#N/A,FALSE,"076-96";#N/A,#N/A,FALSE,"019-97";#N/A,#N/A,FALSE,"021-97";#N/A,#N/A,FALSE,"022-97";#N/A,#N/A,FALSE,"028-97"}</definedName>
    <definedName name="EFF" localSheetId="1" hidden="1">{#N/A,#N/A,FALSE,"GERAL";#N/A,#N/A,FALSE,"012-96";#N/A,#N/A,FALSE,"018-96";#N/A,#N/A,FALSE,"027-96";#N/A,#N/A,FALSE,"059-96";#N/A,#N/A,FALSE,"076-96";#N/A,#N/A,FALSE,"019-97";#N/A,#N/A,FALSE,"021-97";#N/A,#N/A,FALSE,"022-97";#N/A,#N/A,FALSE,"028-97"}</definedName>
    <definedName name="EFF" hidden="1">{#N/A,#N/A,FALSE,"GERAL";#N/A,#N/A,FALSE,"012-96";#N/A,#N/A,FALSE,"018-96";#N/A,#N/A,FALSE,"027-96";#N/A,#N/A,FALSE,"059-96";#N/A,#N/A,FALSE,"076-96";#N/A,#N/A,FALSE,"019-97";#N/A,#N/A,FALSE,"021-97";#N/A,#N/A,FALSE,"022-97";#N/A,#N/A,FALSE,"028-97"}</definedName>
    <definedName name="Eh">#REF!</definedName>
    <definedName name="Eh_23">#REF!</definedName>
    <definedName name="Eh_24">#REF!</definedName>
    <definedName name="Eh_25">#REF!</definedName>
    <definedName name="Eh_26">#REF!</definedName>
    <definedName name="EL08BATERÍACAPACITORES">#REF!</definedName>
    <definedName name="EL10ILUMINACIÓN">#REF!</definedName>
    <definedName name="EL12MORSETE">#REF!</definedName>
    <definedName name="ELECTRICAL">#REF!</definedName>
    <definedName name="Eletricista">#REF!</definedName>
    <definedName name="eletro">#REF!</definedName>
    <definedName name="Elis1" hidden="1">#REF!</definedName>
    <definedName name="Elis10" hidden="1">#REF!</definedName>
    <definedName name="Elis11" hidden="1">#REF!</definedName>
    <definedName name="Elis12" hidden="1">#REF!</definedName>
    <definedName name="Elis13" hidden="1">#REF!</definedName>
    <definedName name="Elis14" hidden="1">#REF!</definedName>
    <definedName name="Elis15" hidden="1">#REF!</definedName>
    <definedName name="Elis16" hidden="1">#REF!</definedName>
    <definedName name="Elis17" hidden="1">#REF!</definedName>
    <definedName name="Elis18" hidden="1">#REF!</definedName>
    <definedName name="Elis19" hidden="1">#REF!</definedName>
    <definedName name="Elis2" hidden="1">#REF!</definedName>
    <definedName name="Elis20" hidden="1">#REF!</definedName>
    <definedName name="Elis21" hidden="1">#REF!</definedName>
    <definedName name="Elis22" hidden="1">#REF!</definedName>
    <definedName name="Elis23" hidden="1">#REF!</definedName>
    <definedName name="Elis24" hidden="1">#REF!</definedName>
    <definedName name="Elis25" hidden="1">#REF!</definedName>
    <definedName name="Elis26" hidden="1">#REF!</definedName>
    <definedName name="Elis2605" hidden="1">#REF!</definedName>
    <definedName name="Elis27" hidden="1">#REF!</definedName>
    <definedName name="Elis28" hidden="1">#REF!</definedName>
    <definedName name="Elis29" hidden="1">#REF!</definedName>
    <definedName name="Elis3" hidden="1">#REF!</definedName>
    <definedName name="Elis30" hidden="1">#REF!</definedName>
    <definedName name="Elis31" hidden="1">#REF!</definedName>
    <definedName name="Elis32" hidden="1">#REF!</definedName>
    <definedName name="Elis33" hidden="1">#REF!</definedName>
    <definedName name="Elis34" hidden="1">#REF!</definedName>
    <definedName name="Elis35" hidden="1">#REF!</definedName>
    <definedName name="Elis36" hidden="1">#REF!</definedName>
    <definedName name="Elis37" hidden="1">#REF!</definedName>
    <definedName name="Elis4" hidden="1">#REF!</definedName>
    <definedName name="Elis5" hidden="1">#REF!</definedName>
    <definedName name="Elis6" hidden="1">#REF!</definedName>
    <definedName name="Elis7" hidden="1">#REF!</definedName>
    <definedName name="Elis8" hidden="1">#REF!</definedName>
    <definedName name="Elis9" hidden="1">#REF!</definedName>
    <definedName name="Elis92" hidden="1">#REF!</definedName>
    <definedName name="ENCARGOS">#REF!</definedName>
    <definedName name="ENCHOR">#N/A</definedName>
    <definedName name="ENCMEN">#N/A</definedName>
    <definedName name="encsoc">#REF!</definedName>
    <definedName name="ENTDADOS">#N/A</definedName>
    <definedName name="EPIUNIT">#REF!</definedName>
    <definedName name="EQ">#REF!</definedName>
    <definedName name="EQAPO">#REF!</definedName>
    <definedName name="EQCEM">#REF!</definedName>
    <definedName name="EQCIV">#REF!</definedName>
    <definedName name="EQCOM">#REF!</definedName>
    <definedName name="EQDIVUNIT">#REF!</definedName>
    <definedName name="EQESPUNIT">#REF!</definedName>
    <definedName name="EQMON">#REF!</definedName>
    <definedName name="EQP">#REF!</definedName>
    <definedName name="EQSEC">#REF!</definedName>
    <definedName name="EQSTR">#N/A</definedName>
    <definedName name="EQUI">#REF!</definedName>
    <definedName name="EQUIP">#REF!</definedName>
    <definedName name="EQUIPA">#REF!</definedName>
    <definedName name="EQUIPAMENTO">#REF!</definedName>
    <definedName name="EQUIPE">#REF!</definedName>
    <definedName name="EQUIPEB">#REF!</definedName>
    <definedName name="EQUIPEC">#REF!</definedName>
    <definedName name="EQUIPECA">#REF!</definedName>
    <definedName name="EQUIPECD">#REF!</definedName>
    <definedName name="EQUIPECM">#REF!</definedName>
    <definedName name="EQUIPECT">#REF!</definedName>
    <definedName name="EQUIPECV">#REF!</definedName>
    <definedName name="EQUIPEE">#REF!</definedName>
    <definedName name="EQUIPEF">#REF!</definedName>
    <definedName name="EQUIPEJP">#REF!</definedName>
    <definedName name="EQUIPEL">#REF!</definedName>
    <definedName name="EQUIPELE">#REF!</definedName>
    <definedName name="EQUIPEM">#REF!</definedName>
    <definedName name="EQUIPEN">#REF!</definedName>
    <definedName name="EQUIPEP">#REF!</definedName>
    <definedName name="EQUIPEQ">#REF!</definedName>
    <definedName name="EQUIPERP">#REF!</definedName>
    <definedName name="EQUIPES">#REF!</definedName>
    <definedName name="EQUIPETACF">#REF!</definedName>
    <definedName name="EQUIPETACI">#REF!</definedName>
    <definedName name="EQUIPETACR">#REF!</definedName>
    <definedName name="EQUIPETACS">#REF!</definedName>
    <definedName name="EQUIPETI">#REF!</definedName>
    <definedName name="EQUIPETPEADS">#REF!</definedName>
    <definedName name="EQUIPETPVCR">#REF!</definedName>
    <definedName name="EQUIPETPVCS">#REF!</definedName>
    <definedName name="EQUIPETRA">#REF!</definedName>
    <definedName name="ER" localSheetId="3" hidden="1">{#N/A,#N/A,FALSE,"GERAL";#N/A,#N/A,FALSE,"012-96";#N/A,#N/A,FALSE,"018-96";#N/A,#N/A,FALSE,"027-96";#N/A,#N/A,FALSE,"059-96";#N/A,#N/A,FALSE,"076-96";#N/A,#N/A,FALSE,"019-97";#N/A,#N/A,FALSE,"021-97";#N/A,#N/A,FALSE,"022-97";#N/A,#N/A,FALSE,"028-97"}</definedName>
    <definedName name="ER" localSheetId="2" hidden="1">{#N/A,#N/A,FALSE,"GERAL";#N/A,#N/A,FALSE,"012-96";#N/A,#N/A,FALSE,"018-96";#N/A,#N/A,FALSE,"027-96";#N/A,#N/A,FALSE,"059-96";#N/A,#N/A,FALSE,"076-96";#N/A,#N/A,FALSE,"019-97";#N/A,#N/A,FALSE,"021-97";#N/A,#N/A,FALSE,"022-97";#N/A,#N/A,FALSE,"028-97"}</definedName>
    <definedName name="ER" localSheetId="5" hidden="1">{#N/A,#N/A,FALSE,"GERAL";#N/A,#N/A,FALSE,"012-96";#N/A,#N/A,FALSE,"018-96";#N/A,#N/A,FALSE,"027-96";#N/A,#N/A,FALSE,"059-96";#N/A,#N/A,FALSE,"076-96";#N/A,#N/A,FALSE,"019-97";#N/A,#N/A,FALSE,"021-97";#N/A,#N/A,FALSE,"022-97";#N/A,#N/A,FALSE,"028-97"}</definedName>
    <definedName name="ER" localSheetId="7" hidden="1">{#N/A,#N/A,FALSE,"GERAL";#N/A,#N/A,FALSE,"012-96";#N/A,#N/A,FALSE,"018-96";#N/A,#N/A,FALSE,"027-96";#N/A,#N/A,FALSE,"059-96";#N/A,#N/A,FALSE,"076-96";#N/A,#N/A,FALSE,"019-97";#N/A,#N/A,FALSE,"021-97";#N/A,#N/A,FALSE,"022-97";#N/A,#N/A,FALSE,"028-97"}</definedName>
    <definedName name="ER" localSheetId="1" hidden="1">{#N/A,#N/A,FALSE,"GERAL";#N/A,#N/A,FALSE,"012-96";#N/A,#N/A,FALSE,"018-96";#N/A,#N/A,FALSE,"027-96";#N/A,#N/A,FALSE,"059-96";#N/A,#N/A,FALSE,"076-96";#N/A,#N/A,FALSE,"019-97";#N/A,#N/A,FALSE,"021-97";#N/A,#N/A,FALSE,"022-97";#N/A,#N/A,FALSE,"028-97"}</definedName>
    <definedName name="ER" hidden="1">{#N/A,#N/A,FALSE,"GERAL";#N/A,#N/A,FALSE,"012-96";#N/A,#N/A,FALSE,"018-96";#N/A,#N/A,FALSE,"027-96";#N/A,#N/A,FALSE,"059-96";#N/A,#N/A,FALSE,"076-96";#N/A,#N/A,FALSE,"019-97";#N/A,#N/A,FALSE,"021-97";#N/A,#N/A,FALSE,"022-97";#N/A,#N/A,FALSE,"028-97"}</definedName>
    <definedName name="ERASECRON">#N/A</definedName>
    <definedName name="erika" localSheetId="3" hidden="1">{#N/A,#N/A,FALSE,"GERAL";#N/A,#N/A,FALSE,"012-96";#N/A,#N/A,FALSE,"018-96";#N/A,#N/A,FALSE,"027-96";#N/A,#N/A,FALSE,"059-96";#N/A,#N/A,FALSE,"076-96";#N/A,#N/A,FALSE,"019-97";#N/A,#N/A,FALSE,"021-97";#N/A,#N/A,FALSE,"022-97";#N/A,#N/A,FALSE,"028-97"}</definedName>
    <definedName name="erika" localSheetId="2" hidden="1">{#N/A,#N/A,FALSE,"GERAL";#N/A,#N/A,FALSE,"012-96";#N/A,#N/A,FALSE,"018-96";#N/A,#N/A,FALSE,"027-96";#N/A,#N/A,FALSE,"059-96";#N/A,#N/A,FALSE,"076-96";#N/A,#N/A,FALSE,"019-97";#N/A,#N/A,FALSE,"021-97";#N/A,#N/A,FALSE,"022-97";#N/A,#N/A,FALSE,"028-97"}</definedName>
    <definedName name="erika" localSheetId="5" hidden="1">{#N/A,#N/A,FALSE,"GERAL";#N/A,#N/A,FALSE,"012-96";#N/A,#N/A,FALSE,"018-96";#N/A,#N/A,FALSE,"027-96";#N/A,#N/A,FALSE,"059-96";#N/A,#N/A,FALSE,"076-96";#N/A,#N/A,FALSE,"019-97";#N/A,#N/A,FALSE,"021-97";#N/A,#N/A,FALSE,"022-97";#N/A,#N/A,FALSE,"028-97"}</definedName>
    <definedName name="erika" localSheetId="7" hidden="1">{#N/A,#N/A,FALSE,"GERAL";#N/A,#N/A,FALSE,"012-96";#N/A,#N/A,FALSE,"018-96";#N/A,#N/A,FALSE,"027-96";#N/A,#N/A,FALSE,"059-96";#N/A,#N/A,FALSE,"076-96";#N/A,#N/A,FALSE,"019-97";#N/A,#N/A,FALSE,"021-97";#N/A,#N/A,FALSE,"022-97";#N/A,#N/A,FALSE,"028-97"}</definedName>
    <definedName name="erika" localSheetId="1" hidden="1">{#N/A,#N/A,FALSE,"GERAL";#N/A,#N/A,FALSE,"012-96";#N/A,#N/A,FALSE,"018-96";#N/A,#N/A,FALSE,"027-96";#N/A,#N/A,FALSE,"059-96";#N/A,#N/A,FALSE,"076-96";#N/A,#N/A,FALSE,"019-97";#N/A,#N/A,FALSE,"021-97";#N/A,#N/A,FALSE,"022-97";#N/A,#N/A,FALSE,"028-97"}</definedName>
    <definedName name="erika" hidden="1">{#N/A,#N/A,FALSE,"GERAL";#N/A,#N/A,FALSE,"012-96";#N/A,#N/A,FALSE,"018-96";#N/A,#N/A,FALSE,"027-96";#N/A,#N/A,FALSE,"059-96";#N/A,#N/A,FALSE,"076-96";#N/A,#N/A,FALSE,"019-97";#N/A,#N/A,FALSE,"021-97";#N/A,#N/A,FALSE,"022-97";#N/A,#N/A,FALSE,"028-97"}</definedName>
    <definedName name="erika3" localSheetId="3" hidden="1">{#N/A,#N/A,FALSE,"Cronograma";#N/A,#N/A,FALSE,"Cronogr. 2"}</definedName>
    <definedName name="erika3" localSheetId="2" hidden="1">{#N/A,#N/A,FALSE,"Cronograma";#N/A,#N/A,FALSE,"Cronogr. 2"}</definedName>
    <definedName name="erika3" localSheetId="5" hidden="1">{#N/A,#N/A,FALSE,"Cronograma";#N/A,#N/A,FALSE,"Cronogr. 2"}</definedName>
    <definedName name="erika3" localSheetId="7" hidden="1">{#N/A,#N/A,FALSE,"Cronograma";#N/A,#N/A,FALSE,"Cronogr. 2"}</definedName>
    <definedName name="erika3" localSheetId="1" hidden="1">{#N/A,#N/A,FALSE,"Cronograma";#N/A,#N/A,FALSE,"Cronogr. 2"}</definedName>
    <definedName name="erika3" hidden="1">{#N/A,#N/A,FALSE,"Cronograma";#N/A,#N/A,FALSE,"Cronogr. 2"}</definedName>
    <definedName name="ESPESSAMENTO" localSheetId="3" hidden="1">{#N/A,#N/A,FALSE,"GERAL";#N/A,#N/A,FALSE,"012-96";#N/A,#N/A,FALSE,"018-96";#N/A,#N/A,FALSE,"027-96";#N/A,#N/A,FALSE,"059-96";#N/A,#N/A,FALSE,"076-96";#N/A,#N/A,FALSE,"019-97";#N/A,#N/A,FALSE,"021-97";#N/A,#N/A,FALSE,"022-97";#N/A,#N/A,FALSE,"028-97"}</definedName>
    <definedName name="ESPESSAMENTO" localSheetId="2" hidden="1">{#N/A,#N/A,FALSE,"GERAL";#N/A,#N/A,FALSE,"012-96";#N/A,#N/A,FALSE,"018-96";#N/A,#N/A,FALSE,"027-96";#N/A,#N/A,FALSE,"059-96";#N/A,#N/A,FALSE,"076-96";#N/A,#N/A,FALSE,"019-97";#N/A,#N/A,FALSE,"021-97";#N/A,#N/A,FALSE,"022-97";#N/A,#N/A,FALSE,"028-97"}</definedName>
    <definedName name="ESPESSAMENTO" localSheetId="5" hidden="1">{#N/A,#N/A,FALSE,"GERAL";#N/A,#N/A,FALSE,"012-96";#N/A,#N/A,FALSE,"018-96";#N/A,#N/A,FALSE,"027-96";#N/A,#N/A,FALSE,"059-96";#N/A,#N/A,FALSE,"076-96";#N/A,#N/A,FALSE,"019-97";#N/A,#N/A,FALSE,"021-97";#N/A,#N/A,FALSE,"022-97";#N/A,#N/A,FALSE,"028-97"}</definedName>
    <definedName name="ESPESSAMENTO" localSheetId="7" hidden="1">{#N/A,#N/A,FALSE,"GERAL";#N/A,#N/A,FALSE,"012-96";#N/A,#N/A,FALSE,"018-96";#N/A,#N/A,FALSE,"027-96";#N/A,#N/A,FALSE,"059-96";#N/A,#N/A,FALSE,"076-96";#N/A,#N/A,FALSE,"019-97";#N/A,#N/A,FALSE,"021-97";#N/A,#N/A,FALSE,"022-97";#N/A,#N/A,FALSE,"028-97"}</definedName>
    <definedName name="ESPESSAMENTO" localSheetId="1" hidden="1">{#N/A,#N/A,FALSE,"GERAL";#N/A,#N/A,FALSE,"012-96";#N/A,#N/A,FALSE,"018-96";#N/A,#N/A,FALSE,"027-96";#N/A,#N/A,FALSE,"059-96";#N/A,#N/A,FALSE,"076-96";#N/A,#N/A,FALSE,"019-97";#N/A,#N/A,FALSE,"021-97";#N/A,#N/A,FALSE,"022-97";#N/A,#N/A,FALSE,"028-97"}</definedName>
    <definedName name="ESPESSAMENTO" hidden="1">{#N/A,#N/A,FALSE,"GERAL";#N/A,#N/A,FALSE,"012-96";#N/A,#N/A,FALSE,"018-96";#N/A,#N/A,FALSE,"027-96";#N/A,#N/A,FALSE,"059-96";#N/A,#N/A,FALSE,"076-96";#N/A,#N/A,FALSE,"019-97";#N/A,#N/A,FALSE,"021-97";#N/A,#N/A,FALSE,"022-97";#N/A,#N/A,FALSE,"028-97"}</definedName>
    <definedName name="Estilo">#REF!</definedName>
    <definedName name="ew23dfg2" hidden="1">#REF!</definedName>
    <definedName name="ewr1se2r" hidden="1">#REF!</definedName>
    <definedName name="EXAMUNIT">#REF!</definedName>
    <definedName name="Excel_BuiltIn__FilterDatabase_8">"$#REF!.$I$4:$J$6"</definedName>
    <definedName name="Excel_BuiltIn_Criteria">#N/A</definedName>
    <definedName name="Excel_BuiltIn_Extract">#REF!</definedName>
    <definedName name="Excel_BuiltIn_Print_Area_10">"$#REF!.$A$1:$G$25"</definedName>
    <definedName name="Excel_BuiltIn_Print_Area_26_1">#REF!</definedName>
    <definedName name="Excel_BuiltIn_Print_Area_5">"$#REF!.$A$1:$C$47"</definedName>
    <definedName name="Excel_BuiltIn_Print_Area_7">"$#REF!.$A$1:$DR$52"</definedName>
    <definedName name="Excel_BuiltIn_Print_Area_8">"$#REF!.$A$1:$O$447"</definedName>
    <definedName name="Excel_BuiltIn_Print_Titles_7">"$#REF!.$A$1:$B$65536"</definedName>
    <definedName name="Excel_BuiltIn_Print_Titles_8">"$#REF!.$A$1:$AMJ$3"</definedName>
    <definedName name="EXTENSÃO">#REF!</definedName>
    <definedName name="Extract_MI">#REF!</definedName>
    <definedName name="F">#REF!</definedName>
    <definedName name="FAIXA">#REF!</definedName>
    <definedName name="FAIXAAC">#REF!:INDIRECT(#REF!)</definedName>
    <definedName name="FAIXAAF">#REF!:INDIRECT(#REF!)</definedName>
    <definedName name="FAIXAAG">#REF!:INDIRECT(#REF!)</definedName>
    <definedName name="FAIXAAH">#REF!:INDIRECT(#REF!)</definedName>
    <definedName name="FAIXAAJ">#REF!:INDIRECT(#REF!)</definedName>
    <definedName name="FAIXAAM">#REF!:INDIRECT(#REF!)</definedName>
    <definedName name="FAIXACOD">#REF!</definedName>
    <definedName name="FAIXACP">#REF!</definedName>
    <definedName name="FAIXACRON">#N/A</definedName>
    <definedName name="FAIXADFFQ">#REF!:INDIRECT(#REF!)</definedName>
    <definedName name="FAIXAGHGI">#REF!:INDIRECT(#REF!)</definedName>
    <definedName name="FAIXAGWHG">#REF!:INDIRECT(#REF!)</definedName>
    <definedName name="faixahe">#REF!</definedName>
    <definedName name="faixamod">#REF!</definedName>
    <definedName name="FAIXAMODCPU">#REF!</definedName>
    <definedName name="FAIXAPQR">#REF!:INDIRECT(#REF!)</definedName>
    <definedName name="FAIXASALARIO">#REF!</definedName>
    <definedName name="FAIXASV">#REF!:INDIRECT(#REF!)</definedName>
    <definedName name="FAIXAWXY">#REF!:INDIRECT(#REF!)</definedName>
    <definedName name="FALTAPROC">#REF!</definedName>
    <definedName name="Fase_projeto">#REF!</definedName>
    <definedName name="FAZP">#REF!</definedName>
    <definedName name="FEC">#REF!</definedName>
    <definedName name="FECCPUSEMCANT">#REF!</definedName>
    <definedName name="FECTOTALCPU">#REF!</definedName>
    <definedName name="FEPeso">#REF!</definedName>
    <definedName name="FEVol">#REF!</definedName>
    <definedName name="FF">#REF!</definedName>
    <definedName name="filtragem" localSheetId="3" hidden="1">{#N/A,#N/A,FALSE,"GERAL";#N/A,#N/A,FALSE,"012-96";#N/A,#N/A,FALSE,"018-96";#N/A,#N/A,FALSE,"027-96";#N/A,#N/A,FALSE,"059-96";#N/A,#N/A,FALSE,"076-96";#N/A,#N/A,FALSE,"019-97";#N/A,#N/A,FALSE,"021-97";#N/A,#N/A,FALSE,"022-97";#N/A,#N/A,FALSE,"028-97"}</definedName>
    <definedName name="filtragem" localSheetId="2" hidden="1">{#N/A,#N/A,FALSE,"GERAL";#N/A,#N/A,FALSE,"012-96";#N/A,#N/A,FALSE,"018-96";#N/A,#N/A,FALSE,"027-96";#N/A,#N/A,FALSE,"059-96";#N/A,#N/A,FALSE,"076-96";#N/A,#N/A,FALSE,"019-97";#N/A,#N/A,FALSE,"021-97";#N/A,#N/A,FALSE,"022-97";#N/A,#N/A,FALSE,"028-97"}</definedName>
    <definedName name="filtragem" localSheetId="5" hidden="1">{#N/A,#N/A,FALSE,"GERAL";#N/A,#N/A,FALSE,"012-96";#N/A,#N/A,FALSE,"018-96";#N/A,#N/A,FALSE,"027-96";#N/A,#N/A,FALSE,"059-96";#N/A,#N/A,FALSE,"076-96";#N/A,#N/A,FALSE,"019-97";#N/A,#N/A,FALSE,"021-97";#N/A,#N/A,FALSE,"022-97";#N/A,#N/A,FALSE,"028-97"}</definedName>
    <definedName name="filtragem" localSheetId="7" hidden="1">{#N/A,#N/A,FALSE,"GERAL";#N/A,#N/A,FALSE,"012-96";#N/A,#N/A,FALSE,"018-96";#N/A,#N/A,FALSE,"027-96";#N/A,#N/A,FALSE,"059-96";#N/A,#N/A,FALSE,"076-96";#N/A,#N/A,FALSE,"019-97";#N/A,#N/A,FALSE,"021-97";#N/A,#N/A,FALSE,"022-97";#N/A,#N/A,FALSE,"028-97"}</definedName>
    <definedName name="filtragem" localSheetId="1" hidden="1">{#N/A,#N/A,FALSE,"GERAL";#N/A,#N/A,FALSE,"012-96";#N/A,#N/A,FALSE,"018-96";#N/A,#N/A,FALSE,"027-96";#N/A,#N/A,FALSE,"059-96";#N/A,#N/A,FALSE,"076-96";#N/A,#N/A,FALSE,"019-97";#N/A,#N/A,FALSE,"021-97";#N/A,#N/A,FALSE,"022-97";#N/A,#N/A,FALSE,"028-97"}</definedName>
    <definedName name="filtragem" hidden="1">{#N/A,#N/A,FALSE,"GERAL";#N/A,#N/A,FALSE,"012-96";#N/A,#N/A,FALSE,"018-96";#N/A,#N/A,FALSE,"027-96";#N/A,#N/A,FALSE,"059-96";#N/A,#N/A,FALSE,"076-96";#N/A,#N/A,FALSE,"019-97";#N/A,#N/A,FALSE,"021-97";#N/A,#N/A,FALSE,"022-97";#N/A,#N/A,FALSE,"028-97"}</definedName>
    <definedName name="FILTRO">#REF!</definedName>
    <definedName name="FISICO">#REF!</definedName>
    <definedName name="FIX">#REF!</definedName>
    <definedName name="flan10">#REF!</definedName>
    <definedName name="flan12">#REF!</definedName>
    <definedName name="flan14">#REF!</definedName>
    <definedName name="flan1m">#REF!</definedName>
    <definedName name="flan2">#REF!</definedName>
    <definedName name="flan3">#REF!</definedName>
    <definedName name="flan4">#REF!</definedName>
    <definedName name="flan6">#REF!</definedName>
    <definedName name="flan8">#REF!</definedName>
    <definedName name="FLOT" localSheetId="3" hidden="1">{#N/A,#N/A,FALSE,"GERAL";#N/A,#N/A,FALSE,"012-96";#N/A,#N/A,FALSE,"018-96";#N/A,#N/A,FALSE,"027-96";#N/A,#N/A,FALSE,"059-96";#N/A,#N/A,FALSE,"076-96";#N/A,#N/A,FALSE,"019-97";#N/A,#N/A,FALSE,"021-97";#N/A,#N/A,FALSE,"022-97";#N/A,#N/A,FALSE,"028-97"}</definedName>
    <definedName name="FLOT" localSheetId="2" hidden="1">{#N/A,#N/A,FALSE,"GERAL";#N/A,#N/A,FALSE,"012-96";#N/A,#N/A,FALSE,"018-96";#N/A,#N/A,FALSE,"027-96";#N/A,#N/A,FALSE,"059-96";#N/A,#N/A,FALSE,"076-96";#N/A,#N/A,FALSE,"019-97";#N/A,#N/A,FALSE,"021-97";#N/A,#N/A,FALSE,"022-97";#N/A,#N/A,FALSE,"028-97"}</definedName>
    <definedName name="FLOT" localSheetId="5" hidden="1">{#N/A,#N/A,FALSE,"GERAL";#N/A,#N/A,FALSE,"012-96";#N/A,#N/A,FALSE,"018-96";#N/A,#N/A,FALSE,"027-96";#N/A,#N/A,FALSE,"059-96";#N/A,#N/A,FALSE,"076-96";#N/A,#N/A,FALSE,"019-97";#N/A,#N/A,FALSE,"021-97";#N/A,#N/A,FALSE,"022-97";#N/A,#N/A,FALSE,"028-97"}</definedName>
    <definedName name="FLOT" localSheetId="7" hidden="1">{#N/A,#N/A,FALSE,"GERAL";#N/A,#N/A,FALSE,"012-96";#N/A,#N/A,FALSE,"018-96";#N/A,#N/A,FALSE,"027-96";#N/A,#N/A,FALSE,"059-96";#N/A,#N/A,FALSE,"076-96";#N/A,#N/A,FALSE,"019-97";#N/A,#N/A,FALSE,"021-97";#N/A,#N/A,FALSE,"022-97";#N/A,#N/A,FALSE,"028-97"}</definedName>
    <definedName name="FLOT" localSheetId="1" hidden="1">{#N/A,#N/A,FALSE,"GERAL";#N/A,#N/A,FALSE,"012-96";#N/A,#N/A,FALSE,"018-96";#N/A,#N/A,FALSE,"027-96";#N/A,#N/A,FALSE,"059-96";#N/A,#N/A,FALSE,"076-96";#N/A,#N/A,FALSE,"019-97";#N/A,#N/A,FALSE,"021-97";#N/A,#N/A,FALSE,"022-97";#N/A,#N/A,FALSE,"028-97"}</definedName>
    <definedName name="FLOT" hidden="1">{#N/A,#N/A,FALSE,"GERAL";#N/A,#N/A,FALSE,"012-96";#N/A,#N/A,FALSE,"018-96";#N/A,#N/A,FALSE,"027-96";#N/A,#N/A,FALSE,"059-96";#N/A,#N/A,FALSE,"076-96";#N/A,#N/A,FALSE,"019-97";#N/A,#N/A,FALSE,"021-97";#N/A,#N/A,FALSE,"022-97";#N/A,#N/A,FALSE,"028-97"}</definedName>
    <definedName name="FLU">#REF!</definedName>
    <definedName name="FLU_4">#N/A</definedName>
    <definedName name="FLU_5">#N/A</definedName>
    <definedName name="FLUTUANTE2" localSheetId="3" hidden="1">{#N/A,#N/A,FALSE,"GERAL";#N/A,#N/A,FALSE,"012-96";#N/A,#N/A,FALSE,"018-96";#N/A,#N/A,FALSE,"027-96";#N/A,#N/A,FALSE,"059-96";#N/A,#N/A,FALSE,"076-96";#N/A,#N/A,FALSE,"019-97";#N/A,#N/A,FALSE,"021-97";#N/A,#N/A,FALSE,"022-97";#N/A,#N/A,FALSE,"028-97"}</definedName>
    <definedName name="FLUTUANTE2" localSheetId="2" hidden="1">{#N/A,#N/A,FALSE,"GERAL";#N/A,#N/A,FALSE,"012-96";#N/A,#N/A,FALSE,"018-96";#N/A,#N/A,FALSE,"027-96";#N/A,#N/A,FALSE,"059-96";#N/A,#N/A,FALSE,"076-96";#N/A,#N/A,FALSE,"019-97";#N/A,#N/A,FALSE,"021-97";#N/A,#N/A,FALSE,"022-97";#N/A,#N/A,FALSE,"028-97"}</definedName>
    <definedName name="FLUTUANTE2" localSheetId="5" hidden="1">{#N/A,#N/A,FALSE,"GERAL";#N/A,#N/A,FALSE,"012-96";#N/A,#N/A,FALSE,"018-96";#N/A,#N/A,FALSE,"027-96";#N/A,#N/A,FALSE,"059-96";#N/A,#N/A,FALSE,"076-96";#N/A,#N/A,FALSE,"019-97";#N/A,#N/A,FALSE,"021-97";#N/A,#N/A,FALSE,"022-97";#N/A,#N/A,FALSE,"028-97"}</definedName>
    <definedName name="FLUTUANTE2" localSheetId="7" hidden="1">{#N/A,#N/A,FALSE,"GERAL";#N/A,#N/A,FALSE,"012-96";#N/A,#N/A,FALSE,"018-96";#N/A,#N/A,FALSE,"027-96";#N/A,#N/A,FALSE,"059-96";#N/A,#N/A,FALSE,"076-96";#N/A,#N/A,FALSE,"019-97";#N/A,#N/A,FALSE,"021-97";#N/A,#N/A,FALSE,"022-97";#N/A,#N/A,FALSE,"028-97"}</definedName>
    <definedName name="FLUTUANTE2" localSheetId="1" hidden="1">{#N/A,#N/A,FALSE,"GERAL";#N/A,#N/A,FALSE,"012-96";#N/A,#N/A,FALSE,"018-96";#N/A,#N/A,FALSE,"027-96";#N/A,#N/A,FALSE,"059-96";#N/A,#N/A,FALSE,"076-96";#N/A,#N/A,FALSE,"019-97";#N/A,#N/A,FALSE,"021-97";#N/A,#N/A,FALSE,"022-97";#N/A,#N/A,FALSE,"028-97"}</definedName>
    <definedName name="FLUTUANTE2" hidden="1">{#N/A,#N/A,FALSE,"GERAL";#N/A,#N/A,FALSE,"012-96";#N/A,#N/A,FALSE,"018-96";#N/A,#N/A,FALSE,"027-96";#N/A,#N/A,FALSE,"059-96";#N/A,#N/A,FALSE,"076-96";#N/A,#N/A,FALSE,"019-97";#N/A,#N/A,FALSE,"021-97";#N/A,#N/A,FALSE,"022-97";#N/A,#N/A,FALSE,"028-97"}</definedName>
    <definedName name="FLUX">#REF!</definedName>
    <definedName name="FLUXO">#REF!</definedName>
    <definedName name="FOLHA">#REF!</definedName>
    <definedName name="FORDSUM">#N/A</definedName>
    <definedName name="FORM4">#REF!</definedName>
    <definedName name="FORMAC">#REF!</definedName>
    <definedName name="FORMAEQSEC">#REF!</definedName>
    <definedName name="FORMAF">#REF!</definedName>
    <definedName name="FORMAG">#REF!</definedName>
    <definedName name="FORMAH">#REF!</definedName>
    <definedName name="FORMAJ">#REF!</definedName>
    <definedName name="FORMAM">#REF!</definedName>
    <definedName name="FORMAT_">#N/A</definedName>
    <definedName name="FORMAT_1">#N/A</definedName>
    <definedName name="FORMAT_2">#N/A</definedName>
    <definedName name="FORMATO">#REF!</definedName>
    <definedName name="FORMCOD">#REF!</definedName>
    <definedName name="FORMDFFQ">#REF!</definedName>
    <definedName name="FORMGHGI">#REF!</definedName>
    <definedName name="FORMGWHG">#REF!</definedName>
    <definedName name="FORMHH">#REF!</definedName>
    <definedName name="FORMHHAJUST">#REF!</definedName>
    <definedName name="FORMHHCALC">#REF!</definedName>
    <definedName name="FORMHHCOD">#REF!</definedName>
    <definedName name="FORMINDSECAJUST">#REF!</definedName>
    <definedName name="FORMPESOTOT">#REF!</definedName>
    <definedName name="FORMPQ">#REF!</definedName>
    <definedName name="FORMPQR">#REF!</definedName>
    <definedName name="FORMPRTOTAL">#REF!</definedName>
    <definedName name="FORMQUANTEQUIP">#REF!</definedName>
    <definedName name="FORMQUANTMAT">#REF!</definedName>
    <definedName name="FORMSV">#REF!</definedName>
    <definedName name="Formulario">#REF!</definedName>
    <definedName name="FORMWXY">#REF!</definedName>
    <definedName name="fp_3">#REF!</definedName>
    <definedName name="fr">#REF!</definedName>
    <definedName name="FRETES">#REF!</definedName>
    <definedName name="fsdfsf" localSheetId="3" hidden="1">{#N/A,#N/A,FALSE,"GERAL";#N/A,#N/A,FALSE,"012-96";#N/A,#N/A,FALSE,"018-96";#N/A,#N/A,FALSE,"027-96";#N/A,#N/A,FALSE,"059-96";#N/A,#N/A,FALSE,"076-96";#N/A,#N/A,FALSE,"019-97";#N/A,#N/A,FALSE,"021-97";#N/A,#N/A,FALSE,"022-97";#N/A,#N/A,FALSE,"028-97"}</definedName>
    <definedName name="fsdfsf" localSheetId="2" hidden="1">{#N/A,#N/A,FALSE,"GERAL";#N/A,#N/A,FALSE,"012-96";#N/A,#N/A,FALSE,"018-96";#N/A,#N/A,FALSE,"027-96";#N/A,#N/A,FALSE,"059-96";#N/A,#N/A,FALSE,"076-96";#N/A,#N/A,FALSE,"019-97";#N/A,#N/A,FALSE,"021-97";#N/A,#N/A,FALSE,"022-97";#N/A,#N/A,FALSE,"028-97"}</definedName>
    <definedName name="fsdfsf" localSheetId="5" hidden="1">{#N/A,#N/A,FALSE,"GERAL";#N/A,#N/A,FALSE,"012-96";#N/A,#N/A,FALSE,"018-96";#N/A,#N/A,FALSE,"027-96";#N/A,#N/A,FALSE,"059-96";#N/A,#N/A,FALSE,"076-96";#N/A,#N/A,FALSE,"019-97";#N/A,#N/A,FALSE,"021-97";#N/A,#N/A,FALSE,"022-97";#N/A,#N/A,FALSE,"028-97"}</definedName>
    <definedName name="fsdfsf" localSheetId="7" hidden="1">{#N/A,#N/A,FALSE,"GERAL";#N/A,#N/A,FALSE,"012-96";#N/A,#N/A,FALSE,"018-96";#N/A,#N/A,FALSE,"027-96";#N/A,#N/A,FALSE,"059-96";#N/A,#N/A,FALSE,"076-96";#N/A,#N/A,FALSE,"019-97";#N/A,#N/A,FALSE,"021-97";#N/A,#N/A,FALSE,"022-97";#N/A,#N/A,FALSE,"028-97"}</definedName>
    <definedName name="fsdfsf" localSheetId="1" hidden="1">{#N/A,#N/A,FALSE,"GERAL";#N/A,#N/A,FALSE,"012-96";#N/A,#N/A,FALSE,"018-96";#N/A,#N/A,FALSE,"027-96";#N/A,#N/A,FALSE,"059-96";#N/A,#N/A,FALSE,"076-96";#N/A,#N/A,FALSE,"019-97";#N/A,#N/A,FALSE,"021-97";#N/A,#N/A,FALSE,"022-97";#N/A,#N/A,FALSE,"028-97"}</definedName>
    <definedName name="fsdfsf" hidden="1">{#N/A,#N/A,FALSE,"GERAL";#N/A,#N/A,FALSE,"012-96";#N/A,#N/A,FALSE,"018-96";#N/A,#N/A,FALSE,"027-96";#N/A,#N/A,FALSE,"059-96";#N/A,#N/A,FALSE,"076-96";#N/A,#N/A,FALSE,"019-97";#N/A,#N/A,FALSE,"021-97";#N/A,#N/A,FALSE,"022-97";#N/A,#N/A,FALSE,"028-97"}</definedName>
    <definedName name="FUNC">#N/A</definedName>
    <definedName name="FUNGER">#N/A</definedName>
    <definedName name="FUNX">#N/A</definedName>
    <definedName name="FXPED">#REF!</definedName>
    <definedName name="fxtes">#REF!</definedName>
    <definedName name="g" localSheetId="11">ANEXO IVA [0]!MAT DE #REF!</definedName>
    <definedName name="g" localSheetId="3">ANEXO IVA [0]!MAT DE #REF!</definedName>
    <definedName name="g" localSheetId="2">ANEXO IVA [0]!MAT DE #REF!</definedName>
    <definedName name="g" localSheetId="5">ANEXO IVA [0]!MAT DE #REF!</definedName>
    <definedName name="g" localSheetId="7">ANEXO IVA [0]!MAT DE #REF!</definedName>
    <definedName name="g" localSheetId="1">ANEXO IVA [0]!MAT DE #REF!</definedName>
    <definedName name="g">ANEXO IVA [0]!MAT DE #REF!</definedName>
    <definedName name="GERAL">#REF!</definedName>
    <definedName name="Gerências">#REF!</definedName>
    <definedName name="GERVAL">#N/A</definedName>
    <definedName name="gewgwgw">#REF!</definedName>
    <definedName name="GoToCMChurnChart">#N/A</definedName>
    <definedName name="GoToCPIChart">#N/A</definedName>
    <definedName name="GoToDefectsChart">#N/A</definedName>
    <definedName name="GoToEVChart">#N/A</definedName>
    <definedName name="GoToOvertimeChart">#N/A</definedName>
    <definedName name="GoToRequirementsChangeChart">#N/A</definedName>
    <definedName name="GoToRiskChart">#N/A</definedName>
    <definedName name="GoToVolTurnChart">#N/A</definedName>
    <definedName name="_xlnm.Recorder">#REF!</definedName>
    <definedName name="GT" localSheetId="3" hidden="1">{#N/A,#N/A,FALSE,"GERAL";#N/A,#N/A,FALSE,"012-96";#N/A,#N/A,FALSE,"018-96";#N/A,#N/A,FALSE,"027-96";#N/A,#N/A,FALSE,"059-96";#N/A,#N/A,FALSE,"076-96";#N/A,#N/A,FALSE,"019-97";#N/A,#N/A,FALSE,"021-97";#N/A,#N/A,FALSE,"022-97";#N/A,#N/A,FALSE,"028-97"}</definedName>
    <definedName name="GT" localSheetId="2" hidden="1">{#N/A,#N/A,FALSE,"GERAL";#N/A,#N/A,FALSE,"012-96";#N/A,#N/A,FALSE,"018-96";#N/A,#N/A,FALSE,"027-96";#N/A,#N/A,FALSE,"059-96";#N/A,#N/A,FALSE,"076-96";#N/A,#N/A,FALSE,"019-97";#N/A,#N/A,FALSE,"021-97";#N/A,#N/A,FALSE,"022-97";#N/A,#N/A,FALSE,"028-97"}</definedName>
    <definedName name="GT" localSheetId="5" hidden="1">{#N/A,#N/A,FALSE,"GERAL";#N/A,#N/A,FALSE,"012-96";#N/A,#N/A,FALSE,"018-96";#N/A,#N/A,FALSE,"027-96";#N/A,#N/A,FALSE,"059-96";#N/A,#N/A,FALSE,"076-96";#N/A,#N/A,FALSE,"019-97";#N/A,#N/A,FALSE,"021-97";#N/A,#N/A,FALSE,"022-97";#N/A,#N/A,FALSE,"028-97"}</definedName>
    <definedName name="GT" localSheetId="7" hidden="1">{#N/A,#N/A,FALSE,"GERAL";#N/A,#N/A,FALSE,"012-96";#N/A,#N/A,FALSE,"018-96";#N/A,#N/A,FALSE,"027-96";#N/A,#N/A,FALSE,"059-96";#N/A,#N/A,FALSE,"076-96";#N/A,#N/A,FALSE,"019-97";#N/A,#N/A,FALSE,"021-97";#N/A,#N/A,FALSE,"022-97";#N/A,#N/A,FALSE,"028-97"}</definedName>
    <definedName name="GT" localSheetId="1" hidden="1">{#N/A,#N/A,FALSE,"GERAL";#N/A,#N/A,FALSE,"012-96";#N/A,#N/A,FALSE,"018-96";#N/A,#N/A,FALSE,"027-96";#N/A,#N/A,FALSE,"059-96";#N/A,#N/A,FALSE,"076-96";#N/A,#N/A,FALSE,"019-97";#N/A,#N/A,FALSE,"021-97";#N/A,#N/A,FALSE,"022-97";#N/A,#N/A,FALSE,"028-97"}</definedName>
    <definedName name="GT" hidden="1">{#N/A,#N/A,FALSE,"GERAL";#N/A,#N/A,FALSE,"012-96";#N/A,#N/A,FALSE,"018-96";#N/A,#N/A,FALSE,"027-96";#N/A,#N/A,FALSE,"059-96";#N/A,#N/A,FALSE,"076-96";#N/A,#N/A,FALSE,"019-97";#N/A,#N/A,FALSE,"021-97";#N/A,#N/A,FALSE,"022-97";#N/A,#N/A,FALSE,"028-97"}</definedName>
    <definedName name="GTD" localSheetId="11">ANEXO IVA [0]!MAT DE #REF!</definedName>
    <definedName name="GTD" localSheetId="3">ANEXO IVA [0]!MAT DE #REF!</definedName>
    <definedName name="GTD" localSheetId="2">ANEXO IVA [0]!MAT DE #REF!</definedName>
    <definedName name="GTD" localSheetId="5">ANEXO IVA [0]!MAT DE #REF!</definedName>
    <definedName name="GTD" localSheetId="7">ANEXO IVA [0]!MAT DE #REF!</definedName>
    <definedName name="GTD" localSheetId="1">ANEXO IVA [0]!MAT DE #REF!</definedName>
    <definedName name="GTD">ANEXO IVA [0]!MAT DE #REF!</definedName>
    <definedName name="GTDX" localSheetId="11">ANEXO IVA [0]!MAT DE #REF!</definedName>
    <definedName name="GTDX" localSheetId="3">ANEXO IVA [0]!MAT DE #REF!</definedName>
    <definedName name="GTDX" localSheetId="2">ANEXO IVA [0]!MAT DE #REF!</definedName>
    <definedName name="GTDX" localSheetId="5">ANEXO IVA [0]!MAT DE #REF!</definedName>
    <definedName name="GTDX" localSheetId="7">ANEXO IVA [0]!MAT DE #REF!</definedName>
    <definedName name="GTDX" localSheetId="1">ANEXO IVA [0]!MAT DE #REF!</definedName>
    <definedName name="GTDX">ANEXO IVA [0]!MAT DE #REF!</definedName>
    <definedName name="HEUNIT">#REF!</definedName>
    <definedName name="HHAJUSTCOL">#REF!</definedName>
    <definedName name="HHCALCCOL">#REF!</definedName>
    <definedName name="HHCALCUL">#REF!</definedName>
    <definedName name="HHCIVIL">#REF!</definedName>
    <definedName name="HHCIVIL_23">#REF!</definedName>
    <definedName name="HHCIVIL_24">#REF!</definedName>
    <definedName name="HHCIVIL_25">#REF!</definedName>
    <definedName name="HHCIVIL_26">#REF!</definedName>
    <definedName name="HHCOM">#REF!</definedName>
    <definedName name="HHEL">#REF!</definedName>
    <definedName name="HHEL_15">#REF!</definedName>
    <definedName name="HHEL_16">#REF!</definedName>
    <definedName name="HHEL_17">#REF!</definedName>
    <definedName name="HHEL_18">#REF!</definedName>
    <definedName name="HHEL_19">#REF!</definedName>
    <definedName name="HHEL_20">#REF!</definedName>
    <definedName name="HHEL_21">#REF!</definedName>
    <definedName name="HHEL_23">#REF!</definedName>
    <definedName name="HHEL_24">#REF!</definedName>
    <definedName name="HHEL_25">#REF!</definedName>
    <definedName name="HHEL_26">#REF!</definedName>
    <definedName name="HHEL_3">#REF!</definedName>
    <definedName name="HHEL_33">#REF!</definedName>
    <definedName name="HHEL_4">#REF!</definedName>
    <definedName name="HHELÉT">#REF!</definedName>
    <definedName name="HHELETRICA">#REF!</definedName>
    <definedName name="HHFUN1">#REF!</definedName>
    <definedName name="HHFUN10">#REF!</definedName>
    <definedName name="HHFUN11">#REF!</definedName>
    <definedName name="HHFUN13">#REF!</definedName>
    <definedName name="HHFUN16">#REF!</definedName>
    <definedName name="HHFUN17">#REF!</definedName>
    <definedName name="HHFUN21">#REF!</definedName>
    <definedName name="HHFUN23">#REF!</definedName>
    <definedName name="HHFUN24">#REF!</definedName>
    <definedName name="HHFUN28">#REF!</definedName>
    <definedName name="HHFUN29">#REF!</definedName>
    <definedName name="HHFUN32">#REF!</definedName>
    <definedName name="HHFUN35">#REF!</definedName>
    <definedName name="HHFUN36">#REF!</definedName>
    <definedName name="HHFUN37">#REF!</definedName>
    <definedName name="HHFUN41">#REF!</definedName>
    <definedName name="HHFUN42">#REF!</definedName>
    <definedName name="HHFUN43">#REF!</definedName>
    <definedName name="HHFUN44">#REF!</definedName>
    <definedName name="HHFUN46">#REF!</definedName>
    <definedName name="HHFUN47">#REF!</definedName>
    <definedName name="HHFUN49">#REF!</definedName>
    <definedName name="HHFUN50">#REF!</definedName>
    <definedName name="HHFUN55">#REF!</definedName>
    <definedName name="HHFUN60">#REF!</definedName>
    <definedName name="HHFUN62">#REF!</definedName>
    <definedName name="HHFUN65">#REF!</definedName>
    <definedName name="HHFUN66">#REF!</definedName>
    <definedName name="HHFUN68">#REF!</definedName>
    <definedName name="HHFUN8">#REF!</definedName>
    <definedName name="HHINST">#REF!</definedName>
    <definedName name="HHMEC">#REF!</definedName>
    <definedName name="HHMEC_15">#REF!</definedName>
    <definedName name="HHMEC_16">#REF!</definedName>
    <definedName name="HHMEC_17">#REF!</definedName>
    <definedName name="HHMEC_18">#REF!</definedName>
    <definedName name="HHMEC_19">#REF!</definedName>
    <definedName name="HHMEC_20">#REF!</definedName>
    <definedName name="HHMEC_21">#REF!</definedName>
    <definedName name="HHMEC_23">#REF!</definedName>
    <definedName name="HHMEC_24">#REF!</definedName>
    <definedName name="HHMEC_25">#REF!</definedName>
    <definedName name="HHMEC_26">#REF!</definedName>
    <definedName name="HHMEC_3">#REF!</definedName>
    <definedName name="HHMEC_33">#REF!</definedName>
    <definedName name="HHMEC_4">#REF!</definedName>
    <definedName name="HHPERELMECCAL">#N/A</definedName>
    <definedName name="HHPINT">#REF!</definedName>
    <definedName name="HHPINTU">#REF!</definedName>
    <definedName name="HHPRE">#REF!</definedName>
    <definedName name="HHPROJ">#REF!</definedName>
    <definedName name="HHTERRA">#REF!</definedName>
    <definedName name="HHTOTCAL">#N/A</definedName>
    <definedName name="HHTOTLIN">#N/A</definedName>
    <definedName name="HHTOTRES">#N/A</definedName>
    <definedName name="hidro">#REF!</definedName>
    <definedName name="Hilfetext">"Bearbeitungsfeld 20"</definedName>
    <definedName name="HPC">#REF!</definedName>
    <definedName name="hrher">#REF!</definedName>
    <definedName name="i">#REF!</definedName>
    <definedName name="i_23">#REF!</definedName>
    <definedName name="i_24">#REF!</definedName>
    <definedName name="i_25">#REF!</definedName>
    <definedName name="i_26">#REF!</definedName>
    <definedName name="ICMS">#REF!</definedName>
    <definedName name="II">#REF!</definedName>
    <definedName name="ILUM">#REF!</definedName>
    <definedName name="Imagem">INDIRECT("Referência!$A$"&amp;VLOOKUP(#REF!,#REF!,2,0))</definedName>
    <definedName name="IMPCRON1">#N/A</definedName>
    <definedName name="IMPOSTO">#REF!</definedName>
    <definedName name="IMPRIMIR">#N/A</definedName>
    <definedName name="INCIVIL">#N/A</definedName>
    <definedName name="IND">#REF!</definedName>
    <definedName name="INDSEC">#REF!</definedName>
    <definedName name="INDSECAJUSTCOL">#REF!</definedName>
    <definedName name="INICAL">#N/A</definedName>
    <definedName name="INICDISC">#N/A</definedName>
    <definedName name="INICIO">#N/A</definedName>
    <definedName name="INICIVIL">#N/A</definedName>
    <definedName name="INICPRAZ">#REF!</definedName>
    <definedName name="INIEI">#N/A</definedName>
    <definedName name="INIEM">#N/A</definedName>
    <definedName name="INIGER">#N/A</definedName>
    <definedName name="INIJP">#N/A</definedName>
    <definedName name="INIMEC">#N/A</definedName>
    <definedName name="INITUB">#N/A</definedName>
    <definedName name="INSS">#REF!</definedName>
    <definedName name="INTE">#REF!</definedName>
    <definedName name="IPI">#REF!</definedName>
    <definedName name="ITEM">#REF!</definedName>
    <definedName name="ITEM1">#REF!</definedName>
    <definedName name="ITEM10">#REF!</definedName>
    <definedName name="ITEM11">#REF!</definedName>
    <definedName name="ITEM2">#REF!</definedName>
    <definedName name="ITEM3">#REF!</definedName>
    <definedName name="ITEM4">#REF!</definedName>
    <definedName name="ITEM5">#REF!</definedName>
    <definedName name="ITEM6">#REF!</definedName>
    <definedName name="ITEM7">#REF!</definedName>
    <definedName name="ITEM8">#REF!</definedName>
    <definedName name="ITEM9">#REF!</definedName>
    <definedName name="ITEMFIS">#N/A</definedName>
    <definedName name="ITENSLC116">#REF!</definedName>
    <definedName name="J">#N/A</definedName>
    <definedName name="jornadaeng">#REF!</definedName>
    <definedName name="jornadames">#REF!</definedName>
    <definedName name="jornadamesesp">#REF!</definedName>
    <definedName name="JP">#REF!</definedName>
    <definedName name="K">#REF!</definedName>
    <definedName name="KTABEQ">#N/A</definedName>
    <definedName name="LA">#REF!</definedName>
    <definedName name="laerte" localSheetId="11">ANEXO IVA [0]!MAT DE #REF!</definedName>
    <definedName name="laerte" localSheetId="3">ANEXO IVA [0]!MAT DE #REF!</definedName>
    <definedName name="laerte" localSheetId="2">ANEXO IVA [0]!MAT DE #REF!</definedName>
    <definedName name="laerte" localSheetId="5">ANEXO IVA [0]!MAT DE #REF!</definedName>
    <definedName name="laerte" localSheetId="7">ANEXO IVA [0]!MAT DE #REF!</definedName>
    <definedName name="laerte" localSheetId="1">ANEXO IVA [0]!MAT DE #REF!</definedName>
    <definedName name="laerte">ANEXO IVA [0]!MAT DE #REF!</definedName>
    <definedName name="LALA">#REF!</definedName>
    <definedName name="LE">#REF!</definedName>
    <definedName name="LIMPA">#N/A</definedName>
    <definedName name="LIMPACRECEQUIP">#REF!</definedName>
    <definedName name="LIMPARDADOS">#REF!</definedName>
    <definedName name="LIMPATELAS">#N/A</definedName>
    <definedName name="LINE">#N/A</definedName>
    <definedName name="lista">#REF!</definedName>
    <definedName name="ListaFormulario">#REF!</definedName>
    <definedName name="LL">#N/A</definedName>
    <definedName name="llllllllll">#REF!</definedName>
    <definedName name="Local">#REF!</definedName>
    <definedName name="LUP">#N/A</definedName>
    <definedName name="LUPENT">#N/A</definedName>
    <definedName name="M">#REF!</definedName>
    <definedName name="MAO">#REF!</definedName>
    <definedName name="MAODEOBRA">#REF!</definedName>
    <definedName name="MAT">#REF!</definedName>
    <definedName name="Mat_Fator">#REF!</definedName>
    <definedName name="Mat_Requerido">#REF!</definedName>
    <definedName name="Mat0">#REF!</definedName>
    <definedName name="MATCOUNIT">#REF!</definedName>
    <definedName name="MATER">#REF!</definedName>
    <definedName name="MATERIAL">#REF!</definedName>
    <definedName name="MATPEUNIT">#REF!</definedName>
    <definedName name="MATSEMP">#REF!</definedName>
    <definedName name="MC1201_">#REF!</definedName>
    <definedName name="MC2207_">#REF!</definedName>
    <definedName name="MDO">#REF!</definedName>
    <definedName name="MEC">#REF!</definedName>
    <definedName name="MECÂNICA">#REF!</definedName>
    <definedName name="MENSAGENS">#N/A</definedName>
    <definedName name="MENU">#N/A</definedName>
    <definedName name="MENU1">#REF!</definedName>
    <definedName name="MENU2">#REF!</definedName>
    <definedName name="MENU3">#REF!</definedName>
    <definedName name="MENU4">#REF!</definedName>
    <definedName name="MENU5">#N/A</definedName>
    <definedName name="MENU6">#N/A</definedName>
    <definedName name="MENU6A">#N/A</definedName>
    <definedName name="MENU6B">#N/A</definedName>
    <definedName name="MENU7">#N/A</definedName>
    <definedName name="MENU8">#N/A</definedName>
    <definedName name="MENUG">#REF!</definedName>
    <definedName name="MES">#REF!</definedName>
    <definedName name="mesdesmobiliz">#REF!</definedName>
    <definedName name="Meses">#REF!</definedName>
    <definedName name="MesInicio">#REF!</definedName>
    <definedName name="mesinicio_proj">#REF!</definedName>
    <definedName name="mesmobiliz">#REF!</definedName>
    <definedName name="mesvigente">#REF!</definedName>
    <definedName name="MM" localSheetId="3" hidden="1">{#N/A,#N/A,FALSE,"GERAL";#N/A,#N/A,FALSE,"012-96";#N/A,#N/A,FALSE,"018-96";#N/A,#N/A,FALSE,"027-96";#N/A,#N/A,FALSE,"059-96";#N/A,#N/A,FALSE,"076-96";#N/A,#N/A,FALSE,"019-97";#N/A,#N/A,FALSE,"021-97";#N/A,#N/A,FALSE,"022-97";#N/A,#N/A,FALSE,"028-97"}</definedName>
    <definedName name="MM" localSheetId="2" hidden="1">{#N/A,#N/A,FALSE,"GERAL";#N/A,#N/A,FALSE,"012-96";#N/A,#N/A,FALSE,"018-96";#N/A,#N/A,FALSE,"027-96";#N/A,#N/A,FALSE,"059-96";#N/A,#N/A,FALSE,"076-96";#N/A,#N/A,FALSE,"019-97";#N/A,#N/A,FALSE,"021-97";#N/A,#N/A,FALSE,"022-97";#N/A,#N/A,FALSE,"028-97"}</definedName>
    <definedName name="MM" localSheetId="5" hidden="1">{#N/A,#N/A,FALSE,"GERAL";#N/A,#N/A,FALSE,"012-96";#N/A,#N/A,FALSE,"018-96";#N/A,#N/A,FALSE,"027-96";#N/A,#N/A,FALSE,"059-96";#N/A,#N/A,FALSE,"076-96";#N/A,#N/A,FALSE,"019-97";#N/A,#N/A,FALSE,"021-97";#N/A,#N/A,FALSE,"022-97";#N/A,#N/A,FALSE,"028-97"}</definedName>
    <definedName name="MM" localSheetId="7" hidden="1">{#N/A,#N/A,FALSE,"GERAL";#N/A,#N/A,FALSE,"012-96";#N/A,#N/A,FALSE,"018-96";#N/A,#N/A,FALSE,"027-96";#N/A,#N/A,FALSE,"059-96";#N/A,#N/A,FALSE,"076-96";#N/A,#N/A,FALSE,"019-97";#N/A,#N/A,FALSE,"021-97";#N/A,#N/A,FALSE,"022-97";#N/A,#N/A,FALSE,"028-97"}</definedName>
    <definedName name="MM" localSheetId="1" hidden="1">{#N/A,#N/A,FALSE,"GERAL";#N/A,#N/A,FALSE,"012-96";#N/A,#N/A,FALSE,"018-96";#N/A,#N/A,FALSE,"027-96";#N/A,#N/A,FALSE,"059-96";#N/A,#N/A,FALSE,"076-96";#N/A,#N/A,FALSE,"019-97";#N/A,#N/A,FALSE,"021-97";#N/A,#N/A,FALSE,"022-97";#N/A,#N/A,FALSE,"028-97"}</definedName>
    <definedName name="MM" hidden="1">{#N/A,#N/A,FALSE,"GERAL";#N/A,#N/A,FALSE,"012-96";#N/A,#N/A,FALSE,"018-96";#N/A,#N/A,FALSE,"027-96";#N/A,#N/A,FALSE,"059-96";#N/A,#N/A,FALSE,"076-96";#N/A,#N/A,FALSE,"019-97";#N/A,#N/A,FALSE,"021-97";#N/A,#N/A,FALSE,"022-97";#N/A,#N/A,FALSE,"028-97"}</definedName>
    <definedName name="MmExcelLinker_4E7BD31E_65F0_440C_A162_0361D739B0FD" localSheetId="11">ANEXO IVA [0]!MAT DE #REF!</definedName>
    <definedName name="MmExcelLinker_4E7BD31E_65F0_440C_A162_0361D739B0FD" localSheetId="3">ANEXO IVA [0]!MAT DE #REF!</definedName>
    <definedName name="MmExcelLinker_4E7BD31E_65F0_440C_A162_0361D739B0FD" localSheetId="2">ANEXO IVA [0]!MAT DE #REF!</definedName>
    <definedName name="MmExcelLinker_4E7BD31E_65F0_440C_A162_0361D739B0FD" localSheetId="5">ANEXO IVA [0]!MAT DE #REF!</definedName>
    <definedName name="MmExcelLinker_4E7BD31E_65F0_440C_A162_0361D739B0FD" localSheetId="7">ANEXO IVA [0]!MAT DE #REF!</definedName>
    <definedName name="MmExcelLinker_4E7BD31E_65F0_440C_A162_0361D739B0FD" localSheetId="1">ANEXO IVA [0]!MAT DE #REF!</definedName>
    <definedName name="MmExcelLinker_4E7BD31E_65F0_440C_A162_0361D739B0FD">ANEXO IVA [0]!MAT DE #REF!</definedName>
    <definedName name="MOBIL1">#N/A</definedName>
    <definedName name="MOBIL2">#N/A</definedName>
    <definedName name="MOBIL3">#N/A</definedName>
    <definedName name="MOBILIZACAO">#N/A</definedName>
    <definedName name="mod">#REF!</definedName>
    <definedName name="MODCIV">#REF!</definedName>
    <definedName name="MODCOM">#REF!</definedName>
    <definedName name="MODMON">#REF!</definedName>
    <definedName name="MODUNIT">#REF!</definedName>
    <definedName name="MOEDA">#REF!</definedName>
    <definedName name="MOEDA_23">#REF!</definedName>
    <definedName name="MOEDA_24">#REF!</definedName>
    <definedName name="MOEDA_25">#REF!</definedName>
    <definedName name="MOEDA_26">#REF!</definedName>
    <definedName name="MOI">#REF!</definedName>
    <definedName name="MOI_ALOJAMENTO">#REF!</definedName>
    <definedName name="MOI_CI_mont_e_ger">#REF!</definedName>
    <definedName name="MOI_COMUNICAÇÃO">#REF!</definedName>
    <definedName name="MOI_ENCARGOS">#REF!</definedName>
    <definedName name="MOI_EPI">#REF!</definedName>
    <definedName name="MOI_EXAMES_FUNCIONAIS">#REF!</definedName>
    <definedName name="MOI_transporte">#REF!</definedName>
    <definedName name="MOICIV">#REF!</definedName>
    <definedName name="MOICOM">#REF!</definedName>
    <definedName name="MOIGER">#REF!</definedName>
    <definedName name="MOIMON">#REF!</definedName>
    <definedName name="MOIPRO">#REF!</definedName>
    <definedName name="Monthly_Data">#REF!</definedName>
    <definedName name="MTV1_DIAM">#REF!</definedName>
    <definedName name="MTV1_VALV">#REF!</definedName>
    <definedName name="MTV2_DIAM">#REF!</definedName>
    <definedName name="MTV2_VALV">#REF!</definedName>
    <definedName name="MTV3_DIAM">#REF!</definedName>
    <definedName name="MTV3_VALV">#REF!</definedName>
    <definedName name="MTV4_DIAM">#REF!</definedName>
    <definedName name="MTV4_VALV">#REF!</definedName>
    <definedName name="MTV5_DIAM">#REF!</definedName>
    <definedName name="MTV5_VALV">#REF!</definedName>
    <definedName name="multsubemp">#REF!</definedName>
    <definedName name="N">#REF!</definedName>
    <definedName name="NADA">#N/A</definedName>
    <definedName name="NCM">#REF!</definedName>
    <definedName name="NOME">#N/A</definedName>
    <definedName name="Nome_projeto">#REF!</definedName>
    <definedName name="Nome_responsavel">#REF!</definedName>
    <definedName name="NOMEARQ">#N/A</definedName>
    <definedName name="NOMEFEC">#REF!</definedName>
    <definedName name="NOMES">#N/A</definedName>
    <definedName name="NOMES__">#N/A</definedName>
    <definedName name="NOMES1">#N/A</definedName>
    <definedName name="NOMESEQ">#REF!</definedName>
    <definedName name="NOMESFIS">#N/A</definedName>
    <definedName name="NOMESMAT">#REF!</definedName>
    <definedName name="NUMCOMP">#REF!</definedName>
    <definedName name="NUMCOMPK">#REF!</definedName>
    <definedName name="NUMCP">#REF!</definedName>
    <definedName name="NUMCPPROV">#REF!</definedName>
    <definedName name="NUMDISQ">#N/A</definedName>
    <definedName name="NUMEQ">#REF!</definedName>
    <definedName name="NUMERACOMP">#REF!</definedName>
    <definedName name="NUMERO">#REF!</definedName>
    <definedName name="NUMEROCP">#REF!</definedName>
    <definedName name="nwr" localSheetId="3" hidden="1">{#N/A,#N/A,FALSE,"GERAL";#N/A,#N/A,FALSE,"012-96";#N/A,#N/A,FALSE,"018-96";#N/A,#N/A,FALSE,"027-96";#N/A,#N/A,FALSE,"059-96";#N/A,#N/A,FALSE,"076-96";#N/A,#N/A,FALSE,"019-97";#N/A,#N/A,FALSE,"021-97";#N/A,#N/A,FALSE,"022-97";#N/A,#N/A,FALSE,"028-97"}</definedName>
    <definedName name="nwr" localSheetId="2" hidden="1">{#N/A,#N/A,FALSE,"GERAL";#N/A,#N/A,FALSE,"012-96";#N/A,#N/A,FALSE,"018-96";#N/A,#N/A,FALSE,"027-96";#N/A,#N/A,FALSE,"059-96";#N/A,#N/A,FALSE,"076-96";#N/A,#N/A,FALSE,"019-97";#N/A,#N/A,FALSE,"021-97";#N/A,#N/A,FALSE,"022-97";#N/A,#N/A,FALSE,"028-97"}</definedName>
    <definedName name="nwr" localSheetId="5" hidden="1">{#N/A,#N/A,FALSE,"GERAL";#N/A,#N/A,FALSE,"012-96";#N/A,#N/A,FALSE,"018-96";#N/A,#N/A,FALSE,"027-96";#N/A,#N/A,FALSE,"059-96";#N/A,#N/A,FALSE,"076-96";#N/A,#N/A,FALSE,"019-97";#N/A,#N/A,FALSE,"021-97";#N/A,#N/A,FALSE,"022-97";#N/A,#N/A,FALSE,"028-97"}</definedName>
    <definedName name="nwr" localSheetId="7" hidden="1">{#N/A,#N/A,FALSE,"GERAL";#N/A,#N/A,FALSE,"012-96";#N/A,#N/A,FALSE,"018-96";#N/A,#N/A,FALSE,"027-96";#N/A,#N/A,FALSE,"059-96";#N/A,#N/A,FALSE,"076-96";#N/A,#N/A,FALSE,"019-97";#N/A,#N/A,FALSE,"021-97";#N/A,#N/A,FALSE,"022-97";#N/A,#N/A,FALSE,"028-97"}</definedName>
    <definedName name="nwr" localSheetId="1" hidden="1">{#N/A,#N/A,FALSE,"GERAL";#N/A,#N/A,FALSE,"012-96";#N/A,#N/A,FALSE,"018-96";#N/A,#N/A,FALSE,"027-96";#N/A,#N/A,FALSE,"059-96";#N/A,#N/A,FALSE,"076-96";#N/A,#N/A,FALSE,"019-97";#N/A,#N/A,FALSE,"021-97";#N/A,#N/A,FALSE,"022-97";#N/A,#N/A,FALSE,"028-97"}</definedName>
    <definedName name="nwr" hidden="1">{#N/A,#N/A,FALSE,"GERAL";#N/A,#N/A,FALSE,"012-96";#N/A,#N/A,FALSE,"018-96";#N/A,#N/A,FALSE,"027-96";#N/A,#N/A,FALSE,"059-96";#N/A,#N/A,FALSE,"076-96";#N/A,#N/A,FALSE,"019-97";#N/A,#N/A,FALSE,"021-97";#N/A,#N/A,FALSE,"022-97";#N/A,#N/A,FALSE,"028-97"}</definedName>
    <definedName name="o">#REF!</definedName>
    <definedName name="Objetivo_projeto">#REF!</definedName>
    <definedName name="obra">#REF!</definedName>
    <definedName name="olnah" localSheetId="3" hidden="1">{#N/A,#N/A,TRUE,"Summary";#N/A,#N/A,TRUE,"Worksheet";#N/A,#N/A,TRUE,"CashFlow"}</definedName>
    <definedName name="olnah" localSheetId="2" hidden="1">{#N/A,#N/A,TRUE,"Summary";#N/A,#N/A,TRUE,"Worksheet";#N/A,#N/A,TRUE,"CashFlow"}</definedName>
    <definedName name="olnah" localSheetId="5" hidden="1">{#N/A,#N/A,TRUE,"Summary";#N/A,#N/A,TRUE,"Worksheet";#N/A,#N/A,TRUE,"CashFlow"}</definedName>
    <definedName name="olnah" localSheetId="7" hidden="1">{#N/A,#N/A,TRUE,"Summary";#N/A,#N/A,TRUE,"Worksheet";#N/A,#N/A,TRUE,"CashFlow"}</definedName>
    <definedName name="olnah" localSheetId="1" hidden="1">{#N/A,#N/A,TRUE,"Summary";#N/A,#N/A,TRUE,"Worksheet";#N/A,#N/A,TRUE,"CashFlow"}</definedName>
    <definedName name="olnah" hidden="1">{#N/A,#N/A,TRUE,"Summary";#N/A,#N/A,TRUE,"Worksheet";#N/A,#N/A,TRUE,"CashFlow"}</definedName>
    <definedName name="OPERADOR_DE_PA_CARREGADEIRA">#REF!</definedName>
    <definedName name="OR">#REF!</definedName>
    <definedName name="ORGC">#REF!</definedName>
    <definedName name="P">#REF!</definedName>
    <definedName name="Pal_Workbook_GUID" hidden="1">"1A9QHZWFZFJ87L4ZT6SI3U8V"</definedName>
    <definedName name="PARA">#REF!</definedName>
    <definedName name="Pasta_Documento">#REF!</definedName>
    <definedName name="PAUX">#REF!</definedName>
    <definedName name="PER">#REF!</definedName>
    <definedName name="PER_23">#REF!</definedName>
    <definedName name="PER_24">#REF!</definedName>
    <definedName name="PER_25">#REF!</definedName>
    <definedName name="PER_26">#REF!</definedName>
    <definedName name="percac">#REF!</definedName>
    <definedName name="perccom">#REF!</definedName>
    <definedName name="percdf">#REF!</definedName>
    <definedName name="percdiv">#REF!</definedName>
    <definedName name="PERCENTS">#N/A</definedName>
    <definedName name="percepi">#REF!</definedName>
    <definedName name="percfer">#REF!</definedName>
    <definedName name="percgas">#REF!</definedName>
    <definedName name="perche">#REF!</definedName>
    <definedName name="percimp">#REF!</definedName>
    <definedName name="percluc">#REF!</definedName>
    <definedName name="PERCMATCO">#REF!</definedName>
    <definedName name="percmatcon">#REF!</definedName>
    <definedName name="percmu">#REF!</definedName>
    <definedName name="percreaj">#REF!</definedName>
    <definedName name="PESOS">#N/A</definedName>
    <definedName name="PESOTOTALCOL">#REF!</definedName>
    <definedName name="pilsec">#REF!</definedName>
    <definedName name="PINTURA">#REF!</definedName>
    <definedName name="PINTURA_4">#N/A</definedName>
    <definedName name="PINTURA_5">#N/A</definedName>
    <definedName name="PL">#REF!:INDIRECT(#REF!)</definedName>
    <definedName name="plamnsj" localSheetId="3" hidden="1">{#N/A,#N/A,TRUE,"Summary";#N/A,#N/A,TRUE,"Worksheet";#N/A,#N/A,TRUE,"CashFlow"}</definedName>
    <definedName name="plamnsj" localSheetId="2" hidden="1">{#N/A,#N/A,TRUE,"Summary";#N/A,#N/A,TRUE,"Worksheet";#N/A,#N/A,TRUE,"CashFlow"}</definedName>
    <definedName name="plamnsj" localSheetId="5" hidden="1">{#N/A,#N/A,TRUE,"Summary";#N/A,#N/A,TRUE,"Worksheet";#N/A,#N/A,TRUE,"CashFlow"}</definedName>
    <definedName name="plamnsj" localSheetId="7" hidden="1">{#N/A,#N/A,TRUE,"Summary";#N/A,#N/A,TRUE,"Worksheet";#N/A,#N/A,TRUE,"CashFlow"}</definedName>
    <definedName name="plamnsj" localSheetId="1" hidden="1">{#N/A,#N/A,TRUE,"Summary";#N/A,#N/A,TRUE,"Worksheet";#N/A,#N/A,TRUE,"CashFlow"}</definedName>
    <definedName name="plamnsj" hidden="1">{#N/A,#N/A,TRUE,"Summary";#N/A,#N/A,TRUE,"Worksheet";#N/A,#N/A,TRUE,"CashFlow"}</definedName>
    <definedName name="PLAN">#REF!:INDIRECT(#REF!)</definedName>
    <definedName name="Plan_Unit">#REF!</definedName>
    <definedName name="Plan2">#REF!</definedName>
    <definedName name="PLANILHA">#REF!</definedName>
    <definedName name="PLLIMPA">#REF!</definedName>
    <definedName name="PLRED">#REF!</definedName>
    <definedName name="POÇOS">#REF!</definedName>
    <definedName name="POETOTINS">#REF!</definedName>
    <definedName name="Popular" localSheetId="3" hidden="1">{#N/A,#N/A,FALSE,"Cronograma";#N/A,#N/A,FALSE,"Cronogr. 2"}</definedName>
    <definedName name="Popular" localSheetId="2" hidden="1">{#N/A,#N/A,FALSE,"Cronograma";#N/A,#N/A,FALSE,"Cronogr. 2"}</definedName>
    <definedName name="Popular" localSheetId="5" hidden="1">{#N/A,#N/A,FALSE,"Cronograma";#N/A,#N/A,FALSE,"Cronogr. 2"}</definedName>
    <definedName name="Popular" localSheetId="7" hidden="1">{#N/A,#N/A,FALSE,"Cronograma";#N/A,#N/A,FALSE,"Cronogr. 2"}</definedName>
    <definedName name="Popular" localSheetId="1" hidden="1">{#N/A,#N/A,FALSE,"Cronograma";#N/A,#N/A,FALSE,"Cronogr. 2"}</definedName>
    <definedName name="Popular" hidden="1">{#N/A,#N/A,FALSE,"Cronograma";#N/A,#N/A,FALSE,"Cronogr. 2"}</definedName>
    <definedName name="pos" localSheetId="3" hidden="1">{#N/A,#N/A,FALSE,"GERAL";#N/A,#N/A,FALSE,"012-96";#N/A,#N/A,FALSE,"018-96";#N/A,#N/A,FALSE,"027-96";#N/A,#N/A,FALSE,"059-96";#N/A,#N/A,FALSE,"076-96";#N/A,#N/A,FALSE,"019-97";#N/A,#N/A,FALSE,"021-97";#N/A,#N/A,FALSE,"022-97";#N/A,#N/A,FALSE,"028-97"}</definedName>
    <definedName name="pos" localSheetId="2" hidden="1">{#N/A,#N/A,FALSE,"GERAL";#N/A,#N/A,FALSE,"012-96";#N/A,#N/A,FALSE,"018-96";#N/A,#N/A,FALSE,"027-96";#N/A,#N/A,FALSE,"059-96";#N/A,#N/A,FALSE,"076-96";#N/A,#N/A,FALSE,"019-97";#N/A,#N/A,FALSE,"021-97";#N/A,#N/A,FALSE,"022-97";#N/A,#N/A,FALSE,"028-97"}</definedName>
    <definedName name="pos" localSheetId="5" hidden="1">{#N/A,#N/A,FALSE,"GERAL";#N/A,#N/A,FALSE,"012-96";#N/A,#N/A,FALSE,"018-96";#N/A,#N/A,FALSE,"027-96";#N/A,#N/A,FALSE,"059-96";#N/A,#N/A,FALSE,"076-96";#N/A,#N/A,FALSE,"019-97";#N/A,#N/A,FALSE,"021-97";#N/A,#N/A,FALSE,"022-97";#N/A,#N/A,FALSE,"028-97"}</definedName>
    <definedName name="pos" localSheetId="7" hidden="1">{#N/A,#N/A,FALSE,"GERAL";#N/A,#N/A,FALSE,"012-96";#N/A,#N/A,FALSE,"018-96";#N/A,#N/A,FALSE,"027-96";#N/A,#N/A,FALSE,"059-96";#N/A,#N/A,FALSE,"076-96";#N/A,#N/A,FALSE,"019-97";#N/A,#N/A,FALSE,"021-97";#N/A,#N/A,FALSE,"022-97";#N/A,#N/A,FALSE,"028-97"}</definedName>
    <definedName name="pos" localSheetId="1" hidden="1">{#N/A,#N/A,FALSE,"GERAL";#N/A,#N/A,FALSE,"012-96";#N/A,#N/A,FALSE,"018-96";#N/A,#N/A,FALSE,"027-96";#N/A,#N/A,FALSE,"059-96";#N/A,#N/A,FALSE,"076-96";#N/A,#N/A,FALSE,"019-97";#N/A,#N/A,FALSE,"021-97";#N/A,#N/A,FALSE,"022-97";#N/A,#N/A,FALSE,"028-97"}</definedName>
    <definedName name="pos" hidden="1">{#N/A,#N/A,FALSE,"GERAL";#N/A,#N/A,FALSE,"012-96";#N/A,#N/A,FALSE,"018-96";#N/A,#N/A,FALSE,"027-96";#N/A,#N/A,FALSE,"059-96";#N/A,#N/A,FALSE,"076-96";#N/A,#N/A,FALSE,"019-97";#N/A,#N/A,FALSE,"021-97";#N/A,#N/A,FALSE,"022-97";#N/A,#N/A,FALSE,"028-97"}</definedName>
    <definedName name="ppu" localSheetId="3" hidden="1">{#N/A,#N/A,FALSE,"Cronograma";#N/A,#N/A,FALSE,"Cronogr. 2"}</definedName>
    <definedName name="ppu" localSheetId="2" hidden="1">{#N/A,#N/A,FALSE,"Cronograma";#N/A,#N/A,FALSE,"Cronogr. 2"}</definedName>
    <definedName name="ppu" localSheetId="5" hidden="1">{#N/A,#N/A,FALSE,"Cronograma";#N/A,#N/A,FALSE,"Cronogr. 2"}</definedName>
    <definedName name="ppu" localSheetId="7" hidden="1">{#N/A,#N/A,FALSE,"Cronograma";#N/A,#N/A,FALSE,"Cronogr. 2"}</definedName>
    <definedName name="ppu" localSheetId="1" hidden="1">{#N/A,#N/A,FALSE,"Cronograma";#N/A,#N/A,FALSE,"Cronogr. 2"}</definedName>
    <definedName name="ppu" hidden="1">{#N/A,#N/A,FALSE,"Cronograma";#N/A,#N/A,FALSE,"Cronogr. 2"}</definedName>
    <definedName name="pr">#REF!</definedName>
    <definedName name="Prazo">#REF!</definedName>
    <definedName name="prazobra">#REF!</definedName>
    <definedName name="PRAZODISC">#N/A</definedName>
    <definedName name="PRCIVIL">#N/A</definedName>
    <definedName name="pre_mod_jor">#REF!</definedName>
    <definedName name="pre_moi_jor">#REF!</definedName>
    <definedName name="Precificação">#REF!</definedName>
    <definedName name="preço">#REF!</definedName>
    <definedName name="PRECOUNIT">#REF!</definedName>
    <definedName name="PRECOUNITARIO">#REF!</definedName>
    <definedName name="premat">#REF!</definedName>
    <definedName name="prequip">#REF!</definedName>
    <definedName name="PRIMEIRA">#REF!</definedName>
    <definedName name="Print_Area_MI">#REF!</definedName>
    <definedName name="Print_Titles_10">(#REF!,#REF!)</definedName>
    <definedName name="Print_Titles_11">(#REF!,#REF!)</definedName>
    <definedName name="Print_Titles_12">(#REF!,#REF!)</definedName>
    <definedName name="Print_Titles_13">(#REF!,#REF!)</definedName>
    <definedName name="Print_Titles_14">(#REF!,#REF!)</definedName>
    <definedName name="Print_Titles_8">#REF!</definedName>
    <definedName name="Print_Titles_9">(#REF!,#REF!)</definedName>
    <definedName name="PROCESSA">#REF!</definedName>
    <definedName name="produtos">#REF!</definedName>
    <definedName name="PROGDIM">#N/A</definedName>
    <definedName name="PRTOTALCOL">#REF!</definedName>
    <definedName name="q">#REF!</definedName>
    <definedName name="q1sd21q6" hidden="1">#REF!</definedName>
    <definedName name="qq">#REF!</definedName>
    <definedName name="QUANT">#REF!</definedName>
    <definedName name="QUANTASDISC">#N/A</definedName>
    <definedName name="QUANTASDISCMOB">#N/A</definedName>
    <definedName name="QUANTID1">#N/A</definedName>
    <definedName name="QUANTK">#REF!</definedName>
    <definedName name="QUANTOTMAT9">#REF!</definedName>
    <definedName name="QUANTTOTCP">#REF!</definedName>
    <definedName name="QUANTTOTEQUIP">#REF!</definedName>
    <definedName name="QUANTTOTEQUIP1">#REF!</definedName>
    <definedName name="QUANTTOTEQUIP10">#REF!</definedName>
    <definedName name="QUANTTOTEQUIP2">#REF!</definedName>
    <definedName name="QUANTTOTEQUIP3">#REF!</definedName>
    <definedName name="QUANTTOTEQUIP4">#REF!</definedName>
    <definedName name="QUANTTOTEQUIP5">#REF!</definedName>
    <definedName name="QUANTTOTEQUIP6">#REF!</definedName>
    <definedName name="QUANTTOTEQUIP7">#REF!</definedName>
    <definedName name="QUANTTOTEQUIP8">#REF!</definedName>
    <definedName name="QUANTTOTEQUIP9">#REF!</definedName>
    <definedName name="QUANTTOTMAT">#REF!</definedName>
    <definedName name="QUANTTOTMAT1">#REF!</definedName>
    <definedName name="QUANTTOTMAT10">#REF!</definedName>
    <definedName name="QUANTTOTMAT11">#REF!</definedName>
    <definedName name="QUANTTOTMAT12">#REF!</definedName>
    <definedName name="QUANTTOTMAT13">#REF!</definedName>
    <definedName name="QUANTTOTMAT2">#REF!</definedName>
    <definedName name="QUANTTOTMAT3">#REF!</definedName>
    <definedName name="QUANTTOTMAT4">#REF!</definedName>
    <definedName name="QUANTTOTMAT5">#REF!</definedName>
    <definedName name="QUANTTOTMAT6">#REF!</definedName>
    <definedName name="QUANTTOTMAT7">#REF!</definedName>
    <definedName name="QUANTTOTMAT8">#REF!</definedName>
    <definedName name="QUANTTOTMAT9">#REF!</definedName>
    <definedName name="QUERAPAGTAB">#N/A</definedName>
    <definedName name="QUOEFIC_RECOMP">0.9075</definedName>
    <definedName name="qwe16as" hidden="1">#REF!</definedName>
    <definedName name="qwer123" hidden="1">#REF!</definedName>
    <definedName name="qwert">#REF!</definedName>
    <definedName name="qwert12" hidden="1">#REF!</definedName>
    <definedName name="qwertt">#REF!</definedName>
    <definedName name="R_23">#REF!</definedName>
    <definedName name="R_24">#REF!</definedName>
    <definedName name="R_25">#REF!</definedName>
    <definedName name="R_26">#REF!</definedName>
    <definedName name="RA">#N/A</definedName>
    <definedName name="RANGE1">#N/A</definedName>
    <definedName name="RANGE2">#N/A</definedName>
    <definedName name="RB">#N/A</definedName>
    <definedName name="RECALCULA">#REF!</definedName>
    <definedName name="RELATI">#REF!</definedName>
    <definedName name="RELEQUIP">#REF!</definedName>
    <definedName name="RELMATPERM">#REF!</definedName>
    <definedName name="res">#REF!</definedName>
    <definedName name="RESETCOL">#N/A</definedName>
    <definedName name="RESFEC">#REF!</definedName>
    <definedName name="RESHH">#REF!</definedName>
    <definedName name="resins">#REF!</definedName>
    <definedName name="RESUMO">#N/A</definedName>
    <definedName name="Resumo_eletrica">#REF!</definedName>
    <definedName name="Resumo_eletrica_1">#REF!</definedName>
    <definedName name="Resumo_eletrica_2">#REF!</definedName>
    <definedName name="Resumo_GeralTub">#REF!</definedName>
    <definedName name="Resumo_Instrumentacao">#REF!</definedName>
    <definedName name="Resumo_Instrumentacao_1">#REF!</definedName>
    <definedName name="Resumo_Instrumentacao_2">#REF!</definedName>
    <definedName name="Resumo_Tubulacao">#REF!</definedName>
    <definedName name="rev">#REF!</definedName>
    <definedName name="RF">#N/A</definedName>
    <definedName name="rio" localSheetId="3" hidden="1">{#N/A,#N/A,FALSE,"Cronograma";#N/A,#N/A,FALSE,"Cronogr. 2"}</definedName>
    <definedName name="rio" localSheetId="2" hidden="1">{#N/A,#N/A,FALSE,"Cronograma";#N/A,#N/A,FALSE,"Cronogr. 2"}</definedName>
    <definedName name="rio" localSheetId="5" hidden="1">{#N/A,#N/A,FALSE,"Cronograma";#N/A,#N/A,FALSE,"Cronogr. 2"}</definedName>
    <definedName name="rio" localSheetId="7" hidden="1">{#N/A,#N/A,FALSE,"Cronograma";#N/A,#N/A,FALSE,"Cronogr. 2"}</definedName>
    <definedName name="rio" localSheetId="1" hidden="1">{#N/A,#N/A,FALSE,"Cronograma";#N/A,#N/A,FALSE,"Cronogr. 2"}</definedName>
    <definedName name="rio" hidden="1">{#N/A,#N/A,FALSE,"Cronograma";#N/A,#N/A,FALSE,"Cronogr. 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MinimizeOnStart" hidden="1">FALSE</definedName>
    <definedName name="RiskMonitorConvergence" hidden="1">FALSE</definedName>
    <definedName name="RiskMultipleCPUSupportEnabled" hidden="1">TRUE</definedName>
    <definedName name="RiskNumIterations" hidden="1">2000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TRUE</definedName>
    <definedName name="RiskUseDifferentSeedForEachSim" hidden="1">FALSE</definedName>
    <definedName name="RiskUseFixedSeed" hidden="1">FALSE</definedName>
    <definedName name="RiskUseMultipleCPUs" hidden="1">TRUE</definedName>
    <definedName name="ROTBEEP">#N/A</definedName>
    <definedName name="ROTEQ">#N/A</definedName>
    <definedName name="ROTEQ1">#N/A</definedName>
    <definedName name="ROTFIS1">#N/A</definedName>
    <definedName name="ROTFIS2">#N/A</definedName>
    <definedName name="ROTFIS3">#N/A</definedName>
    <definedName name="ROTFORM">#N/A</definedName>
    <definedName name="ROTNOM">#N/A</definedName>
    <definedName name="ROTPERC">#N/A</definedName>
    <definedName name="ROTRISC">#N/A</definedName>
    <definedName name="ROTSOMA1">#N/A</definedName>
    <definedName name="ROTTOTALGER">#N/A</definedName>
    <definedName name="RP">#REF!</definedName>
    <definedName name="S">#REF!</definedName>
    <definedName name="S_autentica">#REF!</definedName>
    <definedName name="s_da_curva_de_50">#REF!</definedName>
    <definedName name="SALARIOS">#REF!</definedName>
    <definedName name="SALVAMENTO">#N/A</definedName>
    <definedName name="sas" localSheetId="3" hidden="1">{#N/A,#N/A,FALSE,"GERAL";#N/A,#N/A,FALSE,"012-96";#N/A,#N/A,FALSE,"018-96";#N/A,#N/A,FALSE,"027-96";#N/A,#N/A,FALSE,"059-96";#N/A,#N/A,FALSE,"076-96";#N/A,#N/A,FALSE,"019-97";#N/A,#N/A,FALSE,"021-97";#N/A,#N/A,FALSE,"022-97";#N/A,#N/A,FALSE,"028-97"}</definedName>
    <definedName name="sas" localSheetId="2" hidden="1">{#N/A,#N/A,FALSE,"GERAL";#N/A,#N/A,FALSE,"012-96";#N/A,#N/A,FALSE,"018-96";#N/A,#N/A,FALSE,"027-96";#N/A,#N/A,FALSE,"059-96";#N/A,#N/A,FALSE,"076-96";#N/A,#N/A,FALSE,"019-97";#N/A,#N/A,FALSE,"021-97";#N/A,#N/A,FALSE,"022-97";#N/A,#N/A,FALSE,"028-97"}</definedName>
    <definedName name="sas" localSheetId="5" hidden="1">{#N/A,#N/A,FALSE,"GERAL";#N/A,#N/A,FALSE,"012-96";#N/A,#N/A,FALSE,"018-96";#N/A,#N/A,FALSE,"027-96";#N/A,#N/A,FALSE,"059-96";#N/A,#N/A,FALSE,"076-96";#N/A,#N/A,FALSE,"019-97";#N/A,#N/A,FALSE,"021-97";#N/A,#N/A,FALSE,"022-97";#N/A,#N/A,FALSE,"028-97"}</definedName>
    <definedName name="sas" localSheetId="7" hidden="1">{#N/A,#N/A,FALSE,"GERAL";#N/A,#N/A,FALSE,"012-96";#N/A,#N/A,FALSE,"018-96";#N/A,#N/A,FALSE,"027-96";#N/A,#N/A,FALSE,"059-96";#N/A,#N/A,FALSE,"076-96";#N/A,#N/A,FALSE,"019-97";#N/A,#N/A,FALSE,"021-97";#N/A,#N/A,FALSE,"022-97";#N/A,#N/A,FALSE,"028-97"}</definedName>
    <definedName name="sas" localSheetId="1" hidden="1">{#N/A,#N/A,FALSE,"GERAL";#N/A,#N/A,FALSE,"012-96";#N/A,#N/A,FALSE,"018-96";#N/A,#N/A,FALSE,"027-96";#N/A,#N/A,FALSE,"059-96";#N/A,#N/A,FALSE,"076-96";#N/A,#N/A,FALSE,"019-97";#N/A,#N/A,FALSE,"021-97";#N/A,#N/A,FALSE,"022-97";#N/A,#N/A,FALSE,"028-97"}</definedName>
    <definedName name="sas" hidden="1">{#N/A,#N/A,FALSE,"GERAL";#N/A,#N/A,FALSE,"012-96";#N/A,#N/A,FALSE,"018-96";#N/A,#N/A,FALSE,"027-96";#N/A,#N/A,FALSE,"059-96";#N/A,#N/A,FALSE,"076-96";#N/A,#N/A,FALSE,"019-97";#N/A,#N/A,FALSE,"021-97";#N/A,#N/A,FALSE,"022-97";#N/A,#N/A,FALSE,"028-97"}</definedName>
    <definedName name="SchDialog">"Schaltfläche 10"</definedName>
    <definedName name="SchPrüfen">"Schaltfläche 8"</definedName>
    <definedName name="sdf" localSheetId="3" hidden="1">{#N/A,#N/A,FALSE,"GERAL";#N/A,#N/A,FALSE,"012-96";#N/A,#N/A,FALSE,"018-96";#N/A,#N/A,FALSE,"027-96";#N/A,#N/A,FALSE,"059-96";#N/A,#N/A,FALSE,"076-96";#N/A,#N/A,FALSE,"019-97";#N/A,#N/A,FALSE,"021-97";#N/A,#N/A,FALSE,"022-97";#N/A,#N/A,FALSE,"028-97"}</definedName>
    <definedName name="sdf" localSheetId="2" hidden="1">{#N/A,#N/A,FALSE,"GERAL";#N/A,#N/A,FALSE,"012-96";#N/A,#N/A,FALSE,"018-96";#N/A,#N/A,FALSE,"027-96";#N/A,#N/A,FALSE,"059-96";#N/A,#N/A,FALSE,"076-96";#N/A,#N/A,FALSE,"019-97";#N/A,#N/A,FALSE,"021-97";#N/A,#N/A,FALSE,"022-97";#N/A,#N/A,FALSE,"028-97"}</definedName>
    <definedName name="sdf" localSheetId="5" hidden="1">{#N/A,#N/A,FALSE,"GERAL";#N/A,#N/A,FALSE,"012-96";#N/A,#N/A,FALSE,"018-96";#N/A,#N/A,FALSE,"027-96";#N/A,#N/A,FALSE,"059-96";#N/A,#N/A,FALSE,"076-96";#N/A,#N/A,FALSE,"019-97";#N/A,#N/A,FALSE,"021-97";#N/A,#N/A,FALSE,"022-97";#N/A,#N/A,FALSE,"028-97"}</definedName>
    <definedName name="sdf" localSheetId="7" hidden="1">{#N/A,#N/A,FALSE,"GERAL";#N/A,#N/A,FALSE,"012-96";#N/A,#N/A,FALSE,"018-96";#N/A,#N/A,FALSE,"027-96";#N/A,#N/A,FALSE,"059-96";#N/A,#N/A,FALSE,"076-96";#N/A,#N/A,FALSE,"019-97";#N/A,#N/A,FALSE,"021-97";#N/A,#N/A,FALSE,"022-97";#N/A,#N/A,FALSE,"028-97"}</definedName>
    <definedName name="sdf" localSheetId="1" hidden="1">{#N/A,#N/A,FALSE,"GERAL";#N/A,#N/A,FALSE,"012-96";#N/A,#N/A,FALSE,"018-96";#N/A,#N/A,FALSE,"027-96";#N/A,#N/A,FALSE,"059-96";#N/A,#N/A,FALSE,"076-96";#N/A,#N/A,FALSE,"019-97";#N/A,#N/A,FALSE,"021-97";#N/A,#N/A,FALSE,"022-97";#N/A,#N/A,FALSE,"028-97"}</definedName>
    <definedName name="sdf" hidden="1">{#N/A,#N/A,FALSE,"GERAL";#N/A,#N/A,FALSE,"012-96";#N/A,#N/A,FALSE,"018-96";#N/A,#N/A,FALSE,"027-96";#N/A,#N/A,FALSE,"059-96";#N/A,#N/A,FALSE,"076-96";#N/A,#N/A,FALSE,"019-97";#N/A,#N/A,FALSE,"021-97";#N/A,#N/A,FALSE,"022-97";#N/A,#N/A,FALSE,"028-97"}</definedName>
    <definedName name="SDFSF" localSheetId="3" hidden="1">{#N/A,#N/A,FALSE,"GERAL";#N/A,#N/A,FALSE,"012-96";#N/A,#N/A,FALSE,"018-96";#N/A,#N/A,FALSE,"027-96";#N/A,#N/A,FALSE,"059-96";#N/A,#N/A,FALSE,"076-96";#N/A,#N/A,FALSE,"019-97";#N/A,#N/A,FALSE,"021-97";#N/A,#N/A,FALSE,"022-97";#N/A,#N/A,FALSE,"028-97"}</definedName>
    <definedName name="SDFSF" localSheetId="2" hidden="1">{#N/A,#N/A,FALSE,"GERAL";#N/A,#N/A,FALSE,"012-96";#N/A,#N/A,FALSE,"018-96";#N/A,#N/A,FALSE,"027-96";#N/A,#N/A,FALSE,"059-96";#N/A,#N/A,FALSE,"076-96";#N/A,#N/A,FALSE,"019-97";#N/A,#N/A,FALSE,"021-97";#N/A,#N/A,FALSE,"022-97";#N/A,#N/A,FALSE,"028-97"}</definedName>
    <definedName name="SDFSF" localSheetId="5" hidden="1">{#N/A,#N/A,FALSE,"GERAL";#N/A,#N/A,FALSE,"012-96";#N/A,#N/A,FALSE,"018-96";#N/A,#N/A,FALSE,"027-96";#N/A,#N/A,FALSE,"059-96";#N/A,#N/A,FALSE,"076-96";#N/A,#N/A,FALSE,"019-97";#N/A,#N/A,FALSE,"021-97";#N/A,#N/A,FALSE,"022-97";#N/A,#N/A,FALSE,"028-97"}</definedName>
    <definedName name="SDFSF" localSheetId="7" hidden="1">{#N/A,#N/A,FALSE,"GERAL";#N/A,#N/A,FALSE,"012-96";#N/A,#N/A,FALSE,"018-96";#N/A,#N/A,FALSE,"027-96";#N/A,#N/A,FALSE,"059-96";#N/A,#N/A,FALSE,"076-96";#N/A,#N/A,FALSE,"019-97";#N/A,#N/A,FALSE,"021-97";#N/A,#N/A,FALSE,"022-97";#N/A,#N/A,FALSE,"028-97"}</definedName>
    <definedName name="SDFSF" localSheetId="1" hidden="1">{#N/A,#N/A,FALSE,"GERAL";#N/A,#N/A,FALSE,"012-96";#N/A,#N/A,FALSE,"018-96";#N/A,#N/A,FALSE,"027-96";#N/A,#N/A,FALSE,"059-96";#N/A,#N/A,FALSE,"076-96";#N/A,#N/A,FALSE,"019-97";#N/A,#N/A,FALSE,"021-97";#N/A,#N/A,FALSE,"022-97";#N/A,#N/A,FALSE,"028-97"}</definedName>
    <definedName name="SDFSF" hidden="1">{#N/A,#N/A,FALSE,"GERAL";#N/A,#N/A,FALSE,"012-96";#N/A,#N/A,FALSE,"018-96";#N/A,#N/A,FALSE,"027-96";#N/A,#N/A,FALSE,"059-96";#N/A,#N/A,FALSE,"076-96";#N/A,#N/A,FALSE,"019-97";#N/A,#N/A,FALSE,"021-97";#N/A,#N/A,FALSE,"022-97";#N/A,#N/A,FALSE,"028-97"}</definedName>
    <definedName name="SegmentaçãodeDados_RESSALVAS?">#N/A</definedName>
    <definedName name="SegmentaçãodeDados_RESSALVAS?1">#N/A</definedName>
    <definedName name="SegmentaçãodeDados_RESSALVAS?11">#N/A</definedName>
    <definedName name="SegmentaçãodeDados_STATUS">#N/A</definedName>
    <definedName name="SegmentaçãodeDados_STATUS._ENVIO">#N/A</definedName>
    <definedName name="SegmentaçãodeDados_STATUS__EC">#N/A</definedName>
    <definedName name="SegmentaçãodeDados_STATUS__EC1">#N/A</definedName>
    <definedName name="SegmentaçãodeDados_STATUS_DEMANDA">#N/A</definedName>
    <definedName name="SegmentaçãodeDados_STATUS_DEMANDA1">#N/A</definedName>
    <definedName name="SegmentaçãodeDados_STATUS_DEMANDA11">#N/A</definedName>
    <definedName name="SegmentaçãodeDados_STATUS_PRIMÁRIO">#N/A</definedName>
    <definedName name="SegmentaçãodeDados_TIPO">#N/A</definedName>
    <definedName name="SegmentaçãodeDados_TIPO1">#N/A</definedName>
    <definedName name="SegmentaçãodeDados_TIPO2">#N/A</definedName>
    <definedName name="SegmentaçãodeDados_TIPO3">#N/A</definedName>
    <definedName name="SegmentaçãodeDados_TOMADOR">#N/A</definedName>
    <definedName name="SegmentaçãodeDados_TOMADOR1">#N/A</definedName>
    <definedName name="SegmentaçãodeDados_TOMADOR2">#N/A</definedName>
    <definedName name="SegmentaçãodeDados_TOMADOR21">#N/A</definedName>
    <definedName name="SegmentaçãodeDados_TOMADOR211">#N/A</definedName>
    <definedName name="SegmentaçãodeDados_TOMADOR31">#N/A</definedName>
    <definedName name="Seguro_Internacional">#REF!</definedName>
    <definedName name="SEMANA">#REF!</definedName>
    <definedName name="SERV">#REF!</definedName>
    <definedName name="Serviços">#REF!</definedName>
    <definedName name="servosasco">#REF!</definedName>
    <definedName name="SIMNAO">#REF!</definedName>
    <definedName name="sm">#REF!</definedName>
    <definedName name="sm_23">#REF!</definedName>
    <definedName name="sm_24">#REF!</definedName>
    <definedName name="sm_25">#REF!</definedName>
    <definedName name="sm_26">#REF!</definedName>
    <definedName name="sold1">#REF!</definedName>
    <definedName name="sold10">#REF!</definedName>
    <definedName name="sold12">#REF!</definedName>
    <definedName name="sold14">#REF!</definedName>
    <definedName name="sold1m">#REF!</definedName>
    <definedName name="sold2">#REF!</definedName>
    <definedName name="sold3">#REF!</definedName>
    <definedName name="sold3q">#REF!</definedName>
    <definedName name="sold4">#REF!</definedName>
    <definedName name="sold6">#REF!</definedName>
    <definedName name="sold8">#REF!</definedName>
    <definedName name="soma_empregados">#REF!</definedName>
    <definedName name="soma_empregados_23">#REF!</definedName>
    <definedName name="soma_empregados_24">#REF!</definedName>
    <definedName name="soma_empregados_25">#REF!</definedName>
    <definedName name="soma_empregados_26">#REF!</definedName>
    <definedName name="SOMA2GER">#N/A</definedName>
    <definedName name="SOMAGER">#N/A</definedName>
    <definedName name="SOMAHHDIF">#REF!</definedName>
    <definedName name="SS">#REF!</definedName>
    <definedName name="stb">#REF!</definedName>
    <definedName name="stb_23">#REF!</definedName>
    <definedName name="stb_24">#REF!</definedName>
    <definedName name="stb_25">#REF!</definedName>
    <definedName name="stb_26">#REF!</definedName>
    <definedName name="SUBROTIMP">#N/A</definedName>
    <definedName name="SUBROTIMP1">#N/A</definedName>
    <definedName name="subtotais">#REF!,#REF!,#REF!</definedName>
    <definedName name="SUNHH">#N/A</definedName>
    <definedName name="SUNHH1">#N/A</definedName>
    <definedName name="SYOKI_GAMEN">#REF!</definedName>
    <definedName name="t">#REF!</definedName>
    <definedName name="TAB">#N/A</definedName>
    <definedName name="Tab_CPressao">#REF!</definedName>
    <definedName name="Tab_Diam">#REF!</definedName>
    <definedName name="tab_global">#REF!</definedName>
    <definedName name="tab_HH">#REF!</definedName>
    <definedName name="tab_Mat">#REF!</definedName>
    <definedName name="Tab_quantitativos">"$#REF!.$A$9:$N$92"</definedName>
    <definedName name="tab_valv">#REF!</definedName>
    <definedName name="TABAJHH">#REF!</definedName>
    <definedName name="tabdiv">#REF!</definedName>
    <definedName name="TABELAS">#N/A</definedName>
    <definedName name="TABEQ">#REF!</definedName>
    <definedName name="TABLE">#N/A</definedName>
    <definedName name="tabpor">#REF!</definedName>
    <definedName name="tabsal">#REF!</definedName>
    <definedName name="TACF">#REF!</definedName>
    <definedName name="TACI">#REF!</definedName>
    <definedName name="TACR">#REF!</definedName>
    <definedName name="TACS">#REF!</definedName>
    <definedName name="TAG">#REF!</definedName>
    <definedName name="tc">#REF!</definedName>
    <definedName name="TD_Mai09">#REF!</definedName>
    <definedName name="TE">#REF!</definedName>
    <definedName name="TELABRANCO">#N/A</definedName>
    <definedName name="TELALA">#REF!</definedName>
    <definedName name="TELAPRES">#N/A</definedName>
    <definedName name="TELAS">#N/A</definedName>
    <definedName name="TELATOTCP">#REF!</definedName>
    <definedName name="TELATOTHH">#REF!</definedName>
    <definedName name="Telefone_responsavel">#REF!</definedName>
    <definedName name="TESTAFUN">#REF!</definedName>
    <definedName name="TESTAQUANT1">#REF!</definedName>
    <definedName name="TESTAQUANT2">#REF!</definedName>
    <definedName name="TESTE">#REF!</definedName>
    <definedName name="testea">#REF!:OFFSET(#REF!,#REF!-1,0)</definedName>
    <definedName name="TESTECODSEC">#REF!</definedName>
    <definedName name="TESTECODSERV">#REF!</definedName>
    <definedName name="testeFuvio" localSheetId="3" hidden="1">{#N/A,#N/A,FALSE,"GERAL";#N/A,#N/A,FALSE,"012-96";#N/A,#N/A,FALSE,"018-96";#N/A,#N/A,FALSE,"027-96";#N/A,#N/A,FALSE,"059-96";#N/A,#N/A,FALSE,"076-96";#N/A,#N/A,FALSE,"019-97";#N/A,#N/A,FALSE,"021-97";#N/A,#N/A,FALSE,"022-97";#N/A,#N/A,FALSE,"028-97"}</definedName>
    <definedName name="testeFuvio" localSheetId="2" hidden="1">{#N/A,#N/A,FALSE,"GERAL";#N/A,#N/A,FALSE,"012-96";#N/A,#N/A,FALSE,"018-96";#N/A,#N/A,FALSE,"027-96";#N/A,#N/A,FALSE,"059-96";#N/A,#N/A,FALSE,"076-96";#N/A,#N/A,FALSE,"019-97";#N/A,#N/A,FALSE,"021-97";#N/A,#N/A,FALSE,"022-97";#N/A,#N/A,FALSE,"028-97"}</definedName>
    <definedName name="testeFuvio" localSheetId="5" hidden="1">{#N/A,#N/A,FALSE,"GERAL";#N/A,#N/A,FALSE,"012-96";#N/A,#N/A,FALSE,"018-96";#N/A,#N/A,FALSE,"027-96";#N/A,#N/A,FALSE,"059-96";#N/A,#N/A,FALSE,"076-96";#N/A,#N/A,FALSE,"019-97";#N/A,#N/A,FALSE,"021-97";#N/A,#N/A,FALSE,"022-97";#N/A,#N/A,FALSE,"028-97"}</definedName>
    <definedName name="testeFuvio" localSheetId="7" hidden="1">{#N/A,#N/A,FALSE,"GERAL";#N/A,#N/A,FALSE,"012-96";#N/A,#N/A,FALSE,"018-96";#N/A,#N/A,FALSE,"027-96";#N/A,#N/A,FALSE,"059-96";#N/A,#N/A,FALSE,"076-96";#N/A,#N/A,FALSE,"019-97";#N/A,#N/A,FALSE,"021-97";#N/A,#N/A,FALSE,"022-97";#N/A,#N/A,FALSE,"028-97"}</definedName>
    <definedName name="testeFuvio" localSheetId="1" hidden="1">{#N/A,#N/A,FALSE,"GERAL";#N/A,#N/A,FALSE,"012-96";#N/A,#N/A,FALSE,"018-96";#N/A,#N/A,FALSE,"027-96";#N/A,#N/A,FALSE,"059-96";#N/A,#N/A,FALSE,"076-96";#N/A,#N/A,FALSE,"019-97";#N/A,#N/A,FALSE,"021-97";#N/A,#N/A,FALSE,"022-97";#N/A,#N/A,FALSE,"028-97"}</definedName>
    <definedName name="testeFuvio" hidden="1">{#N/A,#N/A,FALSE,"GERAL";#N/A,#N/A,FALSE,"012-96";#N/A,#N/A,FALSE,"018-96";#N/A,#N/A,FALSE,"027-96";#N/A,#N/A,FALSE,"059-96";#N/A,#N/A,FALSE,"076-96";#N/A,#N/A,FALSE,"019-97";#N/A,#N/A,FALSE,"021-97";#N/A,#N/A,FALSE,"022-97";#N/A,#N/A,FALSE,"028-97"}</definedName>
    <definedName name="TI">#REF!</definedName>
    <definedName name="TIPO">#REF!</definedName>
    <definedName name="TITULO">#REF!</definedName>
    <definedName name="Títulos_impressão_IM">#REF!</definedName>
    <definedName name="TM_23">#REF!</definedName>
    <definedName name="TM_24">#REF!</definedName>
    <definedName name="TM_25">#REF!</definedName>
    <definedName name="TM_26">#REF!</definedName>
    <definedName name="TOT">#REF!</definedName>
    <definedName name="TOTAL">#REF!</definedName>
    <definedName name="TOTALCP">#REF!</definedName>
    <definedName name="TOTALEQ">#N/A</definedName>
    <definedName name="TOTALGER">#REF!</definedName>
    <definedName name="totalim">#REF!</definedName>
    <definedName name="TOTALIZACP">#REF!</definedName>
    <definedName name="TOTALIZAEQUIP">#REF!</definedName>
    <definedName name="TOTALIZAFUN">#REF!</definedName>
    <definedName name="TOTALIZAHH">#REF!</definedName>
    <definedName name="TOTALIZAMAT">#REF!</definedName>
    <definedName name="TOTALLINHAS">#REF!</definedName>
    <definedName name="totapoio">#REF!</definedName>
    <definedName name="totbdi">#REF!</definedName>
    <definedName name="TOTCOMP">#REF!</definedName>
    <definedName name="totcp">#REF!</definedName>
    <definedName name="totcustos">#REF!</definedName>
    <definedName name="totepi">#REF!</definedName>
    <definedName name="toteqdiv">#REF!</definedName>
    <definedName name="toteqesp">#REF!</definedName>
    <definedName name="TOTEQUIP">#REF!</definedName>
    <definedName name="totexam">#REF!</definedName>
    <definedName name="tothe">#REF!</definedName>
    <definedName name="TOTHH">#REF!</definedName>
    <definedName name="TOTHHFUN">#N/A</definedName>
    <definedName name="TOTHORASGER">#N/A</definedName>
    <definedName name="totins">#REF!</definedName>
    <definedName name="totlinhasplan2.7">#REF!</definedName>
    <definedName name="TOTMAT">#REF!</definedName>
    <definedName name="totmatco">#REF!</definedName>
    <definedName name="totmatpe">#REF!</definedName>
    <definedName name="TOTMOD">#REF!</definedName>
    <definedName name="TOTQUANTMAT">#REF!</definedName>
    <definedName name="TOTSERV">#REF!</definedName>
    <definedName name="tottrans">#REF!</definedName>
    <definedName name="tp">#REF!</definedName>
    <definedName name="TPEADS">#REF!</definedName>
    <definedName name="TPVCR">#REF!</definedName>
    <definedName name="TPVCS">#REF!</definedName>
    <definedName name="TRA">#REF!</definedName>
    <definedName name="TRANS">#REF!</definedName>
    <definedName name="transunit">#REF!</definedName>
    <definedName name="tub1m">#REF!</definedName>
    <definedName name="tub3q">#REF!</definedName>
    <definedName name="U">#N/A</definedName>
    <definedName name="unit" localSheetId="3" hidden="1">{#N/A,#N/A,FALSE,"GERAL";#N/A,#N/A,FALSE,"012-96";#N/A,#N/A,FALSE,"018-96";#N/A,#N/A,FALSE,"027-96";#N/A,#N/A,FALSE,"059-96";#N/A,#N/A,FALSE,"076-96";#N/A,#N/A,FALSE,"019-97";#N/A,#N/A,FALSE,"021-97";#N/A,#N/A,FALSE,"022-97";#N/A,#N/A,FALSE,"028-97"}</definedName>
    <definedName name="unit" localSheetId="2" hidden="1">{#N/A,#N/A,FALSE,"GERAL";#N/A,#N/A,FALSE,"012-96";#N/A,#N/A,FALSE,"018-96";#N/A,#N/A,FALSE,"027-96";#N/A,#N/A,FALSE,"059-96";#N/A,#N/A,FALSE,"076-96";#N/A,#N/A,FALSE,"019-97";#N/A,#N/A,FALSE,"021-97";#N/A,#N/A,FALSE,"022-97";#N/A,#N/A,FALSE,"028-97"}</definedName>
    <definedName name="unit" localSheetId="5" hidden="1">{#N/A,#N/A,FALSE,"GERAL";#N/A,#N/A,FALSE,"012-96";#N/A,#N/A,FALSE,"018-96";#N/A,#N/A,FALSE,"027-96";#N/A,#N/A,FALSE,"059-96";#N/A,#N/A,FALSE,"076-96";#N/A,#N/A,FALSE,"019-97";#N/A,#N/A,FALSE,"021-97";#N/A,#N/A,FALSE,"022-97";#N/A,#N/A,FALSE,"028-97"}</definedName>
    <definedName name="unit" localSheetId="7" hidden="1">{#N/A,#N/A,FALSE,"GERAL";#N/A,#N/A,FALSE,"012-96";#N/A,#N/A,FALSE,"018-96";#N/A,#N/A,FALSE,"027-96";#N/A,#N/A,FALSE,"059-96";#N/A,#N/A,FALSE,"076-96";#N/A,#N/A,FALSE,"019-97";#N/A,#N/A,FALSE,"021-97";#N/A,#N/A,FALSE,"022-97";#N/A,#N/A,FALSE,"028-97"}</definedName>
    <definedName name="unit" localSheetId="1" hidden="1">{#N/A,#N/A,FALSE,"GERAL";#N/A,#N/A,FALSE,"012-96";#N/A,#N/A,FALSE,"018-96";#N/A,#N/A,FALSE,"027-96";#N/A,#N/A,FALSE,"059-96";#N/A,#N/A,FALSE,"076-96";#N/A,#N/A,FALSE,"019-97";#N/A,#N/A,FALSE,"021-97";#N/A,#N/A,FALSE,"022-97";#N/A,#N/A,FALSE,"028-97"}</definedName>
    <definedName name="unit" hidden="1">{#N/A,#N/A,FALSE,"GERAL";#N/A,#N/A,FALSE,"012-96";#N/A,#N/A,FALSE,"018-96";#N/A,#N/A,FALSE,"027-96";#N/A,#N/A,FALSE,"059-96";#N/A,#N/A,FALSE,"076-96";#N/A,#N/A,FALSE,"019-97";#N/A,#N/A,FALSE,"021-97";#N/A,#N/A,FALSE,"022-97";#N/A,#N/A,FALSE,"028-97"}</definedName>
    <definedName name="UNITALIM">#REF!</definedName>
    <definedName name="UNITAPOIO">#REF!</definedName>
    <definedName name="UNITEPI">#REF!</definedName>
    <definedName name="UNITEQDIV">#REF!</definedName>
    <definedName name="UNITEXAM">#REF!</definedName>
    <definedName name="UNITHE">#REF!</definedName>
    <definedName name="UNITTRANS">#REF!</definedName>
    <definedName name="VALHH">#N/A</definedName>
    <definedName name="VALHH1">#N/A</definedName>
    <definedName name="VALHH2">#N/A</definedName>
    <definedName name="VALHH3">#N/A</definedName>
    <definedName name="VALHH4">#N/A</definedName>
    <definedName name="VALHHGER">#N/A</definedName>
    <definedName name="VALORALIM">#REF!</definedName>
    <definedName name="VALORAPOIO">#REF!</definedName>
    <definedName name="VALORBDI">#REF!</definedName>
    <definedName name="valorcant">#REF!</definedName>
    <definedName name="VALORCUSTO">#REF!</definedName>
    <definedName name="VALOREPI">#REF!</definedName>
    <definedName name="VALOREQDIV">#REF!</definedName>
    <definedName name="VALOREQESP">#REF!</definedName>
    <definedName name="VALORESTABDIV">#REF!</definedName>
    <definedName name="VALOREXAM">#REF!</definedName>
    <definedName name="valorfec">#REF!</definedName>
    <definedName name="VALORHORASEXTRA">#REF!</definedName>
    <definedName name="VALORMATCO">#REF!</definedName>
    <definedName name="VALORMATPE">#REF!</definedName>
    <definedName name="VALORMOD">#REF!</definedName>
    <definedName name="VALORSUB">#REF!</definedName>
    <definedName name="VALORTRANS">#REF!</definedName>
    <definedName name="VALSUBEMP">#REF!</definedName>
    <definedName name="valv1">#REF!</definedName>
    <definedName name="valv10">#REF!</definedName>
    <definedName name="valv12">#REF!</definedName>
    <definedName name="valv14">#REF!</definedName>
    <definedName name="valv1m">#REF!</definedName>
    <definedName name="valv2">#REF!</definedName>
    <definedName name="valv3">#REF!</definedName>
    <definedName name="valv3q">#REF!</definedName>
    <definedName name="valv4">#REF!</definedName>
    <definedName name="valv6">#REF!</definedName>
    <definedName name="valv8">#REF!</definedName>
    <definedName name="VARIAVELGRUPO">"-"</definedName>
    <definedName name="Veic">#REF!</definedName>
    <definedName name="vend">#REF!</definedName>
    <definedName name="VI" localSheetId="3" hidden="1">{#N/A,#N/A,FALSE,"GERAL";#N/A,#N/A,FALSE,"012-96";#N/A,#N/A,FALSE,"018-96";#N/A,#N/A,FALSE,"027-96";#N/A,#N/A,FALSE,"059-96";#N/A,#N/A,FALSE,"076-96";#N/A,#N/A,FALSE,"019-97";#N/A,#N/A,FALSE,"021-97";#N/A,#N/A,FALSE,"022-97";#N/A,#N/A,FALSE,"028-97"}</definedName>
    <definedName name="VI" localSheetId="2" hidden="1">{#N/A,#N/A,FALSE,"GERAL";#N/A,#N/A,FALSE,"012-96";#N/A,#N/A,FALSE,"018-96";#N/A,#N/A,FALSE,"027-96";#N/A,#N/A,FALSE,"059-96";#N/A,#N/A,FALSE,"076-96";#N/A,#N/A,FALSE,"019-97";#N/A,#N/A,FALSE,"021-97";#N/A,#N/A,FALSE,"022-97";#N/A,#N/A,FALSE,"028-97"}</definedName>
    <definedName name="VI" localSheetId="5" hidden="1">{#N/A,#N/A,FALSE,"GERAL";#N/A,#N/A,FALSE,"012-96";#N/A,#N/A,FALSE,"018-96";#N/A,#N/A,FALSE,"027-96";#N/A,#N/A,FALSE,"059-96";#N/A,#N/A,FALSE,"076-96";#N/A,#N/A,FALSE,"019-97";#N/A,#N/A,FALSE,"021-97";#N/A,#N/A,FALSE,"022-97";#N/A,#N/A,FALSE,"028-97"}</definedName>
    <definedName name="VI" localSheetId="7" hidden="1">{#N/A,#N/A,FALSE,"GERAL";#N/A,#N/A,FALSE,"012-96";#N/A,#N/A,FALSE,"018-96";#N/A,#N/A,FALSE,"027-96";#N/A,#N/A,FALSE,"059-96";#N/A,#N/A,FALSE,"076-96";#N/A,#N/A,FALSE,"019-97";#N/A,#N/A,FALSE,"021-97";#N/A,#N/A,FALSE,"022-97";#N/A,#N/A,FALSE,"028-97"}</definedName>
    <definedName name="VI" localSheetId="1" hidden="1">{#N/A,#N/A,FALSE,"GERAL";#N/A,#N/A,FALSE,"012-96";#N/A,#N/A,FALSE,"018-96";#N/A,#N/A,FALSE,"027-96";#N/A,#N/A,FALSE,"059-96";#N/A,#N/A,FALSE,"076-96";#N/A,#N/A,FALSE,"019-97";#N/A,#N/A,FALSE,"021-97";#N/A,#N/A,FALSE,"022-97";#N/A,#N/A,FALSE,"028-97"}</definedName>
    <definedName name="VI" hidden="1">{#N/A,#N/A,FALSE,"GERAL";#N/A,#N/A,FALSE,"012-96";#N/A,#N/A,FALSE,"018-96";#N/A,#N/A,FALSE,"027-96";#N/A,#N/A,FALSE,"059-96";#N/A,#N/A,FALSE,"076-96";#N/A,#N/A,FALSE,"019-97";#N/A,#N/A,FALSE,"021-97";#N/A,#N/A,FALSE,"022-97";#N/A,#N/A,FALSE,"028-97"}</definedName>
    <definedName name="vigsec">#REF!</definedName>
    <definedName name="VV">#REF!</definedName>
    <definedName name="wnr" localSheetId="3" hidden="1">{#N/A,#N/A,FALSE,"GERAL";#N/A,#N/A,FALSE,"012-96";#N/A,#N/A,FALSE,"018-96";#N/A,#N/A,FALSE,"027-96";#N/A,#N/A,FALSE,"059-96";#N/A,#N/A,FALSE,"076-96";#N/A,#N/A,FALSE,"019-97";#N/A,#N/A,FALSE,"021-97";#N/A,#N/A,FALSE,"022-97";#N/A,#N/A,FALSE,"028-97"}</definedName>
    <definedName name="wnr" localSheetId="2" hidden="1">{#N/A,#N/A,FALSE,"GERAL";#N/A,#N/A,FALSE,"012-96";#N/A,#N/A,FALSE,"018-96";#N/A,#N/A,FALSE,"027-96";#N/A,#N/A,FALSE,"059-96";#N/A,#N/A,FALSE,"076-96";#N/A,#N/A,FALSE,"019-97";#N/A,#N/A,FALSE,"021-97";#N/A,#N/A,FALSE,"022-97";#N/A,#N/A,FALSE,"028-97"}</definedName>
    <definedName name="wnr" localSheetId="5" hidden="1">{#N/A,#N/A,FALSE,"GERAL";#N/A,#N/A,FALSE,"012-96";#N/A,#N/A,FALSE,"018-96";#N/A,#N/A,FALSE,"027-96";#N/A,#N/A,FALSE,"059-96";#N/A,#N/A,FALSE,"076-96";#N/A,#N/A,FALSE,"019-97";#N/A,#N/A,FALSE,"021-97";#N/A,#N/A,FALSE,"022-97";#N/A,#N/A,FALSE,"028-97"}</definedName>
    <definedName name="wnr" localSheetId="7" hidden="1">{#N/A,#N/A,FALSE,"GERAL";#N/A,#N/A,FALSE,"012-96";#N/A,#N/A,FALSE,"018-96";#N/A,#N/A,FALSE,"027-96";#N/A,#N/A,FALSE,"059-96";#N/A,#N/A,FALSE,"076-96";#N/A,#N/A,FALSE,"019-97";#N/A,#N/A,FALSE,"021-97";#N/A,#N/A,FALSE,"022-97";#N/A,#N/A,FALSE,"028-97"}</definedName>
    <definedName name="wnr" localSheetId="1" hidden="1">{#N/A,#N/A,FALSE,"GERAL";#N/A,#N/A,FALSE,"012-96";#N/A,#N/A,FALSE,"018-96";#N/A,#N/A,FALSE,"027-96";#N/A,#N/A,FALSE,"059-96";#N/A,#N/A,FALSE,"076-96";#N/A,#N/A,FALSE,"019-97";#N/A,#N/A,FALSE,"021-97";#N/A,#N/A,FALSE,"022-97";#N/A,#N/A,FALSE,"028-97"}</definedName>
    <definedName name="wnr" hidden="1">{#N/A,#N/A,FALSE,"GERAL";#N/A,#N/A,FALSE,"012-96";#N/A,#N/A,FALSE,"018-96";#N/A,#N/A,FALSE,"027-96";#N/A,#N/A,FALSE,"059-96";#N/A,#N/A,FALSE,"076-96";#N/A,#N/A,FALSE,"019-97";#N/A,#N/A,FALSE,"021-97";#N/A,#N/A,FALSE,"022-97";#N/A,#N/A,FALSE,"028-97"}</definedName>
    <definedName name="wrn.BB1." localSheetId="3" hidden="1">{#N/A,#N/A,FALSE,"RESUMO-BB1";#N/A,#N/A,FALSE,"MOD-A01-R - BB1";#N/A,#N/A,FALSE,"URB-BB1"}</definedName>
    <definedName name="wrn.BB1." localSheetId="2" hidden="1">{#N/A,#N/A,FALSE,"RESUMO-BB1";#N/A,#N/A,FALSE,"MOD-A01-R - BB1";#N/A,#N/A,FALSE,"URB-BB1"}</definedName>
    <definedName name="wrn.BB1." localSheetId="5" hidden="1">{#N/A,#N/A,FALSE,"RESUMO-BB1";#N/A,#N/A,FALSE,"MOD-A01-R - BB1";#N/A,#N/A,FALSE,"URB-BB1"}</definedName>
    <definedName name="wrn.BB1." localSheetId="7" hidden="1">{#N/A,#N/A,FALSE,"RESUMO-BB1";#N/A,#N/A,FALSE,"MOD-A01-R - BB1";#N/A,#N/A,FALSE,"URB-BB1"}</definedName>
    <definedName name="wrn.BB1." localSheetId="1" hidden="1">{#N/A,#N/A,FALSE,"RESUMO-BB1";#N/A,#N/A,FALSE,"MOD-A01-R - BB1";#N/A,#N/A,FALSE,"URB-BB1"}</definedName>
    <definedName name="wrn.BB1." hidden="1">{#N/A,#N/A,FALSE,"RESUMO-BB1";#N/A,#N/A,FALSE,"MOD-A01-R - BB1";#N/A,#N/A,FALSE,"URB-BB1"}</definedName>
    <definedName name="wrn.BB2" localSheetId="3" hidden="1">{#N/A,#N/A,FALSE,"RESUMO-BB1";#N/A,#N/A,FALSE,"MOD-A01-R - BB1";#N/A,#N/A,FALSE,"URB-BB1"}</definedName>
    <definedName name="wrn.BB2" localSheetId="2" hidden="1">{#N/A,#N/A,FALSE,"RESUMO-BB1";#N/A,#N/A,FALSE,"MOD-A01-R - BB1";#N/A,#N/A,FALSE,"URB-BB1"}</definedName>
    <definedName name="wrn.BB2" localSheetId="5" hidden="1">{#N/A,#N/A,FALSE,"RESUMO-BB1";#N/A,#N/A,FALSE,"MOD-A01-R - BB1";#N/A,#N/A,FALSE,"URB-BB1"}</definedName>
    <definedName name="wrn.BB2" localSheetId="7" hidden="1">{#N/A,#N/A,FALSE,"RESUMO-BB1";#N/A,#N/A,FALSE,"MOD-A01-R - BB1";#N/A,#N/A,FALSE,"URB-BB1"}</definedName>
    <definedName name="wrn.BB2" localSheetId="1" hidden="1">{#N/A,#N/A,FALSE,"RESUMO-BB1";#N/A,#N/A,FALSE,"MOD-A01-R - BB1";#N/A,#N/A,FALSE,"URB-BB1"}</definedName>
    <definedName name="wrn.BB2" hidden="1">{#N/A,#N/A,FALSE,"RESUMO-BB1";#N/A,#N/A,FALSE,"MOD-A01-R - BB1";#N/A,#N/A,FALSE,"URB-BB1"}</definedName>
    <definedName name="wrn.BETER." localSheetId="3" hidden="1">{#N/A,#N/A,FALSE,"BETER -1";#N/A,#N/A,FALSE,"BETER -2";#N/A,#N/A,FALSE,"BETER -3";#N/A,#N/A,FALSE,"BETER -urb";#N/A,#N/A,FALSE,"BETER -RESUMO"}</definedName>
    <definedName name="wrn.BETER." localSheetId="2" hidden="1">{#N/A,#N/A,FALSE,"BETER -1";#N/A,#N/A,FALSE,"BETER -2";#N/A,#N/A,FALSE,"BETER -3";#N/A,#N/A,FALSE,"BETER -urb";#N/A,#N/A,FALSE,"BETER -RESUMO"}</definedName>
    <definedName name="wrn.BETER." localSheetId="5" hidden="1">{#N/A,#N/A,FALSE,"BETER -1";#N/A,#N/A,FALSE,"BETER -2";#N/A,#N/A,FALSE,"BETER -3";#N/A,#N/A,FALSE,"BETER -urb";#N/A,#N/A,FALSE,"BETER -RESUMO"}</definedName>
    <definedName name="wrn.BETER." localSheetId="7" hidden="1">{#N/A,#N/A,FALSE,"BETER -1";#N/A,#N/A,FALSE,"BETER -2";#N/A,#N/A,FALSE,"BETER -3";#N/A,#N/A,FALSE,"BETER -urb";#N/A,#N/A,FALSE,"BETER -RESUMO"}</definedName>
    <definedName name="wrn.BETER." localSheetId="1" hidden="1">{#N/A,#N/A,FALSE,"BETER -1";#N/A,#N/A,FALSE,"BETER -2";#N/A,#N/A,FALSE,"BETER -3";#N/A,#N/A,FALSE,"BETER -urb";#N/A,#N/A,FALSE,"BETER -RESUMO"}</definedName>
    <definedName name="wrn.BETER." hidden="1">{#N/A,#N/A,FALSE,"BETER -1";#N/A,#N/A,FALSE,"BETER -2";#N/A,#N/A,FALSE,"BETER -3";#N/A,#N/A,FALSE,"BETER -urb";#N/A,#N/A,FALSE,"BETER -RESUMO"}</definedName>
    <definedName name="wrn.Caixa._.de._.Ferramentas." localSheetId="3" hidden="1">{#N/A,#N/A,FALSE,"Eletricista";#N/A,#N/A,FALSE,"Mec. Refrig.";#N/A,#N/A,FALSE,"Civil";#N/A,#N/A,FALSE,"Civ";#N/A,#N/A,FALSE,"Serralheiro";#N/A,#N/A,FALSE,"Encanador";#N/A,#N/A,FALSE,"Eletr.";#N/A,#N/A,FALSE,"EL";#N/A,#N/A,FALSE,"Mec.Refrig.";#N/A,#N/A,FALSE,"Serv. Civ.";#N/A,#N/A,FALSE,"MMO";#N/A,#N/A,FALSE,"EN - CA";#N/A,#N/A,FALSE,"EL - ELT";#N/A,#N/A,FALSE,"PE";#N/A,#N/A,FALSE,"CARP";#N/A,#N/A,FALSE,"TAPEC";#N/A,#N/A,FALSE,"FU";#N/A,#N/A,FALSE,"Mec. Manut.";#N/A,#N/A,FALSE,"SO";#N/A,#N/A,FALSE,"Marc."}</definedName>
    <definedName name="wrn.Caixa._.de._.Ferramentas." localSheetId="2" hidden="1">{#N/A,#N/A,FALSE,"Eletricista";#N/A,#N/A,FALSE,"Mec. Refrig.";#N/A,#N/A,FALSE,"Civil";#N/A,#N/A,FALSE,"Civ";#N/A,#N/A,FALSE,"Serralheiro";#N/A,#N/A,FALSE,"Encanador";#N/A,#N/A,FALSE,"Eletr.";#N/A,#N/A,FALSE,"EL";#N/A,#N/A,FALSE,"Mec.Refrig.";#N/A,#N/A,FALSE,"Serv. Civ.";#N/A,#N/A,FALSE,"MMO";#N/A,#N/A,FALSE,"EN - CA";#N/A,#N/A,FALSE,"EL - ELT";#N/A,#N/A,FALSE,"PE";#N/A,#N/A,FALSE,"CARP";#N/A,#N/A,FALSE,"TAPEC";#N/A,#N/A,FALSE,"FU";#N/A,#N/A,FALSE,"Mec. Manut.";#N/A,#N/A,FALSE,"SO";#N/A,#N/A,FALSE,"Marc."}</definedName>
    <definedName name="wrn.Caixa._.de._.Ferramentas." localSheetId="5" hidden="1">{#N/A,#N/A,FALSE,"Eletricista";#N/A,#N/A,FALSE,"Mec. Refrig.";#N/A,#N/A,FALSE,"Civil";#N/A,#N/A,FALSE,"Civ";#N/A,#N/A,FALSE,"Serralheiro";#N/A,#N/A,FALSE,"Encanador";#N/A,#N/A,FALSE,"Eletr.";#N/A,#N/A,FALSE,"EL";#N/A,#N/A,FALSE,"Mec.Refrig.";#N/A,#N/A,FALSE,"Serv. Civ.";#N/A,#N/A,FALSE,"MMO";#N/A,#N/A,FALSE,"EN - CA";#N/A,#N/A,FALSE,"EL - ELT";#N/A,#N/A,FALSE,"PE";#N/A,#N/A,FALSE,"CARP";#N/A,#N/A,FALSE,"TAPEC";#N/A,#N/A,FALSE,"FU";#N/A,#N/A,FALSE,"Mec. Manut.";#N/A,#N/A,FALSE,"SO";#N/A,#N/A,FALSE,"Marc."}</definedName>
    <definedName name="wrn.Caixa._.de._.Ferramentas." localSheetId="7" hidden="1">{#N/A,#N/A,FALSE,"Eletricista";#N/A,#N/A,FALSE,"Mec. Refrig.";#N/A,#N/A,FALSE,"Civil";#N/A,#N/A,FALSE,"Civ";#N/A,#N/A,FALSE,"Serralheiro";#N/A,#N/A,FALSE,"Encanador";#N/A,#N/A,FALSE,"Eletr.";#N/A,#N/A,FALSE,"EL";#N/A,#N/A,FALSE,"Mec.Refrig.";#N/A,#N/A,FALSE,"Serv. Civ.";#N/A,#N/A,FALSE,"MMO";#N/A,#N/A,FALSE,"EN - CA";#N/A,#N/A,FALSE,"EL - ELT";#N/A,#N/A,FALSE,"PE";#N/A,#N/A,FALSE,"CARP";#N/A,#N/A,FALSE,"TAPEC";#N/A,#N/A,FALSE,"FU";#N/A,#N/A,FALSE,"Mec. Manut.";#N/A,#N/A,FALSE,"SO";#N/A,#N/A,FALSE,"Marc."}</definedName>
    <definedName name="wrn.Caixa._.de._.Ferramentas." localSheetId="1" hidden="1">{#N/A,#N/A,FALSE,"Eletricista";#N/A,#N/A,FALSE,"Mec. Refrig.";#N/A,#N/A,FALSE,"Civil";#N/A,#N/A,FALSE,"Civ";#N/A,#N/A,FALSE,"Serralheiro";#N/A,#N/A,FALSE,"Encanador";#N/A,#N/A,FALSE,"Eletr.";#N/A,#N/A,FALSE,"EL";#N/A,#N/A,FALSE,"Mec.Refrig.";#N/A,#N/A,FALSE,"Serv. Civ.";#N/A,#N/A,FALSE,"MMO";#N/A,#N/A,FALSE,"EN - CA";#N/A,#N/A,FALSE,"EL - ELT";#N/A,#N/A,FALSE,"PE";#N/A,#N/A,FALSE,"CARP";#N/A,#N/A,FALSE,"TAPEC";#N/A,#N/A,FALSE,"FU";#N/A,#N/A,FALSE,"Mec. Manut.";#N/A,#N/A,FALSE,"SO";#N/A,#N/A,FALSE,"Marc."}</definedName>
    <definedName name="wrn.Caixa._.de._.Ferramentas." hidden="1">{#N/A,#N/A,FALSE,"Eletricista";#N/A,#N/A,FALSE,"Mec. Refrig.";#N/A,#N/A,FALSE,"Civil";#N/A,#N/A,FALSE,"Civ";#N/A,#N/A,FALSE,"Serralheiro";#N/A,#N/A,FALSE,"Encanador";#N/A,#N/A,FALSE,"Eletr.";#N/A,#N/A,FALSE,"EL";#N/A,#N/A,FALSE,"Mec.Refrig.";#N/A,#N/A,FALSE,"Serv. Civ.";#N/A,#N/A,FALSE,"MMO";#N/A,#N/A,FALSE,"EN - CA";#N/A,#N/A,FALSE,"EL - ELT";#N/A,#N/A,FALSE,"PE";#N/A,#N/A,FALSE,"CARP";#N/A,#N/A,FALSE,"TAPEC";#N/A,#N/A,FALSE,"FU";#N/A,#N/A,FALSE,"Mec. Manut.";#N/A,#N/A,FALSE,"SO";#N/A,#N/A,FALSE,"Marc."}</definedName>
    <definedName name="wrn.Caixa._.de._.Ferramentas._.Individuais." localSheetId="3" hidden="1">{#N/A,#N/A,FALSE,"Eletricista";#N/A,#N/A,FALSE,"Mecânico de Refrigeração";#N/A,#N/A,FALSE,"Obra civil";#N/A,#N/A,FALSE,"Serralheiro e Mecânico Montador";#N/A,#N/A,FALSE,"Encanador e Caldeireiro";#N/A,#N/A,FALSE,"Eletricista eletrônico";#N/A,#N/A,FALSE,"Pedreiro";#N/A,#N/A,FALSE,"Carpinteiro";#N/A,#N/A,FALSE,"Tapeceiro";#N/A,#N/A,FALSE,"Funileiro";#N/A,#N/A,FALSE,"Mecânico de Manutenção";#N/A,#N/A,FALSE,"Soldador";#N/A,#N/A,FALSE,"Marceneiro";#N/A,#N/A,FALSE,"Laminador"}</definedName>
    <definedName name="wrn.Caixa._.de._.Ferramentas._.Individuais." localSheetId="2" hidden="1">{#N/A,#N/A,FALSE,"Eletricista";#N/A,#N/A,FALSE,"Mecânico de Refrigeração";#N/A,#N/A,FALSE,"Obra civil";#N/A,#N/A,FALSE,"Serralheiro e Mecânico Montador";#N/A,#N/A,FALSE,"Encanador e Caldeireiro";#N/A,#N/A,FALSE,"Eletricista eletrônico";#N/A,#N/A,FALSE,"Pedreiro";#N/A,#N/A,FALSE,"Carpinteiro";#N/A,#N/A,FALSE,"Tapeceiro";#N/A,#N/A,FALSE,"Funileiro";#N/A,#N/A,FALSE,"Mecânico de Manutenção";#N/A,#N/A,FALSE,"Soldador";#N/A,#N/A,FALSE,"Marceneiro";#N/A,#N/A,FALSE,"Laminador"}</definedName>
    <definedName name="wrn.Caixa._.de._.Ferramentas._.Individuais." localSheetId="5" hidden="1">{#N/A,#N/A,FALSE,"Eletricista";#N/A,#N/A,FALSE,"Mecânico de Refrigeração";#N/A,#N/A,FALSE,"Obra civil";#N/A,#N/A,FALSE,"Serralheiro e Mecânico Montador";#N/A,#N/A,FALSE,"Encanador e Caldeireiro";#N/A,#N/A,FALSE,"Eletricista eletrônico";#N/A,#N/A,FALSE,"Pedreiro";#N/A,#N/A,FALSE,"Carpinteiro";#N/A,#N/A,FALSE,"Tapeceiro";#N/A,#N/A,FALSE,"Funileiro";#N/A,#N/A,FALSE,"Mecânico de Manutenção";#N/A,#N/A,FALSE,"Soldador";#N/A,#N/A,FALSE,"Marceneiro";#N/A,#N/A,FALSE,"Laminador"}</definedName>
    <definedName name="wrn.Caixa._.de._.Ferramentas._.Individuais." localSheetId="7" hidden="1">{#N/A,#N/A,FALSE,"Eletricista";#N/A,#N/A,FALSE,"Mecânico de Refrigeração";#N/A,#N/A,FALSE,"Obra civil";#N/A,#N/A,FALSE,"Serralheiro e Mecânico Montador";#N/A,#N/A,FALSE,"Encanador e Caldeireiro";#N/A,#N/A,FALSE,"Eletricista eletrônico";#N/A,#N/A,FALSE,"Pedreiro";#N/A,#N/A,FALSE,"Carpinteiro";#N/A,#N/A,FALSE,"Tapeceiro";#N/A,#N/A,FALSE,"Funileiro";#N/A,#N/A,FALSE,"Mecânico de Manutenção";#N/A,#N/A,FALSE,"Soldador";#N/A,#N/A,FALSE,"Marceneiro";#N/A,#N/A,FALSE,"Laminador"}</definedName>
    <definedName name="wrn.Caixa._.de._.Ferramentas._.Individuais." localSheetId="1" hidden="1">{#N/A,#N/A,FALSE,"Eletricista";#N/A,#N/A,FALSE,"Mecânico de Refrigeração";#N/A,#N/A,FALSE,"Obra civil";#N/A,#N/A,FALSE,"Serralheiro e Mecânico Montador";#N/A,#N/A,FALSE,"Encanador e Caldeireiro";#N/A,#N/A,FALSE,"Eletricista eletrônico";#N/A,#N/A,FALSE,"Pedreiro";#N/A,#N/A,FALSE,"Carpinteiro";#N/A,#N/A,FALSE,"Tapeceiro";#N/A,#N/A,FALSE,"Funileiro";#N/A,#N/A,FALSE,"Mecânico de Manutenção";#N/A,#N/A,FALSE,"Soldador";#N/A,#N/A,FALSE,"Marceneiro";#N/A,#N/A,FALSE,"Laminador"}</definedName>
    <definedName name="wrn.Caixa._.de._.Ferramentas._.Individuais." hidden="1">{#N/A,#N/A,FALSE,"Eletricista";#N/A,#N/A,FALSE,"Mecânico de Refrigeração";#N/A,#N/A,FALSE,"Obra civil";#N/A,#N/A,FALSE,"Serralheiro e Mecânico Montador";#N/A,#N/A,FALSE,"Encanador e Caldeireiro";#N/A,#N/A,FALSE,"Eletricista eletrônico";#N/A,#N/A,FALSE,"Pedreiro";#N/A,#N/A,FALSE,"Carpinteiro";#N/A,#N/A,FALSE,"Tapeceiro";#N/A,#N/A,FALSE,"Funileiro";#N/A,#N/A,FALSE,"Mecânico de Manutenção";#N/A,#N/A,FALSE,"Soldador";#N/A,#N/A,FALSE,"Marceneiro";#N/A,#N/A,FALSE,"Laminador"}</definedName>
    <definedName name="wrn.CLOVES." localSheetId="3" hidden="1">{#N/A,#N/A,FALSE,"Plan1";#N/A,#N/A,FALSE,"Despesas Diversas por C.Custo"}</definedName>
    <definedName name="wrn.CLOVES." localSheetId="2" hidden="1">{#N/A,#N/A,FALSE,"Plan1";#N/A,#N/A,FALSE,"Despesas Diversas por C.Custo"}</definedName>
    <definedName name="wrn.CLOVES." localSheetId="5" hidden="1">{#N/A,#N/A,FALSE,"Plan1";#N/A,#N/A,FALSE,"Despesas Diversas por C.Custo"}</definedName>
    <definedName name="wrn.CLOVES." localSheetId="7" hidden="1">{#N/A,#N/A,FALSE,"Plan1";#N/A,#N/A,FALSE,"Despesas Diversas por C.Custo"}</definedName>
    <definedName name="wrn.CLOVES." localSheetId="1" hidden="1">{#N/A,#N/A,FALSE,"Plan1";#N/A,#N/A,FALSE,"Despesas Diversas por C.Custo"}</definedName>
    <definedName name="wrn.CLOVES." hidden="1">{#N/A,#N/A,FALSE,"Plan1";#N/A,#N/A,FALSE,"Despesas Diversas por C.Custo"}</definedName>
    <definedName name="wrn.Cronograma." localSheetId="3" hidden="1">{#N/A,#N/A,FALSE,"Cronograma";#N/A,#N/A,FALSE,"Cronogr. 2"}</definedName>
    <definedName name="wrn.Cronograma." localSheetId="2" hidden="1">{#N/A,#N/A,FALSE,"Cronograma";#N/A,#N/A,FALSE,"Cronogr. 2"}</definedName>
    <definedName name="wrn.Cronograma." localSheetId="5" hidden="1">{#N/A,#N/A,FALSE,"Cronograma";#N/A,#N/A,FALSE,"Cronogr. 2"}</definedName>
    <definedName name="wrn.Cronograma." localSheetId="7" hidden="1">{#N/A,#N/A,FALSE,"Cronograma";#N/A,#N/A,FALSE,"Cronogr. 2"}</definedName>
    <definedName name="wrn.Cronograma." localSheetId="1" hidden="1">{#N/A,#N/A,FALSE,"Cronograma";#N/A,#N/A,FALSE,"Cronogr. 2"}</definedName>
    <definedName name="wrn.Cronograma." hidden="1">{#N/A,#N/A,FALSE,"Cronograma";#N/A,#N/A,FALSE,"Cronogr. 2"}</definedName>
    <definedName name="wrn.GERAL." localSheetId="3" hidden="1">{#N/A,#N/A,FALSE,"ET-CAPA";#N/A,#N/A,FALSE,"ET-PAG1";#N/A,#N/A,FALSE,"ET-PAG2";#N/A,#N/A,FALSE,"ET-PAG3";#N/A,#N/A,FALSE,"ET-PAG4";#N/A,#N/A,FALSE,"ET-PAG5"}</definedName>
    <definedName name="wrn.GERAL." localSheetId="2" hidden="1">{#N/A,#N/A,FALSE,"ET-CAPA";#N/A,#N/A,FALSE,"ET-PAG1";#N/A,#N/A,FALSE,"ET-PAG2";#N/A,#N/A,FALSE,"ET-PAG3";#N/A,#N/A,FALSE,"ET-PAG4";#N/A,#N/A,FALSE,"ET-PAG5"}</definedName>
    <definedName name="wrn.GERAL." localSheetId="5" hidden="1">{#N/A,#N/A,FALSE,"ET-CAPA";#N/A,#N/A,FALSE,"ET-PAG1";#N/A,#N/A,FALSE,"ET-PAG2";#N/A,#N/A,FALSE,"ET-PAG3";#N/A,#N/A,FALSE,"ET-PAG4";#N/A,#N/A,FALSE,"ET-PAG5"}</definedName>
    <definedName name="wrn.GERAL." localSheetId="7" hidden="1">{#N/A,#N/A,FALSE,"ET-CAPA";#N/A,#N/A,FALSE,"ET-PAG1";#N/A,#N/A,FALSE,"ET-PAG2";#N/A,#N/A,FALSE,"ET-PAG3";#N/A,#N/A,FALSE,"ET-PAG4";#N/A,#N/A,FALSE,"ET-PAG5"}</definedName>
    <definedName name="wrn.GERAL." localSheetId="1" hidden="1">{#N/A,#N/A,FALSE,"ET-CAPA";#N/A,#N/A,FALSE,"ET-PAG1";#N/A,#N/A,FALSE,"ET-PAG2";#N/A,#N/A,FALSE,"ET-PAG3";#N/A,#N/A,FALSE,"ET-PAG4";#N/A,#N/A,FALSE,"ET-PAG5"}</definedName>
    <definedName name="wrn.GERAL." hidden="1">{#N/A,#N/A,FALSE,"ET-CAPA";#N/A,#N/A,FALSE,"ET-PAG1";#N/A,#N/A,FALSE,"ET-PAG2";#N/A,#N/A,FALSE,"ET-PAG3";#N/A,#N/A,FALSE,"ET-PAG4";#N/A,#N/A,FALSE,"ET-PAG5"}</definedName>
    <definedName name="wrn.impressao." localSheetId="3" hidden="1">{#N/A,#N/A,FALSE,"FASE1";#N/A,#N/A,FALSE,"FASE2";#N/A,#N/A,FALSE,"FASE3";#N/A,#N/A,FALSE,"FASE4";#N/A,#N/A,FALSE,"FASE5";#N/A,#N/A,FALSE,"FASE6";#N/A,#N/A,FALSE,"FASE7";#N/A,#N/A,FALSE,"FASE8";#N/A,#N/A,FALSE,"FASE9";#N/A,#N/A,FALSE,"FASE10";#N/A,#N/A,FALSE,"EQUIPAMENTOS";#N/A,#N/A,FALSE,"MOI";#N/A,#N/A,FALSE,"CANTEIRO";#N/A,#N/A,FALSE,"TERCEIROS";#N/A,#N/A,FALSE,"DCO";#N/A,#N/A,FALSE,"RESUMO"}</definedName>
    <definedName name="wrn.impressao." localSheetId="2" hidden="1">{#N/A,#N/A,FALSE,"FASE1";#N/A,#N/A,FALSE,"FASE2";#N/A,#N/A,FALSE,"FASE3";#N/A,#N/A,FALSE,"FASE4";#N/A,#N/A,FALSE,"FASE5";#N/A,#N/A,FALSE,"FASE6";#N/A,#N/A,FALSE,"FASE7";#N/A,#N/A,FALSE,"FASE8";#N/A,#N/A,FALSE,"FASE9";#N/A,#N/A,FALSE,"FASE10";#N/A,#N/A,FALSE,"EQUIPAMENTOS";#N/A,#N/A,FALSE,"MOI";#N/A,#N/A,FALSE,"CANTEIRO";#N/A,#N/A,FALSE,"TERCEIROS";#N/A,#N/A,FALSE,"DCO";#N/A,#N/A,FALSE,"RESUMO"}</definedName>
    <definedName name="wrn.impressao." localSheetId="5" hidden="1">{#N/A,#N/A,FALSE,"FASE1";#N/A,#N/A,FALSE,"FASE2";#N/A,#N/A,FALSE,"FASE3";#N/A,#N/A,FALSE,"FASE4";#N/A,#N/A,FALSE,"FASE5";#N/A,#N/A,FALSE,"FASE6";#N/A,#N/A,FALSE,"FASE7";#N/A,#N/A,FALSE,"FASE8";#N/A,#N/A,FALSE,"FASE9";#N/A,#N/A,FALSE,"FASE10";#N/A,#N/A,FALSE,"EQUIPAMENTOS";#N/A,#N/A,FALSE,"MOI";#N/A,#N/A,FALSE,"CANTEIRO";#N/A,#N/A,FALSE,"TERCEIROS";#N/A,#N/A,FALSE,"DCO";#N/A,#N/A,FALSE,"RESUMO"}</definedName>
    <definedName name="wrn.impressao." localSheetId="7" hidden="1">{#N/A,#N/A,FALSE,"FASE1";#N/A,#N/A,FALSE,"FASE2";#N/A,#N/A,FALSE,"FASE3";#N/A,#N/A,FALSE,"FASE4";#N/A,#N/A,FALSE,"FASE5";#N/A,#N/A,FALSE,"FASE6";#N/A,#N/A,FALSE,"FASE7";#N/A,#N/A,FALSE,"FASE8";#N/A,#N/A,FALSE,"FASE9";#N/A,#N/A,FALSE,"FASE10";#N/A,#N/A,FALSE,"EQUIPAMENTOS";#N/A,#N/A,FALSE,"MOI";#N/A,#N/A,FALSE,"CANTEIRO";#N/A,#N/A,FALSE,"TERCEIROS";#N/A,#N/A,FALSE,"DCO";#N/A,#N/A,FALSE,"RESUMO"}</definedName>
    <definedName name="wrn.impressao." localSheetId="1" hidden="1">{#N/A,#N/A,FALSE,"FASE1";#N/A,#N/A,FALSE,"FASE2";#N/A,#N/A,FALSE,"FASE3";#N/A,#N/A,FALSE,"FASE4";#N/A,#N/A,FALSE,"FASE5";#N/A,#N/A,FALSE,"FASE6";#N/A,#N/A,FALSE,"FASE7";#N/A,#N/A,FALSE,"FASE8";#N/A,#N/A,FALSE,"FASE9";#N/A,#N/A,FALSE,"FASE10";#N/A,#N/A,FALSE,"EQUIPAMENTOS";#N/A,#N/A,FALSE,"MOI";#N/A,#N/A,FALSE,"CANTEIRO";#N/A,#N/A,FALSE,"TERCEIROS";#N/A,#N/A,FALSE,"DCO";#N/A,#N/A,FALSE,"RESUMO"}</definedName>
    <definedName name="wrn.impressao." hidden="1">{#N/A,#N/A,FALSE,"FASE1";#N/A,#N/A,FALSE,"FASE2";#N/A,#N/A,FALSE,"FASE3";#N/A,#N/A,FALSE,"FASE4";#N/A,#N/A,FALSE,"FASE5";#N/A,#N/A,FALSE,"FASE6";#N/A,#N/A,FALSE,"FASE7";#N/A,#N/A,FALSE,"FASE8";#N/A,#N/A,FALSE,"FASE9";#N/A,#N/A,FALSE,"FASE10";#N/A,#N/A,FALSE,"EQUIPAMENTOS";#N/A,#N/A,FALSE,"MOI";#N/A,#N/A,FALSE,"CANTEIRO";#N/A,#N/A,FALSE,"TERCEIROS";#N/A,#N/A,FALSE,"DCO";#N/A,#N/A,FALSE,"RESUMO"}</definedName>
    <definedName name="WRN.PEND" localSheetId="3" hidden="1">{#N/A,#N/A,FALSE,"GERAL";#N/A,#N/A,FALSE,"012-96";#N/A,#N/A,FALSE,"018-96";#N/A,#N/A,FALSE,"027-96";#N/A,#N/A,FALSE,"059-96";#N/A,#N/A,FALSE,"076-96";#N/A,#N/A,FALSE,"019-97";#N/A,#N/A,FALSE,"021-97";#N/A,#N/A,FALSE,"022-97";#N/A,#N/A,FALSE,"028-97"}</definedName>
    <definedName name="WRN.PEND" localSheetId="2" hidden="1">{#N/A,#N/A,FALSE,"GERAL";#N/A,#N/A,FALSE,"012-96";#N/A,#N/A,FALSE,"018-96";#N/A,#N/A,FALSE,"027-96";#N/A,#N/A,FALSE,"059-96";#N/A,#N/A,FALSE,"076-96";#N/A,#N/A,FALSE,"019-97";#N/A,#N/A,FALSE,"021-97";#N/A,#N/A,FALSE,"022-97";#N/A,#N/A,FALSE,"028-97"}</definedName>
    <definedName name="WRN.PEND" localSheetId="5" hidden="1">{#N/A,#N/A,FALSE,"GERAL";#N/A,#N/A,FALSE,"012-96";#N/A,#N/A,FALSE,"018-96";#N/A,#N/A,FALSE,"027-96";#N/A,#N/A,FALSE,"059-96";#N/A,#N/A,FALSE,"076-96";#N/A,#N/A,FALSE,"019-97";#N/A,#N/A,FALSE,"021-97";#N/A,#N/A,FALSE,"022-97";#N/A,#N/A,FALSE,"028-97"}</definedName>
    <definedName name="WRN.PEND" localSheetId="7" hidden="1">{#N/A,#N/A,FALSE,"GERAL";#N/A,#N/A,FALSE,"012-96";#N/A,#N/A,FALSE,"018-96";#N/A,#N/A,FALSE,"027-96";#N/A,#N/A,FALSE,"059-96";#N/A,#N/A,FALSE,"076-96";#N/A,#N/A,FALSE,"019-97";#N/A,#N/A,FALSE,"021-97";#N/A,#N/A,FALSE,"022-97";#N/A,#N/A,FALSE,"028-97"}</definedName>
    <definedName name="WRN.PEND" localSheetId="1" hidden="1">{#N/A,#N/A,FALSE,"GERAL";#N/A,#N/A,FALSE,"012-96";#N/A,#N/A,FALSE,"018-96";#N/A,#N/A,FALSE,"027-96";#N/A,#N/A,FALSE,"059-96";#N/A,#N/A,FALSE,"076-96";#N/A,#N/A,FALSE,"019-97";#N/A,#N/A,FALSE,"021-97";#N/A,#N/A,FALSE,"022-97";#N/A,#N/A,FALSE,"028-97"}</definedName>
    <definedName name="WRN.PEND" hidden="1">{#N/A,#N/A,FALSE,"GERAL";#N/A,#N/A,FALSE,"012-96";#N/A,#N/A,FALSE,"018-96";#N/A,#N/A,FALSE,"027-96";#N/A,#N/A,FALSE,"059-96";#N/A,#N/A,FALSE,"076-96";#N/A,#N/A,FALSE,"019-97";#N/A,#N/A,FALSE,"021-97";#N/A,#N/A,FALSE,"022-97";#N/A,#N/A,FALSE,"028-97"}</definedName>
    <definedName name="WRN.PEND2" localSheetId="3" hidden="1">{#N/A,#N/A,FALSE,"GERAL";#N/A,#N/A,FALSE,"012-96";#N/A,#N/A,FALSE,"018-96";#N/A,#N/A,FALSE,"027-96";#N/A,#N/A,FALSE,"059-96";#N/A,#N/A,FALSE,"076-96";#N/A,#N/A,FALSE,"019-97";#N/A,#N/A,FALSE,"021-97";#N/A,#N/A,FALSE,"022-97";#N/A,#N/A,FALSE,"028-97"}</definedName>
    <definedName name="WRN.PEND2" localSheetId="2" hidden="1">{#N/A,#N/A,FALSE,"GERAL";#N/A,#N/A,FALSE,"012-96";#N/A,#N/A,FALSE,"018-96";#N/A,#N/A,FALSE,"027-96";#N/A,#N/A,FALSE,"059-96";#N/A,#N/A,FALSE,"076-96";#N/A,#N/A,FALSE,"019-97";#N/A,#N/A,FALSE,"021-97";#N/A,#N/A,FALSE,"022-97";#N/A,#N/A,FALSE,"028-97"}</definedName>
    <definedName name="WRN.PEND2" localSheetId="5" hidden="1">{#N/A,#N/A,FALSE,"GERAL";#N/A,#N/A,FALSE,"012-96";#N/A,#N/A,FALSE,"018-96";#N/A,#N/A,FALSE,"027-96";#N/A,#N/A,FALSE,"059-96";#N/A,#N/A,FALSE,"076-96";#N/A,#N/A,FALSE,"019-97";#N/A,#N/A,FALSE,"021-97";#N/A,#N/A,FALSE,"022-97";#N/A,#N/A,FALSE,"028-97"}</definedName>
    <definedName name="WRN.PEND2" localSheetId="7" hidden="1">{#N/A,#N/A,FALSE,"GERAL";#N/A,#N/A,FALSE,"012-96";#N/A,#N/A,FALSE,"018-96";#N/A,#N/A,FALSE,"027-96";#N/A,#N/A,FALSE,"059-96";#N/A,#N/A,FALSE,"076-96";#N/A,#N/A,FALSE,"019-97";#N/A,#N/A,FALSE,"021-97";#N/A,#N/A,FALSE,"022-97";#N/A,#N/A,FALSE,"028-97"}</definedName>
    <definedName name="WRN.PEND2" localSheetId="1" hidden="1">{#N/A,#N/A,FALSE,"GERAL";#N/A,#N/A,FALSE,"012-96";#N/A,#N/A,FALSE,"018-96";#N/A,#N/A,FALSE,"027-96";#N/A,#N/A,FALSE,"059-96";#N/A,#N/A,FALSE,"076-96";#N/A,#N/A,FALSE,"019-97";#N/A,#N/A,FALSE,"021-97";#N/A,#N/A,FALSE,"022-97";#N/A,#N/A,FALSE,"028-97"}</definedName>
    <definedName name="WRN.PEND2" hidden="1">{#N/A,#N/A,FALSE,"GERAL";#N/A,#N/A,FALSE,"012-96";#N/A,#N/A,FALSE,"018-96";#N/A,#N/A,FALSE,"027-96";#N/A,#N/A,FALSE,"059-96";#N/A,#N/A,FALSE,"076-96";#N/A,#N/A,FALSE,"019-97";#N/A,#N/A,FALSE,"021-97";#N/A,#N/A,FALSE,"022-97";#N/A,#N/A,FALSE,"028-97"}</definedName>
    <definedName name="WRN.PEND3" localSheetId="3" hidden="1">{#N/A,#N/A,FALSE,"GERAL";#N/A,#N/A,FALSE,"012-96";#N/A,#N/A,FALSE,"018-96";#N/A,#N/A,FALSE,"027-96";#N/A,#N/A,FALSE,"059-96";#N/A,#N/A,FALSE,"076-96";#N/A,#N/A,FALSE,"019-97";#N/A,#N/A,FALSE,"021-97";#N/A,#N/A,FALSE,"022-97";#N/A,#N/A,FALSE,"028-97"}</definedName>
    <definedName name="WRN.PEND3" localSheetId="2" hidden="1">{#N/A,#N/A,FALSE,"GERAL";#N/A,#N/A,FALSE,"012-96";#N/A,#N/A,FALSE,"018-96";#N/A,#N/A,FALSE,"027-96";#N/A,#N/A,FALSE,"059-96";#N/A,#N/A,FALSE,"076-96";#N/A,#N/A,FALSE,"019-97";#N/A,#N/A,FALSE,"021-97";#N/A,#N/A,FALSE,"022-97";#N/A,#N/A,FALSE,"028-97"}</definedName>
    <definedName name="WRN.PEND3" localSheetId="5" hidden="1">{#N/A,#N/A,FALSE,"GERAL";#N/A,#N/A,FALSE,"012-96";#N/A,#N/A,FALSE,"018-96";#N/A,#N/A,FALSE,"027-96";#N/A,#N/A,FALSE,"059-96";#N/A,#N/A,FALSE,"076-96";#N/A,#N/A,FALSE,"019-97";#N/A,#N/A,FALSE,"021-97";#N/A,#N/A,FALSE,"022-97";#N/A,#N/A,FALSE,"028-97"}</definedName>
    <definedName name="WRN.PEND3" localSheetId="7" hidden="1">{#N/A,#N/A,FALSE,"GERAL";#N/A,#N/A,FALSE,"012-96";#N/A,#N/A,FALSE,"018-96";#N/A,#N/A,FALSE,"027-96";#N/A,#N/A,FALSE,"059-96";#N/A,#N/A,FALSE,"076-96";#N/A,#N/A,FALSE,"019-97";#N/A,#N/A,FALSE,"021-97";#N/A,#N/A,FALSE,"022-97";#N/A,#N/A,FALSE,"028-97"}</definedName>
    <definedName name="WRN.PEND3" localSheetId="1" hidden="1">{#N/A,#N/A,FALSE,"GERAL";#N/A,#N/A,FALSE,"012-96";#N/A,#N/A,FALSE,"018-96";#N/A,#N/A,FALSE,"027-96";#N/A,#N/A,FALSE,"059-96";#N/A,#N/A,FALSE,"076-96";#N/A,#N/A,FALSE,"019-97";#N/A,#N/A,FALSE,"021-97";#N/A,#N/A,FALSE,"022-97";#N/A,#N/A,FALSE,"028-97"}</definedName>
    <definedName name="WRN.PEND3" hidden="1">{#N/A,#N/A,FALSE,"GERAL";#N/A,#N/A,FALSE,"012-96";#N/A,#N/A,FALSE,"018-96";#N/A,#N/A,FALSE,"027-96";#N/A,#N/A,FALSE,"059-96";#N/A,#N/A,FALSE,"076-96";#N/A,#N/A,FALSE,"019-97";#N/A,#N/A,FALSE,"021-97";#N/A,#N/A,FALSE,"022-97";#N/A,#N/A,FALSE,"028-97"}</definedName>
    <definedName name="WRN.PEND4" localSheetId="3" hidden="1">{#N/A,#N/A,FALSE,"GERAL";#N/A,#N/A,FALSE,"012-96";#N/A,#N/A,FALSE,"018-96";#N/A,#N/A,FALSE,"027-96";#N/A,#N/A,FALSE,"059-96";#N/A,#N/A,FALSE,"076-96";#N/A,#N/A,FALSE,"019-97";#N/A,#N/A,FALSE,"021-97";#N/A,#N/A,FALSE,"022-97";#N/A,#N/A,FALSE,"028-97"}</definedName>
    <definedName name="WRN.PEND4" localSheetId="2" hidden="1">{#N/A,#N/A,FALSE,"GERAL";#N/A,#N/A,FALSE,"012-96";#N/A,#N/A,FALSE,"018-96";#N/A,#N/A,FALSE,"027-96";#N/A,#N/A,FALSE,"059-96";#N/A,#N/A,FALSE,"076-96";#N/A,#N/A,FALSE,"019-97";#N/A,#N/A,FALSE,"021-97";#N/A,#N/A,FALSE,"022-97";#N/A,#N/A,FALSE,"028-97"}</definedName>
    <definedName name="WRN.PEND4" localSheetId="5" hidden="1">{#N/A,#N/A,FALSE,"GERAL";#N/A,#N/A,FALSE,"012-96";#N/A,#N/A,FALSE,"018-96";#N/A,#N/A,FALSE,"027-96";#N/A,#N/A,FALSE,"059-96";#N/A,#N/A,FALSE,"076-96";#N/A,#N/A,FALSE,"019-97";#N/A,#N/A,FALSE,"021-97";#N/A,#N/A,FALSE,"022-97";#N/A,#N/A,FALSE,"028-97"}</definedName>
    <definedName name="WRN.PEND4" localSheetId="7" hidden="1">{#N/A,#N/A,FALSE,"GERAL";#N/A,#N/A,FALSE,"012-96";#N/A,#N/A,FALSE,"018-96";#N/A,#N/A,FALSE,"027-96";#N/A,#N/A,FALSE,"059-96";#N/A,#N/A,FALSE,"076-96";#N/A,#N/A,FALSE,"019-97";#N/A,#N/A,FALSE,"021-97";#N/A,#N/A,FALSE,"022-97";#N/A,#N/A,FALSE,"028-97"}</definedName>
    <definedName name="WRN.PEND4" localSheetId="1" hidden="1">{#N/A,#N/A,FALSE,"GERAL";#N/A,#N/A,FALSE,"012-96";#N/A,#N/A,FALSE,"018-96";#N/A,#N/A,FALSE,"027-96";#N/A,#N/A,FALSE,"059-96";#N/A,#N/A,FALSE,"076-96";#N/A,#N/A,FALSE,"019-97";#N/A,#N/A,FALSE,"021-97";#N/A,#N/A,FALSE,"022-97";#N/A,#N/A,FALSE,"028-97"}</definedName>
    <definedName name="WRN.PEND4" hidden="1">{#N/A,#N/A,FALSE,"GERAL";#N/A,#N/A,FALSE,"012-96";#N/A,#N/A,FALSE,"018-96";#N/A,#N/A,FALSE,"027-96";#N/A,#N/A,FALSE,"059-96";#N/A,#N/A,FALSE,"076-96";#N/A,#N/A,FALSE,"019-97";#N/A,#N/A,FALSE,"021-97";#N/A,#N/A,FALSE,"022-97";#N/A,#N/A,FALSE,"028-97"}</definedName>
    <definedName name="wrn.PENDENCIAS." localSheetId="3" hidden="1">{#N/A,#N/A,FALSE,"GERAL";#N/A,#N/A,FALSE,"012-96";#N/A,#N/A,FALSE,"018-96";#N/A,#N/A,FALSE,"027-96";#N/A,#N/A,FALSE,"059-96";#N/A,#N/A,FALSE,"076-96";#N/A,#N/A,FALSE,"019-97";#N/A,#N/A,FALSE,"021-97";#N/A,#N/A,FALSE,"022-97";#N/A,#N/A,FALSE,"028-97"}</definedName>
    <definedName name="wrn.PENDENCIAS." localSheetId="2" hidden="1">{#N/A,#N/A,FALSE,"GERAL";#N/A,#N/A,FALSE,"012-96";#N/A,#N/A,FALSE,"018-96";#N/A,#N/A,FALSE,"027-96";#N/A,#N/A,FALSE,"059-96";#N/A,#N/A,FALSE,"076-96";#N/A,#N/A,FALSE,"019-97";#N/A,#N/A,FALSE,"021-97";#N/A,#N/A,FALSE,"022-97";#N/A,#N/A,FALSE,"028-97"}</definedName>
    <definedName name="wrn.PENDENCIAS." localSheetId="5" hidden="1">{#N/A,#N/A,FALSE,"GERAL";#N/A,#N/A,FALSE,"012-96";#N/A,#N/A,FALSE,"018-96";#N/A,#N/A,FALSE,"027-96";#N/A,#N/A,FALSE,"059-96";#N/A,#N/A,FALSE,"076-96";#N/A,#N/A,FALSE,"019-97";#N/A,#N/A,FALSE,"021-97";#N/A,#N/A,FALSE,"022-97";#N/A,#N/A,FALSE,"028-97"}</definedName>
    <definedName name="wrn.PENDENCIAS." localSheetId="7" hidden="1">{#N/A,#N/A,FALSE,"GERAL";#N/A,#N/A,FALSE,"012-96";#N/A,#N/A,FALSE,"018-96";#N/A,#N/A,FALSE,"027-96";#N/A,#N/A,FALSE,"059-96";#N/A,#N/A,FALSE,"076-96";#N/A,#N/A,FALSE,"019-97";#N/A,#N/A,FALSE,"021-97";#N/A,#N/A,FALSE,"022-97";#N/A,#N/A,FALSE,"028-97"}</definedName>
    <definedName name="wrn.PENDENCIAS." localSheetId="1"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Standard." localSheetId="3" hidden="1">{#N/A,#N/A,TRUE,"Summary";#N/A,#N/A,TRUE,"Worksheet"}</definedName>
    <definedName name="wrn.Standard." localSheetId="2" hidden="1">{#N/A,#N/A,TRUE,"Summary";#N/A,#N/A,TRUE,"Worksheet"}</definedName>
    <definedName name="wrn.Standard." localSheetId="5" hidden="1">{#N/A,#N/A,TRUE,"Summary";#N/A,#N/A,TRUE,"Worksheet"}</definedName>
    <definedName name="wrn.Standard." localSheetId="7" hidden="1">{#N/A,#N/A,TRUE,"Summary";#N/A,#N/A,TRUE,"Worksheet"}</definedName>
    <definedName name="wrn.Standard." localSheetId="1" hidden="1">{#N/A,#N/A,TRUE,"Summary";#N/A,#N/A,TRUE,"Worksheet"}</definedName>
    <definedName name="wrn.Standard." hidden="1">{#N/A,#N/A,TRUE,"Summary";#N/A,#N/A,TRUE,"Worksheet"}</definedName>
    <definedName name="wrn.X_Print._.All." localSheetId="3" hidden="1">{#N/A,#N/A,TRUE,"Summary";#N/A,#N/A,TRUE,"Worksheet";#N/A,#N/A,TRUE,"CashFlow"}</definedName>
    <definedName name="wrn.X_Print._.All." localSheetId="2" hidden="1">{#N/A,#N/A,TRUE,"Summary";#N/A,#N/A,TRUE,"Worksheet";#N/A,#N/A,TRUE,"CashFlow"}</definedName>
    <definedName name="wrn.X_Print._.All." localSheetId="5" hidden="1">{#N/A,#N/A,TRUE,"Summary";#N/A,#N/A,TRUE,"Worksheet";#N/A,#N/A,TRUE,"CashFlow"}</definedName>
    <definedName name="wrn.X_Print._.All." localSheetId="7" hidden="1">{#N/A,#N/A,TRUE,"Summary";#N/A,#N/A,TRUE,"Worksheet";#N/A,#N/A,TRUE,"CashFlow"}</definedName>
    <definedName name="wrn.X_Print._.All." localSheetId="1" hidden="1">{#N/A,#N/A,TRUE,"Summary";#N/A,#N/A,TRUE,"Worksheet";#N/A,#N/A,TRUE,"CashFlow"}</definedName>
    <definedName name="wrn.X_Print._.All." hidden="1">{#N/A,#N/A,TRUE,"Summary";#N/A,#N/A,TRUE,"Worksheet";#N/A,#N/A,TRUE,"CashFlow"}</definedName>
    <definedName name="WWW" localSheetId="3" hidden="1">{#N/A,#N/A,FALSE,"GERAL";#N/A,#N/A,FALSE,"012-96";#N/A,#N/A,FALSE,"018-96";#N/A,#N/A,FALSE,"027-96";#N/A,#N/A,FALSE,"059-96";#N/A,#N/A,FALSE,"076-96";#N/A,#N/A,FALSE,"019-97";#N/A,#N/A,FALSE,"021-97";#N/A,#N/A,FALSE,"022-97";#N/A,#N/A,FALSE,"028-97"}</definedName>
    <definedName name="WWW" localSheetId="2" hidden="1">{#N/A,#N/A,FALSE,"GERAL";#N/A,#N/A,FALSE,"012-96";#N/A,#N/A,FALSE,"018-96";#N/A,#N/A,FALSE,"027-96";#N/A,#N/A,FALSE,"059-96";#N/A,#N/A,FALSE,"076-96";#N/A,#N/A,FALSE,"019-97";#N/A,#N/A,FALSE,"021-97";#N/A,#N/A,FALSE,"022-97";#N/A,#N/A,FALSE,"028-97"}</definedName>
    <definedName name="WWW" localSheetId="5" hidden="1">{#N/A,#N/A,FALSE,"GERAL";#N/A,#N/A,FALSE,"012-96";#N/A,#N/A,FALSE,"018-96";#N/A,#N/A,FALSE,"027-96";#N/A,#N/A,FALSE,"059-96";#N/A,#N/A,FALSE,"076-96";#N/A,#N/A,FALSE,"019-97";#N/A,#N/A,FALSE,"021-97";#N/A,#N/A,FALSE,"022-97";#N/A,#N/A,FALSE,"028-97"}</definedName>
    <definedName name="WWW" localSheetId="7" hidden="1">{#N/A,#N/A,FALSE,"GERAL";#N/A,#N/A,FALSE,"012-96";#N/A,#N/A,FALSE,"018-96";#N/A,#N/A,FALSE,"027-96";#N/A,#N/A,FALSE,"059-96";#N/A,#N/A,FALSE,"076-96";#N/A,#N/A,FALSE,"019-97";#N/A,#N/A,FALSE,"021-97";#N/A,#N/A,FALSE,"022-97";#N/A,#N/A,FALSE,"028-97"}</definedName>
    <definedName name="WWW" localSheetId="1" hidden="1">{#N/A,#N/A,FALSE,"GERAL";#N/A,#N/A,FALSE,"012-96";#N/A,#N/A,FALSE,"018-96";#N/A,#N/A,FALSE,"027-96";#N/A,#N/A,FALSE,"059-96";#N/A,#N/A,FALSE,"076-96";#N/A,#N/A,FALSE,"019-97";#N/A,#N/A,FALSE,"021-97";#N/A,#N/A,FALSE,"022-97";#N/A,#N/A,FALSE,"028-97"}</definedName>
    <definedName name="WWW" hidden="1">{#N/A,#N/A,FALSE,"GERAL";#N/A,#N/A,FALSE,"012-96";#N/A,#N/A,FALSE,"018-96";#N/A,#N/A,FALSE,"027-96";#N/A,#N/A,FALSE,"059-96";#N/A,#N/A,FALSE,"076-96";#N/A,#N/A,FALSE,"019-97";#N/A,#N/A,FALSE,"021-97";#N/A,#N/A,FALSE,"022-97";#N/A,#N/A,FALSE,"028-97"}</definedName>
    <definedName name="x" localSheetId="3" hidden="1">{#N/A,#N/A,FALSE,"GERAL";#N/A,#N/A,FALSE,"012-96";#N/A,#N/A,FALSE,"018-96";#N/A,#N/A,FALSE,"027-96";#N/A,#N/A,FALSE,"059-96";#N/A,#N/A,FALSE,"076-96";#N/A,#N/A,FALSE,"019-97";#N/A,#N/A,FALSE,"021-97";#N/A,#N/A,FALSE,"022-97";#N/A,#N/A,FALSE,"028-97"}</definedName>
    <definedName name="x" localSheetId="2" hidden="1">{#N/A,#N/A,FALSE,"GERAL";#N/A,#N/A,FALSE,"012-96";#N/A,#N/A,FALSE,"018-96";#N/A,#N/A,FALSE,"027-96";#N/A,#N/A,FALSE,"059-96";#N/A,#N/A,FALSE,"076-96";#N/A,#N/A,FALSE,"019-97";#N/A,#N/A,FALSE,"021-97";#N/A,#N/A,FALSE,"022-97";#N/A,#N/A,FALSE,"028-97"}</definedName>
    <definedName name="x" localSheetId="5" hidden="1">{#N/A,#N/A,FALSE,"GERAL";#N/A,#N/A,FALSE,"012-96";#N/A,#N/A,FALSE,"018-96";#N/A,#N/A,FALSE,"027-96";#N/A,#N/A,FALSE,"059-96";#N/A,#N/A,FALSE,"076-96";#N/A,#N/A,FALSE,"019-97";#N/A,#N/A,FALSE,"021-97";#N/A,#N/A,FALSE,"022-97";#N/A,#N/A,FALSE,"028-97"}</definedName>
    <definedName name="x" localSheetId="7" hidden="1">{#N/A,#N/A,FALSE,"GERAL";#N/A,#N/A,FALSE,"012-96";#N/A,#N/A,FALSE,"018-96";#N/A,#N/A,FALSE,"027-96";#N/A,#N/A,FALSE,"059-96";#N/A,#N/A,FALSE,"076-96";#N/A,#N/A,FALSE,"019-97";#N/A,#N/A,FALSE,"021-97";#N/A,#N/A,FALSE,"022-97";#N/A,#N/A,FALSE,"028-97"}</definedName>
    <definedName name="x" localSheetId="1" hidden="1">{#N/A,#N/A,FALSE,"GERAL";#N/A,#N/A,FALSE,"012-96";#N/A,#N/A,FALSE,"018-96";#N/A,#N/A,FALSE,"027-96";#N/A,#N/A,FALSE,"059-96";#N/A,#N/A,FALSE,"076-96";#N/A,#N/A,FALSE,"019-97";#N/A,#N/A,FALSE,"021-97";#N/A,#N/A,FALSE,"022-97";#N/A,#N/A,FALSE,"028-97"}</definedName>
    <definedName name="x" hidden="1">{#N/A,#N/A,FALSE,"GERAL";#N/A,#N/A,FALSE,"012-96";#N/A,#N/A,FALSE,"018-96";#N/A,#N/A,FALSE,"027-96";#N/A,#N/A,FALSE,"059-96";#N/A,#N/A,FALSE,"076-96";#N/A,#N/A,FALSE,"019-97";#N/A,#N/A,FALSE,"021-97";#N/A,#N/A,FALSE,"022-97";#N/A,#N/A,FALSE,"028-97"}</definedName>
    <definedName name="Y">#REF!</definedName>
    <definedName name="Z">#REF!</definedName>
    <definedName name="ZERATOTAIS">#REF!</definedName>
  </definedNames>
  <calcPr calcId="191028"/>
  <pivotCaches>
    <pivotCache cacheId="0"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_HhEXEC_UTGC" name="Tb_HhEXEC_UTGC" connection="WorksheetConnection_CONTROLE INTEGRADO DE DEMANDAS (ES-MG).xlsx!Tb_HhEXEC_UTGC"/>
          <x15:modelTable id="Tb_HhEXEC_EDIVIT" name="Tb_HhEXEC_EDIVIT" connection="WorksheetConnection_CONTROLE INTEGRADO DE DEMANDAS (ES-MG).xlsx!Tb_HhEXEC_EDIVI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0" i="23" l="1"/>
  <c r="B10" i="48" l="1"/>
  <c r="B11" i="48"/>
  <c r="B12" i="48"/>
  <c r="B13" i="48"/>
  <c r="B14" i="48"/>
  <c r="B15" i="48"/>
  <c r="B16" i="48"/>
  <c r="B21" i="48"/>
  <c r="B26" i="48"/>
  <c r="B31" i="48"/>
  <c r="B38" i="48"/>
  <c r="B44" i="48"/>
  <c r="B48" i="48"/>
  <c r="B53" i="48"/>
  <c r="B54" i="48"/>
  <c r="B57" i="48"/>
  <c r="B60" i="48"/>
  <c r="B63" i="48"/>
  <c r="B66" i="48"/>
  <c r="B70" i="48"/>
  <c r="B72" i="48"/>
  <c r="B75" i="48"/>
  <c r="B76" i="48"/>
  <c r="B78" i="48"/>
  <c r="B79" i="48"/>
  <c r="B84" i="48"/>
  <c r="B89" i="48"/>
  <c r="B94" i="48"/>
  <c r="B98" i="48"/>
  <c r="B100" i="48"/>
  <c r="B102" i="48"/>
  <c r="B105" i="48"/>
  <c r="B107" i="48"/>
  <c r="B108" i="48"/>
  <c r="B111" i="48"/>
  <c r="B116" i="48"/>
  <c r="B117" i="48"/>
  <c r="B118" i="48"/>
  <c r="B119" i="48"/>
  <c r="B120" i="48"/>
  <c r="B121" i="48"/>
  <c r="B125" i="48"/>
  <c r="B126" i="48"/>
  <c r="B127" i="48"/>
  <c r="B128" i="48"/>
  <c r="B2" i="48"/>
  <c r="A117" i="48"/>
  <c r="A118" i="48"/>
  <c r="A119" i="48"/>
  <c r="A120" i="48"/>
  <c r="C117" i="48"/>
  <c r="H117" i="48"/>
  <c r="C118" i="48"/>
  <c r="H118" i="48"/>
  <c r="C119" i="48"/>
  <c r="H119" i="48"/>
  <c r="C120" i="48"/>
  <c r="H120" i="48"/>
  <c r="A127" i="48"/>
  <c r="A128" i="48"/>
  <c r="C127" i="48"/>
  <c r="C128" i="48"/>
  <c r="H127" i="48"/>
  <c r="H128" i="48"/>
  <c r="A126" i="48"/>
  <c r="C126" i="48"/>
  <c r="H126" i="48"/>
  <c r="A125" i="48"/>
  <c r="C125" i="48"/>
  <c r="H2" i="41"/>
  <c r="H3" i="41"/>
  <c r="H4" i="41"/>
  <c r="H5" i="41"/>
  <c r="H6" i="41"/>
  <c r="H7" i="41"/>
  <c r="H8" i="41"/>
  <c r="H9" i="41"/>
  <c r="H10" i="41"/>
  <c r="H11" i="41"/>
  <c r="H12" i="41"/>
  <c r="H13" i="41"/>
  <c r="H14" i="41"/>
  <c r="H15" i="41"/>
  <c r="H16" i="41"/>
  <c r="H17" i="41"/>
  <c r="H18" i="41"/>
  <c r="H19" i="41"/>
  <c r="H20" i="41"/>
  <c r="H21" i="41"/>
  <c r="H22" i="41"/>
  <c r="H23" i="41"/>
  <c r="H24" i="41"/>
  <c r="H25" i="41"/>
  <c r="H26" i="41"/>
  <c r="H27" i="41"/>
  <c r="H28" i="41"/>
  <c r="H29" i="41"/>
  <c r="H30" i="41"/>
  <c r="H31" i="41"/>
  <c r="H32" i="41"/>
  <c r="H33" i="41"/>
  <c r="H34" i="41"/>
  <c r="H35" i="41"/>
  <c r="H36" i="41"/>
  <c r="H37" i="41"/>
  <c r="H38" i="41"/>
  <c r="H39" i="41"/>
  <c r="H40" i="41"/>
  <c r="H41" i="41"/>
  <c r="H42" i="41"/>
  <c r="H43" i="41"/>
  <c r="H44" i="41"/>
  <c r="H45" i="41"/>
  <c r="H46" i="41"/>
  <c r="H47" i="41"/>
  <c r="H48" i="41"/>
  <c r="H49" i="41"/>
  <c r="H50" i="41"/>
  <c r="H51" i="41"/>
  <c r="H52" i="41"/>
  <c r="H53" i="41"/>
  <c r="H54" i="41"/>
  <c r="H55" i="41"/>
  <c r="H56" i="41"/>
  <c r="H57" i="41"/>
  <c r="H58" i="41"/>
  <c r="H59" i="41"/>
  <c r="H60" i="41"/>
  <c r="H61" i="41"/>
  <c r="H62" i="41"/>
  <c r="H63" i="41"/>
  <c r="H64" i="41"/>
  <c r="H65" i="41"/>
  <c r="H66" i="41"/>
  <c r="H67" i="41"/>
  <c r="H68" i="41"/>
  <c r="H69" i="41"/>
  <c r="H70" i="41"/>
  <c r="H71" i="41"/>
  <c r="H72" i="41"/>
  <c r="H73" i="41"/>
  <c r="H74" i="41"/>
  <c r="H75" i="41"/>
  <c r="H76" i="41"/>
  <c r="H77" i="41"/>
  <c r="H78" i="41"/>
  <c r="H79" i="41"/>
  <c r="H80" i="41"/>
  <c r="H81" i="41"/>
  <c r="H82" i="41"/>
  <c r="H83" i="41"/>
  <c r="H84" i="41"/>
  <c r="H85" i="41"/>
  <c r="H86" i="41"/>
  <c r="H87" i="41"/>
  <c r="H88" i="41"/>
  <c r="H89" i="41"/>
  <c r="H90" i="41"/>
  <c r="H91" i="41"/>
  <c r="H92" i="41"/>
  <c r="H93" i="41"/>
  <c r="H94" i="41"/>
  <c r="H95" i="41"/>
  <c r="H96" i="41"/>
  <c r="H97" i="41"/>
  <c r="H98" i="41"/>
  <c r="H99" i="41"/>
  <c r="H100" i="41"/>
  <c r="H101" i="41"/>
  <c r="H102" i="41"/>
  <c r="H103" i="41"/>
  <c r="H104" i="41"/>
  <c r="H105" i="41"/>
  <c r="H106" i="41"/>
  <c r="H107" i="41"/>
  <c r="H108" i="41"/>
  <c r="H109" i="41"/>
  <c r="H110" i="41"/>
  <c r="H111" i="41"/>
  <c r="H112" i="41"/>
  <c r="H113" i="41"/>
  <c r="H114" i="41"/>
  <c r="H115" i="41"/>
  <c r="H116" i="41"/>
  <c r="H117" i="41"/>
  <c r="H118" i="41"/>
  <c r="H119" i="41"/>
  <c r="H120" i="41"/>
  <c r="H121" i="41"/>
  <c r="H122" i="41"/>
  <c r="H123" i="41"/>
  <c r="H124" i="41"/>
  <c r="H125" i="41"/>
  <c r="H126" i="41"/>
  <c r="H127" i="41"/>
  <c r="H128" i="41"/>
  <c r="H129" i="41"/>
  <c r="H130" i="41"/>
  <c r="H131" i="41"/>
  <c r="H132" i="41"/>
  <c r="H133" i="41"/>
  <c r="H134" i="41"/>
  <c r="H135" i="41"/>
  <c r="H136" i="41"/>
  <c r="H137" i="41"/>
  <c r="H138" i="41"/>
  <c r="H139" i="41"/>
  <c r="H140" i="41"/>
  <c r="H141" i="41"/>
  <c r="H142" i="41"/>
  <c r="H143" i="41"/>
  <c r="H144" i="41"/>
  <c r="H145" i="41"/>
  <c r="H146" i="41"/>
  <c r="H147" i="41"/>
  <c r="H148" i="41"/>
  <c r="H149" i="41"/>
  <c r="H150" i="41"/>
  <c r="H151" i="41"/>
  <c r="H152" i="41"/>
  <c r="H153" i="41"/>
  <c r="H154" i="41"/>
  <c r="H155" i="41"/>
  <c r="H156" i="41"/>
  <c r="H157" i="41"/>
  <c r="H158" i="41"/>
  <c r="H159" i="41"/>
  <c r="H160" i="41"/>
  <c r="H161" i="41"/>
  <c r="H162" i="41"/>
  <c r="H163" i="41"/>
  <c r="H164" i="41"/>
  <c r="H165" i="41"/>
  <c r="H166" i="41"/>
  <c r="H167" i="41"/>
  <c r="H168" i="41"/>
  <c r="H169" i="41"/>
  <c r="H170" i="41"/>
  <c r="H171" i="41"/>
  <c r="H172" i="41"/>
  <c r="H173" i="41"/>
  <c r="H174" i="41"/>
  <c r="H175" i="41"/>
  <c r="H176" i="41"/>
  <c r="H177" i="41"/>
  <c r="H178" i="41"/>
  <c r="H179" i="41"/>
  <c r="H180" i="41"/>
  <c r="H181" i="41"/>
  <c r="H182" i="41"/>
  <c r="H183" i="41"/>
  <c r="H184" i="41"/>
  <c r="H185" i="41"/>
  <c r="H186" i="41"/>
  <c r="H187" i="41"/>
  <c r="H188" i="41"/>
  <c r="H189" i="41"/>
  <c r="H190" i="41"/>
  <c r="H191" i="41"/>
  <c r="H192" i="41"/>
  <c r="H193" i="41"/>
  <c r="H194" i="41"/>
  <c r="H195" i="41"/>
  <c r="H196" i="41"/>
  <c r="H197" i="41"/>
  <c r="H198" i="41"/>
  <c r="H199" i="41"/>
  <c r="H200" i="41"/>
  <c r="H201" i="41"/>
  <c r="H202" i="41"/>
  <c r="H203" i="41"/>
  <c r="H204" i="41"/>
  <c r="H205" i="41"/>
  <c r="H206" i="41"/>
  <c r="H207" i="41"/>
  <c r="H208" i="41"/>
  <c r="H209" i="41"/>
  <c r="H210" i="41"/>
  <c r="H211" i="41"/>
  <c r="H212" i="41"/>
  <c r="H213" i="41"/>
  <c r="H214" i="41"/>
  <c r="H215" i="41"/>
  <c r="H216" i="41"/>
  <c r="H217" i="41"/>
  <c r="H218" i="41"/>
  <c r="H219" i="41"/>
  <c r="H220" i="41"/>
  <c r="H221" i="41"/>
  <c r="I2" i="41"/>
  <c r="I3" i="41"/>
  <c r="I4" i="41"/>
  <c r="I5" i="41"/>
  <c r="I6" i="41"/>
  <c r="I7" i="41"/>
  <c r="I8" i="41"/>
  <c r="I9" i="41"/>
  <c r="I10" i="41"/>
  <c r="I11" i="41"/>
  <c r="I12" i="41"/>
  <c r="I13" i="41"/>
  <c r="I14" i="41"/>
  <c r="I15" i="41"/>
  <c r="I16" i="41"/>
  <c r="I17" i="41"/>
  <c r="I18" i="41"/>
  <c r="I19" i="41"/>
  <c r="I20" i="41"/>
  <c r="I21" i="41"/>
  <c r="I22" i="41"/>
  <c r="I23" i="41"/>
  <c r="I24" i="41"/>
  <c r="I25" i="41"/>
  <c r="I26" i="41"/>
  <c r="I27" i="41"/>
  <c r="I28" i="41"/>
  <c r="I29" i="41"/>
  <c r="I30" i="41"/>
  <c r="I31" i="41"/>
  <c r="I32" i="41"/>
  <c r="I33" i="41"/>
  <c r="I34" i="41"/>
  <c r="I35" i="41"/>
  <c r="I36" i="41"/>
  <c r="I37" i="41"/>
  <c r="I38" i="41"/>
  <c r="I39" i="41"/>
  <c r="I40" i="41"/>
  <c r="I41" i="41"/>
  <c r="I42" i="41"/>
  <c r="I43" i="41"/>
  <c r="I44" i="41"/>
  <c r="I45" i="41"/>
  <c r="I46" i="41"/>
  <c r="I47" i="41"/>
  <c r="I48" i="41"/>
  <c r="I49" i="41"/>
  <c r="I50" i="41"/>
  <c r="I51" i="41"/>
  <c r="I52" i="41"/>
  <c r="I53" i="41"/>
  <c r="I54" i="41"/>
  <c r="I55" i="41"/>
  <c r="I56" i="41"/>
  <c r="I57" i="41"/>
  <c r="I58" i="41"/>
  <c r="I59" i="41"/>
  <c r="I60" i="41"/>
  <c r="I61" i="41"/>
  <c r="I62" i="41"/>
  <c r="I63" i="41"/>
  <c r="I64" i="41"/>
  <c r="I65" i="41"/>
  <c r="I66" i="41"/>
  <c r="I67" i="41"/>
  <c r="I68" i="41"/>
  <c r="I69" i="41"/>
  <c r="I70" i="41"/>
  <c r="I71" i="41"/>
  <c r="I72" i="41"/>
  <c r="I73" i="41"/>
  <c r="I74" i="41"/>
  <c r="I75" i="41"/>
  <c r="I76" i="41"/>
  <c r="I77" i="41"/>
  <c r="I78" i="41"/>
  <c r="I79" i="41"/>
  <c r="I80" i="41"/>
  <c r="I81" i="41"/>
  <c r="I82" i="41"/>
  <c r="I83" i="41"/>
  <c r="I84" i="41"/>
  <c r="I85" i="41"/>
  <c r="I86" i="41"/>
  <c r="I87" i="41"/>
  <c r="I88" i="41"/>
  <c r="I89" i="41"/>
  <c r="I90" i="41"/>
  <c r="I91" i="41"/>
  <c r="I92" i="41"/>
  <c r="I93" i="41"/>
  <c r="I94" i="41"/>
  <c r="I95" i="41"/>
  <c r="I96" i="41"/>
  <c r="I97" i="41"/>
  <c r="I98" i="41"/>
  <c r="I99" i="41"/>
  <c r="I100" i="41"/>
  <c r="I101" i="41"/>
  <c r="I102" i="41"/>
  <c r="I103" i="41"/>
  <c r="I104" i="41"/>
  <c r="I105" i="41"/>
  <c r="I106" i="41"/>
  <c r="I107" i="41"/>
  <c r="I108" i="41"/>
  <c r="I109" i="41"/>
  <c r="I110" i="41"/>
  <c r="I111" i="41"/>
  <c r="I112" i="41"/>
  <c r="I113" i="41"/>
  <c r="I114" i="41"/>
  <c r="I115" i="41"/>
  <c r="I116" i="41"/>
  <c r="I117" i="41"/>
  <c r="I118" i="41"/>
  <c r="I119" i="41"/>
  <c r="I120" i="41"/>
  <c r="I121" i="41"/>
  <c r="I122" i="41"/>
  <c r="I123" i="41"/>
  <c r="I124" i="41"/>
  <c r="I125" i="41"/>
  <c r="I126" i="41"/>
  <c r="I127" i="41"/>
  <c r="I128" i="41"/>
  <c r="I129" i="41"/>
  <c r="I130" i="41"/>
  <c r="I131" i="41"/>
  <c r="I132" i="41"/>
  <c r="I133" i="41"/>
  <c r="I134" i="41"/>
  <c r="I135" i="41"/>
  <c r="I136" i="41"/>
  <c r="I137" i="41"/>
  <c r="I138" i="41"/>
  <c r="I139" i="41"/>
  <c r="I140" i="41"/>
  <c r="I141" i="41"/>
  <c r="I142" i="41"/>
  <c r="I143" i="41"/>
  <c r="I144" i="41"/>
  <c r="I145" i="41"/>
  <c r="I146" i="41"/>
  <c r="I147" i="41"/>
  <c r="I148" i="41"/>
  <c r="I149" i="41"/>
  <c r="I150" i="41"/>
  <c r="I151" i="41"/>
  <c r="I152" i="41"/>
  <c r="I153" i="41"/>
  <c r="I154" i="41"/>
  <c r="I155" i="41"/>
  <c r="I156" i="41"/>
  <c r="I157" i="41"/>
  <c r="I158" i="41"/>
  <c r="I159" i="41"/>
  <c r="I160" i="41"/>
  <c r="I161" i="41"/>
  <c r="I162" i="41"/>
  <c r="I163" i="41"/>
  <c r="I164" i="41"/>
  <c r="I165" i="41"/>
  <c r="I166" i="41"/>
  <c r="I167" i="41"/>
  <c r="I168" i="41"/>
  <c r="I169" i="41"/>
  <c r="I170" i="41"/>
  <c r="I171" i="41"/>
  <c r="I172" i="41"/>
  <c r="I173" i="41"/>
  <c r="I174" i="41"/>
  <c r="I175" i="41"/>
  <c r="I176" i="41"/>
  <c r="I177" i="41"/>
  <c r="I178" i="41"/>
  <c r="I179" i="41"/>
  <c r="I180" i="41"/>
  <c r="I181" i="41"/>
  <c r="I182" i="41"/>
  <c r="I183" i="41"/>
  <c r="I184" i="41"/>
  <c r="I185" i="41"/>
  <c r="I186" i="41"/>
  <c r="I187" i="41"/>
  <c r="I188" i="41"/>
  <c r="I189" i="41"/>
  <c r="I190" i="41"/>
  <c r="I191" i="41"/>
  <c r="I192" i="41"/>
  <c r="I193" i="41"/>
  <c r="I194" i="41"/>
  <c r="I195" i="41"/>
  <c r="I196" i="41"/>
  <c r="I197" i="41"/>
  <c r="I198" i="41"/>
  <c r="I199" i="41"/>
  <c r="I200" i="41"/>
  <c r="I201" i="41"/>
  <c r="I202" i="41"/>
  <c r="I203" i="41"/>
  <c r="I204" i="41"/>
  <c r="I205" i="41"/>
  <c r="I206" i="41"/>
  <c r="I207" i="41"/>
  <c r="I208" i="41"/>
  <c r="I209" i="41"/>
  <c r="I210" i="41"/>
  <c r="I211" i="41"/>
  <c r="I212" i="41"/>
  <c r="I213" i="41"/>
  <c r="I214" i="41"/>
  <c r="I215" i="41"/>
  <c r="I216" i="41"/>
  <c r="I217" i="41"/>
  <c r="I218" i="41"/>
  <c r="I219" i="41"/>
  <c r="I220" i="41"/>
  <c r="I221" i="41"/>
  <c r="G45" i="23" l="1"/>
  <c r="H45" i="23" s="1"/>
  <c r="F45" i="23"/>
  <c r="D45" i="23"/>
  <c r="G44" i="23"/>
  <c r="H44" i="23" s="1"/>
  <c r="F44" i="23"/>
  <c r="D44" i="23"/>
  <c r="G43" i="23"/>
  <c r="H43" i="23" s="1"/>
  <c r="F43" i="23"/>
  <c r="D38" i="38" s="1"/>
  <c r="D43" i="23"/>
  <c r="G42" i="23"/>
  <c r="H42" i="23" s="1"/>
  <c r="F42" i="23"/>
  <c r="D42" i="23"/>
  <c r="C45" i="23"/>
  <c r="C44" i="23"/>
  <c r="C42" i="23"/>
  <c r="C38" i="36"/>
  <c r="C39" i="36"/>
  <c r="C40" i="36"/>
  <c r="C41" i="36"/>
  <c r="B37" i="38"/>
  <c r="B38" i="38"/>
  <c r="B39" i="38"/>
  <c r="B40" i="38"/>
  <c r="C37" i="38"/>
  <c r="C38" i="38"/>
  <c r="C39" i="38"/>
  <c r="C40" i="38"/>
  <c r="D37" i="38"/>
  <c r="D39" i="38"/>
  <c r="D40" i="38"/>
  <c r="F37" i="38"/>
  <c r="F38" i="38"/>
  <c r="F39" i="38"/>
  <c r="F40" i="38"/>
  <c r="G37" i="38"/>
  <c r="G38" i="38"/>
  <c r="G39" i="38"/>
  <c r="G40" i="38"/>
  <c r="H37" i="38"/>
  <c r="H38" i="38"/>
  <c r="H39" i="38"/>
  <c r="H40" i="38"/>
  <c r="I37" i="38"/>
  <c r="AH42" i="23" s="1"/>
  <c r="I38" i="38"/>
  <c r="AH43" i="23" s="1"/>
  <c r="I39" i="38"/>
  <c r="AH44" i="23" s="1"/>
  <c r="I40" i="38"/>
  <c r="AH45" i="23" s="1"/>
  <c r="J37" i="38"/>
  <c r="AJ42" i="23" s="1"/>
  <c r="J38" i="38"/>
  <c r="AJ43" i="23" s="1"/>
  <c r="J39" i="38"/>
  <c r="AJ44" i="23" s="1"/>
  <c r="J40" i="38"/>
  <c r="AJ45" i="23" s="1"/>
  <c r="K37" i="38"/>
  <c r="AL42" i="23" s="1"/>
  <c r="K38" i="38"/>
  <c r="AL43" i="23" s="1"/>
  <c r="K39" i="38"/>
  <c r="AL44" i="23" s="1"/>
  <c r="K40" i="38"/>
  <c r="AL45" i="23" s="1"/>
  <c r="L37" i="38"/>
  <c r="AN42" i="23" s="1"/>
  <c r="L38" i="38"/>
  <c r="AN43" i="23" s="1"/>
  <c r="L39" i="38"/>
  <c r="AN44" i="23" s="1"/>
  <c r="L40" i="38"/>
  <c r="AN45" i="23" s="1"/>
  <c r="M37" i="38"/>
  <c r="AP42" i="23" s="1"/>
  <c r="M38" i="38"/>
  <c r="AP43" i="23" s="1"/>
  <c r="M39" i="38"/>
  <c r="AP44" i="23" s="1"/>
  <c r="M40" i="38"/>
  <c r="AP45" i="23" s="1"/>
  <c r="N37" i="38"/>
  <c r="AR42" i="23" s="1"/>
  <c r="N38" i="38"/>
  <c r="AR43" i="23" s="1"/>
  <c r="N39" i="38"/>
  <c r="AR44" i="23" s="1"/>
  <c r="N40" i="38"/>
  <c r="AR45" i="23" s="1"/>
  <c r="O37" i="38"/>
  <c r="AT42" i="23" s="1"/>
  <c r="O38" i="38"/>
  <c r="AT43" i="23" s="1"/>
  <c r="O39" i="38"/>
  <c r="AT44" i="23" s="1"/>
  <c r="O40" i="38"/>
  <c r="AT45" i="23" s="1"/>
  <c r="P37" i="38"/>
  <c r="AV42" i="23" s="1"/>
  <c r="P38" i="38"/>
  <c r="AV43" i="23" s="1"/>
  <c r="P39" i="38"/>
  <c r="AV44" i="23" s="1"/>
  <c r="P40" i="38"/>
  <c r="AV45" i="23" s="1"/>
  <c r="Q37" i="38"/>
  <c r="AX42" i="23" s="1"/>
  <c r="Q38" i="38"/>
  <c r="AX43" i="23" s="1"/>
  <c r="Q39" i="38"/>
  <c r="AX44" i="23" s="1"/>
  <c r="Q40" i="38"/>
  <c r="AX45" i="23" s="1"/>
  <c r="R37" i="38"/>
  <c r="AZ42" i="23" s="1"/>
  <c r="R38" i="38"/>
  <c r="AZ43" i="23" s="1"/>
  <c r="R39" i="38"/>
  <c r="AZ44" i="23" s="1"/>
  <c r="R40" i="38"/>
  <c r="AZ45" i="23" s="1"/>
  <c r="S37" i="38"/>
  <c r="BB42" i="23" s="1"/>
  <c r="S38" i="38"/>
  <c r="BB43" i="23" s="1"/>
  <c r="S39" i="38"/>
  <c r="BB44" i="23" s="1"/>
  <c r="S40" i="38"/>
  <c r="BB45" i="23" s="1"/>
  <c r="T37" i="38"/>
  <c r="BD42" i="23" s="1"/>
  <c r="T38" i="38"/>
  <c r="BD43" i="23" s="1"/>
  <c r="T39" i="38"/>
  <c r="BD44" i="23" s="1"/>
  <c r="T40" i="38"/>
  <c r="BD45" i="23" s="1"/>
  <c r="U37" i="38"/>
  <c r="BF42" i="23" s="1"/>
  <c r="U38" i="38"/>
  <c r="BF43" i="23" s="1"/>
  <c r="U39" i="38"/>
  <c r="BF44" i="23" s="1"/>
  <c r="U40" i="38"/>
  <c r="BF45" i="23" s="1"/>
  <c r="V37" i="38"/>
  <c r="V38" i="38"/>
  <c r="V39" i="38"/>
  <c r="V40" i="38"/>
  <c r="W37" i="38"/>
  <c r="W38" i="38"/>
  <c r="W39" i="38"/>
  <c r="W40" i="38"/>
  <c r="Y37" i="38"/>
  <c r="Y38" i="38"/>
  <c r="Y39" i="38"/>
  <c r="Y40" i="38"/>
  <c r="B45" i="23"/>
  <c r="B44" i="23"/>
  <c r="B43" i="23"/>
  <c r="B42" i="23"/>
  <c r="AF45" i="23" l="1"/>
  <c r="AD45" i="23"/>
  <c r="AB45" i="23"/>
  <c r="AF44" i="23"/>
  <c r="AD44" i="23"/>
  <c r="AB44" i="23"/>
  <c r="AF43" i="23"/>
  <c r="AD43" i="23"/>
  <c r="AB43" i="23"/>
  <c r="AF42" i="23"/>
  <c r="AD42" i="23"/>
  <c r="AB42" i="23"/>
  <c r="BG42" i="23"/>
  <c r="AY42" i="23"/>
  <c r="AQ42" i="23"/>
  <c r="AI42" i="23"/>
  <c r="BE42" i="23"/>
  <c r="AW42" i="23"/>
  <c r="AO42" i="23"/>
  <c r="AG42" i="23"/>
  <c r="BC42" i="23"/>
  <c r="AU42" i="23"/>
  <c r="AM42" i="23"/>
  <c r="AE42" i="23"/>
  <c r="BA42" i="23"/>
  <c r="AS42" i="23"/>
  <c r="AK42" i="23"/>
  <c r="AC42" i="23"/>
  <c r="I42" i="23"/>
  <c r="BG45" i="23"/>
  <c r="AY45" i="23"/>
  <c r="AQ45" i="23"/>
  <c r="AI45" i="23"/>
  <c r="BE45" i="23"/>
  <c r="AW45" i="23"/>
  <c r="AO45" i="23"/>
  <c r="AG45" i="23"/>
  <c r="BC45" i="23"/>
  <c r="AU45" i="23"/>
  <c r="AM45" i="23"/>
  <c r="AE45" i="23"/>
  <c r="BA45" i="23"/>
  <c r="AS45" i="23"/>
  <c r="AK45" i="23"/>
  <c r="AC45" i="23"/>
  <c r="I45" i="23"/>
  <c r="BG43" i="23"/>
  <c r="AY43" i="23"/>
  <c r="AQ43" i="23"/>
  <c r="AI43" i="23"/>
  <c r="BE43" i="23"/>
  <c r="AW43" i="23"/>
  <c r="AO43" i="23"/>
  <c r="AG43" i="23"/>
  <c r="BC43" i="23"/>
  <c r="AU43" i="23"/>
  <c r="AM43" i="23"/>
  <c r="AE43" i="23"/>
  <c r="BA43" i="23"/>
  <c r="AS43" i="23"/>
  <c r="AK43" i="23"/>
  <c r="AC43" i="23"/>
  <c r="BG44" i="23"/>
  <c r="AY44" i="23"/>
  <c r="AQ44" i="23"/>
  <c r="AI44" i="23"/>
  <c r="BE44" i="23"/>
  <c r="AW44" i="23"/>
  <c r="AO44" i="23"/>
  <c r="AG44" i="23"/>
  <c r="BC44" i="23"/>
  <c r="AU44" i="23"/>
  <c r="AM44" i="23"/>
  <c r="AE44" i="23"/>
  <c r="BA44" i="23"/>
  <c r="AS44" i="23"/>
  <c r="AK44" i="23"/>
  <c r="AC44" i="23"/>
  <c r="I43" i="23"/>
  <c r="I44" i="23"/>
  <c r="E38" i="38"/>
  <c r="E40" i="38"/>
  <c r="E39" i="38"/>
  <c r="E37" i="38"/>
  <c r="AB45" i="24"/>
  <c r="AB44" i="24"/>
  <c r="AB43" i="24"/>
  <c r="AB42" i="24"/>
  <c r="AB41" i="24"/>
  <c r="AB40" i="24"/>
  <c r="AB39" i="24"/>
  <c r="AB38" i="24"/>
  <c r="AB37" i="24"/>
  <c r="AB36" i="24"/>
  <c r="AB35" i="24"/>
  <c r="AB34" i="24"/>
  <c r="AB33" i="24"/>
  <c r="AB32" i="24"/>
  <c r="AB31" i="24"/>
  <c r="AB30" i="24"/>
  <c r="AB29" i="24"/>
  <c r="AB28" i="24"/>
  <c r="AB27" i="24"/>
  <c r="AB26" i="24"/>
  <c r="AB25" i="24"/>
  <c r="AB24" i="24"/>
  <c r="AB23" i="24"/>
  <c r="AB22" i="24"/>
  <c r="AB21" i="24"/>
  <c r="AB20" i="24"/>
  <c r="AB19" i="24"/>
  <c r="AB18" i="24"/>
  <c r="AB17" i="24"/>
  <c r="AB16" i="24"/>
  <c r="AB15" i="24"/>
  <c r="AB14" i="24"/>
  <c r="AB13" i="24"/>
  <c r="AB12" i="24"/>
  <c r="AB11" i="24"/>
  <c r="AB10" i="24"/>
  <c r="X6" i="24"/>
  <c r="X7" i="24"/>
  <c r="X8" i="24"/>
  <c r="X9" i="24"/>
  <c r="X10" i="24"/>
  <c r="X11" i="24"/>
  <c r="X12" i="24"/>
  <c r="X13" i="24"/>
  <c r="X14" i="24"/>
  <c r="X15" i="24"/>
  <c r="X16" i="24"/>
  <c r="X17" i="24"/>
  <c r="X18" i="24"/>
  <c r="X19" i="24"/>
  <c r="X20" i="24"/>
  <c r="X21" i="24"/>
  <c r="X22" i="24"/>
  <c r="X23" i="24"/>
  <c r="X24" i="24"/>
  <c r="X25" i="24"/>
  <c r="X26" i="24"/>
  <c r="X27" i="24"/>
  <c r="X28" i="24"/>
  <c r="X29" i="24"/>
  <c r="X30" i="24"/>
  <c r="X31" i="24"/>
  <c r="X32" i="24"/>
  <c r="X33" i="24"/>
  <c r="X34" i="24"/>
  <c r="X35" i="24"/>
  <c r="X36" i="24"/>
  <c r="X37" i="24"/>
  <c r="X38" i="24"/>
  <c r="X39" i="24"/>
  <c r="X40" i="24"/>
  <c r="X41" i="24"/>
  <c r="X42" i="24"/>
  <c r="X43" i="24"/>
  <c r="X44" i="24"/>
  <c r="X45" i="24"/>
  <c r="A44" i="24"/>
  <c r="A45" i="24"/>
  <c r="D45" i="24"/>
  <c r="E45" i="24"/>
  <c r="AN45" i="24" s="1"/>
  <c r="G45" i="24"/>
  <c r="I45" i="24" s="1"/>
  <c r="O45" i="24"/>
  <c r="P45" i="24" s="1"/>
  <c r="R45" i="24" s="1" a="1"/>
  <c r="R45" i="24" s="1"/>
  <c r="S45" i="24"/>
  <c r="AI45" i="24"/>
  <c r="AM45" i="24"/>
  <c r="AQ45" i="24"/>
  <c r="AU45" i="24"/>
  <c r="G45" i="30"/>
  <c r="R45" i="30" s="1" a="1"/>
  <c r="R45" i="30" s="1"/>
  <c r="A44" i="30"/>
  <c r="A45" i="30"/>
  <c r="C45" i="30"/>
  <c r="C45" i="24" s="1"/>
  <c r="D45" i="30"/>
  <c r="E45" i="30"/>
  <c r="F45" i="30"/>
  <c r="T45" i="30" s="1" a="1"/>
  <c r="T45" i="30" s="1"/>
  <c r="W45" i="30"/>
  <c r="AZ45" i="24" s="1"/>
  <c r="X45" i="30"/>
  <c r="BA45" i="24" s="1"/>
  <c r="Y45" i="30"/>
  <c r="BB45" i="24" s="1"/>
  <c r="A44" i="31"/>
  <c r="A45" i="31"/>
  <c r="T45" i="31" a="1"/>
  <c r="T45" i="31" s="1"/>
  <c r="W45" i="31"/>
  <c r="X45" i="31"/>
  <c r="AJ45" i="24" l="1"/>
  <c r="F45" i="24"/>
  <c r="K45" i="24" s="1"/>
  <c r="AR45" i="24"/>
  <c r="AF45" i="24"/>
  <c r="H45" i="24"/>
  <c r="J45" i="24" s="1" a="1"/>
  <c r="J45" i="24" s="1"/>
  <c r="AX45" i="24"/>
  <c r="Q45" i="24"/>
  <c r="R9" i="31" a="1"/>
  <c r="R9" i="31" s="1"/>
  <c r="T9" i="31" a="1"/>
  <c r="T9" i="31" s="1"/>
  <c r="R10" i="31" a="1"/>
  <c r="R10" i="31" s="1"/>
  <c r="T10" i="31" a="1"/>
  <c r="T10" i="31" s="1"/>
  <c r="R11" i="31" a="1"/>
  <c r="R11" i="31" s="1"/>
  <c r="T11" i="31" a="1"/>
  <c r="T11" i="31" s="1"/>
  <c r="R12" i="31" a="1"/>
  <c r="R12" i="31" s="1"/>
  <c r="T12" i="31" a="1"/>
  <c r="T12" i="31" s="1"/>
  <c r="R13" i="31" a="1"/>
  <c r="R13" i="31" s="1"/>
  <c r="T13" i="31" a="1"/>
  <c r="T13" i="31" s="1"/>
  <c r="R14" i="31" a="1"/>
  <c r="R14" i="31" s="1"/>
  <c r="T14" i="31" a="1"/>
  <c r="T14" i="31" s="1"/>
  <c r="R15" i="31" a="1"/>
  <c r="R15" i="31" s="1"/>
  <c r="T15" i="31" a="1"/>
  <c r="T15" i="31" s="1"/>
  <c r="R16" i="31" a="1"/>
  <c r="R16" i="31" s="1"/>
  <c r="T16" i="31" a="1"/>
  <c r="T16" i="31" s="1"/>
  <c r="R17" i="31" a="1"/>
  <c r="R17" i="31" s="1"/>
  <c r="T17" i="31" a="1"/>
  <c r="T17" i="31" s="1"/>
  <c r="R18" i="31" a="1"/>
  <c r="R18" i="31" s="1"/>
  <c r="T18" i="31" a="1"/>
  <c r="T18" i="31" s="1"/>
  <c r="R19" i="31" a="1"/>
  <c r="R19" i="31" s="1"/>
  <c r="T19" i="31" a="1"/>
  <c r="T19" i="31" s="1"/>
  <c r="R20" i="31" a="1"/>
  <c r="R20" i="31" s="1"/>
  <c r="T20" i="31" a="1"/>
  <c r="T20" i="31" s="1"/>
  <c r="W20" i="31"/>
  <c r="R21" i="31" a="1"/>
  <c r="R21" i="31" s="1"/>
  <c r="T21" i="31" a="1"/>
  <c r="T21" i="31" s="1"/>
  <c r="R22" i="31" a="1"/>
  <c r="R22" i="31" s="1"/>
  <c r="T22" i="31" a="1"/>
  <c r="T22" i="31" s="1"/>
  <c r="R23" i="31" a="1"/>
  <c r="R23" i="31" s="1"/>
  <c r="T23" i="31" a="1"/>
  <c r="T23" i="31" s="1"/>
  <c r="R24" i="31" a="1"/>
  <c r="R24" i="31" s="1"/>
  <c r="T24" i="31" a="1"/>
  <c r="T24" i="31" s="1"/>
  <c r="R25" i="31" a="1"/>
  <c r="R25" i="31" s="1"/>
  <c r="T25" i="31" a="1"/>
  <c r="T25" i="31" s="1"/>
  <c r="R26" i="31" a="1"/>
  <c r="R26" i="31" s="1"/>
  <c r="T26" i="31" a="1"/>
  <c r="T26" i="31" s="1"/>
  <c r="R27" i="31" a="1"/>
  <c r="R27" i="31" s="1"/>
  <c r="T27" i="31" a="1"/>
  <c r="T27" i="31" s="1"/>
  <c r="R28" i="31" a="1"/>
  <c r="R28" i="31" s="1"/>
  <c r="T28" i="31" a="1"/>
  <c r="T28" i="31" s="1"/>
  <c r="W28" i="31"/>
  <c r="G29" i="31"/>
  <c r="R29" i="31" s="1" a="1"/>
  <c r="R29" i="31" s="1"/>
  <c r="T29" i="31" a="1"/>
  <c r="T29" i="31" s="1"/>
  <c r="G30" i="31"/>
  <c r="R30" i="31" s="1" a="1"/>
  <c r="R30" i="31" s="1"/>
  <c r="G31" i="31"/>
  <c r="T31" i="31" s="1" a="1"/>
  <c r="T31" i="31" s="1"/>
  <c r="R32" i="31" a="1"/>
  <c r="R32" i="31" s="1"/>
  <c r="T32" i="31" a="1"/>
  <c r="T32" i="31" s="1"/>
  <c r="R33" i="31" a="1"/>
  <c r="R33" i="31" s="1"/>
  <c r="T33" i="31" a="1"/>
  <c r="T33" i="31" s="1"/>
  <c r="G34" i="31"/>
  <c r="R34" i="31" s="1" a="1"/>
  <c r="R34" i="31" s="1"/>
  <c r="T34" i="31" a="1"/>
  <c r="T34" i="31" s="1"/>
  <c r="W34" i="31"/>
  <c r="T35" i="31" a="1"/>
  <c r="T35" i="31" s="1"/>
  <c r="R36" i="31" a="1"/>
  <c r="R36" i="31" s="1"/>
  <c r="T36" i="31" a="1"/>
  <c r="T36" i="31" s="1"/>
  <c r="R37" i="31" a="1"/>
  <c r="R37" i="31" s="1"/>
  <c r="T37" i="31" a="1"/>
  <c r="T37" i="31" s="1"/>
  <c r="R38" i="31" a="1"/>
  <c r="R38" i="31" s="1"/>
  <c r="T38" i="31" a="1"/>
  <c r="T38" i="31" s="1"/>
  <c r="R39" i="31" a="1"/>
  <c r="R39" i="31" s="1"/>
  <c r="T39" i="31" a="1"/>
  <c r="T39" i="31" s="1"/>
  <c r="R40" i="31" a="1"/>
  <c r="R40" i="31" s="1"/>
  <c r="T40" i="31" a="1"/>
  <c r="T40" i="31" s="1"/>
  <c r="G41" i="31"/>
  <c r="R41" i="31" s="1" a="1"/>
  <c r="R41" i="31" s="1"/>
  <c r="R42" i="31" a="1"/>
  <c r="R42" i="31" s="1"/>
  <c r="T42" i="31" a="1"/>
  <c r="T42" i="31" s="1"/>
  <c r="W42" i="31"/>
  <c r="X42" i="31"/>
  <c r="G43" i="31"/>
  <c r="T43" i="31" s="1" a="1"/>
  <c r="T43" i="31" s="1"/>
  <c r="W43" i="31"/>
  <c r="X43" i="31"/>
  <c r="R44" i="31" a="1"/>
  <c r="R44" i="31" s="1"/>
  <c r="T44" i="31" a="1"/>
  <c r="T44" i="31" s="1"/>
  <c r="W44" i="31"/>
  <c r="X44" i="31"/>
  <c r="AB6" i="24"/>
  <c r="AB7" i="24"/>
  <c r="AB8" i="24"/>
  <c r="AB9" i="24"/>
  <c r="AV45" i="24" l="1"/>
  <c r="AY45" i="24" s="1"/>
  <c r="T45" i="24"/>
  <c r="L45" i="24"/>
  <c r="N45" i="24" s="1"/>
  <c r="M45" i="24" a="1"/>
  <c r="M45" i="24" s="1"/>
  <c r="R31" i="31" a="1"/>
  <c r="R31" i="31" s="1"/>
  <c r="T30" i="31" a="1"/>
  <c r="T30" i="31" s="1"/>
  <c r="R43" i="31" a="1"/>
  <c r="R43" i="31" s="1"/>
  <c r="T41" i="31" a="1"/>
  <c r="T41" i="31" s="1"/>
  <c r="AU6" i="24" l="1"/>
  <c r="AU7" i="24"/>
  <c r="AU8" i="24"/>
  <c r="AU9" i="24"/>
  <c r="AU10" i="24"/>
  <c r="AU11" i="24"/>
  <c r="AU12" i="24"/>
  <c r="AU13" i="24"/>
  <c r="AU14" i="24"/>
  <c r="AU15" i="24"/>
  <c r="AU16" i="24"/>
  <c r="AU17" i="24"/>
  <c r="AU18" i="24"/>
  <c r="AU19" i="24"/>
  <c r="AU20" i="24"/>
  <c r="AU21" i="24"/>
  <c r="AU22" i="24"/>
  <c r="AU23" i="24"/>
  <c r="AU24" i="24"/>
  <c r="AU25" i="24"/>
  <c r="AU26" i="24"/>
  <c r="AU27" i="24"/>
  <c r="AU28" i="24"/>
  <c r="AU29" i="24"/>
  <c r="AU30" i="24"/>
  <c r="AU31" i="24"/>
  <c r="AU32" i="24"/>
  <c r="AU33" i="24"/>
  <c r="AU34" i="24"/>
  <c r="AU35" i="24"/>
  <c r="AU36" i="24"/>
  <c r="AU37" i="24"/>
  <c r="AU38" i="24"/>
  <c r="AU39" i="24"/>
  <c r="AU40" i="24"/>
  <c r="AU41" i="24"/>
  <c r="AU42" i="24"/>
  <c r="AU43" i="24"/>
  <c r="AU44" i="24"/>
  <c r="AQ6" i="24"/>
  <c r="AQ7" i="24"/>
  <c r="AQ8" i="24"/>
  <c r="AQ9" i="24"/>
  <c r="AQ10" i="24"/>
  <c r="AQ11" i="24"/>
  <c r="AQ12" i="24"/>
  <c r="AQ13" i="24"/>
  <c r="AQ14" i="24"/>
  <c r="AQ15" i="24"/>
  <c r="AQ16" i="24"/>
  <c r="AQ17" i="24"/>
  <c r="AQ18" i="24"/>
  <c r="AQ19" i="24"/>
  <c r="AQ20" i="24"/>
  <c r="AQ21" i="24"/>
  <c r="AQ22" i="24"/>
  <c r="AQ23" i="24"/>
  <c r="AQ24" i="24"/>
  <c r="AQ25" i="24"/>
  <c r="AQ26" i="24"/>
  <c r="AQ27" i="24"/>
  <c r="AQ28" i="24"/>
  <c r="AQ29" i="24"/>
  <c r="AQ30" i="24"/>
  <c r="AQ31" i="24"/>
  <c r="AQ32" i="24"/>
  <c r="AQ33" i="24"/>
  <c r="AQ34" i="24"/>
  <c r="AQ35" i="24"/>
  <c r="AQ36" i="24"/>
  <c r="AQ37" i="24"/>
  <c r="AQ38" i="24"/>
  <c r="AQ39" i="24"/>
  <c r="AQ40" i="24"/>
  <c r="AQ41" i="24"/>
  <c r="AQ42" i="24"/>
  <c r="AQ43" i="24"/>
  <c r="AQ44" i="24"/>
  <c r="AM6" i="24"/>
  <c r="AM7" i="24"/>
  <c r="AM8" i="24"/>
  <c r="AM9" i="24"/>
  <c r="AM10" i="24"/>
  <c r="AM11" i="24"/>
  <c r="AM12" i="24"/>
  <c r="AM13" i="24"/>
  <c r="AM14" i="24"/>
  <c r="AM15" i="24"/>
  <c r="AM16" i="24"/>
  <c r="AM17" i="24"/>
  <c r="AM18" i="24"/>
  <c r="AM19" i="24"/>
  <c r="AM20" i="24"/>
  <c r="AM21" i="24"/>
  <c r="AM22" i="24"/>
  <c r="AM23" i="24"/>
  <c r="AM24" i="24"/>
  <c r="AM25" i="24"/>
  <c r="AM26" i="24"/>
  <c r="AM27" i="24"/>
  <c r="AM28" i="24"/>
  <c r="AM29" i="24"/>
  <c r="AM30" i="24"/>
  <c r="AM31" i="24"/>
  <c r="AM32" i="24"/>
  <c r="AM33" i="24"/>
  <c r="AM34" i="24"/>
  <c r="AM35" i="24"/>
  <c r="AM36" i="24"/>
  <c r="AM37" i="24"/>
  <c r="AM38" i="24"/>
  <c r="AM39" i="24"/>
  <c r="AM40" i="24"/>
  <c r="AM41" i="24"/>
  <c r="AM42" i="24"/>
  <c r="AM43" i="24"/>
  <c r="AM44" i="24"/>
  <c r="AI6" i="24"/>
  <c r="AI7" i="24"/>
  <c r="AI8" i="24"/>
  <c r="AI9" i="24"/>
  <c r="AI10" i="24"/>
  <c r="AI11" i="24"/>
  <c r="AI12" i="24"/>
  <c r="AI13" i="24"/>
  <c r="AI14" i="24"/>
  <c r="AI15" i="24"/>
  <c r="AI16" i="24"/>
  <c r="AI17" i="24"/>
  <c r="AI18" i="24"/>
  <c r="AI19" i="24"/>
  <c r="AI20" i="24"/>
  <c r="AI21" i="24"/>
  <c r="AI22" i="24"/>
  <c r="AI23" i="24"/>
  <c r="AI24" i="24"/>
  <c r="AI25" i="24"/>
  <c r="AI26" i="24"/>
  <c r="AI27" i="24"/>
  <c r="AI28" i="24"/>
  <c r="AI29" i="24"/>
  <c r="AI30" i="24"/>
  <c r="AI31" i="24"/>
  <c r="AI32" i="24"/>
  <c r="AI33" i="24"/>
  <c r="AI34" i="24"/>
  <c r="AI35" i="24"/>
  <c r="AI36" i="24"/>
  <c r="AI37" i="24"/>
  <c r="AI38" i="24"/>
  <c r="AI39" i="24"/>
  <c r="AI40" i="24"/>
  <c r="AI41" i="24"/>
  <c r="AI42" i="24"/>
  <c r="AI43" i="24"/>
  <c r="AI44" i="24"/>
  <c r="AX33" i="24" l="1"/>
  <c r="AX9" i="24"/>
  <c r="AX41" i="24"/>
  <c r="AX17" i="24"/>
  <c r="AX25" i="24"/>
  <c r="AX39" i="24"/>
  <c r="AX31" i="24"/>
  <c r="AX23" i="24"/>
  <c r="AX15" i="24"/>
  <c r="AX7" i="24"/>
  <c r="AX37" i="24"/>
  <c r="AX29" i="24"/>
  <c r="AX21" i="24"/>
  <c r="AX13" i="24"/>
  <c r="AX44" i="24"/>
  <c r="AX36" i="24"/>
  <c r="AX28" i="24"/>
  <c r="AX20" i="24"/>
  <c r="AX12" i="24"/>
  <c r="AX43" i="24"/>
  <c r="AX35" i="24"/>
  <c r="AX27" i="24"/>
  <c r="AX19" i="24"/>
  <c r="AX11" i="24"/>
  <c r="AX42" i="24"/>
  <c r="AX34" i="24"/>
  <c r="AX26" i="24"/>
  <c r="AX18" i="24"/>
  <c r="AX10" i="24"/>
  <c r="AX40" i="24"/>
  <c r="AX32" i="24"/>
  <c r="AX24" i="24"/>
  <c r="AX16" i="24"/>
  <c r="AX8" i="24"/>
  <c r="AX38" i="24"/>
  <c r="AX30" i="24"/>
  <c r="AX22" i="24"/>
  <c r="AX14" i="24"/>
  <c r="AX6" i="24"/>
  <c r="J76" i="48" l="1"/>
  <c r="D77" i="48"/>
  <c r="H77" i="48"/>
  <c r="A77" i="48" l="1"/>
  <c r="B77" i="48"/>
  <c r="C77" i="48"/>
  <c r="J2" i="48"/>
  <c r="J10" i="48"/>
  <c r="J16" i="48"/>
  <c r="J21" i="48"/>
  <c r="J26" i="48"/>
  <c r="J31" i="48"/>
  <c r="J38" i="48"/>
  <c r="J44" i="48"/>
  <c r="J48" i="48"/>
  <c r="J54" i="48"/>
  <c r="J57" i="48"/>
  <c r="J60" i="48"/>
  <c r="J63" i="48"/>
  <c r="J66" i="48"/>
  <c r="J70" i="48"/>
  <c r="J72" i="48"/>
  <c r="J79" i="48"/>
  <c r="J84" i="48"/>
  <c r="J89" i="48"/>
  <c r="J94" i="48"/>
  <c r="J98" i="48"/>
  <c r="J100" i="48"/>
  <c r="J102" i="48"/>
  <c r="J105" i="48"/>
  <c r="J108" i="48"/>
  <c r="J111" i="48"/>
  <c r="J121" i="48"/>
  <c r="H10" i="48"/>
  <c r="C10" i="48"/>
  <c r="D32" i="48"/>
  <c r="H31" i="48"/>
  <c r="C31" i="48"/>
  <c r="A31" i="48"/>
  <c r="D73" i="48"/>
  <c r="D122" i="48"/>
  <c r="B122" i="48" s="1"/>
  <c r="D112" i="48"/>
  <c r="D109" i="48"/>
  <c r="D95" i="48"/>
  <c r="D90" i="48"/>
  <c r="D85" i="48"/>
  <c r="D80" i="48"/>
  <c r="D67" i="48"/>
  <c r="D64" i="48"/>
  <c r="D58" i="48"/>
  <c r="D55" i="48"/>
  <c r="D49" i="48"/>
  <c r="D45" i="48"/>
  <c r="D39" i="48"/>
  <c r="D27" i="48"/>
  <c r="D22" i="48"/>
  <c r="D17" i="48"/>
  <c r="A2" i="48"/>
  <c r="A11" i="48"/>
  <c r="A16" i="48"/>
  <c r="A21" i="48"/>
  <c r="A26" i="48"/>
  <c r="A38" i="48"/>
  <c r="A44" i="48"/>
  <c r="A48" i="48"/>
  <c r="A53" i="48"/>
  <c r="A54" i="48"/>
  <c r="A57" i="48"/>
  <c r="A60" i="48"/>
  <c r="A63" i="48"/>
  <c r="A66" i="48"/>
  <c r="A70" i="48"/>
  <c r="A72" i="48"/>
  <c r="A75" i="48"/>
  <c r="A76" i="48"/>
  <c r="A78" i="48"/>
  <c r="A79" i="48"/>
  <c r="A84" i="48"/>
  <c r="A89" i="48"/>
  <c r="A94" i="48"/>
  <c r="A98" i="48"/>
  <c r="A100" i="48"/>
  <c r="A102" i="48"/>
  <c r="A105" i="48"/>
  <c r="A107" i="48"/>
  <c r="A108" i="48"/>
  <c r="A111" i="48"/>
  <c r="A116" i="48"/>
  <c r="A121" i="48"/>
  <c r="D3" i="48"/>
  <c r="B3" i="48" s="1"/>
  <c r="C11" i="48"/>
  <c r="H11" i="48"/>
  <c r="D110" i="48" l="1"/>
  <c r="B110" i="48" s="1"/>
  <c r="B109" i="48"/>
  <c r="D113" i="48"/>
  <c r="B112" i="48"/>
  <c r="D59" i="48"/>
  <c r="B59" i="48" s="1"/>
  <c r="B58" i="48"/>
  <c r="D18" i="48"/>
  <c r="B17" i="48"/>
  <c r="D65" i="48"/>
  <c r="B65" i="48" s="1"/>
  <c r="B64" i="48"/>
  <c r="D23" i="48"/>
  <c r="B22" i="48"/>
  <c r="D68" i="48"/>
  <c r="B67" i="48"/>
  <c r="D74" i="48"/>
  <c r="B74" i="48" s="1"/>
  <c r="B73" i="48"/>
  <c r="D28" i="48"/>
  <c r="B27" i="48"/>
  <c r="D81" i="48"/>
  <c r="B80" i="48"/>
  <c r="D56" i="48"/>
  <c r="B56" i="48" s="1"/>
  <c r="B55" i="48"/>
  <c r="D40" i="48"/>
  <c r="B39" i="48"/>
  <c r="D86" i="48"/>
  <c r="B85" i="48"/>
  <c r="D46" i="48"/>
  <c r="B45" i="48"/>
  <c r="D91" i="48"/>
  <c r="B90" i="48"/>
  <c r="D50" i="48"/>
  <c r="B49" i="48"/>
  <c r="D96" i="48"/>
  <c r="B95" i="48"/>
  <c r="A32" i="48"/>
  <c r="B32" i="48"/>
  <c r="D123" i="48"/>
  <c r="B123" i="48" s="1"/>
  <c r="A3" i="48"/>
  <c r="A10" i="48"/>
  <c r="D33" i="48"/>
  <c r="B33" i="48" s="1"/>
  <c r="D19" i="48" l="1"/>
  <c r="B18" i="48"/>
  <c r="D51" i="48"/>
  <c r="B50" i="48"/>
  <c r="D92" i="48"/>
  <c r="B91" i="48"/>
  <c r="D47" i="48"/>
  <c r="B47" i="48" s="1"/>
  <c r="B46" i="48"/>
  <c r="D82" i="48"/>
  <c r="B81" i="48"/>
  <c r="D24" i="48"/>
  <c r="B23" i="48"/>
  <c r="D69" i="48"/>
  <c r="B69" i="48" s="1"/>
  <c r="B68" i="48"/>
  <c r="D114" i="48"/>
  <c r="B113" i="48"/>
  <c r="D97" i="48"/>
  <c r="B97" i="48" s="1"/>
  <c r="B96" i="48"/>
  <c r="D87" i="48"/>
  <c r="B86" i="48"/>
  <c r="D29" i="48"/>
  <c r="B28" i="48"/>
  <c r="D41" i="48"/>
  <c r="B40" i="48"/>
  <c r="D124" i="48"/>
  <c r="B124" i="48" s="1"/>
  <c r="D34" i="48"/>
  <c r="B34" i="48" s="1"/>
  <c r="C107" i="48"/>
  <c r="D106" i="48"/>
  <c r="B106" i="48" s="1"/>
  <c r="D103" i="48"/>
  <c r="B103" i="48" s="1"/>
  <c r="D101" i="48"/>
  <c r="B101" i="48" s="1"/>
  <c r="D99" i="48"/>
  <c r="B99" i="48" s="1"/>
  <c r="D71" i="48"/>
  <c r="B71" i="48" s="1"/>
  <c r="D61" i="48"/>
  <c r="B61" i="48" s="1"/>
  <c r="H52" i="48"/>
  <c r="C53" i="48"/>
  <c r="C116" i="48"/>
  <c r="C78" i="48"/>
  <c r="C75" i="48"/>
  <c r="C16" i="48"/>
  <c r="C21" i="48"/>
  <c r="C26" i="48"/>
  <c r="C32" i="48"/>
  <c r="C38" i="48"/>
  <c r="C44" i="48"/>
  <c r="C48" i="48"/>
  <c r="C54" i="48"/>
  <c r="C57" i="48"/>
  <c r="C60" i="48"/>
  <c r="C63" i="48"/>
  <c r="C66" i="48"/>
  <c r="C70" i="48"/>
  <c r="C72" i="48"/>
  <c r="C76" i="48"/>
  <c r="C79" i="48"/>
  <c r="C84" i="48"/>
  <c r="C89" i="48"/>
  <c r="C94" i="48"/>
  <c r="C98" i="48"/>
  <c r="C100" i="48"/>
  <c r="C102" i="48"/>
  <c r="C105" i="48"/>
  <c r="C108" i="48"/>
  <c r="C111" i="48"/>
  <c r="C121" i="48"/>
  <c r="C2" i="48"/>
  <c r="H2" i="48"/>
  <c r="H3" i="48"/>
  <c r="H4" i="48"/>
  <c r="H5" i="48"/>
  <c r="H6" i="48"/>
  <c r="H7" i="48"/>
  <c r="H8" i="48"/>
  <c r="H9" i="48"/>
  <c r="H12" i="48"/>
  <c r="H13" i="48"/>
  <c r="H14" i="48"/>
  <c r="H15" i="48"/>
  <c r="H16" i="48"/>
  <c r="H17" i="48"/>
  <c r="H18" i="48"/>
  <c r="H19" i="48"/>
  <c r="H20" i="48"/>
  <c r="H21" i="48"/>
  <c r="H22" i="48"/>
  <c r="H23" i="48"/>
  <c r="H24" i="48"/>
  <c r="H25" i="48"/>
  <c r="H26" i="48"/>
  <c r="H27" i="48"/>
  <c r="H28" i="48"/>
  <c r="H29" i="48"/>
  <c r="H30" i="48"/>
  <c r="H32" i="48"/>
  <c r="H33" i="48"/>
  <c r="H34" i="48"/>
  <c r="H35" i="48"/>
  <c r="H36" i="48"/>
  <c r="H37" i="48"/>
  <c r="H38" i="48"/>
  <c r="H39" i="48"/>
  <c r="H40" i="48"/>
  <c r="H41" i="48"/>
  <c r="H42" i="48"/>
  <c r="H43" i="48"/>
  <c r="H44" i="48"/>
  <c r="H45" i="48"/>
  <c r="H46" i="48"/>
  <c r="H47" i="48"/>
  <c r="H48" i="48"/>
  <c r="H49" i="48"/>
  <c r="H50" i="48"/>
  <c r="H51" i="48"/>
  <c r="H54" i="48"/>
  <c r="H55" i="48"/>
  <c r="H56" i="48"/>
  <c r="H57" i="48"/>
  <c r="H58" i="48"/>
  <c r="H59" i="48"/>
  <c r="H60" i="48"/>
  <c r="H61" i="48"/>
  <c r="H62" i="48"/>
  <c r="H63" i="48"/>
  <c r="H64" i="48"/>
  <c r="H65" i="48"/>
  <c r="H66" i="48"/>
  <c r="H67" i="48"/>
  <c r="H68" i="48"/>
  <c r="H69" i="48"/>
  <c r="H70" i="48"/>
  <c r="H71" i="48"/>
  <c r="H72" i="48"/>
  <c r="H73" i="48"/>
  <c r="H74" i="48"/>
  <c r="H76" i="48"/>
  <c r="H79" i="48"/>
  <c r="H80" i="48"/>
  <c r="H81" i="48"/>
  <c r="H82" i="48"/>
  <c r="H83" i="48"/>
  <c r="H84" i="48"/>
  <c r="H85" i="48"/>
  <c r="H86" i="48"/>
  <c r="H87" i="48"/>
  <c r="H88" i="48"/>
  <c r="H89" i="48"/>
  <c r="H90" i="48"/>
  <c r="H91" i="48"/>
  <c r="H92" i="48"/>
  <c r="H93" i="48"/>
  <c r="H94" i="48"/>
  <c r="H95" i="48"/>
  <c r="H96" i="48"/>
  <c r="H97" i="48"/>
  <c r="H98" i="48"/>
  <c r="H99" i="48"/>
  <c r="H100" i="48"/>
  <c r="H101" i="48"/>
  <c r="H102" i="48"/>
  <c r="H103" i="48"/>
  <c r="H104" i="48"/>
  <c r="H105" i="48"/>
  <c r="H106" i="48"/>
  <c r="H108" i="48"/>
  <c r="H109" i="48"/>
  <c r="H110" i="48"/>
  <c r="H111" i="48"/>
  <c r="H112" i="48"/>
  <c r="H113" i="48"/>
  <c r="H114" i="48"/>
  <c r="H115" i="48"/>
  <c r="H121" i="48"/>
  <c r="H122" i="48"/>
  <c r="H123" i="48"/>
  <c r="H124" i="48"/>
  <c r="D42" i="48" l="1"/>
  <c r="B41" i="48"/>
  <c r="D115" i="48"/>
  <c r="B115" i="48" s="1"/>
  <c r="B114" i="48"/>
  <c r="D30" i="48"/>
  <c r="B30" i="48" s="1"/>
  <c r="B29" i="48"/>
  <c r="D93" i="48"/>
  <c r="B93" i="48" s="1"/>
  <c r="B92" i="48"/>
  <c r="D88" i="48"/>
  <c r="B88" i="48" s="1"/>
  <c r="B87" i="48"/>
  <c r="D25" i="48"/>
  <c r="B25" i="48" s="1"/>
  <c r="B24" i="48"/>
  <c r="D52" i="48"/>
  <c r="B52" i="48" s="1"/>
  <c r="B51" i="48"/>
  <c r="D83" i="48"/>
  <c r="B83" i="48" s="1"/>
  <c r="B82" i="48"/>
  <c r="D20" i="48"/>
  <c r="B20" i="48" s="1"/>
  <c r="B19" i="48"/>
  <c r="D35" i="48"/>
  <c r="B35" i="48" s="1"/>
  <c r="C71" i="48"/>
  <c r="A71" i="48"/>
  <c r="C101" i="48"/>
  <c r="A101" i="48"/>
  <c r="D104" i="48"/>
  <c r="B104" i="48" s="1"/>
  <c r="A103" i="48"/>
  <c r="C106" i="48"/>
  <c r="A106" i="48"/>
  <c r="D62" i="48"/>
  <c r="B62" i="48" s="1"/>
  <c r="A61" i="48"/>
  <c r="C99" i="48"/>
  <c r="A99" i="48"/>
  <c r="C103" i="48"/>
  <c r="C61" i="48"/>
  <c r="F17" i="46"/>
  <c r="G17" i="46"/>
  <c r="F18" i="46"/>
  <c r="G18" i="46"/>
  <c r="G16" i="46"/>
  <c r="F16" i="46"/>
  <c r="D17" i="46"/>
  <c r="E17" i="46"/>
  <c r="D18" i="46"/>
  <c r="E18" i="46"/>
  <c r="E16" i="46"/>
  <c r="D16" i="46"/>
  <c r="B17" i="46"/>
  <c r="C17" i="46"/>
  <c r="B18" i="46"/>
  <c r="C18" i="46"/>
  <c r="C16" i="46"/>
  <c r="B16" i="46"/>
  <c r="F5" i="46"/>
  <c r="G5" i="46"/>
  <c r="F6" i="46"/>
  <c r="G6" i="46"/>
  <c r="F7" i="46"/>
  <c r="G7" i="46"/>
  <c r="F8" i="46"/>
  <c r="G8" i="46"/>
  <c r="F9" i="46"/>
  <c r="G9" i="46"/>
  <c r="G4" i="46"/>
  <c r="F4" i="46"/>
  <c r="D5" i="46"/>
  <c r="E5" i="46"/>
  <c r="D6" i="46"/>
  <c r="E6" i="46"/>
  <c r="D7" i="46"/>
  <c r="E7" i="46"/>
  <c r="D8" i="46"/>
  <c r="E8" i="46"/>
  <c r="D9" i="46"/>
  <c r="E9" i="46"/>
  <c r="E4" i="46"/>
  <c r="D4" i="46"/>
  <c r="C5" i="46"/>
  <c r="C6" i="46"/>
  <c r="C7" i="46"/>
  <c r="C8" i="46"/>
  <c r="C9" i="46"/>
  <c r="C4" i="46"/>
  <c r="B4" i="46"/>
  <c r="B5" i="46"/>
  <c r="B6" i="46"/>
  <c r="B7" i="46"/>
  <c r="B8" i="46"/>
  <c r="B9" i="46"/>
  <c r="D43" i="48" l="1"/>
  <c r="B43" i="48" s="1"/>
  <c r="B42" i="48"/>
  <c r="D36" i="48"/>
  <c r="B36" i="48" s="1"/>
  <c r="C104" i="48"/>
  <c r="A104" i="48"/>
  <c r="C62" i="48"/>
  <c r="A62" i="48"/>
  <c r="E19" i="46"/>
  <c r="C19" i="46"/>
  <c r="D19" i="46"/>
  <c r="B19" i="46"/>
  <c r="G19" i="46"/>
  <c r="F19" i="46"/>
  <c r="C10" i="46"/>
  <c r="G10" i="46"/>
  <c r="D10" i="46"/>
  <c r="F10" i="46"/>
  <c r="E10" i="46"/>
  <c r="D37" i="48" l="1"/>
  <c r="B37" i="48" s="1"/>
  <c r="A80" i="48"/>
  <c r="A95" i="48"/>
  <c r="C3" i="48"/>
  <c r="R43" i="30" a="1"/>
  <c r="R43" i="30" s="1"/>
  <c r="G43" i="24" s="1"/>
  <c r="H43" i="24" s="1"/>
  <c r="J43" i="24" s="1" a="1"/>
  <c r="J43" i="24" s="1"/>
  <c r="A43" i="24"/>
  <c r="D43" i="24"/>
  <c r="A43" i="30"/>
  <c r="C43" i="30"/>
  <c r="C43" i="24" s="1"/>
  <c r="D43" i="30"/>
  <c r="E43" i="30"/>
  <c r="E43" i="24" s="1"/>
  <c r="F43" i="30"/>
  <c r="T43" i="30" s="1" a="1"/>
  <c r="T43" i="30" s="1"/>
  <c r="W43" i="30"/>
  <c r="X43" i="30"/>
  <c r="Y43" i="30"/>
  <c r="Y43" i="31" s="1"/>
  <c r="A43" i="31"/>
  <c r="AJ43" i="24" l="1"/>
  <c r="AN43" i="24"/>
  <c r="AF43" i="24"/>
  <c r="AR43" i="24"/>
  <c r="A58" i="48"/>
  <c r="A39" i="48"/>
  <c r="A17" i="48"/>
  <c r="A67" i="48"/>
  <c r="A22" i="48"/>
  <c r="A90" i="48"/>
  <c r="A45" i="48"/>
  <c r="A81" i="48"/>
  <c r="C80" i="48"/>
  <c r="A49" i="48"/>
  <c r="A112" i="48"/>
  <c r="A96" i="48"/>
  <c r="C95" i="48"/>
  <c r="A73" i="48"/>
  <c r="A27" i="48"/>
  <c r="A55" i="48"/>
  <c r="D4" i="48"/>
  <c r="B4" i="48" s="1"/>
  <c r="B10" i="46"/>
  <c r="F43" i="24"/>
  <c r="K43" i="24" s="1"/>
  <c r="I43" i="24"/>
  <c r="Q6" i="36"/>
  <c r="Q12" i="36"/>
  <c r="O32" i="23"/>
  <c r="O6" i="23"/>
  <c r="N21" i="23"/>
  <c r="AV43" i="24" l="1"/>
  <c r="AY43" i="24" s="1"/>
  <c r="C58" i="48"/>
  <c r="C59" i="48"/>
  <c r="C39" i="48"/>
  <c r="A40" i="48"/>
  <c r="C22" i="48"/>
  <c r="A23" i="48"/>
  <c r="C67" i="48"/>
  <c r="A68" i="48"/>
  <c r="C17" i="48"/>
  <c r="A18" i="48"/>
  <c r="A64" i="48"/>
  <c r="C64" i="48"/>
  <c r="A109" i="48"/>
  <c r="C109" i="48"/>
  <c r="D5" i="48"/>
  <c r="B5" i="48" s="1"/>
  <c r="A4" i="48"/>
  <c r="A85" i="48"/>
  <c r="C85" i="48"/>
  <c r="A122" i="48"/>
  <c r="C122" i="48"/>
  <c r="C55" i="48"/>
  <c r="A82" i="48"/>
  <c r="C81" i="48"/>
  <c r="A50" i="48"/>
  <c r="C49" i="48"/>
  <c r="C73" i="48"/>
  <c r="A33" i="48"/>
  <c r="A28" i="48"/>
  <c r="C27" i="48"/>
  <c r="A46" i="48"/>
  <c r="C45" i="48"/>
  <c r="C96" i="48"/>
  <c r="A113" i="48"/>
  <c r="C112" i="48"/>
  <c r="A91" i="48"/>
  <c r="C90" i="48"/>
  <c r="A12" i="48"/>
  <c r="C4" i="48"/>
  <c r="D20" i="46"/>
  <c r="E20" i="46"/>
  <c r="C20" i="46"/>
  <c r="B20" i="46"/>
  <c r="F20" i="46"/>
  <c r="G20" i="46"/>
  <c r="L43" i="24"/>
  <c r="M43" i="24" a="1"/>
  <c r="M43" i="24" s="1"/>
  <c r="F36" i="23"/>
  <c r="W36" i="31" s="1"/>
  <c r="F35" i="23"/>
  <c r="W35" i="31" s="1"/>
  <c r="F27" i="23"/>
  <c r="W27" i="31" s="1"/>
  <c r="F26" i="23"/>
  <c r="W26" i="31" s="1"/>
  <c r="F23" i="23"/>
  <c r="W23" i="31" s="1"/>
  <c r="F24" i="23"/>
  <c r="W24" i="31" s="1"/>
  <c r="F21" i="23"/>
  <c r="W21" i="31" s="1"/>
  <c r="F22" i="23"/>
  <c r="W22" i="31" s="1"/>
  <c r="Z4" i="23"/>
  <c r="Z2" i="23"/>
  <c r="Y4" i="23"/>
  <c r="Y2" i="23"/>
  <c r="X4" i="23"/>
  <c r="X2" i="23"/>
  <c r="W4" i="23"/>
  <c r="W2" i="23"/>
  <c r="V4" i="23"/>
  <c r="V2" i="23"/>
  <c r="U4" i="23"/>
  <c r="U2" i="23"/>
  <c r="T4" i="23"/>
  <c r="T2" i="23"/>
  <c r="S4" i="23"/>
  <c r="S2" i="23"/>
  <c r="R4" i="23"/>
  <c r="R2" i="23"/>
  <c r="Q4" i="23"/>
  <c r="Q2" i="23"/>
  <c r="P4" i="23"/>
  <c r="P2" i="23"/>
  <c r="O4" i="23"/>
  <c r="O2" i="23"/>
  <c r="N4" i="23"/>
  <c r="N2" i="23"/>
  <c r="M4" i="23"/>
  <c r="M2" i="23"/>
  <c r="L4" i="23"/>
  <c r="L2" i="23"/>
  <c r="K4" i="23"/>
  <c r="K2" i="23"/>
  <c r="G41" i="23"/>
  <c r="H41" i="23" s="1"/>
  <c r="X41" i="31" s="1"/>
  <c r="G40" i="23"/>
  <c r="H40" i="23" s="1"/>
  <c r="X40" i="31" s="1"/>
  <c r="G39" i="23"/>
  <c r="H39" i="23" s="1"/>
  <c r="X39" i="31" s="1"/>
  <c r="G38" i="23"/>
  <c r="H38" i="23" s="1"/>
  <c r="X38" i="31" s="1"/>
  <c r="G37" i="23"/>
  <c r="H37" i="23" s="1"/>
  <c r="X37" i="31" s="1"/>
  <c r="G36" i="23"/>
  <c r="H36" i="23" s="1"/>
  <c r="X36" i="31" s="1"/>
  <c r="G35" i="23"/>
  <c r="H35" i="23" s="1"/>
  <c r="X35" i="31" s="1"/>
  <c r="G34" i="23"/>
  <c r="H34" i="23" s="1"/>
  <c r="X34" i="31" s="1"/>
  <c r="N43" i="24" l="1"/>
  <c r="I4" i="48"/>
  <c r="A5" i="48"/>
  <c r="A19" i="48"/>
  <c r="C23" i="48"/>
  <c r="A59" i="48"/>
  <c r="A24" i="48"/>
  <c r="C18" i="48"/>
  <c r="C40" i="48"/>
  <c r="A41" i="48"/>
  <c r="C68" i="48"/>
  <c r="A69" i="48"/>
  <c r="D6" i="48"/>
  <c r="B6" i="48" s="1"/>
  <c r="A65" i="48"/>
  <c r="C65" i="48"/>
  <c r="C5" i="48"/>
  <c r="A123" i="48"/>
  <c r="C123" i="48"/>
  <c r="C97" i="48"/>
  <c r="A97" i="48"/>
  <c r="C74" i="48"/>
  <c r="A74" i="48"/>
  <c r="C56" i="48"/>
  <c r="A56" i="48"/>
  <c r="A86" i="48"/>
  <c r="C86" i="48"/>
  <c r="A110" i="48"/>
  <c r="C110" i="48"/>
  <c r="C19" i="48"/>
  <c r="A13" i="48"/>
  <c r="C12" i="48"/>
  <c r="A92" i="48"/>
  <c r="C91" i="48"/>
  <c r="C28" i="48"/>
  <c r="A29" i="48"/>
  <c r="A51" i="48"/>
  <c r="C50" i="48"/>
  <c r="C46" i="48"/>
  <c r="A114" i="48"/>
  <c r="C113" i="48"/>
  <c r="A34" i="48"/>
  <c r="C33" i="48"/>
  <c r="C82" i="48"/>
  <c r="A33" i="24"/>
  <c r="A34" i="24"/>
  <c r="A35" i="24"/>
  <c r="A36" i="24"/>
  <c r="A37" i="24"/>
  <c r="A38" i="24"/>
  <c r="A39" i="24"/>
  <c r="A40" i="24"/>
  <c r="A41" i="24"/>
  <c r="A42" i="24"/>
  <c r="D42" i="24"/>
  <c r="D44" i="24"/>
  <c r="S44" i="24"/>
  <c r="R44" i="30" a="1"/>
  <c r="R44" i="30" s="1"/>
  <c r="G44" i="24" s="1"/>
  <c r="H44" i="24" s="1"/>
  <c r="J44" i="24" s="1" a="1"/>
  <c r="J44" i="24" s="1"/>
  <c r="R42" i="30" a="1"/>
  <c r="R42" i="30" s="1"/>
  <c r="G42" i="24" s="1"/>
  <c r="I42" i="24" s="1"/>
  <c r="A40" i="30"/>
  <c r="A41" i="30"/>
  <c r="A42" i="30"/>
  <c r="C42" i="30"/>
  <c r="C42" i="24" s="1"/>
  <c r="C44" i="30"/>
  <c r="C44" i="24" s="1"/>
  <c r="D42" i="30"/>
  <c r="D44" i="30"/>
  <c r="E42" i="30"/>
  <c r="E42" i="24" s="1"/>
  <c r="E44" i="30"/>
  <c r="E44" i="24" s="1"/>
  <c r="F42" i="30"/>
  <c r="T42" i="30" s="1" a="1"/>
  <c r="T42" i="30" s="1"/>
  <c r="F44" i="30"/>
  <c r="T44" i="30" s="1" a="1"/>
  <c r="T44" i="30" s="1"/>
  <c r="W42" i="30"/>
  <c r="AZ42" i="24" s="1"/>
  <c r="W44" i="30"/>
  <c r="AZ44" i="24" s="1"/>
  <c r="X42" i="30"/>
  <c r="BA42" i="24" s="1"/>
  <c r="X44" i="30"/>
  <c r="BA44" i="24" s="1"/>
  <c r="Y42" i="30"/>
  <c r="Y44" i="30"/>
  <c r="A41" i="31"/>
  <c r="A42" i="31"/>
  <c r="A9" i="31"/>
  <c r="A10" i="31"/>
  <c r="A11" i="31"/>
  <c r="A12" i="31"/>
  <c r="A13" i="31"/>
  <c r="A14" i="31"/>
  <c r="A15" i="31"/>
  <c r="A16" i="31"/>
  <c r="A17" i="31"/>
  <c r="A18" i="31"/>
  <c r="A19" i="31"/>
  <c r="A20" i="31"/>
  <c r="A21" i="31"/>
  <c r="A22" i="31"/>
  <c r="A23" i="31"/>
  <c r="A24" i="31"/>
  <c r="A25" i="31"/>
  <c r="A26" i="31"/>
  <c r="A27" i="31"/>
  <c r="A28" i="31"/>
  <c r="A29" i="31"/>
  <c r="A30" i="31"/>
  <c r="A31" i="31"/>
  <c r="A32" i="31"/>
  <c r="A33" i="31"/>
  <c r="A34" i="31"/>
  <c r="A35" i="31"/>
  <c r="A36" i="31"/>
  <c r="A37" i="31"/>
  <c r="A38" i="31"/>
  <c r="A39" i="31"/>
  <c r="A40" i="31"/>
  <c r="S42" i="24"/>
  <c r="Y44" i="31" l="1"/>
  <c r="Y45" i="31"/>
  <c r="BB42" i="24"/>
  <c r="Y42" i="31"/>
  <c r="AF44" i="24"/>
  <c r="AJ44" i="24"/>
  <c r="AN44" i="24"/>
  <c r="AR44" i="24"/>
  <c r="AJ42" i="24"/>
  <c r="AN42" i="24"/>
  <c r="AF42" i="24"/>
  <c r="AR42" i="24"/>
  <c r="A6" i="48"/>
  <c r="A20" i="48"/>
  <c r="C24" i="48"/>
  <c r="C69" i="48"/>
  <c r="C25" i="48"/>
  <c r="C41" i="48"/>
  <c r="A42" i="48"/>
  <c r="D7" i="48"/>
  <c r="B7" i="48" s="1"/>
  <c r="C6" i="48"/>
  <c r="C124" i="48"/>
  <c r="A124" i="48"/>
  <c r="C47" i="48"/>
  <c r="A47" i="48"/>
  <c r="C83" i="48"/>
  <c r="A83" i="48"/>
  <c r="C20" i="48"/>
  <c r="A87" i="48"/>
  <c r="C87" i="48"/>
  <c r="C29" i="48"/>
  <c r="C92" i="48"/>
  <c r="C114" i="48"/>
  <c r="C13" i="48"/>
  <c r="A14" i="48"/>
  <c r="A35" i="48"/>
  <c r="C34" i="48"/>
  <c r="C51" i="48"/>
  <c r="F44" i="24"/>
  <c r="K44" i="24" s="1"/>
  <c r="F42" i="24"/>
  <c r="K42" i="24" s="1"/>
  <c r="BB44" i="24"/>
  <c r="I44" i="24"/>
  <c r="H42" i="24"/>
  <c r="J42" i="24" s="1" a="1"/>
  <c r="J42" i="24" s="1"/>
  <c r="W36" i="38"/>
  <c r="W35" i="38"/>
  <c r="W34" i="38"/>
  <c r="W33" i="38"/>
  <c r="W32" i="38"/>
  <c r="W31" i="38"/>
  <c r="W30" i="38"/>
  <c r="W29" i="38"/>
  <c r="W28" i="38"/>
  <c r="W27" i="38"/>
  <c r="W26" i="38"/>
  <c r="W25" i="38"/>
  <c r="W24" i="38"/>
  <c r="W23" i="38"/>
  <c r="W22" i="38"/>
  <c r="W21" i="38"/>
  <c r="W20" i="38"/>
  <c r="W19" i="38"/>
  <c r="W18" i="38"/>
  <c r="W17" i="38"/>
  <c r="W16" i="38"/>
  <c r="W15" i="38"/>
  <c r="W14" i="38"/>
  <c r="W13" i="38"/>
  <c r="W12" i="38"/>
  <c r="W11" i="38"/>
  <c r="W10" i="38"/>
  <c r="W9" i="38"/>
  <c r="W8" i="38"/>
  <c r="W7" i="38"/>
  <c r="W6" i="38"/>
  <c r="W5" i="38"/>
  <c r="W4" i="38"/>
  <c r="V36" i="38"/>
  <c r="V35" i="38"/>
  <c r="V34" i="38"/>
  <c r="V33" i="38"/>
  <c r="V32" i="38"/>
  <c r="V31" i="38"/>
  <c r="V30" i="38"/>
  <c r="V29" i="38"/>
  <c r="V28" i="38"/>
  <c r="V27" i="38"/>
  <c r="V26" i="38"/>
  <c r="V25" i="38"/>
  <c r="V24" i="38"/>
  <c r="V23" i="38"/>
  <c r="V22" i="38"/>
  <c r="V21" i="38"/>
  <c r="V20" i="38"/>
  <c r="V19" i="38"/>
  <c r="V18" i="38"/>
  <c r="V17" i="38"/>
  <c r="V16" i="38"/>
  <c r="V15" i="38"/>
  <c r="V14" i="38"/>
  <c r="V13" i="38"/>
  <c r="V12" i="38"/>
  <c r="V11" i="38"/>
  <c r="V10" i="38"/>
  <c r="V9" i="38"/>
  <c r="V8" i="38"/>
  <c r="V7" i="38"/>
  <c r="V6" i="38"/>
  <c r="V5" i="38"/>
  <c r="V4" i="38"/>
  <c r="Q24" i="36"/>
  <c r="Q10" i="36"/>
  <c r="F39" i="23"/>
  <c r="W39" i="31" s="1"/>
  <c r="F40" i="23"/>
  <c r="W40" i="31" s="1"/>
  <c r="F41" i="23"/>
  <c r="W41" i="31" s="1"/>
  <c r="F37" i="23"/>
  <c r="W37" i="31" s="1"/>
  <c r="F38" i="23"/>
  <c r="W38" i="31" s="1"/>
  <c r="AV44" i="24" l="1"/>
  <c r="AY44" i="24" s="1"/>
  <c r="AV42" i="24"/>
  <c r="AY42" i="24" s="1"/>
  <c r="I6" i="48"/>
  <c r="A7" i="48"/>
  <c r="A25" i="48"/>
  <c r="D8" i="48"/>
  <c r="B8" i="48" s="1"/>
  <c r="C42" i="48"/>
  <c r="C7" i="48"/>
  <c r="A43" i="48"/>
  <c r="C115" i="48"/>
  <c r="A115" i="48"/>
  <c r="C88" i="48"/>
  <c r="A88" i="48"/>
  <c r="C52" i="48"/>
  <c r="A52" i="48"/>
  <c r="C93" i="48"/>
  <c r="A93" i="48"/>
  <c r="C43" i="48"/>
  <c r="C30" i="48"/>
  <c r="A30" i="48"/>
  <c r="A36" i="48"/>
  <c r="C35" i="48"/>
  <c r="C14" i="48"/>
  <c r="L42" i="24"/>
  <c r="N42" i="24" s="1"/>
  <c r="L44" i="24"/>
  <c r="N44" i="24" s="1"/>
  <c r="M44" i="24" a="1"/>
  <c r="M44" i="24" s="1"/>
  <c r="M42" i="24" a="1"/>
  <c r="M42" i="24" s="1"/>
  <c r="G29" i="38"/>
  <c r="AT24" i="24" l="1"/>
  <c r="A8" i="48"/>
  <c r="C8" i="48"/>
  <c r="D9" i="48"/>
  <c r="C15" i="48"/>
  <c r="A15" i="48"/>
  <c r="C36" i="48"/>
  <c r="B39" i="23"/>
  <c r="Y36" i="38"/>
  <c r="U36" i="38"/>
  <c r="BG41" i="23" s="1"/>
  <c r="T36" i="38"/>
  <c r="BD41" i="23" s="1"/>
  <c r="S36" i="38"/>
  <c r="BB41" i="23" s="1"/>
  <c r="R36" i="38"/>
  <c r="BA41" i="23" s="1"/>
  <c r="Q36" i="38"/>
  <c r="AY41" i="23" s="1"/>
  <c r="P36" i="38"/>
  <c r="AW41" i="23" s="1"/>
  <c r="O36" i="38"/>
  <c r="AU41" i="23" s="1"/>
  <c r="N36" i="38"/>
  <c r="AS41" i="23" s="1"/>
  <c r="M36" i="38"/>
  <c r="AP41" i="23" s="1"/>
  <c r="L36" i="38"/>
  <c r="AO41" i="23" s="1"/>
  <c r="K36" i="38"/>
  <c r="AM41" i="23" s="1"/>
  <c r="J36" i="38"/>
  <c r="AK41" i="23" s="1"/>
  <c r="I36" i="38"/>
  <c r="AI41" i="23" s="1"/>
  <c r="H36" i="38"/>
  <c r="AG41" i="23" s="1"/>
  <c r="G36" i="38"/>
  <c r="AB41" i="23" s="1"/>
  <c r="F36" i="38"/>
  <c r="AC41" i="23" s="1"/>
  <c r="D36" i="38"/>
  <c r="C36" i="38"/>
  <c r="B36" i="38"/>
  <c r="Y35" i="38"/>
  <c r="U35" i="38"/>
  <c r="BG40" i="23" s="1"/>
  <c r="T35" i="38"/>
  <c r="BD40" i="23" s="1"/>
  <c r="S35" i="38"/>
  <c r="BC40" i="23" s="1"/>
  <c r="R35" i="38"/>
  <c r="AZ40" i="23" s="1"/>
  <c r="Q35" i="38"/>
  <c r="AX40" i="23" s="1"/>
  <c r="P35" i="38"/>
  <c r="AV40" i="23" s="1"/>
  <c r="O35" i="38"/>
  <c r="AU40" i="23" s="1"/>
  <c r="N35" i="38"/>
  <c r="AR40" i="23" s="1"/>
  <c r="M35" i="38"/>
  <c r="AQ40" i="23" s="1"/>
  <c r="L35" i="38"/>
  <c r="AN40" i="23" s="1"/>
  <c r="K35" i="38"/>
  <c r="AM40" i="23" s="1"/>
  <c r="J35" i="38"/>
  <c r="AJ40" i="23" s="1"/>
  <c r="I35" i="38"/>
  <c r="AI40" i="23" s="1"/>
  <c r="H35" i="38"/>
  <c r="AG40" i="23" s="1"/>
  <c r="G35" i="38"/>
  <c r="AD40" i="23" s="1"/>
  <c r="F35" i="38"/>
  <c r="D35" i="38"/>
  <c r="C35" i="38"/>
  <c r="B35" i="38"/>
  <c r="Y34" i="38"/>
  <c r="U34" i="38"/>
  <c r="BG39" i="23" s="1"/>
  <c r="T34" i="38"/>
  <c r="BE39" i="23" s="1"/>
  <c r="S34" i="38"/>
  <c r="BB39" i="23" s="1"/>
  <c r="R34" i="38"/>
  <c r="AZ39" i="23" s="1"/>
  <c r="Q34" i="38"/>
  <c r="AY39" i="23" s="1"/>
  <c r="P34" i="38"/>
  <c r="AV39" i="23" s="1"/>
  <c r="O34" i="38"/>
  <c r="AU39" i="23" s="1"/>
  <c r="N34" i="38"/>
  <c r="AR39" i="23" s="1"/>
  <c r="M34" i="38"/>
  <c r="AQ39" i="23" s="1"/>
  <c r="L34" i="38"/>
  <c r="AO39" i="23" s="1"/>
  <c r="K34" i="38"/>
  <c r="AM39" i="23" s="1"/>
  <c r="J34" i="38"/>
  <c r="AK39" i="23" s="1"/>
  <c r="I34" i="38"/>
  <c r="AI39" i="23" s="1"/>
  <c r="H34" i="38"/>
  <c r="AG39" i="23" s="1"/>
  <c r="G34" i="38"/>
  <c r="AE39" i="23" s="1"/>
  <c r="F34" i="38"/>
  <c r="AC39" i="23" s="1"/>
  <c r="D34" i="38"/>
  <c r="C34" i="38"/>
  <c r="B34" i="38"/>
  <c r="C37" i="36"/>
  <c r="C36" i="36"/>
  <c r="C35" i="36"/>
  <c r="I41" i="23"/>
  <c r="D41" i="23"/>
  <c r="C41" i="23"/>
  <c r="B41" i="23"/>
  <c r="I40" i="23"/>
  <c r="D40" i="23"/>
  <c r="C40" i="23"/>
  <c r="B40" i="23"/>
  <c r="I39" i="23"/>
  <c r="D39" i="23"/>
  <c r="C39" i="23"/>
  <c r="AT15" i="24" l="1"/>
  <c r="B9" i="48"/>
  <c r="J4" i="48"/>
  <c r="AP44" i="24"/>
  <c r="AP33" i="24"/>
  <c r="AL20" i="24"/>
  <c r="AL27" i="24"/>
  <c r="AL24" i="24"/>
  <c r="AH44" i="24"/>
  <c r="AT7" i="24"/>
  <c r="AL21" i="24"/>
  <c r="AP7" i="24"/>
  <c r="AT45" i="24"/>
  <c r="AL42" i="24"/>
  <c r="AH25" i="24"/>
  <c r="AL25" i="24"/>
  <c r="AT8" i="24"/>
  <c r="AH26" i="24"/>
  <c r="AL11" i="24"/>
  <c r="AH29" i="24"/>
  <c r="AP34" i="24"/>
  <c r="AH24" i="24"/>
  <c r="AP41" i="24"/>
  <c r="AL29" i="24"/>
  <c r="AL6" i="24"/>
  <c r="AH22" i="24"/>
  <c r="AT19" i="24"/>
  <c r="AT43" i="24"/>
  <c r="AH27" i="24"/>
  <c r="AP45" i="24"/>
  <c r="AT26" i="24"/>
  <c r="AP36" i="24"/>
  <c r="AH42" i="24"/>
  <c r="AT37" i="24"/>
  <c r="AL31" i="24"/>
  <c r="AP8" i="24"/>
  <c r="AP27" i="24"/>
  <c r="AL19" i="24"/>
  <c r="AT44" i="24"/>
  <c r="AL14" i="24"/>
  <c r="AL36" i="24"/>
  <c r="AL16" i="24"/>
  <c r="AP28" i="24"/>
  <c r="AH45" i="24"/>
  <c r="AL13" i="24"/>
  <c r="AH34" i="24"/>
  <c r="AP20" i="24"/>
  <c r="AL45" i="24"/>
  <c r="AH18" i="24"/>
  <c r="AP29" i="24"/>
  <c r="AH8" i="24"/>
  <c r="AP23" i="24"/>
  <c r="AH37" i="24"/>
  <c r="AT16" i="24"/>
  <c r="AT20" i="24"/>
  <c r="AT21" i="24"/>
  <c r="AT29" i="24"/>
  <c r="AP6" i="24"/>
  <c r="AT27" i="24"/>
  <c r="AL8" i="24"/>
  <c r="AH6" i="24"/>
  <c r="AL7" i="24"/>
  <c r="AT34" i="24"/>
  <c r="AT23" i="24"/>
  <c r="AL10" i="24"/>
  <c r="AL40" i="24"/>
  <c r="AL39" i="24"/>
  <c r="AP25" i="24"/>
  <c r="AT28" i="24"/>
  <c r="AP24" i="24"/>
  <c r="AT38" i="24"/>
  <c r="AP42" i="24"/>
  <c r="AH23" i="24"/>
  <c r="AT18" i="24"/>
  <c r="AH38" i="24"/>
  <c r="AT35" i="24"/>
  <c r="AL44" i="24"/>
  <c r="AL28" i="24"/>
  <c r="AT42" i="24"/>
  <c r="AT17" i="24"/>
  <c r="AP35" i="24"/>
  <c r="AT36" i="24"/>
  <c r="AH35" i="24"/>
  <c r="AL12" i="24"/>
  <c r="AH43" i="24"/>
  <c r="AH7" i="24"/>
  <c r="AT6" i="24"/>
  <c r="AT25" i="24"/>
  <c r="AL32" i="24"/>
  <c r="AT30" i="24"/>
  <c r="AP37" i="24"/>
  <c r="J6" i="48"/>
  <c r="A9" i="48"/>
  <c r="C9" i="48"/>
  <c r="C37" i="48"/>
  <c r="A37" i="48"/>
  <c r="AZ41" i="23"/>
  <c r="AS40" i="23"/>
  <c r="AY40" i="23"/>
  <c r="AW40" i="23"/>
  <c r="AN39" i="23"/>
  <c r="AJ41" i="23"/>
  <c r="BA39" i="23"/>
  <c r="BA40" i="23"/>
  <c r="AR41" i="23"/>
  <c r="AK40" i="23"/>
  <c r="AS39" i="23"/>
  <c r="AH39" i="23"/>
  <c r="BF40" i="23"/>
  <c r="AP40" i="23"/>
  <c r="AX41" i="23"/>
  <c r="AO40" i="23"/>
  <c r="BE40" i="23"/>
  <c r="AT41" i="23"/>
  <c r="AL39" i="23"/>
  <c r="AV41" i="23"/>
  <c r="AE40" i="23"/>
  <c r="AD41" i="23"/>
  <c r="AP39" i="23"/>
  <c r="AE41" i="23"/>
  <c r="E35" i="38"/>
  <c r="AJ39" i="23"/>
  <c r="AC40" i="23"/>
  <c r="AH41" i="23"/>
  <c r="AX39" i="23"/>
  <c r="E34" i="38"/>
  <c r="E36" i="38"/>
  <c r="AF40" i="23"/>
  <c r="AN41" i="23"/>
  <c r="BE41" i="23"/>
  <c r="AD39" i="23"/>
  <c r="AH40" i="23"/>
  <c r="AF41" i="23"/>
  <c r="BF41" i="23"/>
  <c r="BD39" i="23"/>
  <c r="AB40" i="23"/>
  <c r="AT40" i="23"/>
  <c r="BB40" i="23"/>
  <c r="AQ41" i="23"/>
  <c r="AT39" i="23"/>
  <c r="BF39" i="23"/>
  <c r="AL40" i="23"/>
  <c r="AL41" i="23"/>
  <c r="BC41" i="23"/>
  <c r="BC39" i="23"/>
  <c r="AF39" i="23"/>
  <c r="AW39" i="23"/>
  <c r="AB39" i="23"/>
  <c r="A32" i="30"/>
  <c r="A33" i="30"/>
  <c r="A34" i="30"/>
  <c r="A35" i="30"/>
  <c r="A36" i="30"/>
  <c r="A37" i="30"/>
  <c r="A38" i="30"/>
  <c r="A39" i="30"/>
  <c r="I117" i="48" l="1"/>
  <c r="J117" i="48" s="1"/>
  <c r="AH40" i="24" s="1"/>
  <c r="AW7" i="24"/>
  <c r="AW44" i="24"/>
  <c r="I128" i="48"/>
  <c r="I118" i="48"/>
  <c r="J118" i="48" s="1"/>
  <c r="AP40" i="24" s="1"/>
  <c r="I119" i="48"/>
  <c r="J119" i="48" s="1"/>
  <c r="AT40" i="24" s="1"/>
  <c r="I120" i="48"/>
  <c r="J120" i="48" s="1"/>
  <c r="AW6" i="24"/>
  <c r="I127" i="48"/>
  <c r="J127" i="48" s="1"/>
  <c r="AL43" i="24" s="1"/>
  <c r="I126" i="48"/>
  <c r="AW45" i="24"/>
  <c r="AW25" i="24"/>
  <c r="AW8" i="24"/>
  <c r="AW24" i="24"/>
  <c r="J128" i="48"/>
  <c r="AP43" i="24" s="1"/>
  <c r="AW27" i="24"/>
  <c r="AW42" i="24"/>
  <c r="AW29" i="24"/>
  <c r="I124" i="48"/>
  <c r="J124" i="48" s="1"/>
  <c r="AT41" i="24" s="1"/>
  <c r="I16" i="48"/>
  <c r="J126" i="48"/>
  <c r="I86" i="48"/>
  <c r="J86" i="48" s="1"/>
  <c r="AP31" i="24" s="1"/>
  <c r="I77" i="48"/>
  <c r="J77" i="48" s="1"/>
  <c r="AH28" i="24" s="1"/>
  <c r="AW28" i="24" s="1"/>
  <c r="I111" i="48"/>
  <c r="I61" i="48"/>
  <c r="J61" i="48" s="1"/>
  <c r="I28" i="48"/>
  <c r="J28" i="48" s="1"/>
  <c r="AP13" i="24" s="1"/>
  <c r="I110" i="48"/>
  <c r="J110" i="48" s="1"/>
  <c r="AP38" i="24" s="1"/>
  <c r="I66" i="48"/>
  <c r="I71" i="48"/>
  <c r="J71" i="48" s="1"/>
  <c r="AL23" i="24" s="1"/>
  <c r="AW23" i="24" s="1"/>
  <c r="I9" i="48"/>
  <c r="J9" i="48" s="1"/>
  <c r="I11" i="48"/>
  <c r="J11" i="48" s="1"/>
  <c r="I10" i="48"/>
  <c r="I47" i="48"/>
  <c r="J47" i="48" s="1"/>
  <c r="I14" i="48"/>
  <c r="J14" i="48" s="1"/>
  <c r="I13" i="48"/>
  <c r="J13" i="48" s="1"/>
  <c r="AP10" i="24" s="1"/>
  <c r="I88" i="48"/>
  <c r="J88" i="48" s="1"/>
  <c r="I35" i="48"/>
  <c r="J35" i="48" s="1"/>
  <c r="I102" i="48"/>
  <c r="I69" i="48"/>
  <c r="J69" i="48" s="1"/>
  <c r="AT22" i="24" s="1"/>
  <c r="I59" i="48"/>
  <c r="J59" i="48" s="1"/>
  <c r="AH19" i="24" s="1"/>
  <c r="I53" i="48"/>
  <c r="J53" i="48" s="1"/>
  <c r="I104" i="48"/>
  <c r="J104" i="48" s="1"/>
  <c r="I80" i="48"/>
  <c r="J80" i="48" s="1"/>
  <c r="I100" i="48"/>
  <c r="I12" i="48"/>
  <c r="J12" i="48" s="1"/>
  <c r="I5" i="48"/>
  <c r="J5" i="48" s="1"/>
  <c r="AP9" i="24" s="1"/>
  <c r="I51" i="48"/>
  <c r="J51" i="48" s="1"/>
  <c r="I25" i="48"/>
  <c r="J25" i="48" s="1"/>
  <c r="I105" i="48"/>
  <c r="I2" i="48"/>
  <c r="I52" i="48"/>
  <c r="J52" i="48" s="1"/>
  <c r="AL17" i="24" s="1"/>
  <c r="I20" i="48"/>
  <c r="J20" i="48" s="1"/>
  <c r="I42" i="48"/>
  <c r="J42" i="48" s="1"/>
  <c r="I90" i="48"/>
  <c r="J90" i="48" s="1"/>
  <c r="I64" i="48"/>
  <c r="J64" i="48" s="1"/>
  <c r="AP21" i="24" s="1"/>
  <c r="I43" i="48"/>
  <c r="J43" i="48" s="1"/>
  <c r="I24" i="48"/>
  <c r="J24" i="48" s="1"/>
  <c r="AT12" i="24" s="1"/>
  <c r="I81" i="48"/>
  <c r="J81" i="48" s="1"/>
  <c r="AL30" i="24" s="1"/>
  <c r="I121" i="48"/>
  <c r="I92" i="48"/>
  <c r="J92" i="48" s="1"/>
  <c r="AP32" i="24" s="1"/>
  <c r="I98" i="48"/>
  <c r="I70" i="48"/>
  <c r="I34" i="48"/>
  <c r="J34" i="48" s="1"/>
  <c r="AP14" i="24" s="1"/>
  <c r="I68" i="48"/>
  <c r="J68" i="48" s="1"/>
  <c r="AP22" i="24" s="1"/>
  <c r="I58" i="48"/>
  <c r="J58" i="48" s="1"/>
  <c r="AP19" i="24" s="1"/>
  <c r="I83" i="48"/>
  <c r="J83" i="48" s="1"/>
  <c r="I87" i="48"/>
  <c r="J87" i="48" s="1"/>
  <c r="AT31" i="24" s="1"/>
  <c r="I45" i="48"/>
  <c r="J45" i="48" s="1"/>
  <c r="I103" i="48"/>
  <c r="J103" i="48" s="1"/>
  <c r="I56" i="48"/>
  <c r="J56" i="48" s="1"/>
  <c r="AP18" i="24" s="1"/>
  <c r="I7" i="48"/>
  <c r="J7" i="48" s="1"/>
  <c r="AL9" i="24" s="1"/>
  <c r="I40" i="48"/>
  <c r="J40" i="48" s="1"/>
  <c r="AL15" i="24" s="1"/>
  <c r="I123" i="48"/>
  <c r="J123" i="48" s="1"/>
  <c r="AL41" i="24" s="1"/>
  <c r="I17" i="48"/>
  <c r="J17" i="48" s="1"/>
  <c r="I115" i="48"/>
  <c r="J115" i="48" s="1"/>
  <c r="I29" i="48"/>
  <c r="J29" i="48" s="1"/>
  <c r="I8" i="48"/>
  <c r="J8" i="48" s="1"/>
  <c r="AT9" i="24" s="1"/>
  <c r="I54" i="48"/>
  <c r="I31" i="48"/>
  <c r="I116" i="48"/>
  <c r="J116" i="48" s="1"/>
  <c r="I22" i="48"/>
  <c r="J22" i="48" s="1"/>
  <c r="I96" i="48"/>
  <c r="J96" i="48" s="1"/>
  <c r="AL33" i="24" s="1"/>
  <c r="I63" i="48"/>
  <c r="I57" i="48"/>
  <c r="I41" i="48"/>
  <c r="J41" i="48" s="1"/>
  <c r="AP15" i="24" s="1"/>
  <c r="I65" i="48"/>
  <c r="J65" i="48" s="1"/>
  <c r="AH21" i="24" s="1"/>
  <c r="I21" i="48"/>
  <c r="I36" i="48"/>
  <c r="J36" i="48" s="1"/>
  <c r="AT14" i="24" s="1"/>
  <c r="I79" i="48"/>
  <c r="I97" i="48"/>
  <c r="J97" i="48" s="1"/>
  <c r="AT33" i="24" s="1"/>
  <c r="I19" i="48"/>
  <c r="J19" i="48" s="1"/>
  <c r="AT11" i="24" s="1"/>
  <c r="I76" i="48"/>
  <c r="I15" i="48"/>
  <c r="J15" i="48" s="1"/>
  <c r="AT10" i="24" s="1"/>
  <c r="I48" i="48"/>
  <c r="I23" i="48"/>
  <c r="J23" i="48" s="1"/>
  <c r="AP12" i="24" s="1"/>
  <c r="I30" i="48"/>
  <c r="J30" i="48" s="1"/>
  <c r="AT13" i="24" s="1"/>
  <c r="I93" i="48"/>
  <c r="J93" i="48" s="1"/>
  <c r="I27" i="48"/>
  <c r="J27" i="48" s="1"/>
  <c r="I99" i="48"/>
  <c r="J99" i="48" s="1"/>
  <c r="AL34" i="24" s="1"/>
  <c r="AW34" i="24" s="1"/>
  <c r="I37" i="48"/>
  <c r="J37" i="48" s="1"/>
  <c r="I49" i="48"/>
  <c r="J49" i="48" s="1"/>
  <c r="I112" i="48"/>
  <c r="J112" i="48" s="1"/>
  <c r="I60" i="48"/>
  <c r="I3" i="48"/>
  <c r="J3" i="48" s="1"/>
  <c r="I44" i="48"/>
  <c r="I38" i="48"/>
  <c r="I107" i="48"/>
  <c r="J107" i="48" s="1"/>
  <c r="I113" i="48"/>
  <c r="J113" i="48" s="1"/>
  <c r="AP39" i="24" s="1"/>
  <c r="I94" i="48"/>
  <c r="I91" i="48"/>
  <c r="J91" i="48" s="1"/>
  <c r="AT32" i="24" s="1"/>
  <c r="I72" i="48"/>
  <c r="I55" i="48"/>
  <c r="J55" i="48" s="1"/>
  <c r="AL18" i="24" s="1"/>
  <c r="I85" i="48"/>
  <c r="J85" i="48" s="1"/>
  <c r="I50" i="48"/>
  <c r="J50" i="48" s="1"/>
  <c r="AP17" i="24" s="1"/>
  <c r="I106" i="48"/>
  <c r="J106" i="48" s="1"/>
  <c r="AL37" i="24" s="1"/>
  <c r="AW37" i="24" s="1"/>
  <c r="I82" i="48"/>
  <c r="J82" i="48" s="1"/>
  <c r="AP30" i="24" s="1"/>
  <c r="I39" i="48"/>
  <c r="J39" i="48" s="1"/>
  <c r="I122" i="48"/>
  <c r="J122" i="48" s="1"/>
  <c r="AH41" i="24" s="1"/>
  <c r="I46" i="48"/>
  <c r="J46" i="48" s="1"/>
  <c r="AP16" i="24" s="1"/>
  <c r="I109" i="48"/>
  <c r="J109" i="48" s="1"/>
  <c r="AL38" i="24" s="1"/>
  <c r="I89" i="48"/>
  <c r="I95" i="48"/>
  <c r="J95" i="48" s="1"/>
  <c r="AH33" i="24" s="1"/>
  <c r="AW33" i="24" s="1"/>
  <c r="I67" i="48"/>
  <c r="J67" i="48" s="1"/>
  <c r="AL22" i="24" s="1"/>
  <c r="I74" i="48"/>
  <c r="I84" i="48"/>
  <c r="I33" i="48"/>
  <c r="J33" i="48" s="1"/>
  <c r="I108" i="48"/>
  <c r="I73" i="48"/>
  <c r="I78" i="48"/>
  <c r="J78" i="48" s="1"/>
  <c r="I75" i="48"/>
  <c r="J75" i="48" s="1"/>
  <c r="I62" i="48"/>
  <c r="J62" i="48" s="1"/>
  <c r="I26" i="48"/>
  <c r="I32" i="48"/>
  <c r="J32" i="48" s="1"/>
  <c r="I18" i="48"/>
  <c r="J18" i="48" s="1"/>
  <c r="AP11" i="24" s="1"/>
  <c r="I114" i="48"/>
  <c r="J114" i="48" s="1"/>
  <c r="AT39" i="24" s="1"/>
  <c r="I101" i="48"/>
  <c r="J101" i="48" s="1"/>
  <c r="AL35" i="24" s="1"/>
  <c r="AW35" i="24" s="1"/>
  <c r="G41" i="30"/>
  <c r="AW40" i="24" l="1"/>
  <c r="AH17" i="24"/>
  <c r="AW17" i="24" s="1"/>
  <c r="AW43" i="24"/>
  <c r="AH9" i="24"/>
  <c r="AW9" i="24" s="1"/>
  <c r="AW21" i="24"/>
  <c r="AH15" i="24"/>
  <c r="AW15" i="24" s="1"/>
  <c r="AW22" i="24"/>
  <c r="AH12" i="24"/>
  <c r="AW12" i="24" s="1"/>
  <c r="AW41" i="24"/>
  <c r="AH16" i="24"/>
  <c r="AW16" i="24" s="1"/>
  <c r="AW18" i="24"/>
  <c r="AH31" i="24"/>
  <c r="AW31" i="24" s="1"/>
  <c r="AH30" i="24"/>
  <c r="AW30" i="24" s="1"/>
  <c r="AH13" i="24"/>
  <c r="AW13" i="24" s="1"/>
  <c r="AH11" i="24"/>
  <c r="AW11" i="24" s="1"/>
  <c r="AH14" i="24"/>
  <c r="AW14" i="24" s="1"/>
  <c r="AH36" i="24"/>
  <c r="AW36" i="24" s="1"/>
  <c r="AH20" i="24"/>
  <c r="AW20" i="24" s="1"/>
  <c r="AW38" i="24"/>
  <c r="AW19" i="24"/>
  <c r="AH10" i="24"/>
  <c r="AW10" i="24" s="1"/>
  <c r="AH39" i="24"/>
  <c r="AW39" i="24" s="1"/>
  <c r="AH32" i="24"/>
  <c r="AW32" i="24" s="1"/>
  <c r="J74" i="48"/>
  <c r="AP26" i="24" s="1"/>
  <c r="J73" i="48"/>
  <c r="AL26" i="24" s="1"/>
  <c r="D39" i="24"/>
  <c r="D40" i="24"/>
  <c r="D41" i="24"/>
  <c r="C39" i="30"/>
  <c r="C39" i="24" s="1"/>
  <c r="C40" i="30"/>
  <c r="C40" i="24" s="1"/>
  <c r="C41" i="30"/>
  <c r="C41" i="24" s="1"/>
  <c r="D39" i="30"/>
  <c r="D40" i="30"/>
  <c r="D41" i="30"/>
  <c r="E39" i="30"/>
  <c r="E39" i="24" s="1"/>
  <c r="E40" i="30"/>
  <c r="E40" i="24" s="1"/>
  <c r="E41" i="30"/>
  <c r="E41" i="24" s="1"/>
  <c r="F39" i="30"/>
  <c r="T39" i="30" s="1" a="1"/>
  <c r="T39" i="30" s="1"/>
  <c r="F40" i="30"/>
  <c r="T40" i="30" s="1" a="1"/>
  <c r="T40" i="30" s="1"/>
  <c r="F41" i="30"/>
  <c r="T41" i="30" s="1" a="1"/>
  <c r="T41" i="30" s="1"/>
  <c r="R39" i="30" a="1"/>
  <c r="R39" i="30" s="1"/>
  <c r="G39" i="24" s="1"/>
  <c r="H39" i="24" s="1"/>
  <c r="J39" i="24" s="1" a="1"/>
  <c r="J39" i="24" s="1"/>
  <c r="R40" i="30" a="1"/>
  <c r="R40" i="30" s="1"/>
  <c r="G40" i="24" s="1"/>
  <c r="R41" i="30" a="1"/>
  <c r="R41" i="30" s="1"/>
  <c r="G41" i="24" s="1"/>
  <c r="W39" i="30"/>
  <c r="AZ39" i="24" s="1"/>
  <c r="W40" i="30"/>
  <c r="AZ40" i="24" s="1"/>
  <c r="W41" i="30"/>
  <c r="AZ41" i="24" s="1"/>
  <c r="X39" i="30"/>
  <c r="BA39" i="24" s="1"/>
  <c r="X40" i="30"/>
  <c r="BA40" i="24" s="1"/>
  <c r="X41" i="30"/>
  <c r="BA41" i="24" s="1"/>
  <c r="Y39" i="30"/>
  <c r="Y40" i="30"/>
  <c r="Y41" i="30"/>
  <c r="Y41" i="31" s="1"/>
  <c r="S39" i="24"/>
  <c r="S40" i="24"/>
  <c r="AW26" i="24" l="1"/>
  <c r="BB40" i="24"/>
  <c r="Y40" i="31"/>
  <c r="BB39" i="24"/>
  <c r="Y39" i="31"/>
  <c r="AJ41" i="24"/>
  <c r="AN41" i="24"/>
  <c r="AF41" i="24"/>
  <c r="AR41" i="24"/>
  <c r="AJ40" i="24"/>
  <c r="AN40" i="24"/>
  <c r="AF40" i="24"/>
  <c r="AR40" i="24"/>
  <c r="AN39" i="24"/>
  <c r="AF39" i="24"/>
  <c r="AR39" i="24"/>
  <c r="AJ39" i="24"/>
  <c r="BB41" i="24"/>
  <c r="F40" i="24"/>
  <c r="K40" i="24" s="1"/>
  <c r="F41" i="24"/>
  <c r="K41" i="24" s="1"/>
  <c r="H41" i="24"/>
  <c r="J41" i="24" s="1" a="1"/>
  <c r="J41" i="24" s="1"/>
  <c r="I41" i="24"/>
  <c r="I40" i="24"/>
  <c r="H40" i="24"/>
  <c r="J40" i="24" s="1" a="1"/>
  <c r="J40" i="24" s="1"/>
  <c r="I39" i="24"/>
  <c r="F39" i="24"/>
  <c r="K39" i="24" s="1"/>
  <c r="AV41" i="24" l="1"/>
  <c r="AY41" i="24" s="1"/>
  <c r="AV40" i="24"/>
  <c r="AY40" i="24" s="1"/>
  <c r="AV39" i="24"/>
  <c r="AY39" i="24" s="1"/>
  <c r="M40" i="24" a="1"/>
  <c r="M40" i="24" s="1"/>
  <c r="L41" i="24"/>
  <c r="M41" i="24" a="1"/>
  <c r="M41" i="24" s="1"/>
  <c r="L40" i="24"/>
  <c r="L39" i="24"/>
  <c r="M39" i="24" a="1"/>
  <c r="M39" i="24" s="1"/>
  <c r="H3" i="42"/>
  <c r="N40" i="24" l="1"/>
  <c r="N41" i="24"/>
  <c r="N39" i="24"/>
  <c r="D6" i="24"/>
  <c r="D7" i="24"/>
  <c r="D8" i="24"/>
  <c r="D9" i="24"/>
  <c r="D10" i="24"/>
  <c r="D11" i="24"/>
  <c r="D12" i="24"/>
  <c r="D13" i="24"/>
  <c r="D14" i="24"/>
  <c r="D15" i="24"/>
  <c r="D16" i="24"/>
  <c r="D17" i="24"/>
  <c r="D18" i="24"/>
  <c r="D19" i="24"/>
  <c r="D20" i="24"/>
  <c r="D21" i="24"/>
  <c r="D22" i="24"/>
  <c r="D23" i="24"/>
  <c r="D24" i="24"/>
  <c r="D25" i="24"/>
  <c r="D26" i="24"/>
  <c r="D27" i="24"/>
  <c r="D28" i="24"/>
  <c r="D29" i="24"/>
  <c r="D30" i="24"/>
  <c r="D31" i="24"/>
  <c r="D32" i="24"/>
  <c r="D33" i="24"/>
  <c r="D34" i="24"/>
  <c r="D35" i="24"/>
  <c r="D36" i="24"/>
  <c r="D37" i="24"/>
  <c r="D38" i="24"/>
  <c r="D6" i="30"/>
  <c r="D7" i="30"/>
  <c r="D8" i="30"/>
  <c r="D9" i="30"/>
  <c r="D10" i="30"/>
  <c r="D11" i="30"/>
  <c r="D12" i="30"/>
  <c r="D13" i="30"/>
  <c r="D14" i="30"/>
  <c r="D15" i="30"/>
  <c r="D16" i="30"/>
  <c r="D17" i="30"/>
  <c r="D18" i="30"/>
  <c r="D19" i="30"/>
  <c r="D20" i="30"/>
  <c r="D21" i="30"/>
  <c r="D22" i="30"/>
  <c r="D23" i="30"/>
  <c r="D24" i="30"/>
  <c r="D25" i="30"/>
  <c r="D26" i="30"/>
  <c r="D27" i="30"/>
  <c r="D28" i="30"/>
  <c r="D29" i="30"/>
  <c r="D30" i="30"/>
  <c r="D31" i="30"/>
  <c r="D32" i="30"/>
  <c r="D33" i="30"/>
  <c r="D34" i="30"/>
  <c r="D35" i="30"/>
  <c r="D36" i="30"/>
  <c r="D37" i="30"/>
  <c r="D38" i="30"/>
  <c r="G3" i="42" l="1"/>
  <c r="G7" i="42" s="1"/>
  <c r="H7" i="42"/>
  <c r="I3" i="42"/>
  <c r="I10" i="42" s="1"/>
  <c r="J3" i="42"/>
  <c r="J9" i="42" s="1"/>
  <c r="K3" i="42"/>
  <c r="K10" i="42" s="1"/>
  <c r="L3" i="42"/>
  <c r="L7" i="42" s="1"/>
  <c r="M3" i="42"/>
  <c r="M10" i="42" s="1"/>
  <c r="N3" i="42"/>
  <c r="N10" i="42" s="1"/>
  <c r="O3" i="42"/>
  <c r="O7" i="42" s="1"/>
  <c r="P3" i="42"/>
  <c r="P7" i="42" s="1"/>
  <c r="Q3" i="42"/>
  <c r="Q9" i="42" s="1"/>
  <c r="R3" i="42"/>
  <c r="R9" i="42" s="1"/>
  <c r="D3" i="42"/>
  <c r="E3" i="42"/>
  <c r="E7" i="42" s="1"/>
  <c r="F3" i="42"/>
  <c r="C3" i="42"/>
  <c r="C10" i="42" l="1"/>
  <c r="I8" i="42"/>
  <c r="J8" i="42"/>
  <c r="I9" i="42"/>
  <c r="L8" i="42"/>
  <c r="I7" i="42"/>
  <c r="Q8" i="42"/>
  <c r="M7" i="42"/>
  <c r="P10" i="42"/>
  <c r="Q10" i="42"/>
  <c r="Q7" i="42"/>
  <c r="K9" i="42"/>
  <c r="L9" i="42"/>
  <c r="K7" i="42"/>
  <c r="P8" i="42"/>
  <c r="P9" i="42"/>
  <c r="G8" i="42"/>
  <c r="R8" i="42"/>
  <c r="O8" i="42"/>
  <c r="O9" i="42"/>
  <c r="O10" i="42"/>
  <c r="M9" i="42"/>
  <c r="N7" i="42"/>
  <c r="K8" i="42"/>
  <c r="N9" i="42"/>
  <c r="F7" i="42"/>
  <c r="M8" i="42"/>
  <c r="N8" i="42"/>
  <c r="L10" i="42"/>
  <c r="J7" i="42"/>
  <c r="R7" i="42"/>
  <c r="J10" i="42"/>
  <c r="R10" i="42"/>
  <c r="D7" i="42"/>
  <c r="C9" i="42"/>
  <c r="C7" i="42"/>
  <c r="I5" i="42" l="1"/>
  <c r="Q5" i="42"/>
  <c r="L5" i="42"/>
  <c r="O5" i="42"/>
  <c r="P5" i="42"/>
  <c r="R5" i="42"/>
  <c r="K5" i="42"/>
  <c r="J5" i="42"/>
  <c r="N5" i="42"/>
  <c r="M5" i="42"/>
  <c r="C34" i="36"/>
  <c r="Y33" i="38"/>
  <c r="U33" i="38"/>
  <c r="BF38" i="23" s="1"/>
  <c r="T33" i="38"/>
  <c r="BD38" i="23" s="1"/>
  <c r="S33" i="38"/>
  <c r="BB38" i="23" s="1"/>
  <c r="R33" i="38"/>
  <c r="AZ38" i="23" s="1"/>
  <c r="Q33" i="38"/>
  <c r="AX38" i="23" s="1"/>
  <c r="P33" i="38"/>
  <c r="AV38" i="23" s="1"/>
  <c r="O33" i="38"/>
  <c r="AT38" i="23" s="1"/>
  <c r="N33" i="38"/>
  <c r="AR38" i="23" s="1"/>
  <c r="M33" i="38"/>
  <c r="AP38" i="23" s="1"/>
  <c r="L33" i="38"/>
  <c r="AN38" i="23" s="1"/>
  <c r="K33" i="38"/>
  <c r="AL38" i="23" s="1"/>
  <c r="J33" i="38"/>
  <c r="AJ38" i="23" s="1"/>
  <c r="I33" i="38"/>
  <c r="AH38" i="23" s="1"/>
  <c r="H33" i="38"/>
  <c r="G33" i="38"/>
  <c r="F33" i="38"/>
  <c r="C33" i="38"/>
  <c r="B33" i="38"/>
  <c r="D38" i="23"/>
  <c r="C38" i="23"/>
  <c r="B38" i="23"/>
  <c r="R38" i="30" a="1"/>
  <c r="R38" i="30" s="1"/>
  <c r="G38" i="24" s="1"/>
  <c r="H38" i="24" s="1"/>
  <c r="J38" i="24" s="1" a="1"/>
  <c r="J38" i="24" s="1"/>
  <c r="F38" i="30"/>
  <c r="T38" i="30" s="1" a="1"/>
  <c r="T38" i="30" s="1"/>
  <c r="E38" i="30"/>
  <c r="E38" i="24" s="1"/>
  <c r="C38" i="30"/>
  <c r="C38" i="24" s="1"/>
  <c r="O38" i="24"/>
  <c r="P38" i="24" s="1"/>
  <c r="R38" i="24" s="1" a="1"/>
  <c r="R38" i="24" s="1"/>
  <c r="S38" i="24"/>
  <c r="O36" i="24"/>
  <c r="Q36" i="24" s="1"/>
  <c r="B32" i="38"/>
  <c r="C32" i="38"/>
  <c r="F32" i="38"/>
  <c r="G32" i="38"/>
  <c r="H32" i="38"/>
  <c r="I32" i="38"/>
  <c r="J32" i="38"/>
  <c r="K32" i="38"/>
  <c r="L32" i="38"/>
  <c r="M32" i="38"/>
  <c r="N32" i="38"/>
  <c r="O32" i="38"/>
  <c r="P32" i="38"/>
  <c r="Q32" i="38"/>
  <c r="R32" i="38"/>
  <c r="S32" i="38"/>
  <c r="T32" i="38"/>
  <c r="U32" i="38"/>
  <c r="Y32" i="38"/>
  <c r="B31" i="38"/>
  <c r="C31" i="38"/>
  <c r="F31" i="38"/>
  <c r="G31" i="38"/>
  <c r="H31" i="38"/>
  <c r="I31" i="38"/>
  <c r="J31" i="38"/>
  <c r="K31" i="38"/>
  <c r="L31" i="38"/>
  <c r="M31" i="38"/>
  <c r="N31" i="38"/>
  <c r="O31" i="38"/>
  <c r="P31" i="38"/>
  <c r="Q31" i="38"/>
  <c r="R31" i="38"/>
  <c r="S31" i="38"/>
  <c r="T31" i="38"/>
  <c r="U31" i="38"/>
  <c r="Y31" i="38"/>
  <c r="B37" i="23"/>
  <c r="C33" i="36"/>
  <c r="C32" i="36"/>
  <c r="B36" i="23"/>
  <c r="D36" i="23"/>
  <c r="D37" i="23"/>
  <c r="C36" i="23"/>
  <c r="C37" i="23"/>
  <c r="B35" i="23"/>
  <c r="X36" i="30"/>
  <c r="BA36" i="24" s="1"/>
  <c r="G35" i="24"/>
  <c r="H35" i="24" s="1"/>
  <c r="O35" i="24"/>
  <c r="P35" i="24" s="1"/>
  <c r="R35" i="24" s="1" a="1"/>
  <c r="R35" i="24" s="1"/>
  <c r="S35" i="24"/>
  <c r="S36" i="24"/>
  <c r="C36" i="30"/>
  <c r="C36" i="24" s="1"/>
  <c r="E36" i="30"/>
  <c r="E36" i="24" s="1"/>
  <c r="F36" i="30"/>
  <c r="T36" i="30" s="1" a="1"/>
  <c r="T36" i="30" s="1"/>
  <c r="C35" i="30"/>
  <c r="C35" i="24" s="1"/>
  <c r="E35" i="30"/>
  <c r="E35" i="24" s="1"/>
  <c r="F35" i="30"/>
  <c r="T35" i="30" s="1" a="1"/>
  <c r="T35" i="30" s="1"/>
  <c r="C52" i="33"/>
  <c r="AJ35" i="24" l="1"/>
  <c r="AN35" i="24"/>
  <c r="AF35" i="24"/>
  <c r="AR35" i="24"/>
  <c r="AR38" i="24"/>
  <c r="AF38" i="24"/>
  <c r="AJ38" i="24"/>
  <c r="AN38" i="24"/>
  <c r="AF36" i="24"/>
  <c r="AJ36" i="24"/>
  <c r="AN36" i="24"/>
  <c r="AR36" i="24"/>
  <c r="AG36" i="23"/>
  <c r="D33" i="38"/>
  <c r="I38" i="23"/>
  <c r="Y38" i="30" s="1"/>
  <c r="Y38" i="31" s="1"/>
  <c r="D31" i="38"/>
  <c r="I36" i="23"/>
  <c r="Y36" i="30" s="1"/>
  <c r="D32" i="38"/>
  <c r="I37" i="23"/>
  <c r="Y37" i="30" s="1"/>
  <c r="Y37" i="31" s="1"/>
  <c r="AG37" i="23"/>
  <c r="AC36" i="23"/>
  <c r="AC37" i="23"/>
  <c r="AQ37" i="23"/>
  <c r="AP37" i="23"/>
  <c r="AX36" i="23"/>
  <c r="AY36" i="23"/>
  <c r="AV36" i="23"/>
  <c r="AW36" i="23"/>
  <c r="BB37" i="23"/>
  <c r="BC37" i="23"/>
  <c r="AO37" i="23"/>
  <c r="AN37" i="23"/>
  <c r="AL37" i="23"/>
  <c r="AM37" i="23"/>
  <c r="AU36" i="23"/>
  <c r="AT36" i="23"/>
  <c r="AD36" i="23"/>
  <c r="AB36" i="23"/>
  <c r="AE36" i="23"/>
  <c r="AF36" i="23"/>
  <c r="BA37" i="23"/>
  <c r="AZ37" i="23"/>
  <c r="AK37" i="23"/>
  <c r="AJ37" i="23"/>
  <c r="AK36" i="23"/>
  <c r="AJ36" i="23"/>
  <c r="AS36" i="23"/>
  <c r="AR36" i="23"/>
  <c r="AY37" i="23"/>
  <c r="AX37" i="23"/>
  <c r="AI37" i="23"/>
  <c r="AH37" i="23"/>
  <c r="AD38" i="23"/>
  <c r="AB38" i="23"/>
  <c r="AF38" i="23"/>
  <c r="BA36" i="23"/>
  <c r="AZ36" i="23"/>
  <c r="AI36" i="23"/>
  <c r="AH36" i="23"/>
  <c r="BG36" i="23"/>
  <c r="BF36" i="23"/>
  <c r="AQ36" i="23"/>
  <c r="AP36" i="23"/>
  <c r="AW37" i="23"/>
  <c r="AV37" i="23"/>
  <c r="BG37" i="23"/>
  <c r="BF37" i="23"/>
  <c r="BE36" i="23"/>
  <c r="BD36" i="23"/>
  <c r="AB37" i="23"/>
  <c r="AF37" i="23"/>
  <c r="AE37" i="23"/>
  <c r="AD37" i="23"/>
  <c r="BE37" i="23"/>
  <c r="BD37" i="23"/>
  <c r="AN36" i="23"/>
  <c r="AO36" i="23"/>
  <c r="AU37" i="23"/>
  <c r="AT37" i="23"/>
  <c r="BB36" i="23"/>
  <c r="BC36" i="23"/>
  <c r="AM36" i="23"/>
  <c r="AL36" i="23"/>
  <c r="AS37" i="23"/>
  <c r="AR37" i="23"/>
  <c r="BA38" i="23"/>
  <c r="AS38" i="23"/>
  <c r="AK38" i="23"/>
  <c r="AC38" i="23"/>
  <c r="AQ38" i="23"/>
  <c r="AG38" i="23"/>
  <c r="BG38" i="23"/>
  <c r="AY38" i="23"/>
  <c r="AI38" i="23"/>
  <c r="BE38" i="23"/>
  <c r="AW38" i="23"/>
  <c r="AO38" i="23"/>
  <c r="BC38" i="23"/>
  <c r="AU38" i="23"/>
  <c r="AM38" i="23"/>
  <c r="AE38" i="23"/>
  <c r="W38" i="30"/>
  <c r="AZ38" i="24" s="1"/>
  <c r="X38" i="30"/>
  <c r="BA38" i="24" s="1"/>
  <c r="E33" i="38"/>
  <c r="W36" i="30"/>
  <c r="AZ36" i="24" s="1"/>
  <c r="F38" i="24"/>
  <c r="Q38" i="24"/>
  <c r="I38" i="24"/>
  <c r="Q35" i="24"/>
  <c r="E32" i="38"/>
  <c r="E31" i="38"/>
  <c r="F35" i="24"/>
  <c r="F36" i="24"/>
  <c r="T36" i="24" s="1"/>
  <c r="P36" i="24"/>
  <c r="R36" i="24" s="1" a="1"/>
  <c r="R36" i="24" s="1"/>
  <c r="I35" i="24"/>
  <c r="J35" i="24" a="1"/>
  <c r="J35" i="24" s="1"/>
  <c r="F18" i="23"/>
  <c r="D15" i="38"/>
  <c r="D16" i="38"/>
  <c r="D17" i="38"/>
  <c r="D18" i="38"/>
  <c r="D19" i="38"/>
  <c r="D21" i="38"/>
  <c r="D23" i="38"/>
  <c r="D13" i="38" l="1"/>
  <c r="W18" i="31"/>
  <c r="BB36" i="24"/>
  <c r="Y36" i="31"/>
  <c r="AV35" i="24"/>
  <c r="AY35" i="24" s="1"/>
  <c r="AV38" i="24"/>
  <c r="AY38" i="24" s="1"/>
  <c r="AV36" i="24"/>
  <c r="AY36" i="24" s="1"/>
  <c r="BB38" i="24"/>
  <c r="T35" i="24"/>
  <c r="T38" i="24"/>
  <c r="K35" i="24"/>
  <c r="L35" i="24"/>
  <c r="K38" i="24"/>
  <c r="L38" i="24"/>
  <c r="K36" i="24"/>
  <c r="M38" i="24" a="1"/>
  <c r="M38" i="24" s="1"/>
  <c r="M35" i="24" a="1"/>
  <c r="M35" i="24" s="1"/>
  <c r="N35" i="24" l="1"/>
  <c r="N38" i="24"/>
  <c r="F12" i="23" l="1"/>
  <c r="D7" i="38" l="1"/>
  <c r="W12" i="31"/>
  <c r="B25" i="38"/>
  <c r="B26" i="38"/>
  <c r="B27" i="38"/>
  <c r="B28" i="38"/>
  <c r="B29" i="38"/>
  <c r="B30" i="38"/>
  <c r="C25" i="38"/>
  <c r="C26" i="38"/>
  <c r="C27" i="38"/>
  <c r="C28" i="38"/>
  <c r="C29" i="38"/>
  <c r="C30" i="38"/>
  <c r="F25" i="38"/>
  <c r="F26" i="38"/>
  <c r="F27" i="38"/>
  <c r="F28" i="38"/>
  <c r="F29" i="38"/>
  <c r="F30" i="38"/>
  <c r="G25" i="38"/>
  <c r="G26" i="38"/>
  <c r="G27" i="38"/>
  <c r="G28" i="38"/>
  <c r="G30" i="38"/>
  <c r="H25" i="38"/>
  <c r="H26" i="38"/>
  <c r="H27" i="38"/>
  <c r="H28" i="38"/>
  <c r="H29" i="38"/>
  <c r="H30" i="38"/>
  <c r="I25" i="38"/>
  <c r="AH30" i="23" s="1"/>
  <c r="I26" i="38"/>
  <c r="AH31" i="23" s="1"/>
  <c r="I27" i="38"/>
  <c r="AH32" i="23" s="1"/>
  <c r="I28" i="38"/>
  <c r="AH33" i="23" s="1"/>
  <c r="I29" i="38"/>
  <c r="I30" i="38"/>
  <c r="AH35" i="23" s="1"/>
  <c r="J25" i="38"/>
  <c r="AJ30" i="23" s="1"/>
  <c r="J26" i="38"/>
  <c r="AJ31" i="23" s="1"/>
  <c r="J27" i="38"/>
  <c r="AJ32" i="23" s="1"/>
  <c r="J28" i="38"/>
  <c r="AJ33" i="23" s="1"/>
  <c r="J29" i="38"/>
  <c r="AJ34" i="23" s="1"/>
  <c r="J30" i="38"/>
  <c r="AJ35" i="23" s="1"/>
  <c r="K25" i="38"/>
  <c r="AL30" i="23" s="1"/>
  <c r="K26" i="38"/>
  <c r="AL31" i="23" s="1"/>
  <c r="K27" i="38"/>
  <c r="AL32" i="23" s="1"/>
  <c r="K28" i="38"/>
  <c r="AL33" i="23" s="1"/>
  <c r="K29" i="38"/>
  <c r="AL34" i="23" s="1"/>
  <c r="K30" i="38"/>
  <c r="AL35" i="23" s="1"/>
  <c r="L25" i="38"/>
  <c r="L26" i="38"/>
  <c r="AN31" i="23" s="1"/>
  <c r="L27" i="38"/>
  <c r="AN32" i="23" s="1"/>
  <c r="L28" i="38"/>
  <c r="AN33" i="23" s="1"/>
  <c r="L29" i="38"/>
  <c r="AN34" i="23" s="1"/>
  <c r="L30" i="38"/>
  <c r="AN35" i="23" s="1"/>
  <c r="M25" i="38"/>
  <c r="AP30" i="23" s="1"/>
  <c r="M26" i="38"/>
  <c r="AP31" i="23" s="1"/>
  <c r="M27" i="38"/>
  <c r="AP32" i="23" s="1"/>
  <c r="M28" i="38"/>
  <c r="AP33" i="23" s="1"/>
  <c r="M29" i="38"/>
  <c r="AP34" i="23" s="1"/>
  <c r="M30" i="38"/>
  <c r="AP35" i="23" s="1"/>
  <c r="N25" i="38"/>
  <c r="AR30" i="23" s="1"/>
  <c r="N26" i="38"/>
  <c r="AR31" i="23" s="1"/>
  <c r="N27" i="38"/>
  <c r="AR32" i="23" s="1"/>
  <c r="N28" i="38"/>
  <c r="AR33" i="23" s="1"/>
  <c r="N29" i="38"/>
  <c r="AR34" i="23" s="1"/>
  <c r="N30" i="38"/>
  <c r="AR35" i="23" s="1"/>
  <c r="O25" i="38"/>
  <c r="AT30" i="23" s="1"/>
  <c r="O26" i="38"/>
  <c r="AT31" i="23" s="1"/>
  <c r="O27" i="38"/>
  <c r="AT32" i="23" s="1"/>
  <c r="O28" i="38"/>
  <c r="AT33" i="23" s="1"/>
  <c r="O29" i="38"/>
  <c r="AT34" i="23" s="1"/>
  <c r="O30" i="38"/>
  <c r="AT35" i="23" s="1"/>
  <c r="P25" i="38"/>
  <c r="AV30" i="23" s="1"/>
  <c r="P26" i="38"/>
  <c r="AV31" i="23" s="1"/>
  <c r="P27" i="38"/>
  <c r="AV32" i="23" s="1"/>
  <c r="P28" i="38"/>
  <c r="AV33" i="23" s="1"/>
  <c r="P29" i="38"/>
  <c r="AV34" i="23" s="1"/>
  <c r="P30" i="38"/>
  <c r="AV35" i="23" s="1"/>
  <c r="Q25" i="38"/>
  <c r="AX30" i="23" s="1"/>
  <c r="Q26" i="38"/>
  <c r="AX31" i="23" s="1"/>
  <c r="Q27" i="38"/>
  <c r="AX32" i="23" s="1"/>
  <c r="Q28" i="38"/>
  <c r="AX33" i="23" s="1"/>
  <c r="Q29" i="38"/>
  <c r="AX34" i="23" s="1"/>
  <c r="Q30" i="38"/>
  <c r="AX35" i="23" s="1"/>
  <c r="R25" i="38"/>
  <c r="AZ30" i="23" s="1"/>
  <c r="R26" i="38"/>
  <c r="AZ31" i="23" s="1"/>
  <c r="R27" i="38"/>
  <c r="AZ32" i="23" s="1"/>
  <c r="R28" i="38"/>
  <c r="AZ33" i="23" s="1"/>
  <c r="R29" i="38"/>
  <c r="AZ34" i="23" s="1"/>
  <c r="R30" i="38"/>
  <c r="AZ35" i="23" s="1"/>
  <c r="S25" i="38"/>
  <c r="BB30" i="23" s="1"/>
  <c r="S26" i="38"/>
  <c r="BB31" i="23" s="1"/>
  <c r="S27" i="38"/>
  <c r="BB32" i="23" s="1"/>
  <c r="S28" i="38"/>
  <c r="BB33" i="23" s="1"/>
  <c r="S29" i="38"/>
  <c r="BB34" i="23" s="1"/>
  <c r="S30" i="38"/>
  <c r="BB35" i="23" s="1"/>
  <c r="T25" i="38"/>
  <c r="BD30" i="23" s="1"/>
  <c r="T26" i="38"/>
  <c r="BD31" i="23" s="1"/>
  <c r="T27" i="38"/>
  <c r="BD32" i="23" s="1"/>
  <c r="T28" i="38"/>
  <c r="BD33" i="23" s="1"/>
  <c r="T29" i="38"/>
  <c r="BD34" i="23" s="1"/>
  <c r="T30" i="38"/>
  <c r="BD35" i="23" s="1"/>
  <c r="U25" i="38"/>
  <c r="BF30" i="23" s="1"/>
  <c r="U26" i="38"/>
  <c r="BF31" i="23" s="1"/>
  <c r="U27" i="38"/>
  <c r="BF32" i="23" s="1"/>
  <c r="U28" i="38"/>
  <c r="BF33" i="23" s="1"/>
  <c r="U29" i="38"/>
  <c r="BF34" i="23" s="1"/>
  <c r="U30" i="38"/>
  <c r="BF35" i="23" s="1"/>
  <c r="Y25" i="38"/>
  <c r="Y26" i="38"/>
  <c r="Y27" i="38"/>
  <c r="Y28" i="38"/>
  <c r="Y29" i="38"/>
  <c r="Y30" i="38"/>
  <c r="Y4" i="38"/>
  <c r="Y5" i="38"/>
  <c r="Y6" i="38"/>
  <c r="Y7" i="38"/>
  <c r="Y8" i="38"/>
  <c r="Y9" i="38"/>
  <c r="Y10" i="38"/>
  <c r="Y11" i="38"/>
  <c r="Y12" i="38"/>
  <c r="Y13" i="38"/>
  <c r="Y14" i="38"/>
  <c r="Y15" i="38"/>
  <c r="Y16" i="38"/>
  <c r="Y17" i="38"/>
  <c r="Y18" i="38"/>
  <c r="Y19" i="38"/>
  <c r="Y20" i="38"/>
  <c r="Y21" i="38"/>
  <c r="Y22" i="38"/>
  <c r="Y23" i="38"/>
  <c r="Y24" i="38"/>
  <c r="E28" i="38" l="1"/>
  <c r="E27" i="38"/>
  <c r="E25" i="38"/>
  <c r="E26" i="38"/>
  <c r="E30" i="38"/>
  <c r="E29" i="38"/>
  <c r="AF35" i="23"/>
  <c r="AD35" i="23"/>
  <c r="AB35" i="23"/>
  <c r="AH34" i="23"/>
  <c r="AF34" i="23"/>
  <c r="AD34" i="23"/>
  <c r="AB34" i="23"/>
  <c r="AF33" i="23"/>
  <c r="AD33" i="23"/>
  <c r="AB33" i="23"/>
  <c r="AF32" i="23"/>
  <c r="AD32" i="23"/>
  <c r="AB32" i="23"/>
  <c r="AF31" i="23"/>
  <c r="AD31" i="23"/>
  <c r="AB31" i="23"/>
  <c r="AF30" i="23"/>
  <c r="AD30" i="23"/>
  <c r="AB30" i="23"/>
  <c r="BB7" i="23"/>
  <c r="AZ7" i="23"/>
  <c r="AX7" i="23"/>
  <c r="AV7" i="23"/>
  <c r="AT7" i="23"/>
  <c r="AR7" i="23"/>
  <c r="AP7" i="23"/>
  <c r="AN7" i="23"/>
  <c r="AL7" i="23"/>
  <c r="AJ7" i="23"/>
  <c r="AH7" i="23"/>
  <c r="AF7" i="23"/>
  <c r="AD7" i="23"/>
  <c r="AB7" i="23"/>
  <c r="BF6" i="23"/>
  <c r="BD6" i="23"/>
  <c r="BB6" i="23"/>
  <c r="AZ6" i="23"/>
  <c r="AX6" i="23"/>
  <c r="AV6" i="23"/>
  <c r="AT6" i="23"/>
  <c r="AR6" i="23"/>
  <c r="AP6" i="23"/>
  <c r="AN6" i="23"/>
  <c r="AL6" i="23"/>
  <c r="AJ6" i="23"/>
  <c r="AH6" i="23"/>
  <c r="AF6" i="23"/>
  <c r="AD6" i="23"/>
  <c r="AB6" i="23"/>
  <c r="BF7" i="23"/>
  <c r="BD7" i="23"/>
  <c r="K12" i="38"/>
  <c r="K11" i="38"/>
  <c r="K10" i="38"/>
  <c r="K9" i="38"/>
  <c r="K8" i="38"/>
  <c r="AL13" i="23" s="1"/>
  <c r="K7" i="38"/>
  <c r="K6" i="38"/>
  <c r="K5" i="38"/>
  <c r="K4" i="38"/>
  <c r="U24" i="38"/>
  <c r="T24" i="38"/>
  <c r="BD29" i="23" s="1"/>
  <c r="S24" i="38"/>
  <c r="BB29" i="23" s="1"/>
  <c r="R24" i="38"/>
  <c r="AZ29" i="23" s="1"/>
  <c r="Q24" i="38"/>
  <c r="AX29" i="23" s="1"/>
  <c r="P24" i="38"/>
  <c r="AV29" i="23" s="1"/>
  <c r="O24" i="38"/>
  <c r="AT29" i="23" s="1"/>
  <c r="N24" i="38"/>
  <c r="AR29" i="23" s="1"/>
  <c r="M24" i="38"/>
  <c r="AP29" i="23" s="1"/>
  <c r="L24" i="38"/>
  <c r="AN29" i="23" s="1"/>
  <c r="K24" i="38"/>
  <c r="AL29" i="23" s="1"/>
  <c r="J24" i="38"/>
  <c r="I24" i="38"/>
  <c r="H24" i="38"/>
  <c r="G24" i="38"/>
  <c r="AD29" i="23" s="1"/>
  <c r="F24" i="38"/>
  <c r="U23" i="38"/>
  <c r="BF28" i="23" s="1"/>
  <c r="T23" i="38"/>
  <c r="BD28" i="23" s="1"/>
  <c r="S23" i="38"/>
  <c r="BB28" i="23" s="1"/>
  <c r="R23" i="38"/>
  <c r="AZ28" i="23" s="1"/>
  <c r="Q23" i="38"/>
  <c r="AX28" i="23" s="1"/>
  <c r="P23" i="38"/>
  <c r="AV28" i="23" s="1"/>
  <c r="O23" i="38"/>
  <c r="AT28" i="23" s="1"/>
  <c r="N23" i="38"/>
  <c r="AR28" i="23" s="1"/>
  <c r="M23" i="38"/>
  <c r="AP28" i="23" s="1"/>
  <c r="L23" i="38"/>
  <c r="AN28" i="23" s="1"/>
  <c r="K23" i="38"/>
  <c r="AL28" i="23" s="1"/>
  <c r="J23" i="38"/>
  <c r="I23" i="38"/>
  <c r="H23" i="38"/>
  <c r="G23" i="38"/>
  <c r="AD28" i="23" s="1"/>
  <c r="F23" i="38"/>
  <c r="AB28" i="23" s="1"/>
  <c r="U22" i="38"/>
  <c r="BF27" i="23" s="1"/>
  <c r="T22" i="38"/>
  <c r="BD27" i="23" s="1"/>
  <c r="S22" i="38"/>
  <c r="BB27" i="23" s="1"/>
  <c r="R22" i="38"/>
  <c r="AZ27" i="23" s="1"/>
  <c r="Q22" i="38"/>
  <c r="AX27" i="23" s="1"/>
  <c r="P22" i="38"/>
  <c r="AV27" i="23" s="1"/>
  <c r="O22" i="38"/>
  <c r="AT27" i="23" s="1"/>
  <c r="N22" i="38"/>
  <c r="AR27" i="23" s="1"/>
  <c r="M22" i="38"/>
  <c r="AP27" i="23" s="1"/>
  <c r="L22" i="38"/>
  <c r="AN27" i="23" s="1"/>
  <c r="K22" i="38"/>
  <c r="AL27" i="23" s="1"/>
  <c r="J22" i="38"/>
  <c r="AJ27" i="23" s="1"/>
  <c r="I22" i="38"/>
  <c r="AH27" i="23" s="1"/>
  <c r="H22" i="38"/>
  <c r="AF27" i="23" s="1"/>
  <c r="G22" i="38"/>
  <c r="AD27" i="23" s="1"/>
  <c r="F22" i="38"/>
  <c r="AB27" i="23" s="1"/>
  <c r="U21" i="38"/>
  <c r="BF26" i="23" s="1"/>
  <c r="T21" i="38"/>
  <c r="BD26" i="23" s="1"/>
  <c r="S21" i="38"/>
  <c r="BB26" i="23" s="1"/>
  <c r="R21" i="38"/>
  <c r="AZ26" i="23" s="1"/>
  <c r="Q21" i="38"/>
  <c r="AX26" i="23" s="1"/>
  <c r="P21" i="38"/>
  <c r="AV26" i="23" s="1"/>
  <c r="O21" i="38"/>
  <c r="AT26" i="23" s="1"/>
  <c r="N21" i="38"/>
  <c r="AR26" i="23" s="1"/>
  <c r="M21" i="38"/>
  <c r="AP26" i="23" s="1"/>
  <c r="L21" i="38"/>
  <c r="AN26" i="23" s="1"/>
  <c r="K21" i="38"/>
  <c r="AL26" i="23" s="1"/>
  <c r="J21" i="38"/>
  <c r="AJ26" i="23" s="1"/>
  <c r="I21" i="38"/>
  <c r="AH26" i="23" s="1"/>
  <c r="H21" i="38"/>
  <c r="AF26" i="23" s="1"/>
  <c r="G21" i="38"/>
  <c r="AD26" i="23" s="1"/>
  <c r="F21" i="38"/>
  <c r="AB26" i="23" s="1"/>
  <c r="U20" i="38"/>
  <c r="BF25" i="23" s="1"/>
  <c r="T20" i="38"/>
  <c r="BD25" i="23" s="1"/>
  <c r="S20" i="38"/>
  <c r="BB25" i="23" s="1"/>
  <c r="R20" i="38"/>
  <c r="AZ25" i="23" s="1"/>
  <c r="Q20" i="38"/>
  <c r="AX25" i="23" s="1"/>
  <c r="P20" i="38"/>
  <c r="AV25" i="23" s="1"/>
  <c r="O20" i="38"/>
  <c r="AT25" i="23" s="1"/>
  <c r="N20" i="38"/>
  <c r="AR25" i="23" s="1"/>
  <c r="M20" i="38"/>
  <c r="AP25" i="23" s="1"/>
  <c r="L20" i="38"/>
  <c r="AN25" i="23" s="1"/>
  <c r="K20" i="38"/>
  <c r="AL25" i="23" s="1"/>
  <c r="J20" i="38"/>
  <c r="AJ25" i="23" s="1"/>
  <c r="I20" i="38"/>
  <c r="AH25" i="23" s="1"/>
  <c r="H20" i="38"/>
  <c r="AF25" i="23" s="1"/>
  <c r="G20" i="38"/>
  <c r="AD25" i="23" s="1"/>
  <c r="F20" i="38"/>
  <c r="AB25" i="23" s="1"/>
  <c r="U19" i="38"/>
  <c r="T19" i="38"/>
  <c r="S19" i="38"/>
  <c r="R19" i="38"/>
  <c r="AZ24" i="23" s="1"/>
  <c r="Q19" i="38"/>
  <c r="P19" i="38"/>
  <c r="O19" i="38"/>
  <c r="N19" i="38"/>
  <c r="M19" i="38"/>
  <c r="L19" i="38"/>
  <c r="K19" i="38"/>
  <c r="J19" i="38"/>
  <c r="AJ24" i="23" s="1"/>
  <c r="I19" i="38"/>
  <c r="AI24" i="23" s="1"/>
  <c r="H19" i="38"/>
  <c r="G19" i="38"/>
  <c r="AE24" i="23" s="1"/>
  <c r="F19" i="38"/>
  <c r="AC24" i="23" s="1"/>
  <c r="U18" i="38"/>
  <c r="T18" i="38"/>
  <c r="S18" i="38"/>
  <c r="R18" i="38"/>
  <c r="AZ23" i="23" s="1"/>
  <c r="Q18" i="38"/>
  <c r="P18" i="38"/>
  <c r="O18" i="38"/>
  <c r="N18" i="38"/>
  <c r="M18" i="38"/>
  <c r="L18" i="38"/>
  <c r="K18" i="38"/>
  <c r="J18" i="38"/>
  <c r="AJ23" i="23" s="1"/>
  <c r="I18" i="38"/>
  <c r="AI23" i="23" s="1"/>
  <c r="H18" i="38"/>
  <c r="AG23" i="23" s="1"/>
  <c r="G18" i="38"/>
  <c r="AE23" i="23" s="1"/>
  <c r="F18" i="38"/>
  <c r="AC23" i="23" s="1"/>
  <c r="U17" i="38"/>
  <c r="T17" i="38"/>
  <c r="S17" i="38"/>
  <c r="R17" i="38"/>
  <c r="AZ22" i="23" s="1"/>
  <c r="Q17" i="38"/>
  <c r="P17" i="38"/>
  <c r="O17" i="38"/>
  <c r="N17" i="38"/>
  <c r="M17" i="38"/>
  <c r="L17" i="38"/>
  <c r="K17" i="38"/>
  <c r="J17" i="38"/>
  <c r="AJ22" i="23" s="1"/>
  <c r="I17" i="38"/>
  <c r="AI22" i="23" s="1"/>
  <c r="H17" i="38"/>
  <c r="AG22" i="23" s="1"/>
  <c r="G17" i="38"/>
  <c r="AE22" i="23" s="1"/>
  <c r="F17" i="38"/>
  <c r="AC22" i="23" s="1"/>
  <c r="U16" i="38"/>
  <c r="T16" i="38"/>
  <c r="S16" i="38"/>
  <c r="R16" i="38"/>
  <c r="AZ21" i="23" s="1"/>
  <c r="Q16" i="38"/>
  <c r="P16" i="38"/>
  <c r="O16" i="38"/>
  <c r="N16" i="38"/>
  <c r="M16" i="38"/>
  <c r="L16" i="38"/>
  <c r="K16" i="38"/>
  <c r="J16" i="38"/>
  <c r="AJ21" i="23" s="1"/>
  <c r="I16" i="38"/>
  <c r="AI21" i="23" s="1"/>
  <c r="H16" i="38"/>
  <c r="AG21" i="23" s="1"/>
  <c r="G16" i="38"/>
  <c r="AE21" i="23" s="1"/>
  <c r="F16" i="38"/>
  <c r="AC21" i="23" s="1"/>
  <c r="U15" i="38"/>
  <c r="T15" i="38"/>
  <c r="S15" i="38"/>
  <c r="R15" i="38"/>
  <c r="AZ20" i="23" s="1"/>
  <c r="Q15" i="38"/>
  <c r="P15" i="38"/>
  <c r="O15" i="38"/>
  <c r="N15" i="38"/>
  <c r="M15" i="38"/>
  <c r="L15" i="38"/>
  <c r="K15" i="38"/>
  <c r="J15" i="38"/>
  <c r="AJ20" i="23" s="1"/>
  <c r="I15" i="38"/>
  <c r="AI20" i="23" s="1"/>
  <c r="H15" i="38"/>
  <c r="AG20" i="23" s="1"/>
  <c r="G15" i="38"/>
  <c r="AE20" i="23" s="1"/>
  <c r="F15" i="38"/>
  <c r="AC20" i="23" s="1"/>
  <c r="U14" i="38"/>
  <c r="T14" i="38"/>
  <c r="S14" i="38"/>
  <c r="R14" i="38"/>
  <c r="AZ19" i="23" s="1"/>
  <c r="Q14" i="38"/>
  <c r="P14" i="38"/>
  <c r="O14" i="38"/>
  <c r="N14" i="38"/>
  <c r="M14" i="38"/>
  <c r="L14" i="38"/>
  <c r="K14" i="38"/>
  <c r="J14" i="38"/>
  <c r="AJ19" i="23" s="1"/>
  <c r="I14" i="38"/>
  <c r="H14" i="38"/>
  <c r="G14" i="38"/>
  <c r="F14" i="38"/>
  <c r="U13" i="38"/>
  <c r="T13" i="38"/>
  <c r="S13" i="38"/>
  <c r="R13" i="38"/>
  <c r="AZ18" i="23" s="1"/>
  <c r="Q13" i="38"/>
  <c r="P13" i="38"/>
  <c r="O13" i="38"/>
  <c r="N13" i="38"/>
  <c r="M13" i="38"/>
  <c r="L13" i="38"/>
  <c r="K13" i="38"/>
  <c r="J13" i="38"/>
  <c r="AJ18" i="23" s="1"/>
  <c r="I13" i="38"/>
  <c r="AI18" i="23" s="1"/>
  <c r="H13" i="38"/>
  <c r="AG18" i="23" s="1"/>
  <c r="G13" i="38"/>
  <c r="AE18" i="23" s="1"/>
  <c r="F13" i="38"/>
  <c r="AC18" i="23" s="1"/>
  <c r="U12" i="38"/>
  <c r="T12" i="38"/>
  <c r="S12" i="38"/>
  <c r="R12" i="38"/>
  <c r="AZ17" i="23" s="1"/>
  <c r="Q12" i="38"/>
  <c r="P12" i="38"/>
  <c r="O12" i="38"/>
  <c r="N12" i="38"/>
  <c r="M12" i="38"/>
  <c r="L12" i="38"/>
  <c r="J12" i="38"/>
  <c r="I12" i="38"/>
  <c r="H12" i="38"/>
  <c r="G12" i="38"/>
  <c r="F12" i="38"/>
  <c r="U11" i="38"/>
  <c r="T11" i="38"/>
  <c r="S11" i="38"/>
  <c r="R11" i="38"/>
  <c r="Q11" i="38"/>
  <c r="AX16" i="23" s="1"/>
  <c r="P11" i="38"/>
  <c r="O11" i="38"/>
  <c r="N11" i="38"/>
  <c r="M11" i="38"/>
  <c r="L11" i="38"/>
  <c r="J11" i="38"/>
  <c r="I11" i="38"/>
  <c r="H11" i="38"/>
  <c r="AF16" i="23" s="1"/>
  <c r="G11" i="38"/>
  <c r="AD16" i="23" s="1"/>
  <c r="F11" i="38"/>
  <c r="AB16" i="23" s="1"/>
  <c r="U10" i="38"/>
  <c r="T10" i="38"/>
  <c r="S10" i="38"/>
  <c r="R10" i="38"/>
  <c r="AZ15" i="23" s="1"/>
  <c r="Q10" i="38"/>
  <c r="P10" i="38"/>
  <c r="AV15" i="23" s="1"/>
  <c r="O10" i="38"/>
  <c r="N10" i="38"/>
  <c r="AR15" i="23" s="1"/>
  <c r="M10" i="38"/>
  <c r="L10" i="38"/>
  <c r="J10" i="38"/>
  <c r="AJ15" i="23" s="1"/>
  <c r="I10" i="38"/>
  <c r="H10" i="38"/>
  <c r="G10" i="38"/>
  <c r="F10" i="38"/>
  <c r="U9" i="38"/>
  <c r="T9" i="38"/>
  <c r="S9" i="38"/>
  <c r="R9" i="38"/>
  <c r="AZ14" i="23" s="1"/>
  <c r="Q9" i="38"/>
  <c r="P9" i="38"/>
  <c r="O9" i="38"/>
  <c r="AT14" i="23" s="1"/>
  <c r="N9" i="38"/>
  <c r="AR14" i="23" s="1"/>
  <c r="M9" i="38"/>
  <c r="L9" i="38"/>
  <c r="J9" i="38"/>
  <c r="AJ14" i="23" s="1"/>
  <c r="I9" i="38"/>
  <c r="H9" i="38"/>
  <c r="G9" i="38"/>
  <c r="AD14" i="23" s="1"/>
  <c r="F9" i="38"/>
  <c r="AB14" i="23" s="1"/>
  <c r="U8" i="38"/>
  <c r="BF13" i="23" s="1"/>
  <c r="T8" i="38"/>
  <c r="S8" i="38"/>
  <c r="R8" i="38"/>
  <c r="Q8" i="38"/>
  <c r="AX13" i="23" s="1"/>
  <c r="P8" i="38"/>
  <c r="O8" i="38"/>
  <c r="N8" i="38"/>
  <c r="AR13" i="23" s="1"/>
  <c r="M8" i="38"/>
  <c r="AP13" i="23" s="1"/>
  <c r="L8" i="38"/>
  <c r="J8" i="38"/>
  <c r="I8" i="38"/>
  <c r="AH13" i="23" s="1"/>
  <c r="H8" i="38"/>
  <c r="G8" i="38"/>
  <c r="F8" i="38"/>
  <c r="AB13" i="23" s="1"/>
  <c r="U7" i="38"/>
  <c r="BF12" i="23" s="1"/>
  <c r="T7" i="38"/>
  <c r="S7" i="38"/>
  <c r="R7" i="38"/>
  <c r="Q7" i="38"/>
  <c r="AX12" i="23" s="1"/>
  <c r="P7" i="38"/>
  <c r="O7" i="38"/>
  <c r="N7" i="38"/>
  <c r="M7" i="38"/>
  <c r="AP12" i="23" s="1"/>
  <c r="L7" i="38"/>
  <c r="J7" i="38"/>
  <c r="I7" i="38"/>
  <c r="AH12" i="23" s="1"/>
  <c r="H7" i="38"/>
  <c r="AG12" i="23" s="1"/>
  <c r="G7" i="38"/>
  <c r="AE12" i="23" s="1"/>
  <c r="F7" i="38"/>
  <c r="AB12" i="23" s="1"/>
  <c r="U6" i="38"/>
  <c r="BF11" i="23" s="1"/>
  <c r="T6" i="38"/>
  <c r="BD11" i="23" s="1"/>
  <c r="S6" i="38"/>
  <c r="R6" i="38"/>
  <c r="Q6" i="38"/>
  <c r="AX11" i="23" s="1"/>
  <c r="P6" i="38"/>
  <c r="O6" i="38"/>
  <c r="N6" i="38"/>
  <c r="M6" i="38"/>
  <c r="AP11" i="23" s="1"/>
  <c r="L6" i="38"/>
  <c r="AN11" i="23" s="1"/>
  <c r="J6" i="38"/>
  <c r="I6" i="38"/>
  <c r="AH11" i="23" s="1"/>
  <c r="H6" i="38"/>
  <c r="G6" i="38"/>
  <c r="F6" i="38"/>
  <c r="AB11" i="23" s="1"/>
  <c r="U5" i="38"/>
  <c r="BF10" i="23" s="1"/>
  <c r="T5" i="38"/>
  <c r="S5" i="38"/>
  <c r="BB10" i="23" s="1"/>
  <c r="R5" i="38"/>
  <c r="Q5" i="38"/>
  <c r="AX10" i="23" s="1"/>
  <c r="P5" i="38"/>
  <c r="O5" i="38"/>
  <c r="N5" i="38"/>
  <c r="M5" i="38"/>
  <c r="AP10" i="23" s="1"/>
  <c r="L5" i="38"/>
  <c r="J5" i="38"/>
  <c r="I5" i="38"/>
  <c r="AH10" i="23" s="1"/>
  <c r="H5" i="38"/>
  <c r="G5" i="38"/>
  <c r="AD10" i="23" s="1"/>
  <c r="F5" i="38"/>
  <c r="AB10" i="23" s="1"/>
  <c r="U4" i="38"/>
  <c r="T4" i="38"/>
  <c r="BD9" i="23" s="1"/>
  <c r="S4" i="38"/>
  <c r="R4" i="38"/>
  <c r="Q4" i="38"/>
  <c r="P4" i="38"/>
  <c r="AV9" i="23" s="1"/>
  <c r="O4" i="38"/>
  <c r="N4" i="38"/>
  <c r="M4" i="38"/>
  <c r="L4" i="38"/>
  <c r="AN9" i="23" s="1"/>
  <c r="J4" i="38"/>
  <c r="I4" i="38"/>
  <c r="H4" i="38"/>
  <c r="AF9" i="23" s="1"/>
  <c r="G4" i="38"/>
  <c r="F4" i="38"/>
  <c r="AH28" i="23" l="1"/>
  <c r="AI28" i="23"/>
  <c r="AJ28" i="23"/>
  <c r="AK28" i="23"/>
  <c r="AF28" i="23"/>
  <c r="AG28" i="23"/>
  <c r="AJ10" i="23"/>
  <c r="AG24" i="23"/>
  <c r="AF24" i="23"/>
  <c r="AZ11" i="23"/>
  <c r="AK12" i="23"/>
  <c r="AJ12" i="23"/>
  <c r="BC12" i="23"/>
  <c r="BB12" i="23"/>
  <c r="AN13" i="23"/>
  <c r="BD13" i="23"/>
  <c r="AP14" i="23"/>
  <c r="BF14" i="23"/>
  <c r="AT16" i="23"/>
  <c r="AV17" i="23"/>
  <c r="AW18" i="23"/>
  <c r="AV18" i="23"/>
  <c r="AV19" i="23"/>
  <c r="AW20" i="23"/>
  <c r="AV20" i="23"/>
  <c r="AW21" i="23"/>
  <c r="AV21" i="23"/>
  <c r="AW22" i="23"/>
  <c r="AV22" i="23"/>
  <c r="AW23" i="23"/>
  <c r="AV23" i="23"/>
  <c r="AW24" i="23"/>
  <c r="AV24" i="23"/>
  <c r="AL11" i="23"/>
  <c r="AJ11" i="23"/>
  <c r="AO12" i="23"/>
  <c r="AN12" i="23"/>
  <c r="BE12" i="23"/>
  <c r="BD12" i="23"/>
  <c r="AT15" i="23"/>
  <c r="AV16" i="23"/>
  <c r="AX17" i="23"/>
  <c r="AY18" i="23"/>
  <c r="AX18" i="23"/>
  <c r="AX19" i="23"/>
  <c r="AY20" i="23"/>
  <c r="AX20" i="23"/>
  <c r="AY21" i="23"/>
  <c r="AX21" i="23"/>
  <c r="AY22" i="23"/>
  <c r="AX22" i="23"/>
  <c r="AY23" i="23"/>
  <c r="AX23" i="23"/>
  <c r="AY24" i="23"/>
  <c r="AX24" i="23"/>
  <c r="AM12" i="23"/>
  <c r="AL12" i="23"/>
  <c r="AT11" i="23"/>
  <c r="AZ10" i="23"/>
  <c r="BB11" i="23"/>
  <c r="AJ29" i="23"/>
  <c r="AN10" i="23"/>
  <c r="AT13" i="23"/>
  <c r="AV14" i="23"/>
  <c r="AX15" i="23"/>
  <c r="AZ16" i="23"/>
  <c r="AJ17" i="23"/>
  <c r="BB17" i="23"/>
  <c r="AM18" i="23"/>
  <c r="AL18" i="23"/>
  <c r="BC18" i="23"/>
  <c r="BB18" i="23"/>
  <c r="AL19" i="23"/>
  <c r="BB19" i="23"/>
  <c r="AM20" i="23"/>
  <c r="AL20" i="23"/>
  <c r="BC20" i="23"/>
  <c r="BB20" i="23"/>
  <c r="AM21" i="23"/>
  <c r="AL21" i="23"/>
  <c r="BC21" i="23"/>
  <c r="BB21" i="23"/>
  <c r="AM22" i="23"/>
  <c r="AL22" i="23"/>
  <c r="BC22" i="23"/>
  <c r="BB22" i="23"/>
  <c r="AM23" i="23"/>
  <c r="AL23" i="23"/>
  <c r="BC23" i="23"/>
  <c r="BB23" i="23"/>
  <c r="AM24" i="23"/>
  <c r="AL24" i="23"/>
  <c r="BC24" i="23"/>
  <c r="BB24" i="23"/>
  <c r="AL14" i="23"/>
  <c r="AR10" i="23"/>
  <c r="BD10" i="23"/>
  <c r="AS12" i="23"/>
  <c r="AR12" i="23"/>
  <c r="AR11" i="23"/>
  <c r="AU12" i="23"/>
  <c r="AT12" i="23"/>
  <c r="AV13" i="23"/>
  <c r="AX14" i="23"/>
  <c r="AJ16" i="23"/>
  <c r="BB16" i="23"/>
  <c r="AN17" i="23"/>
  <c r="BD17" i="23"/>
  <c r="AO18" i="23"/>
  <c r="AN18" i="23"/>
  <c r="BE18" i="23"/>
  <c r="BD18" i="23"/>
  <c r="AN19" i="23"/>
  <c r="BD19" i="23"/>
  <c r="AO20" i="23"/>
  <c r="AN20" i="23"/>
  <c r="BE20" i="23"/>
  <c r="BD20" i="23"/>
  <c r="AO21" i="23"/>
  <c r="AN21" i="23"/>
  <c r="BE21" i="23"/>
  <c r="BD21" i="23"/>
  <c r="AO22" i="23"/>
  <c r="AN22" i="23"/>
  <c r="BE22" i="23"/>
  <c r="BD22" i="23"/>
  <c r="AO23" i="23"/>
  <c r="AN23" i="23"/>
  <c r="BE23" i="23"/>
  <c r="BD23" i="23"/>
  <c r="AO24" i="23"/>
  <c r="AN24" i="23"/>
  <c r="BE24" i="23"/>
  <c r="BD24" i="23"/>
  <c r="AL15" i="23"/>
  <c r="AW12" i="23"/>
  <c r="AV12" i="23"/>
  <c r="BB15" i="23"/>
  <c r="AN16" i="23"/>
  <c r="BD16" i="23"/>
  <c r="AP17" i="23"/>
  <c r="BF17" i="23"/>
  <c r="AQ18" i="23"/>
  <c r="AP18" i="23"/>
  <c r="BG18" i="23"/>
  <c r="BF18" i="23"/>
  <c r="AP19" i="23"/>
  <c r="BF19" i="23"/>
  <c r="AQ20" i="23"/>
  <c r="AP20" i="23"/>
  <c r="BG20" i="23"/>
  <c r="BF20" i="23"/>
  <c r="AQ21" i="23"/>
  <c r="AP21" i="23"/>
  <c r="BG21" i="23"/>
  <c r="BF21" i="23"/>
  <c r="AQ22" i="23"/>
  <c r="AP22" i="23"/>
  <c r="BG22" i="23"/>
  <c r="BF22" i="23"/>
  <c r="AQ23" i="23"/>
  <c r="AP23" i="23"/>
  <c r="BG23" i="23"/>
  <c r="BF23" i="23"/>
  <c r="AQ24" i="23"/>
  <c r="AP24" i="23"/>
  <c r="BG24" i="23"/>
  <c r="BF24" i="23"/>
  <c r="BF29" i="23"/>
  <c r="AL16" i="23"/>
  <c r="AT10" i="23"/>
  <c r="AV11" i="23"/>
  <c r="AZ13" i="23"/>
  <c r="BB14" i="23"/>
  <c r="AN15" i="23"/>
  <c r="BD15" i="23"/>
  <c r="AP16" i="23"/>
  <c r="BF16" i="23"/>
  <c r="AR17" i="23"/>
  <c r="AS18" i="23"/>
  <c r="AR18" i="23"/>
  <c r="AR19" i="23"/>
  <c r="AS20" i="23"/>
  <c r="AR20" i="23"/>
  <c r="AS21" i="23"/>
  <c r="AR21" i="23"/>
  <c r="AS22" i="23"/>
  <c r="AR22" i="23"/>
  <c r="AS23" i="23"/>
  <c r="AR23" i="23"/>
  <c r="AS24" i="23"/>
  <c r="AR24" i="23"/>
  <c r="AL17" i="23"/>
  <c r="AV10" i="23"/>
  <c r="BA12" i="23"/>
  <c r="AZ12" i="23"/>
  <c r="AJ13" i="23"/>
  <c r="BB13" i="23"/>
  <c r="AN14" i="23"/>
  <c r="BD14" i="23"/>
  <c r="AP15" i="23"/>
  <c r="BF15" i="23"/>
  <c r="AR16" i="23"/>
  <c r="AT17" i="23"/>
  <c r="AU18" i="23"/>
  <c r="AT18" i="23"/>
  <c r="AT19" i="23"/>
  <c r="AU20" i="23"/>
  <c r="AT20" i="23"/>
  <c r="AU21" i="23"/>
  <c r="AT21" i="23"/>
  <c r="AU22" i="23"/>
  <c r="AT22" i="23"/>
  <c r="AU23" i="23"/>
  <c r="AT23" i="23"/>
  <c r="AU24" i="23"/>
  <c r="AT24" i="23"/>
  <c r="AL10" i="23"/>
  <c r="BC28" i="23"/>
  <c r="AY28" i="23"/>
  <c r="AB23" i="23"/>
  <c r="AB21" i="23"/>
  <c r="AB19" i="23"/>
  <c r="AB17" i="23"/>
  <c r="AB15" i="23"/>
  <c r="AY12" i="23"/>
  <c r="AU28" i="23"/>
  <c r="BC26" i="23"/>
  <c r="AI12" i="23"/>
  <c r="AQ28" i="23"/>
  <c r="AU26" i="23"/>
  <c r="AM28" i="23"/>
  <c r="AM26" i="23"/>
  <c r="BG28" i="23"/>
  <c r="AE28" i="23"/>
  <c r="AE26" i="23"/>
  <c r="AB24" i="23"/>
  <c r="AB22" i="23"/>
  <c r="AB20" i="23"/>
  <c r="AB18" i="23"/>
  <c r="BE28" i="23"/>
  <c r="BG12" i="23"/>
  <c r="AH17" i="23"/>
  <c r="AK23" i="23"/>
  <c r="BA28" i="23"/>
  <c r="BA18" i="23"/>
  <c r="AK22" i="23"/>
  <c r="BA24" i="23"/>
  <c r="AK26" i="23"/>
  <c r="AK18" i="23"/>
  <c r="BA21" i="23"/>
  <c r="AK24" i="23"/>
  <c r="AZ9" i="23"/>
  <c r="BA22" i="23"/>
  <c r="AK21" i="23"/>
  <c r="BA23" i="23"/>
  <c r="BA26" i="23"/>
  <c r="AD15" i="23"/>
  <c r="AK20" i="23"/>
  <c r="AQ12" i="23"/>
  <c r="BA20" i="23"/>
  <c r="AH9" i="23"/>
  <c r="AB29" i="23"/>
  <c r="AH15" i="23"/>
  <c r="AH14" i="23"/>
  <c r="AF13" i="23"/>
  <c r="AF12" i="23"/>
  <c r="AF11" i="23"/>
  <c r="AF10" i="23"/>
  <c r="BB9" i="23"/>
  <c r="AT9" i="23"/>
  <c r="AL9" i="23"/>
  <c r="AB9" i="23"/>
  <c r="AH29" i="23"/>
  <c r="AS28" i="23"/>
  <c r="AC28" i="23"/>
  <c r="AS26" i="23"/>
  <c r="AC26" i="23"/>
  <c r="AD24" i="23"/>
  <c r="AD23" i="23"/>
  <c r="AD22" i="23"/>
  <c r="AD21" i="23"/>
  <c r="AD20" i="23"/>
  <c r="AD19" i="23"/>
  <c r="AD18" i="23"/>
  <c r="AD17" i="23"/>
  <c r="AF15" i="23"/>
  <c r="AF14" i="23"/>
  <c r="AC12" i="23"/>
  <c r="AR9" i="23"/>
  <c r="AJ9" i="23"/>
  <c r="AD9" i="23"/>
  <c r="BG26" i="23"/>
  <c r="AY26" i="23"/>
  <c r="AQ26" i="23"/>
  <c r="AI26" i="23"/>
  <c r="AH24" i="23"/>
  <c r="AH23" i="23"/>
  <c r="AH22" i="23"/>
  <c r="AH21" i="23"/>
  <c r="AH20" i="23"/>
  <c r="AH19" i="23"/>
  <c r="AH18" i="23"/>
  <c r="AH16" i="23"/>
  <c r="AD13" i="23"/>
  <c r="AD12" i="23"/>
  <c r="AD11" i="23"/>
  <c r="BF9" i="23"/>
  <c r="AX9" i="23"/>
  <c r="AP9" i="23"/>
  <c r="AF29" i="23"/>
  <c r="AW28" i="23"/>
  <c r="AO28" i="23"/>
  <c r="BE26" i="23"/>
  <c r="AW26" i="23"/>
  <c r="AO26" i="23"/>
  <c r="AG26" i="23"/>
  <c r="AF23" i="23"/>
  <c r="AF22" i="23"/>
  <c r="AF21" i="23"/>
  <c r="AF20" i="23"/>
  <c r="AF19" i="23"/>
  <c r="AF18" i="23"/>
  <c r="AF17" i="23"/>
  <c r="E4" i="38"/>
  <c r="C3" i="36"/>
  <c r="C4" i="36"/>
  <c r="C5" i="36"/>
  <c r="C6" i="36"/>
  <c r="C7" i="36"/>
  <c r="C8" i="36"/>
  <c r="C9" i="36"/>
  <c r="C10" i="36"/>
  <c r="C11" i="36"/>
  <c r="C12" i="36"/>
  <c r="C13" i="36"/>
  <c r="C14" i="36"/>
  <c r="C15" i="36"/>
  <c r="C16" i="36"/>
  <c r="C17" i="36"/>
  <c r="C18" i="36"/>
  <c r="C19" i="36"/>
  <c r="C20" i="36"/>
  <c r="C21" i="36"/>
  <c r="C22" i="36"/>
  <c r="C23" i="36"/>
  <c r="C24" i="36"/>
  <c r="C25" i="36"/>
  <c r="C26" i="36"/>
  <c r="C27" i="36"/>
  <c r="C28" i="36"/>
  <c r="C29" i="36"/>
  <c r="C30" i="36"/>
  <c r="C31" i="36"/>
  <c r="C2" i="36"/>
  <c r="C24" i="38"/>
  <c r="B24" i="38"/>
  <c r="C23" i="38"/>
  <c r="B23" i="38"/>
  <c r="C22" i="38"/>
  <c r="B22" i="38"/>
  <c r="C21" i="38"/>
  <c r="B21" i="38"/>
  <c r="C20" i="38"/>
  <c r="B20" i="38"/>
  <c r="C19" i="38"/>
  <c r="B19" i="38"/>
  <c r="C18" i="38"/>
  <c r="B18" i="38"/>
  <c r="C17" i="38"/>
  <c r="B17" i="38"/>
  <c r="C16" i="38"/>
  <c r="B16" i="38"/>
  <c r="C15" i="38"/>
  <c r="B15" i="38"/>
  <c r="C14" i="38"/>
  <c r="B14" i="38"/>
  <c r="C13" i="38"/>
  <c r="B13" i="38"/>
  <c r="C12" i="38"/>
  <c r="B12" i="38"/>
  <c r="C11" i="38"/>
  <c r="B11" i="38"/>
  <c r="C10" i="38"/>
  <c r="B10" i="38"/>
  <c r="C9" i="38"/>
  <c r="B9" i="38"/>
  <c r="C8" i="38"/>
  <c r="B8" i="38"/>
  <c r="C7" i="38"/>
  <c r="B7" i="38"/>
  <c r="C6" i="38"/>
  <c r="B6" i="38"/>
  <c r="C5" i="38"/>
  <c r="B5" i="38"/>
  <c r="C4" i="38"/>
  <c r="B4" i="38"/>
  <c r="A11" i="24"/>
  <c r="A12" i="24"/>
  <c r="A13" i="24"/>
  <c r="A14" i="24"/>
  <c r="A15" i="24"/>
  <c r="A16" i="24"/>
  <c r="A17" i="24"/>
  <c r="A18" i="24"/>
  <c r="A19" i="24"/>
  <c r="A20" i="24"/>
  <c r="A21" i="24"/>
  <c r="A22" i="24"/>
  <c r="A23" i="24"/>
  <c r="A24" i="24"/>
  <c r="A25" i="24"/>
  <c r="A26" i="24"/>
  <c r="A27" i="24"/>
  <c r="A28" i="24"/>
  <c r="A29" i="24"/>
  <c r="A30" i="24"/>
  <c r="A31" i="24"/>
  <c r="A32" i="24"/>
  <c r="E5" i="38" l="1"/>
  <c r="E9" i="38"/>
  <c r="F31" i="23"/>
  <c r="F32" i="23"/>
  <c r="F33" i="23"/>
  <c r="F30" i="23"/>
  <c r="C31" i="23"/>
  <c r="C32" i="23"/>
  <c r="C33" i="23"/>
  <c r="C34" i="23"/>
  <c r="C35" i="23"/>
  <c r="C30" i="23"/>
  <c r="B31" i="23"/>
  <c r="B32" i="23"/>
  <c r="B33" i="23"/>
  <c r="B34" i="23"/>
  <c r="B30" i="23"/>
  <c r="D31" i="23"/>
  <c r="D32" i="23"/>
  <c r="D33" i="23"/>
  <c r="D34" i="23"/>
  <c r="D35" i="23"/>
  <c r="D30" i="23"/>
  <c r="D29" i="23"/>
  <c r="C37" i="30"/>
  <c r="E37" i="30"/>
  <c r="F37" i="30"/>
  <c r="T37" i="30" s="1" a="1"/>
  <c r="T37" i="30" s="1"/>
  <c r="R37" i="30" a="1"/>
  <c r="R37" i="30" s="1"/>
  <c r="W37" i="30"/>
  <c r="D25" i="38" l="1"/>
  <c r="W30" i="31"/>
  <c r="D28" i="38"/>
  <c r="W33" i="31"/>
  <c r="D27" i="38"/>
  <c r="W32" i="31"/>
  <c r="D26" i="38"/>
  <c r="W31" i="31"/>
  <c r="I34" i="23"/>
  <c r="Y34" i="30" s="1"/>
  <c r="Y34" i="31" s="1"/>
  <c r="O34" i="24"/>
  <c r="P34" i="24" s="1"/>
  <c r="R34" i="24" s="1" a="1"/>
  <c r="R34" i="24" s="1"/>
  <c r="S34" i="24"/>
  <c r="D30" i="38"/>
  <c r="W35" i="30"/>
  <c r="AZ35" i="24" s="1"/>
  <c r="D29" i="38"/>
  <c r="X37" i="30"/>
  <c r="BC30" i="23"/>
  <c r="AM30" i="23"/>
  <c r="BA30" i="23"/>
  <c r="AK30" i="23"/>
  <c r="AO30" i="23"/>
  <c r="AY30" i="23"/>
  <c r="AI30" i="23"/>
  <c r="AW30" i="23"/>
  <c r="AG30" i="23"/>
  <c r="AU30" i="23"/>
  <c r="AS30" i="23"/>
  <c r="AE30" i="23"/>
  <c r="AC30" i="23"/>
  <c r="BG30" i="23"/>
  <c r="AQ30" i="23"/>
  <c r="BE30" i="23"/>
  <c r="AS34" i="23"/>
  <c r="BG34" i="23"/>
  <c r="AQ34" i="23"/>
  <c r="AE34" i="23"/>
  <c r="BE34" i="23"/>
  <c r="AO34" i="23"/>
  <c r="AU34" i="23"/>
  <c r="BC34" i="23"/>
  <c r="AM34" i="23"/>
  <c r="AC34" i="23"/>
  <c r="AG34" i="23"/>
  <c r="BA34" i="23"/>
  <c r="AK34" i="23"/>
  <c r="AY34" i="23"/>
  <c r="AI34" i="23"/>
  <c r="AW34" i="23"/>
  <c r="BC35" i="23"/>
  <c r="AM35" i="23"/>
  <c r="BA35" i="23"/>
  <c r="AK35" i="23"/>
  <c r="AY35" i="23"/>
  <c r="AI35" i="23"/>
  <c r="AW35" i="23"/>
  <c r="AG35" i="23"/>
  <c r="AU35" i="23"/>
  <c r="AS35" i="23"/>
  <c r="AE35" i="23"/>
  <c r="AC35" i="23"/>
  <c r="BG35" i="23"/>
  <c r="AQ35" i="23"/>
  <c r="BE35" i="23"/>
  <c r="AO35" i="23"/>
  <c r="BA33" i="23"/>
  <c r="AK33" i="23"/>
  <c r="AY33" i="23"/>
  <c r="AI33" i="23"/>
  <c r="AM33" i="23"/>
  <c r="AW33" i="23"/>
  <c r="AG33" i="23"/>
  <c r="AU33" i="23"/>
  <c r="AS33" i="23"/>
  <c r="AE33" i="23"/>
  <c r="BC33" i="23"/>
  <c r="BG33" i="23"/>
  <c r="AQ33" i="23"/>
  <c r="BE33" i="23"/>
  <c r="AO33" i="23"/>
  <c r="AC33" i="23"/>
  <c r="BG32" i="23"/>
  <c r="AQ32" i="23"/>
  <c r="BE32" i="23"/>
  <c r="AO32" i="23"/>
  <c r="AC32" i="23"/>
  <c r="BC32" i="23"/>
  <c r="AM32" i="23"/>
  <c r="BA32" i="23"/>
  <c r="AK32" i="23"/>
  <c r="AE32" i="23"/>
  <c r="AY32" i="23"/>
  <c r="AI32" i="23"/>
  <c r="AW32" i="23"/>
  <c r="AG32" i="23"/>
  <c r="AS32" i="23"/>
  <c r="AU32" i="23"/>
  <c r="AW31" i="23"/>
  <c r="AG31" i="23"/>
  <c r="AU31" i="23"/>
  <c r="AS31" i="23"/>
  <c r="AE31" i="23"/>
  <c r="AY31" i="23"/>
  <c r="BG31" i="23"/>
  <c r="AQ31" i="23"/>
  <c r="BE31" i="23"/>
  <c r="AO31" i="23"/>
  <c r="AC31" i="23"/>
  <c r="AI31" i="23"/>
  <c r="BC31" i="23"/>
  <c r="AM31" i="23"/>
  <c r="BA31" i="23"/>
  <c r="AK31" i="23"/>
  <c r="H8" i="42" l="1"/>
  <c r="G9" i="42"/>
  <c r="G32" i="23"/>
  <c r="H32" i="23" s="1"/>
  <c r="X32" i="31" s="1"/>
  <c r="G30" i="23"/>
  <c r="H30" i="23" s="1"/>
  <c r="X30" i="31" s="1"/>
  <c r="G31" i="23"/>
  <c r="H31" i="23" s="1"/>
  <c r="X31" i="31" s="1"/>
  <c r="G33" i="23"/>
  <c r="H33" i="23" s="1"/>
  <c r="X33" i="31" s="1"/>
  <c r="H9" i="42"/>
  <c r="Q34" i="24"/>
  <c r="F8" i="42" l="1"/>
  <c r="I35" i="23"/>
  <c r="Y35" i="30" s="1"/>
  <c r="X35" i="30"/>
  <c r="BA35" i="24" s="1"/>
  <c r="I33" i="23"/>
  <c r="I31" i="23"/>
  <c r="I30" i="23"/>
  <c r="I32" i="23"/>
  <c r="BB35" i="24" l="1"/>
  <c r="Y35" i="31"/>
  <c r="A9" i="30"/>
  <c r="A10" i="30"/>
  <c r="A11" i="30"/>
  <c r="A12" i="30"/>
  <c r="A13" i="30"/>
  <c r="A14" i="30"/>
  <c r="A15" i="30"/>
  <c r="A16" i="30"/>
  <c r="A17" i="30"/>
  <c r="A18" i="30"/>
  <c r="A19" i="30"/>
  <c r="A20" i="30"/>
  <c r="A21" i="30"/>
  <c r="A22" i="30"/>
  <c r="A23" i="30"/>
  <c r="A24" i="30"/>
  <c r="A25" i="30"/>
  <c r="A26" i="30"/>
  <c r="A27" i="30"/>
  <c r="A28" i="30"/>
  <c r="A29" i="30"/>
  <c r="A30" i="30"/>
  <c r="A31" i="30"/>
  <c r="R31" i="30" a="1"/>
  <c r="R31" i="30" s="1"/>
  <c r="G31" i="24" s="1"/>
  <c r="I31" i="24" s="1"/>
  <c r="R30" i="30" a="1"/>
  <c r="R30" i="30" s="1"/>
  <c r="G30" i="24" s="1"/>
  <c r="H30" i="24" s="1"/>
  <c r="J30" i="24" s="1" a="1"/>
  <c r="J30" i="24" s="1"/>
  <c r="C30" i="30"/>
  <c r="C30" i="24" s="1"/>
  <c r="C31" i="30"/>
  <c r="C31" i="24" s="1"/>
  <c r="C32" i="30"/>
  <c r="C32" i="24" s="1"/>
  <c r="C33" i="30"/>
  <c r="C33" i="24" s="1"/>
  <c r="C34" i="30"/>
  <c r="E30" i="30"/>
  <c r="E30" i="24" s="1"/>
  <c r="E31" i="30"/>
  <c r="E31" i="24" s="1"/>
  <c r="E32" i="30"/>
  <c r="E32" i="24" s="1"/>
  <c r="E33" i="30"/>
  <c r="E33" i="24" s="1"/>
  <c r="E34" i="30"/>
  <c r="F30" i="30"/>
  <c r="T30" i="30" s="1" a="1"/>
  <c r="T30" i="30" s="1"/>
  <c r="F31" i="30"/>
  <c r="T31" i="30" s="1" a="1"/>
  <c r="T31" i="30" s="1"/>
  <c r="F32" i="30"/>
  <c r="T32" i="30" s="1" a="1"/>
  <c r="T32" i="30" s="1"/>
  <c r="F33" i="30"/>
  <c r="T33" i="30" s="1" a="1"/>
  <c r="T33" i="30" s="1"/>
  <c r="F34" i="30"/>
  <c r="W30" i="30"/>
  <c r="AZ30" i="24" s="1"/>
  <c r="W31" i="30"/>
  <c r="AZ31" i="24" s="1"/>
  <c r="W32" i="30"/>
  <c r="AZ32" i="24" s="1"/>
  <c r="W33" i="30"/>
  <c r="AZ33" i="24" s="1"/>
  <c r="W34" i="30"/>
  <c r="X30" i="30"/>
  <c r="BA30" i="24" s="1"/>
  <c r="X31" i="30"/>
  <c r="BA31" i="24" s="1"/>
  <c r="X32" i="30"/>
  <c r="BA32" i="24" s="1"/>
  <c r="X33" i="30"/>
  <c r="BA33" i="24" s="1"/>
  <c r="X34" i="30"/>
  <c r="Y30" i="30"/>
  <c r="Y30" i="31" s="1"/>
  <c r="Y31" i="30"/>
  <c r="Y31" i="31" s="1"/>
  <c r="Y32" i="30"/>
  <c r="Y32" i="31" s="1"/>
  <c r="Y33" i="30"/>
  <c r="Y33" i="31" s="1"/>
  <c r="O33" i="24"/>
  <c r="Q33" i="24" s="1"/>
  <c r="S32" i="24"/>
  <c r="S33" i="24"/>
  <c r="S37" i="24"/>
  <c r="D22" i="38"/>
  <c r="F29" i="23"/>
  <c r="F25" i="23"/>
  <c r="G28" i="23"/>
  <c r="G26" i="23"/>
  <c r="H26" i="23" s="1"/>
  <c r="X26" i="31" s="1"/>
  <c r="G24" i="23"/>
  <c r="F9" i="42" l="1"/>
  <c r="D20" i="38"/>
  <c r="W25" i="31"/>
  <c r="D24" i="38"/>
  <c r="W29" i="31"/>
  <c r="AJ32" i="24"/>
  <c r="AN32" i="24"/>
  <c r="AF32" i="24"/>
  <c r="AR32" i="24"/>
  <c r="AN31" i="24"/>
  <c r="AF31" i="24"/>
  <c r="AR31" i="24"/>
  <c r="AJ31" i="24"/>
  <c r="AR30" i="24"/>
  <c r="AJ30" i="24"/>
  <c r="AN30" i="24"/>
  <c r="AF30" i="24"/>
  <c r="AJ33" i="24"/>
  <c r="AN33" i="24"/>
  <c r="AF33" i="24"/>
  <c r="AR33" i="24"/>
  <c r="E8" i="42"/>
  <c r="H28" i="23"/>
  <c r="H24" i="23"/>
  <c r="I26" i="23"/>
  <c r="E37" i="24"/>
  <c r="E34" i="24"/>
  <c r="F34" i="24"/>
  <c r="T34" i="24" s="1"/>
  <c r="BG29" i="23"/>
  <c r="AE29" i="23"/>
  <c r="AO29" i="23"/>
  <c r="AK29" i="23"/>
  <c r="BA29" i="23"/>
  <c r="BE29" i="23"/>
  <c r="AY29" i="23"/>
  <c r="AI29" i="23"/>
  <c r="AU29" i="23"/>
  <c r="AQ29" i="23"/>
  <c r="AS29" i="23"/>
  <c r="AW29" i="23"/>
  <c r="AC29" i="23"/>
  <c r="AM29" i="23"/>
  <c r="AG29" i="23"/>
  <c r="BC29" i="23"/>
  <c r="AE25" i="23"/>
  <c r="AQ25" i="23"/>
  <c r="AK25" i="23"/>
  <c r="BC25" i="23"/>
  <c r="AI25" i="23"/>
  <c r="AM25" i="23"/>
  <c r="AU25" i="23"/>
  <c r="AY25" i="23"/>
  <c r="AS25" i="23"/>
  <c r="AC25" i="23"/>
  <c r="BE25" i="23"/>
  <c r="BA25" i="23"/>
  <c r="AW25" i="23"/>
  <c r="AG25" i="23"/>
  <c r="BG25" i="23"/>
  <c r="AO25" i="23"/>
  <c r="AK27" i="23"/>
  <c r="BC27" i="23"/>
  <c r="AS27" i="23"/>
  <c r="AG27" i="23"/>
  <c r="BA27" i="23"/>
  <c r="AC27" i="23"/>
  <c r="AM27" i="23"/>
  <c r="AO27" i="23"/>
  <c r="AQ27" i="23"/>
  <c r="AI27" i="23"/>
  <c r="AE27" i="23"/>
  <c r="AW27" i="23"/>
  <c r="BG27" i="23"/>
  <c r="AU27" i="23"/>
  <c r="BE27" i="23"/>
  <c r="AY27" i="23"/>
  <c r="AZ37" i="24"/>
  <c r="AZ34" i="24"/>
  <c r="C37" i="24"/>
  <c r="C34" i="24"/>
  <c r="BB33" i="24"/>
  <c r="BA37" i="24"/>
  <c r="BA34" i="24"/>
  <c r="BB30" i="24"/>
  <c r="BB34" i="24"/>
  <c r="BB32" i="24"/>
  <c r="BB31" i="24"/>
  <c r="BB37" i="24"/>
  <c r="F37" i="24"/>
  <c r="F31" i="24"/>
  <c r="F30" i="24"/>
  <c r="F33" i="24"/>
  <c r="T33" i="24" s="1"/>
  <c r="F32" i="24"/>
  <c r="P33" i="24"/>
  <c r="R33" i="24" s="1" a="1"/>
  <c r="R33" i="24" s="1"/>
  <c r="H31" i="24"/>
  <c r="J31" i="24" s="1" a="1"/>
  <c r="J31" i="24" s="1"/>
  <c r="I30" i="24"/>
  <c r="C29" i="23"/>
  <c r="I24" i="23" l="1"/>
  <c r="X24" i="31"/>
  <c r="I28" i="23"/>
  <c r="X28" i="31"/>
  <c r="AV32" i="24"/>
  <c r="AY32" i="24" s="1"/>
  <c r="AV33" i="24"/>
  <c r="AY33" i="24" s="1"/>
  <c r="AV31" i="24"/>
  <c r="AY31" i="24" s="1"/>
  <c r="AV30" i="24"/>
  <c r="AY30" i="24" s="1"/>
  <c r="AJ37" i="24"/>
  <c r="AN37" i="24"/>
  <c r="AF37" i="24"/>
  <c r="AR37" i="24"/>
  <c r="AJ34" i="24"/>
  <c r="AN34" i="24"/>
  <c r="AF34" i="24"/>
  <c r="AR34" i="24"/>
  <c r="G25" i="23"/>
  <c r="G29" i="23"/>
  <c r="H29" i="23" s="1"/>
  <c r="X29" i="31" s="1"/>
  <c r="G27" i="23"/>
  <c r="K32" i="24"/>
  <c r="K33" i="24"/>
  <c r="L30" i="24"/>
  <c r="K30" i="24"/>
  <c r="L31" i="24"/>
  <c r="K31" i="24"/>
  <c r="K37" i="24"/>
  <c r="M31" i="24" a="1"/>
  <c r="M31" i="24" s="1"/>
  <c r="M30" i="24" a="1"/>
  <c r="M30" i="24" s="1"/>
  <c r="F21" i="30"/>
  <c r="G29" i="30"/>
  <c r="R29" i="30" s="1" a="1"/>
  <c r="R29" i="30" s="1"/>
  <c r="G29" i="24" s="1"/>
  <c r="C29" i="30"/>
  <c r="C29" i="24" s="1"/>
  <c r="E29" i="30"/>
  <c r="E29" i="24" s="1"/>
  <c r="F29" i="30"/>
  <c r="W29" i="30"/>
  <c r="AZ29" i="24" s="1"/>
  <c r="AV37" i="24" l="1"/>
  <c r="AY37" i="24" s="1"/>
  <c r="AV34" i="24"/>
  <c r="AY34" i="24" s="1"/>
  <c r="AJ29" i="24"/>
  <c r="AN29" i="24"/>
  <c r="AF29" i="24"/>
  <c r="AR29" i="24"/>
  <c r="H27" i="23"/>
  <c r="H25" i="23"/>
  <c r="I29" i="23"/>
  <c r="Y29" i="30" s="1"/>
  <c r="X29" i="30"/>
  <c r="BA29" i="24" s="1"/>
  <c r="N31" i="24"/>
  <c r="N30" i="24"/>
  <c r="T29" i="30" a="1"/>
  <c r="T29" i="30" s="1"/>
  <c r="F29" i="24"/>
  <c r="I29" i="24"/>
  <c r="H29" i="24"/>
  <c r="J29" i="24" s="1" a="1"/>
  <c r="J29" i="24" s="1"/>
  <c r="I27" i="23" l="1"/>
  <c r="X27" i="31"/>
  <c r="BB29" i="24"/>
  <c r="Y29" i="31"/>
  <c r="I25" i="23"/>
  <c r="X25" i="31"/>
  <c r="AV29" i="24"/>
  <c r="AY29" i="24" s="1"/>
  <c r="N29" i="24"/>
  <c r="L29" i="24"/>
  <c r="K29" i="24"/>
  <c r="M29" i="24" a="1"/>
  <c r="M29" i="24" s="1"/>
  <c r="C16" i="33" l="1"/>
  <c r="D28" i="23"/>
  <c r="D27" i="23"/>
  <c r="D26" i="23"/>
  <c r="D25" i="23"/>
  <c r="C28" i="23"/>
  <c r="C27" i="23"/>
  <c r="C26" i="23"/>
  <c r="C25" i="23"/>
  <c r="B8" i="23"/>
  <c r="B7" i="23"/>
  <c r="B6" i="23"/>
  <c r="B28" i="23"/>
  <c r="B27" i="23"/>
  <c r="B26" i="23"/>
  <c r="B25" i="23"/>
  <c r="B24" i="23"/>
  <c r="B23" i="23"/>
  <c r="B22" i="23"/>
  <c r="B21" i="23"/>
  <c r="B20" i="23"/>
  <c r="B19" i="23"/>
  <c r="B18" i="23"/>
  <c r="B17" i="23"/>
  <c r="B16" i="23"/>
  <c r="B15" i="23"/>
  <c r="B14" i="23"/>
  <c r="B13" i="23"/>
  <c r="B12" i="23"/>
  <c r="B11" i="23"/>
  <c r="B10" i="23"/>
  <c r="B9" i="23"/>
  <c r="R28" i="30" l="1" a="1"/>
  <c r="R28" i="30" s="1"/>
  <c r="G28" i="24" s="1"/>
  <c r="H28" i="24" s="1"/>
  <c r="R27" i="30" a="1"/>
  <c r="R27" i="30" s="1"/>
  <c r="G27" i="24" s="1"/>
  <c r="R25" i="30" a="1"/>
  <c r="R25" i="30" s="1"/>
  <c r="G25" i="24" s="1"/>
  <c r="S25" i="24"/>
  <c r="C25" i="30"/>
  <c r="C25" i="24" s="1"/>
  <c r="C26" i="30"/>
  <c r="C26" i="24" s="1"/>
  <c r="C27" i="30"/>
  <c r="C27" i="24" s="1"/>
  <c r="C28" i="30"/>
  <c r="C28" i="24" s="1"/>
  <c r="E25" i="30"/>
  <c r="E25" i="24" s="1"/>
  <c r="E26" i="30"/>
  <c r="E26" i="24" s="1"/>
  <c r="E27" i="30"/>
  <c r="E27" i="24" s="1"/>
  <c r="E28" i="30"/>
  <c r="E28" i="24" s="1"/>
  <c r="F25" i="30"/>
  <c r="T25" i="30" s="1" a="1"/>
  <c r="T25" i="30" s="1"/>
  <c r="F26" i="30"/>
  <c r="F26" i="24" s="1"/>
  <c r="F27" i="30"/>
  <c r="F27" i="24" s="1"/>
  <c r="F28" i="30"/>
  <c r="F28" i="24" s="1"/>
  <c r="W25" i="30"/>
  <c r="AZ25" i="24" s="1"/>
  <c r="W26" i="30"/>
  <c r="AZ26" i="24" s="1"/>
  <c r="W27" i="30"/>
  <c r="AZ27" i="24" s="1"/>
  <c r="W28" i="30"/>
  <c r="AZ28" i="24" s="1"/>
  <c r="X25" i="30"/>
  <c r="BA25" i="24" s="1"/>
  <c r="X26" i="30"/>
  <c r="BA26" i="24" s="1"/>
  <c r="X27" i="30"/>
  <c r="BA27" i="24" s="1"/>
  <c r="X28" i="30"/>
  <c r="BA28" i="24" s="1"/>
  <c r="Y25" i="30"/>
  <c r="Y25" i="31" s="1"/>
  <c r="Y26" i="30"/>
  <c r="Y26" i="31" s="1"/>
  <c r="Y27" i="30"/>
  <c r="Y27" i="31" s="1"/>
  <c r="Y28" i="30"/>
  <c r="Y28" i="31" s="1"/>
  <c r="S26" i="24"/>
  <c r="S27" i="24"/>
  <c r="S28" i="24"/>
  <c r="AJ27" i="24" l="1"/>
  <c r="AN27" i="24"/>
  <c r="AF27" i="24"/>
  <c r="AR27" i="24"/>
  <c r="AJ26" i="24"/>
  <c r="AN26" i="24"/>
  <c r="AF26" i="24"/>
  <c r="AR26" i="24"/>
  <c r="AF28" i="24"/>
  <c r="AJ28" i="24"/>
  <c r="AN28" i="24"/>
  <c r="AR28" i="24"/>
  <c r="AJ25" i="24"/>
  <c r="AN25" i="24"/>
  <c r="AF25" i="24"/>
  <c r="AR25" i="24"/>
  <c r="K28" i="24"/>
  <c r="K27" i="24"/>
  <c r="K26" i="24"/>
  <c r="T27" i="30" a="1"/>
  <c r="T27" i="30" s="1"/>
  <c r="BB27" i="24"/>
  <c r="BB26" i="24"/>
  <c r="BB28" i="24"/>
  <c r="BB25" i="24"/>
  <c r="T28" i="30" a="1"/>
  <c r="T28" i="30" s="1"/>
  <c r="F25" i="24"/>
  <c r="T26" i="30" a="1"/>
  <c r="T26" i="30" s="1"/>
  <c r="H27" i="24"/>
  <c r="J27" i="24" s="1" a="1"/>
  <c r="J27" i="24" s="1"/>
  <c r="I27" i="24"/>
  <c r="L27" i="24" s="1"/>
  <c r="I25" i="24"/>
  <c r="H25" i="24"/>
  <c r="J25" i="24" s="1" a="1"/>
  <c r="J25" i="24" s="1"/>
  <c r="I28" i="24"/>
  <c r="L28" i="24" s="1"/>
  <c r="J28" i="24" a="1"/>
  <c r="J28" i="24" s="1"/>
  <c r="AV27" i="24" l="1"/>
  <c r="AY27" i="24" s="1"/>
  <c r="AV28" i="24"/>
  <c r="AY28" i="24" s="1"/>
  <c r="AV25" i="24"/>
  <c r="AY25" i="24" s="1"/>
  <c r="AV26" i="24"/>
  <c r="AY26" i="24" s="1"/>
  <c r="L25" i="24"/>
  <c r="K25" i="24"/>
  <c r="M28" i="24" a="1"/>
  <c r="M28" i="24" s="1"/>
  <c r="N28" i="24" s="1"/>
  <c r="M27" i="24" a="1"/>
  <c r="M27" i="24" s="1"/>
  <c r="N27" i="24" s="1"/>
  <c r="M25" i="24" a="1"/>
  <c r="M25" i="24" s="1"/>
  <c r="K19" i="33"/>
  <c r="J19" i="33"/>
  <c r="K18" i="33"/>
  <c r="J18" i="33"/>
  <c r="K17" i="33"/>
  <c r="J17" i="33"/>
  <c r="K16" i="33"/>
  <c r="J16" i="33"/>
  <c r="K15" i="33"/>
  <c r="J15" i="33"/>
  <c r="K14" i="33"/>
  <c r="J14" i="33"/>
  <c r="K13" i="33"/>
  <c r="J13" i="33"/>
  <c r="K12" i="33"/>
  <c r="J12" i="33"/>
  <c r="K11" i="33"/>
  <c r="J11" i="33"/>
  <c r="K10" i="33"/>
  <c r="J10" i="33"/>
  <c r="K9" i="33"/>
  <c r="J9" i="33"/>
  <c r="K8" i="33"/>
  <c r="J8" i="33"/>
  <c r="K7" i="33"/>
  <c r="J7" i="33"/>
  <c r="K6" i="33"/>
  <c r="J6" i="33"/>
  <c r="K5" i="33"/>
  <c r="J5" i="33"/>
  <c r="K4" i="33"/>
  <c r="J4" i="33"/>
  <c r="I19" i="33"/>
  <c r="I18" i="33"/>
  <c r="I17" i="33"/>
  <c r="I16" i="33"/>
  <c r="I15" i="33"/>
  <c r="I14" i="33"/>
  <c r="I13" i="33"/>
  <c r="I12" i="33"/>
  <c r="I11" i="33"/>
  <c r="I10" i="33"/>
  <c r="I9" i="33"/>
  <c r="I8" i="33"/>
  <c r="I7" i="33"/>
  <c r="I6" i="33"/>
  <c r="I5" i="33"/>
  <c r="I4" i="33"/>
  <c r="R24" i="30" a="1"/>
  <c r="R24" i="30" s="1"/>
  <c r="G24" i="24" s="1"/>
  <c r="I24" i="24" s="1"/>
  <c r="D24" i="23"/>
  <c r="C24" i="23"/>
  <c r="W24" i="30"/>
  <c r="F24" i="30"/>
  <c r="T24" i="30" s="1" a="1"/>
  <c r="T24" i="30" s="1"/>
  <c r="E24" i="30"/>
  <c r="E24" i="24" s="1"/>
  <c r="C24" i="30"/>
  <c r="C24" i="24" s="1"/>
  <c r="S24" i="24"/>
  <c r="S23" i="24"/>
  <c r="G23" i="23"/>
  <c r="G22" i="23"/>
  <c r="G21" i="23"/>
  <c r="G20" i="23"/>
  <c r="G18" i="23"/>
  <c r="G12" i="23"/>
  <c r="H12" i="23" s="1"/>
  <c r="X12" i="31" s="1"/>
  <c r="G8" i="23"/>
  <c r="H8" i="23" s="1"/>
  <c r="G7" i="23"/>
  <c r="H7" i="23" s="1"/>
  <c r="G6" i="23"/>
  <c r="H6" i="23" s="1"/>
  <c r="N25" i="24" l="1"/>
  <c r="AJ24" i="24"/>
  <c r="AN24" i="24"/>
  <c r="AF24" i="24"/>
  <c r="AR24" i="24"/>
  <c r="H23" i="23"/>
  <c r="H22" i="23"/>
  <c r="H21" i="23"/>
  <c r="H20" i="23"/>
  <c r="H18" i="23"/>
  <c r="F24" i="24"/>
  <c r="AZ24" i="24"/>
  <c r="H24" i="24"/>
  <c r="J24" i="24" s="1" a="1"/>
  <c r="J24" i="24" s="1"/>
  <c r="I22" i="23" l="1"/>
  <c r="X22" i="31"/>
  <c r="I23" i="23"/>
  <c r="X23" i="31"/>
  <c r="I18" i="23"/>
  <c r="X18" i="31"/>
  <c r="I20" i="23"/>
  <c r="X20" i="31"/>
  <c r="I21" i="23"/>
  <c r="X21" i="31"/>
  <c r="AV24" i="24"/>
  <c r="AY24" i="24" s="1"/>
  <c r="K24" i="24"/>
  <c r="L24" i="24"/>
  <c r="Y24" i="30"/>
  <c r="Y24" i="31" s="1"/>
  <c r="X24" i="30"/>
  <c r="BA24" i="24" s="1"/>
  <c r="M24" i="24" a="1"/>
  <c r="M24" i="24" s="1"/>
  <c r="I12" i="23"/>
  <c r="I8" i="23"/>
  <c r="F14" i="23"/>
  <c r="W14" i="31" s="1"/>
  <c r="X8" i="31" l="1"/>
  <c r="X6" i="31"/>
  <c r="X7" i="31"/>
  <c r="N24" i="24"/>
  <c r="D9" i="38"/>
  <c r="AC14" i="23"/>
  <c r="AW14" i="23"/>
  <c r="AU14" i="23"/>
  <c r="BC14" i="23"/>
  <c r="AS14" i="23"/>
  <c r="AI14" i="23"/>
  <c r="AY14" i="23"/>
  <c r="AG14" i="23"/>
  <c r="AO14" i="23"/>
  <c r="BA14" i="23"/>
  <c r="AQ14" i="23"/>
  <c r="AM14" i="23"/>
  <c r="BE14" i="23"/>
  <c r="AK14" i="23"/>
  <c r="BG14" i="23"/>
  <c r="BB24" i="24"/>
  <c r="F9" i="23"/>
  <c r="F10" i="23"/>
  <c r="W10" i="31" s="1"/>
  <c r="F11" i="23"/>
  <c r="F13" i="23"/>
  <c r="F15" i="23"/>
  <c r="W15" i="31" s="1"/>
  <c r="F16" i="23"/>
  <c r="F17" i="23"/>
  <c r="W17" i="31" s="1"/>
  <c r="F19" i="23"/>
  <c r="W19" i="31" s="1"/>
  <c r="F7" i="23"/>
  <c r="I7" i="23" s="1"/>
  <c r="W8" i="31"/>
  <c r="F6" i="23"/>
  <c r="W6" i="31" s="1"/>
  <c r="D11" i="38" l="1"/>
  <c r="W16" i="31"/>
  <c r="D8" i="38"/>
  <c r="W13" i="31"/>
  <c r="D6" i="38"/>
  <c r="W11" i="31"/>
  <c r="D4" i="38"/>
  <c r="W9" i="31"/>
  <c r="G14" i="23"/>
  <c r="I6" i="23"/>
  <c r="D12" i="38"/>
  <c r="D14" i="38"/>
  <c r="D5" i="38"/>
  <c r="AK10" i="23"/>
  <c r="W7" i="31"/>
  <c r="F2" i="23"/>
  <c r="D10" i="38"/>
  <c r="AC15" i="23"/>
  <c r="AW13" i="23"/>
  <c r="AQ13" i="23"/>
  <c r="AG13" i="23"/>
  <c r="AO13" i="23"/>
  <c r="BC13" i="23"/>
  <c r="AC13" i="23"/>
  <c r="AE13" i="23"/>
  <c r="AI13" i="23"/>
  <c r="BE13" i="23"/>
  <c r="AY13" i="23"/>
  <c r="AM13" i="23"/>
  <c r="AS13" i="23"/>
  <c r="AU13" i="23"/>
  <c r="BG13" i="23"/>
  <c r="BA13" i="23"/>
  <c r="AK13" i="23"/>
  <c r="AC17" i="23"/>
  <c r="AO17" i="23"/>
  <c r="AQ17" i="23"/>
  <c r="AS17" i="23"/>
  <c r="AM17" i="23"/>
  <c r="BE17" i="23"/>
  <c r="BG17" i="23"/>
  <c r="AG17" i="23"/>
  <c r="AW17" i="23"/>
  <c r="AU17" i="23"/>
  <c r="AI17" i="23"/>
  <c r="AY17" i="23"/>
  <c r="AE17" i="23"/>
  <c r="AK17" i="23"/>
  <c r="BA17" i="23"/>
  <c r="BC17" i="23"/>
  <c r="AI16" i="23"/>
  <c r="AU16" i="23"/>
  <c r="AS16" i="23"/>
  <c r="AW16" i="23"/>
  <c r="AM16" i="23"/>
  <c r="BA16" i="23"/>
  <c r="AK16" i="23"/>
  <c r="AO16" i="23"/>
  <c r="AQ16" i="23"/>
  <c r="AY16" i="23"/>
  <c r="BC16" i="23"/>
  <c r="BE16" i="23"/>
  <c r="BG16" i="23"/>
  <c r="AY10" i="23"/>
  <c r="BE10" i="23"/>
  <c r="BG10" i="23"/>
  <c r="BC10" i="23"/>
  <c r="AG10" i="23"/>
  <c r="AW10" i="23"/>
  <c r="AM10" i="23"/>
  <c r="AO10" i="23"/>
  <c r="AU10" i="23"/>
  <c r="AI10" i="23"/>
  <c r="AQ10" i="23"/>
  <c r="BA10" i="23"/>
  <c r="AS10" i="23"/>
  <c r="AY19" i="23"/>
  <c r="AO19" i="23"/>
  <c r="AQ19" i="23"/>
  <c r="AG19" i="23"/>
  <c r="AE19" i="23"/>
  <c r="BE19" i="23"/>
  <c r="BG19" i="23"/>
  <c r="AI19" i="23"/>
  <c r="AK19" i="23"/>
  <c r="AC19" i="23"/>
  <c r="AM19" i="23"/>
  <c r="AS19" i="23"/>
  <c r="BA19" i="23"/>
  <c r="AW19" i="23"/>
  <c r="BC19" i="23"/>
  <c r="AU19" i="23"/>
  <c r="BC9" i="23"/>
  <c r="BG9" i="23"/>
  <c r="AU9" i="23"/>
  <c r="AO9" i="23"/>
  <c r="AY9" i="23"/>
  <c r="BE9" i="23"/>
  <c r="AE9" i="23"/>
  <c r="AS9" i="23"/>
  <c r="AG9" i="23"/>
  <c r="BA9" i="23"/>
  <c r="AC9" i="23"/>
  <c r="AK9" i="23"/>
  <c r="AW9" i="23"/>
  <c r="AI9" i="23"/>
  <c r="AQ9" i="23"/>
  <c r="AM9" i="23"/>
  <c r="AU15" i="23"/>
  <c r="BE15" i="23"/>
  <c r="AK15" i="23"/>
  <c r="AG15" i="23"/>
  <c r="AM15" i="23"/>
  <c r="AS15" i="23"/>
  <c r="AI15" i="23"/>
  <c r="AY15" i="23"/>
  <c r="BA15" i="23"/>
  <c r="AW15" i="23"/>
  <c r="AQ15" i="23"/>
  <c r="BC15" i="23"/>
  <c r="AE15" i="23"/>
  <c r="AO15" i="23"/>
  <c r="BG15" i="23"/>
  <c r="AG11" i="23"/>
  <c r="AU11" i="23"/>
  <c r="BE11" i="23"/>
  <c r="AE11" i="23"/>
  <c r="BA11" i="23"/>
  <c r="AM11" i="23"/>
  <c r="AC11" i="23"/>
  <c r="AK11" i="23"/>
  <c r="BC11" i="23"/>
  <c r="AY11" i="23"/>
  <c r="AW11" i="23"/>
  <c r="AI11" i="23"/>
  <c r="AO11" i="23"/>
  <c r="BG11" i="23"/>
  <c r="AQ11" i="23"/>
  <c r="AS11" i="23"/>
  <c r="Y20" i="30"/>
  <c r="Y20" i="31" s="1"/>
  <c r="C48" i="33"/>
  <c r="O21" i="24" s="1"/>
  <c r="Q21" i="24" s="1"/>
  <c r="C23" i="23"/>
  <c r="D23" i="23"/>
  <c r="D22" i="23"/>
  <c r="C22" i="23"/>
  <c r="D21" i="23"/>
  <c r="C21" i="23"/>
  <c r="D20" i="23"/>
  <c r="C20" i="23"/>
  <c r="D19" i="23"/>
  <c r="C19" i="23"/>
  <c r="D18" i="23"/>
  <c r="C18" i="23"/>
  <c r="D17" i="23"/>
  <c r="C17" i="23"/>
  <c r="D16" i="23"/>
  <c r="C16" i="23"/>
  <c r="D15" i="23"/>
  <c r="C15" i="23"/>
  <c r="D14" i="23"/>
  <c r="C14" i="23"/>
  <c r="D13" i="23"/>
  <c r="C13" i="23"/>
  <c r="D12" i="23"/>
  <c r="C12" i="23"/>
  <c r="D11" i="23"/>
  <c r="C11" i="23"/>
  <c r="D10" i="23"/>
  <c r="C10" i="23"/>
  <c r="D9" i="23"/>
  <c r="C9" i="23"/>
  <c r="D8" i="23"/>
  <c r="C8" i="23"/>
  <c r="D7" i="23"/>
  <c r="C7" i="23"/>
  <c r="D6" i="23"/>
  <c r="C6" i="23"/>
  <c r="W19" i="30"/>
  <c r="W20" i="30"/>
  <c r="C13" i="33"/>
  <c r="O22" i="24" s="1"/>
  <c r="C14" i="33"/>
  <c r="R23" i="30" a="1"/>
  <c r="R23" i="30" s="1"/>
  <c r="G23" i="24" s="1"/>
  <c r="H23" i="24" s="1"/>
  <c r="J23" i="24" s="1" a="1"/>
  <c r="J23" i="24" s="1"/>
  <c r="W23" i="30"/>
  <c r="X23" i="30"/>
  <c r="Y23" i="30"/>
  <c r="Y23" i="31" s="1"/>
  <c r="C23" i="30"/>
  <c r="C23" i="24" s="1"/>
  <c r="E23" i="30"/>
  <c r="E23" i="24" s="1"/>
  <c r="F23" i="30"/>
  <c r="O23" i="24"/>
  <c r="W11" i="30"/>
  <c r="F9" i="30"/>
  <c r="Y22" i="30"/>
  <c r="Y22" i="31" s="1"/>
  <c r="X22" i="30"/>
  <c r="W22" i="30"/>
  <c r="F22" i="30"/>
  <c r="E22" i="30"/>
  <c r="E22" i="24" s="1"/>
  <c r="C22" i="30"/>
  <c r="C22" i="24" s="1"/>
  <c r="Y21" i="30"/>
  <c r="Y21" i="31" s="1"/>
  <c r="X21" i="30"/>
  <c r="W21" i="30"/>
  <c r="F21" i="24"/>
  <c r="E21" i="30"/>
  <c r="E21" i="24" s="1"/>
  <c r="C21" i="30"/>
  <c r="C21" i="24" s="1"/>
  <c r="S22" i="24"/>
  <c r="S21" i="24"/>
  <c r="C34" i="33"/>
  <c r="C35" i="33"/>
  <c r="C36" i="33"/>
  <c r="C37" i="33"/>
  <c r="C6" i="33"/>
  <c r="C19" i="30"/>
  <c r="C19" i="24" s="1"/>
  <c r="C20" i="30"/>
  <c r="C20" i="24" s="1"/>
  <c r="E19" i="30"/>
  <c r="E19" i="24" s="1"/>
  <c r="E20" i="30"/>
  <c r="E20" i="24" s="1"/>
  <c r="F19" i="30"/>
  <c r="T19" i="30" s="1" a="1"/>
  <c r="T19" i="30" s="1"/>
  <c r="F20" i="30"/>
  <c r="X20" i="30"/>
  <c r="C45" i="33"/>
  <c r="R18" i="30" s="1" a="1"/>
  <c r="R18" i="30" s="1"/>
  <c r="G18" i="24" s="1"/>
  <c r="I18" i="24" s="1"/>
  <c r="S20" i="24"/>
  <c r="S19" i="24"/>
  <c r="F18" i="30"/>
  <c r="T18" i="30" s="1" a="1"/>
  <c r="T18" i="30" s="1"/>
  <c r="E18" i="30"/>
  <c r="E18" i="24" s="1"/>
  <c r="C18" i="30"/>
  <c r="C18" i="24" s="1"/>
  <c r="W18" i="30"/>
  <c r="X18" i="30"/>
  <c r="Y18" i="30"/>
  <c r="Y18" i="31" s="1"/>
  <c r="S18" i="24"/>
  <c r="C114" i="33"/>
  <c r="C113" i="33"/>
  <c r="C112" i="33"/>
  <c r="C111" i="33"/>
  <c r="C110" i="33"/>
  <c r="C109" i="33"/>
  <c r="C108" i="33"/>
  <c r="C107" i="33"/>
  <c r="C106" i="33"/>
  <c r="C105" i="33"/>
  <c r="C104" i="33"/>
  <c r="C103" i="33"/>
  <c r="C102" i="33"/>
  <c r="C101" i="33"/>
  <c r="C100" i="33"/>
  <c r="C99" i="33"/>
  <c r="C98" i="33"/>
  <c r="C97" i="33"/>
  <c r="C96" i="33"/>
  <c r="C95" i="33"/>
  <c r="C94" i="33"/>
  <c r="C93" i="33"/>
  <c r="C92" i="33"/>
  <c r="C91" i="33"/>
  <c r="C90" i="33"/>
  <c r="C89" i="33"/>
  <c r="C88" i="33"/>
  <c r="C87" i="33"/>
  <c r="C86" i="33"/>
  <c r="C85" i="33"/>
  <c r="C84" i="33"/>
  <c r="C83" i="33"/>
  <c r="C82" i="33"/>
  <c r="C76" i="33"/>
  <c r="C75" i="33"/>
  <c r="C74" i="33"/>
  <c r="C73" i="33"/>
  <c r="C72" i="33"/>
  <c r="C71" i="33"/>
  <c r="C70" i="33"/>
  <c r="C69" i="33"/>
  <c r="C68" i="33"/>
  <c r="C67" i="33"/>
  <c r="C66" i="33"/>
  <c r="C65" i="33"/>
  <c r="C64" i="33"/>
  <c r="C63" i="33"/>
  <c r="C62" i="33"/>
  <c r="C61" i="33"/>
  <c r="C60" i="33"/>
  <c r="C59" i="33"/>
  <c r="C58" i="33"/>
  <c r="C57" i="33"/>
  <c r="C56" i="33"/>
  <c r="C55" i="33"/>
  <c r="C54" i="33"/>
  <c r="S43" i="24" s="1"/>
  <c r="C53" i="33"/>
  <c r="C51" i="33"/>
  <c r="O28" i="24" s="1"/>
  <c r="C50" i="33"/>
  <c r="C49" i="33"/>
  <c r="C47" i="33"/>
  <c r="O20" i="24" s="1"/>
  <c r="C46" i="33"/>
  <c r="O19" i="24" s="1"/>
  <c r="C38" i="33"/>
  <c r="C33" i="33"/>
  <c r="C32" i="33"/>
  <c r="C31" i="33"/>
  <c r="C30" i="33"/>
  <c r="G45" i="31" s="1"/>
  <c r="R45" i="31" s="1" a="1"/>
  <c r="R45" i="31" s="1"/>
  <c r="C29" i="33"/>
  <c r="O44" i="24" s="1"/>
  <c r="C28" i="33"/>
  <c r="O42" i="24" s="1"/>
  <c r="C27" i="33"/>
  <c r="C26" i="33"/>
  <c r="O40" i="24" s="1"/>
  <c r="C25" i="33"/>
  <c r="O39" i="24" s="1"/>
  <c r="C24" i="33"/>
  <c r="C23" i="33"/>
  <c r="R36" i="30" s="1" a="1"/>
  <c r="R36" i="30" s="1"/>
  <c r="G36" i="24" s="1"/>
  <c r="C22" i="33"/>
  <c r="R33" i="30" s="1" a="1"/>
  <c r="R33" i="30" s="1"/>
  <c r="G33" i="24" s="1"/>
  <c r="C21" i="33"/>
  <c r="C20" i="33"/>
  <c r="C19" i="33"/>
  <c r="C18" i="33"/>
  <c r="C17" i="33"/>
  <c r="O27" i="24" s="1"/>
  <c r="O25" i="24"/>
  <c r="C15" i="33"/>
  <c r="O24" i="24" s="1"/>
  <c r="C12" i="33"/>
  <c r="C11" i="33"/>
  <c r="C10" i="33"/>
  <c r="C9" i="33"/>
  <c r="C8" i="33"/>
  <c r="C7" i="33"/>
  <c r="C5" i="33"/>
  <c r="AJ21" i="24" l="1"/>
  <c r="AN21" i="24"/>
  <c r="AF21" i="24"/>
  <c r="AR21" i="24"/>
  <c r="AJ18" i="24"/>
  <c r="AN18" i="24"/>
  <c r="AF18" i="24"/>
  <c r="AR18" i="24"/>
  <c r="AF20" i="24"/>
  <c r="AJ20" i="24"/>
  <c r="AN20" i="24"/>
  <c r="AR20" i="24"/>
  <c r="AJ19" i="24"/>
  <c r="AN19" i="24"/>
  <c r="AF19" i="24"/>
  <c r="AR19" i="24"/>
  <c r="AN23" i="24"/>
  <c r="AF23" i="24"/>
  <c r="AR23" i="24"/>
  <c r="AJ23" i="24"/>
  <c r="AR22" i="24"/>
  <c r="AJ22" i="24"/>
  <c r="AN22" i="24"/>
  <c r="AF22" i="24"/>
  <c r="O43" i="24"/>
  <c r="H14" i="23"/>
  <c r="G13" i="23"/>
  <c r="H13" i="23" s="1"/>
  <c r="X13" i="31" s="1"/>
  <c r="G16" i="23"/>
  <c r="H16" i="23" s="1"/>
  <c r="X16" i="31" s="1"/>
  <c r="G19" i="23"/>
  <c r="H19" i="23" s="1"/>
  <c r="X19" i="31" s="1"/>
  <c r="G9" i="23"/>
  <c r="H9" i="23" s="1"/>
  <c r="X9" i="31" s="1"/>
  <c r="G10" i="23"/>
  <c r="H10" i="23" s="1"/>
  <c r="X10" i="31" s="1"/>
  <c r="G17" i="23"/>
  <c r="G11" i="23"/>
  <c r="H11" i="23" s="1"/>
  <c r="X11" i="31" s="1"/>
  <c r="G15" i="23"/>
  <c r="P44" i="24"/>
  <c r="R44" i="24" s="1" a="1"/>
  <c r="R44" i="24" s="1"/>
  <c r="Q44" i="24"/>
  <c r="T44" i="24" s="1"/>
  <c r="P42" i="24"/>
  <c r="R42" i="24" s="1" a="1"/>
  <c r="R42" i="24" s="1"/>
  <c r="Q42" i="24"/>
  <c r="T42" i="24" s="1"/>
  <c r="O41" i="24"/>
  <c r="P41" i="24" s="1"/>
  <c r="R41" i="24" s="1" a="1"/>
  <c r="R41" i="24" s="1"/>
  <c r="S41" i="24"/>
  <c r="F20" i="24"/>
  <c r="K20" i="24" s="1"/>
  <c r="T20" i="30" a="1"/>
  <c r="T20" i="30" s="1"/>
  <c r="P39" i="24"/>
  <c r="R39" i="24" s="1" a="1"/>
  <c r="R39" i="24" s="1"/>
  <c r="Q39" i="24"/>
  <c r="T39" i="24" s="1"/>
  <c r="P40" i="24"/>
  <c r="R40" i="24" s="1" a="1"/>
  <c r="R40" i="24" s="1"/>
  <c r="Q40" i="24"/>
  <c r="T40" i="24" s="1"/>
  <c r="AG4" i="23"/>
  <c r="AE4" i="23"/>
  <c r="BE2" i="23" a="1"/>
  <c r="BE2" i="23" s="1"/>
  <c r="AO2" i="23" a="1"/>
  <c r="AO2" i="23" s="1"/>
  <c r="AM2" i="23" a="1"/>
  <c r="AM2" i="23" s="1"/>
  <c r="AK3" i="23" a="1"/>
  <c r="AK3" i="23" s="1"/>
  <c r="AW2" i="23" a="1"/>
  <c r="AW2" i="23" s="1"/>
  <c r="AQ2" i="23" a="1"/>
  <c r="AQ2" i="23" s="1"/>
  <c r="BC2" i="23" a="1"/>
  <c r="BC2" i="23" s="1"/>
  <c r="AK2" i="23" a="1"/>
  <c r="AK2" i="23" s="1"/>
  <c r="BA2" i="23" a="1"/>
  <c r="BA2" i="23" s="1"/>
  <c r="AY2" i="23" a="1"/>
  <c r="AY2" i="23" s="1"/>
  <c r="AM3" i="23" a="1"/>
  <c r="AM3" i="23" s="1"/>
  <c r="AU2" i="23" a="1"/>
  <c r="AU2" i="23" s="1"/>
  <c r="AS2" i="23" a="1"/>
  <c r="AS2" i="23" s="1"/>
  <c r="BG2" i="23" a="1"/>
  <c r="BG2" i="23" s="1"/>
  <c r="AI4" i="23"/>
  <c r="AE3" i="23" a="1"/>
  <c r="AE3" i="23" s="1"/>
  <c r="AQ3" i="23" a="1"/>
  <c r="AQ3" i="23" s="1"/>
  <c r="BE3" i="23" a="1"/>
  <c r="BE3" i="23" s="1"/>
  <c r="AE2" i="23" a="1"/>
  <c r="AE2" i="23" s="1"/>
  <c r="BC3" i="23" a="1"/>
  <c r="BC3" i="23" s="1"/>
  <c r="AU3" i="23" a="1"/>
  <c r="AU3" i="23" s="1"/>
  <c r="AG3" i="23" a="1"/>
  <c r="AG3" i="23" s="1"/>
  <c r="BG3" i="23" a="1"/>
  <c r="BG3" i="23" s="1"/>
  <c r="AY3" i="23" a="1"/>
  <c r="AY3" i="23" s="1"/>
  <c r="AW3" i="23" a="1"/>
  <c r="AW3" i="23" s="1"/>
  <c r="AG2" i="23" a="1"/>
  <c r="AG2" i="23" s="1"/>
  <c r="BA3" i="23" a="1"/>
  <c r="BA3" i="23" s="1"/>
  <c r="AS3" i="23" a="1"/>
  <c r="AS3" i="23" s="1"/>
  <c r="AC2" i="23" a="1"/>
  <c r="AC2" i="23" s="1"/>
  <c r="AI3" i="23" a="1"/>
  <c r="AI3" i="23" s="1"/>
  <c r="AI2" i="23" a="1"/>
  <c r="AI2" i="23" s="1"/>
  <c r="AO3" i="23" a="1"/>
  <c r="AO3" i="23" s="1"/>
  <c r="AC3" i="23" a="1"/>
  <c r="AC3" i="23" s="1"/>
  <c r="T21" i="24"/>
  <c r="H36" i="24"/>
  <c r="J36" i="24" s="1" a="1"/>
  <c r="J36" i="24" s="1"/>
  <c r="I36" i="24"/>
  <c r="L36" i="24" s="1"/>
  <c r="H33" i="24"/>
  <c r="J33" i="24" s="1" a="1"/>
  <c r="J33" i="24" s="1"/>
  <c r="I33" i="24"/>
  <c r="L33" i="24" s="1"/>
  <c r="O30" i="24"/>
  <c r="P30" i="24" s="1"/>
  <c r="R30" i="24" s="1" a="1"/>
  <c r="R30" i="24" s="1"/>
  <c r="S30" i="24"/>
  <c r="O31" i="24"/>
  <c r="P31" i="24" s="1"/>
  <c r="R31" i="24" s="1" a="1"/>
  <c r="R31" i="24" s="1"/>
  <c r="S31" i="24"/>
  <c r="R32" i="30" a="1"/>
  <c r="R32" i="30" s="1"/>
  <c r="G32" i="24" s="1"/>
  <c r="O32" i="24"/>
  <c r="O37" i="24"/>
  <c r="G34" i="30"/>
  <c r="O29" i="24"/>
  <c r="Q29" i="24" s="1"/>
  <c r="T29" i="24" s="1"/>
  <c r="S29" i="24"/>
  <c r="O26" i="24"/>
  <c r="Q26" i="24" s="1"/>
  <c r="T26" i="24" s="1"/>
  <c r="R26" i="30" a="1"/>
  <c r="R26" i="30" s="1"/>
  <c r="G26" i="24" s="1"/>
  <c r="AO4" i="23"/>
  <c r="AU4" i="23"/>
  <c r="AS4" i="23"/>
  <c r="BC4" i="23"/>
  <c r="AY4" i="23"/>
  <c r="AM4" i="23"/>
  <c r="BG4" i="23"/>
  <c r="AW4" i="23"/>
  <c r="BE4" i="23"/>
  <c r="AQ4" i="23"/>
  <c r="AK4" i="23"/>
  <c r="BA4" i="23"/>
  <c r="P27" i="24"/>
  <c r="R27" i="24" s="1" a="1"/>
  <c r="R27" i="24" s="1"/>
  <c r="Q27" i="24"/>
  <c r="T27" i="24" s="1"/>
  <c r="P28" i="24"/>
  <c r="R28" i="24" s="1" a="1"/>
  <c r="R28" i="24" s="1"/>
  <c r="Q28" i="24"/>
  <c r="T28" i="24" s="1"/>
  <c r="P25" i="24"/>
  <c r="R25" i="24" s="1" a="1"/>
  <c r="R25" i="24" s="1"/>
  <c r="Q25" i="24"/>
  <c r="T25" i="24" s="1"/>
  <c r="Q24" i="24"/>
  <c r="T24" i="24" s="1"/>
  <c r="P24" i="24"/>
  <c r="R24" i="24" s="1" a="1"/>
  <c r="R24" i="24" s="1"/>
  <c r="R21" i="30" a="1"/>
  <c r="R21" i="30" s="1"/>
  <c r="G21" i="24" s="1"/>
  <c r="I21" i="24" s="1"/>
  <c r="L21" i="24" s="1"/>
  <c r="F23" i="24"/>
  <c r="T23" i="30" a="1"/>
  <c r="T23" i="30" s="1"/>
  <c r="BB23" i="24"/>
  <c r="BA23" i="24"/>
  <c r="AZ23" i="24"/>
  <c r="P23" i="24"/>
  <c r="R23" i="24" s="1" a="1"/>
  <c r="R23" i="24" s="1"/>
  <c r="Q23" i="24"/>
  <c r="I23" i="24"/>
  <c r="R22" i="30" a="1"/>
  <c r="R22" i="30" s="1"/>
  <c r="G22" i="24" s="1"/>
  <c r="I22" i="24" s="1"/>
  <c r="T22" i="30" a="1"/>
  <c r="T22" i="30" s="1"/>
  <c r="BB21" i="24"/>
  <c r="AZ22" i="24"/>
  <c r="BB22" i="24"/>
  <c r="BA22" i="24"/>
  <c r="BA21" i="24"/>
  <c r="AZ21" i="24"/>
  <c r="P22" i="24"/>
  <c r="R22" i="24" s="1" a="1"/>
  <c r="R22" i="24" s="1"/>
  <c r="Q22" i="24"/>
  <c r="F22" i="24"/>
  <c r="P21" i="24"/>
  <c r="R21" i="24" s="1" a="1"/>
  <c r="R21" i="24" s="1"/>
  <c r="T21" i="30" a="1"/>
  <c r="T21" i="30" s="1"/>
  <c r="K21" i="24" s="1"/>
  <c r="BB20" i="24"/>
  <c r="BA20" i="24"/>
  <c r="O18" i="24"/>
  <c r="Q18" i="24" s="1"/>
  <c r="R20" i="30" a="1"/>
  <c r="R20" i="30" s="1"/>
  <c r="G20" i="24" s="1"/>
  <c r="H20" i="24" s="1"/>
  <c r="J20" i="24" s="1" a="1"/>
  <c r="J20" i="24" s="1"/>
  <c r="R19" i="30" a="1"/>
  <c r="R19" i="30" s="1"/>
  <c r="G19" i="24" s="1"/>
  <c r="H19" i="24" s="1"/>
  <c r="J19" i="24" s="1" a="1"/>
  <c r="J19" i="24" s="1"/>
  <c r="R12" i="30" a="1"/>
  <c r="R12" i="30" s="1"/>
  <c r="G12" i="24" s="1"/>
  <c r="H12" i="24" s="1"/>
  <c r="J12" i="24" s="1" a="1"/>
  <c r="J12" i="24" s="1"/>
  <c r="AZ20" i="24"/>
  <c r="AZ19" i="24"/>
  <c r="O11" i="24"/>
  <c r="Q11" i="24" s="1"/>
  <c r="P19" i="24"/>
  <c r="R19" i="24" s="1" a="1"/>
  <c r="R19" i="24" s="1"/>
  <c r="Q19" i="24"/>
  <c r="P20" i="24"/>
  <c r="R20" i="24" s="1" a="1"/>
  <c r="R20" i="24" s="1"/>
  <c r="Q20" i="24"/>
  <c r="F19" i="24"/>
  <c r="AZ18" i="24"/>
  <c r="BB18" i="24"/>
  <c r="BA18" i="24"/>
  <c r="F18" i="24"/>
  <c r="H18" i="24"/>
  <c r="J18" i="24" s="1" a="1"/>
  <c r="J18" i="24" s="1"/>
  <c r="W6" i="30"/>
  <c r="W7" i="30"/>
  <c r="W8" i="30"/>
  <c r="AZ8" i="24" s="1"/>
  <c r="W9" i="30"/>
  <c r="W10" i="30"/>
  <c r="W12" i="30"/>
  <c r="W13" i="30"/>
  <c r="W14" i="30"/>
  <c r="W15" i="30"/>
  <c r="AZ15" i="24" s="1"/>
  <c r="W16" i="30"/>
  <c r="AZ16" i="24" s="1"/>
  <c r="W17" i="30"/>
  <c r="T6" i="31" a="1"/>
  <c r="T6" i="31" s="1"/>
  <c r="S6" i="24" s="1"/>
  <c r="T7" i="31" a="1"/>
  <c r="T7" i="31" s="1"/>
  <c r="S7" i="24" s="1"/>
  <c r="T8" i="31" a="1"/>
  <c r="T8" i="31" s="1"/>
  <c r="S8" i="24" s="1"/>
  <c r="S9" i="24"/>
  <c r="S10" i="24"/>
  <c r="S11" i="24"/>
  <c r="S12" i="24"/>
  <c r="S13" i="24"/>
  <c r="S14" i="24"/>
  <c r="S15" i="24"/>
  <c r="S16" i="24"/>
  <c r="S17" i="24"/>
  <c r="F6" i="30"/>
  <c r="T6" i="30" s="1" a="1"/>
  <c r="T6" i="30" s="1"/>
  <c r="O16" i="24"/>
  <c r="P16" i="24" s="1"/>
  <c r="R16" i="24" s="1" a="1"/>
  <c r="R16" i="24" s="1"/>
  <c r="O15" i="24"/>
  <c r="O14" i="24"/>
  <c r="O13" i="24"/>
  <c r="P13" i="24" s="1"/>
  <c r="R13" i="24" s="1" a="1"/>
  <c r="R13" i="24" s="1"/>
  <c r="O10" i="24"/>
  <c r="R8" i="31" a="1"/>
  <c r="R8" i="31" s="1"/>
  <c r="O8" i="24" s="1"/>
  <c r="R7" i="31" a="1"/>
  <c r="R7" i="31" s="1"/>
  <c r="O7" i="24" s="1"/>
  <c r="R17" i="30" a="1"/>
  <c r="R17" i="30" s="1"/>
  <c r="G17" i="24" s="1"/>
  <c r="H17" i="24" s="1"/>
  <c r="R16" i="30" a="1"/>
  <c r="R16" i="30" s="1"/>
  <c r="G16" i="24" s="1"/>
  <c r="H16" i="24" s="1"/>
  <c r="J16" i="24" s="1" a="1"/>
  <c r="J16" i="24" s="1"/>
  <c r="R15" i="30" a="1"/>
  <c r="R15" i="30" s="1"/>
  <c r="G15" i="24" s="1"/>
  <c r="H15" i="24" s="1"/>
  <c r="J15" i="24" s="1" a="1"/>
  <c r="J15" i="24" s="1"/>
  <c r="R13" i="30" a="1"/>
  <c r="R13" i="30" s="1"/>
  <c r="G13" i="24" s="1"/>
  <c r="H13" i="24" s="1"/>
  <c r="J13" i="24" s="1" a="1"/>
  <c r="J13" i="24" s="1"/>
  <c r="R11" i="30" a="1"/>
  <c r="R11" i="30" s="1"/>
  <c r="G11" i="24" s="1"/>
  <c r="H11" i="24" s="1"/>
  <c r="J11" i="24" s="1" a="1"/>
  <c r="J11" i="24" s="1"/>
  <c r="R10" i="30" a="1"/>
  <c r="R10" i="30" s="1"/>
  <c r="G10" i="24" s="1"/>
  <c r="H10" i="24" s="1"/>
  <c r="J10" i="24" s="1" a="1"/>
  <c r="J10" i="24" s="1"/>
  <c r="R9" i="30" a="1"/>
  <c r="R9" i="30" s="1"/>
  <c r="G9" i="24" s="1"/>
  <c r="H9" i="24" s="1"/>
  <c r="C7" i="30"/>
  <c r="C7" i="24" s="1"/>
  <c r="E7" i="30"/>
  <c r="E7" i="24" s="1"/>
  <c r="F7" i="30"/>
  <c r="F7" i="24" s="1"/>
  <c r="C8" i="30"/>
  <c r="E8" i="30"/>
  <c r="E8" i="24" s="1"/>
  <c r="F8" i="30"/>
  <c r="F8" i="24" s="1"/>
  <c r="C9" i="30"/>
  <c r="C9" i="24" s="1"/>
  <c r="E9" i="30"/>
  <c r="E9" i="24" s="1"/>
  <c r="C10" i="30"/>
  <c r="C10" i="24" s="1"/>
  <c r="E10" i="30"/>
  <c r="E10" i="24" s="1"/>
  <c r="F10" i="30"/>
  <c r="F10" i="24" s="1"/>
  <c r="C11" i="30"/>
  <c r="C11" i="24" s="1"/>
  <c r="E11" i="30"/>
  <c r="E11" i="24" s="1"/>
  <c r="F11" i="30"/>
  <c r="F11" i="24" s="1"/>
  <c r="C12" i="30"/>
  <c r="C12" i="24" s="1"/>
  <c r="E12" i="30"/>
  <c r="E12" i="24" s="1"/>
  <c r="F12" i="30"/>
  <c r="F12" i="24" s="1"/>
  <c r="C13" i="30"/>
  <c r="C13" i="24" s="1"/>
  <c r="E13" i="30"/>
  <c r="E13" i="24" s="1"/>
  <c r="F13" i="30"/>
  <c r="F13" i="24" s="1"/>
  <c r="C14" i="30"/>
  <c r="C14" i="24" s="1"/>
  <c r="E14" i="30"/>
  <c r="E14" i="24" s="1"/>
  <c r="F14" i="30"/>
  <c r="F14" i="24" s="1"/>
  <c r="C15" i="30"/>
  <c r="C15" i="24" s="1"/>
  <c r="E15" i="30"/>
  <c r="E15" i="24" s="1"/>
  <c r="F15" i="30"/>
  <c r="C16" i="30"/>
  <c r="C16" i="24" s="1"/>
  <c r="E16" i="30"/>
  <c r="E16" i="24" s="1"/>
  <c r="F16" i="30"/>
  <c r="F16" i="24" s="1"/>
  <c r="C17" i="30"/>
  <c r="C17" i="24" s="1"/>
  <c r="E17" i="30"/>
  <c r="E17" i="24" s="1"/>
  <c r="F17" i="30"/>
  <c r="C6" i="30"/>
  <c r="C6" i="24" s="1"/>
  <c r="E6" i="30"/>
  <c r="E6" i="24" s="1"/>
  <c r="O9" i="24"/>
  <c r="O12" i="24"/>
  <c r="P12" i="24" s="1"/>
  <c r="R12" i="24" s="1" a="1"/>
  <c r="R12" i="24" s="1"/>
  <c r="O17" i="24"/>
  <c r="R14" i="30" a="1"/>
  <c r="R14" i="30" s="1"/>
  <c r="G14" i="24" s="1"/>
  <c r="H14" i="24" s="1"/>
  <c r="J14" i="24" s="1" a="1"/>
  <c r="J14" i="24" s="1"/>
  <c r="A8" i="31"/>
  <c r="A7" i="31"/>
  <c r="A6" i="31"/>
  <c r="Y12" i="30"/>
  <c r="Y12" i="31" s="1"/>
  <c r="X12" i="30"/>
  <c r="Y8" i="30"/>
  <c r="X8" i="30"/>
  <c r="A8" i="30"/>
  <c r="Y7" i="30"/>
  <c r="Y7" i="31" s="1"/>
  <c r="X7" i="30"/>
  <c r="A7" i="30"/>
  <c r="Y6" i="30"/>
  <c r="Y6" i="31" s="1"/>
  <c r="X6" i="30"/>
  <c r="A6" i="30"/>
  <c r="A7" i="24"/>
  <c r="A6" i="24"/>
  <c r="A9" i="24"/>
  <c r="A8" i="24"/>
  <c r="A10" i="24"/>
  <c r="O2" i="32"/>
  <c r="D10" i="42" l="1"/>
  <c r="D9" i="42"/>
  <c r="C8" i="42"/>
  <c r="C5" i="42" s="1"/>
  <c r="H10" i="42"/>
  <c r="H5" i="42" s="1"/>
  <c r="I14" i="23"/>
  <c r="Y14" i="30" s="1"/>
  <c r="Y14" i="31" s="1"/>
  <c r="X14" i="31"/>
  <c r="T18" i="24"/>
  <c r="AV20" i="24"/>
  <c r="AY20" i="24" s="1"/>
  <c r="AV22" i="24"/>
  <c r="AY22" i="24" s="1"/>
  <c r="AV19" i="24"/>
  <c r="AY19" i="24" s="1"/>
  <c r="AV18" i="24"/>
  <c r="AY18" i="24" s="1"/>
  <c r="AV21" i="24"/>
  <c r="AY21" i="24" s="1"/>
  <c r="AV23" i="24"/>
  <c r="AY23" i="24" s="1"/>
  <c r="AF12" i="24"/>
  <c r="AJ12" i="24"/>
  <c r="AN12" i="24"/>
  <c r="AR12" i="24"/>
  <c r="AJ17" i="24"/>
  <c r="AN17" i="24"/>
  <c r="AF17" i="24"/>
  <c r="AR17" i="24"/>
  <c r="AR14" i="24"/>
  <c r="AJ14" i="24"/>
  <c r="AN14" i="24"/>
  <c r="AF14" i="24"/>
  <c r="AJ11" i="24"/>
  <c r="AN11" i="24"/>
  <c r="AF11" i="24"/>
  <c r="AR11" i="24"/>
  <c r="AJ8" i="24"/>
  <c r="AN8" i="24"/>
  <c r="AF8" i="24"/>
  <c r="AR8" i="24"/>
  <c r="AJ16" i="24"/>
  <c r="AN16" i="24"/>
  <c r="AF16" i="24"/>
  <c r="AR16" i="24"/>
  <c r="AJ13" i="24"/>
  <c r="AN13" i="24"/>
  <c r="AF13" i="24"/>
  <c r="AR13" i="24"/>
  <c r="AR6" i="24"/>
  <c r="AJ6" i="24"/>
  <c r="AN6" i="24"/>
  <c r="AF6" i="24"/>
  <c r="AJ10" i="24"/>
  <c r="AN10" i="24"/>
  <c r="AF10" i="24"/>
  <c r="AR10" i="24"/>
  <c r="AN7" i="24"/>
  <c r="AF7" i="24"/>
  <c r="AR7" i="24"/>
  <c r="AJ7" i="24"/>
  <c r="AJ9" i="24"/>
  <c r="AN9" i="24"/>
  <c r="AF9" i="24"/>
  <c r="AR9" i="24"/>
  <c r="AN15" i="24"/>
  <c r="AF15" i="24"/>
  <c r="AR15" i="24"/>
  <c r="AJ15" i="24"/>
  <c r="Q43" i="24"/>
  <c r="T43" i="24" s="1"/>
  <c r="P43" i="24"/>
  <c r="R43" i="24" s="1" a="1"/>
  <c r="R43" i="24" s="1"/>
  <c r="X14" i="30"/>
  <c r="BA14" i="24" s="1"/>
  <c r="H17" i="23"/>
  <c r="H15" i="23"/>
  <c r="X11" i="30"/>
  <c r="BA11" i="24" s="1"/>
  <c r="X16" i="30"/>
  <c r="BA16" i="24" s="1"/>
  <c r="I16" i="23"/>
  <c r="Y16" i="30" s="1"/>
  <c r="Y16" i="31" s="1"/>
  <c r="X10" i="30"/>
  <c r="BA10" i="24" s="1"/>
  <c r="I10" i="23"/>
  <c r="Y10" i="30" s="1"/>
  <c r="Y10" i="31" s="1"/>
  <c r="G2" i="23"/>
  <c r="X9" i="30"/>
  <c r="BA9" i="24" s="1"/>
  <c r="X13" i="30"/>
  <c r="BA13" i="24" s="1"/>
  <c r="I13" i="23"/>
  <c r="Y13" i="30" s="1"/>
  <c r="Y13" i="31" s="1"/>
  <c r="X19" i="30"/>
  <c r="BA19" i="24" s="1"/>
  <c r="I19" i="23"/>
  <c r="Y19" i="30" s="1"/>
  <c r="Y19" i="31" s="1"/>
  <c r="I11" i="23"/>
  <c r="Y11" i="30" s="1"/>
  <c r="Y11" i="31" s="1"/>
  <c r="T20" i="24"/>
  <c r="E2" i="31"/>
  <c r="Q41" i="24"/>
  <c r="T41" i="24" s="1"/>
  <c r="D8" i="42"/>
  <c r="E10" i="42"/>
  <c r="F10" i="42"/>
  <c r="E9" i="42"/>
  <c r="G10" i="42"/>
  <c r="T22" i="24"/>
  <c r="AC4" i="23"/>
  <c r="T23" i="24"/>
  <c r="T11" i="24"/>
  <c r="T19" i="24"/>
  <c r="K23" i="24"/>
  <c r="L23" i="24"/>
  <c r="K22" i="24"/>
  <c r="L22" i="24"/>
  <c r="K8" i="24"/>
  <c r="L18" i="24"/>
  <c r="K18" i="24"/>
  <c r="K19" i="24"/>
  <c r="Q30" i="24"/>
  <c r="T30" i="24" s="1"/>
  <c r="Q31" i="24"/>
  <c r="T31" i="24" s="1"/>
  <c r="M36" i="24" a="1"/>
  <c r="M36" i="24" s="1"/>
  <c r="N36" i="24" s="1"/>
  <c r="R34" i="30" a="1"/>
  <c r="R34" i="30" s="1"/>
  <c r="G34" i="24" s="1"/>
  <c r="T34" i="30" a="1"/>
  <c r="T34" i="30" s="1"/>
  <c r="K34" i="24" s="1"/>
  <c r="M33" i="24" a="1"/>
  <c r="M33" i="24" s="1"/>
  <c r="N33" i="24" s="1"/>
  <c r="G37" i="24"/>
  <c r="I37" i="24" s="1"/>
  <c r="L37" i="24" s="1"/>
  <c r="Q32" i="24"/>
  <c r="T32" i="24" s="1"/>
  <c r="P32" i="24"/>
  <c r="R32" i="24" s="1" a="1"/>
  <c r="R32" i="24" s="1"/>
  <c r="I32" i="24"/>
  <c r="L32" i="24" s="1"/>
  <c r="H32" i="24"/>
  <c r="J32" i="24" s="1" a="1"/>
  <c r="J32" i="24" s="1"/>
  <c r="P37" i="24"/>
  <c r="R37" i="24" s="1" a="1"/>
  <c r="R37" i="24" s="1"/>
  <c r="Q37" i="24"/>
  <c r="T37" i="24" s="1"/>
  <c r="P29" i="24"/>
  <c r="R29" i="24" s="1" a="1"/>
  <c r="R29" i="24" s="1"/>
  <c r="P26" i="24"/>
  <c r="R26" i="24" s="1" a="1"/>
  <c r="R26" i="24" s="1"/>
  <c r="H26" i="24"/>
  <c r="J26" i="24" s="1" a="1"/>
  <c r="J26" i="24" s="1"/>
  <c r="I26" i="24"/>
  <c r="L26" i="24" s="1"/>
  <c r="BB8" i="24"/>
  <c r="Y8" i="31"/>
  <c r="H21" i="24"/>
  <c r="J21" i="24" s="1" a="1"/>
  <c r="J21" i="24" s="1"/>
  <c r="M23" i="24" a="1"/>
  <c r="M23" i="24" s="1"/>
  <c r="H22" i="24"/>
  <c r="J22" i="24" s="1" a="1"/>
  <c r="J22" i="24" s="1"/>
  <c r="P18" i="24"/>
  <c r="R18" i="24" s="1" a="1"/>
  <c r="R18" i="24" s="1"/>
  <c r="I20" i="24"/>
  <c r="L20" i="24" s="1"/>
  <c r="I19" i="24"/>
  <c r="L19" i="24" s="1"/>
  <c r="M18" i="24" a="1"/>
  <c r="M18" i="24" s="1"/>
  <c r="C8" i="24"/>
  <c r="E2" i="30"/>
  <c r="I16" i="24"/>
  <c r="L16" i="24" s="1"/>
  <c r="Q16" i="24"/>
  <c r="T16" i="24" s="1"/>
  <c r="F6" i="24"/>
  <c r="T7" i="30" a="1"/>
  <c r="T7" i="30" s="1"/>
  <c r="K7" i="24" s="1"/>
  <c r="AC3" i="24"/>
  <c r="AD3" i="24"/>
  <c r="T12" i="30" a="1"/>
  <c r="T12" i="30" s="1"/>
  <c r="K12" i="24" s="1"/>
  <c r="T16" i="30" a="1"/>
  <c r="T16" i="30" s="1"/>
  <c r="K16" i="24" s="1"/>
  <c r="T11" i="30" a="1"/>
  <c r="T11" i="30" s="1"/>
  <c r="K11" i="24" s="1"/>
  <c r="T8" i="30" a="1"/>
  <c r="T8" i="30" s="1"/>
  <c r="F15" i="24"/>
  <c r="T15" i="30" a="1"/>
  <c r="T15" i="30" s="1"/>
  <c r="F17" i="24"/>
  <c r="T17" i="30" a="1"/>
  <c r="T17" i="30" s="1"/>
  <c r="F9" i="24"/>
  <c r="T9" i="30" a="1"/>
  <c r="T9" i="30" s="1"/>
  <c r="T13" i="30" a="1"/>
  <c r="T13" i="30" s="1"/>
  <c r="K13" i="24" s="1"/>
  <c r="T10" i="30" a="1"/>
  <c r="T10" i="30" s="1"/>
  <c r="K10" i="24" s="1"/>
  <c r="T14" i="30" a="1"/>
  <c r="T14" i="30" s="1"/>
  <c r="K14" i="24" s="1"/>
  <c r="AZ6" i="24"/>
  <c r="AZ9" i="24"/>
  <c r="AZ11" i="24"/>
  <c r="AZ13" i="24"/>
  <c r="AZ17" i="24"/>
  <c r="BA6" i="24"/>
  <c r="BA8" i="24"/>
  <c r="BB6" i="24"/>
  <c r="AZ7" i="24"/>
  <c r="AZ12" i="24"/>
  <c r="BA7" i="24"/>
  <c r="BA12" i="24"/>
  <c r="AZ10" i="24"/>
  <c r="AZ14" i="24"/>
  <c r="BB7" i="24"/>
  <c r="BB12" i="24"/>
  <c r="P14" i="24"/>
  <c r="R14" i="24" s="1" a="1"/>
  <c r="R14" i="24" s="1"/>
  <c r="R6" i="31" a="1"/>
  <c r="R6" i="31" s="1"/>
  <c r="O6" i="24" s="1"/>
  <c r="Q6" i="24" s="1"/>
  <c r="R8" i="30" a="1"/>
  <c r="R8" i="30" s="1"/>
  <c r="G8" i="24" s="1"/>
  <c r="H8" i="24" s="1"/>
  <c r="R7" i="30" a="1"/>
  <c r="R7" i="30" s="1"/>
  <c r="G7" i="24" s="1"/>
  <c r="H7" i="24" s="1"/>
  <c r="R6" i="30" a="1"/>
  <c r="R6" i="30" s="1"/>
  <c r="G6" i="24" s="1"/>
  <c r="Q9" i="24"/>
  <c r="Q17" i="24"/>
  <c r="Q10" i="24"/>
  <c r="T10" i="24" s="1"/>
  <c r="P11" i="24"/>
  <c r="R11" i="24" s="1" a="1"/>
  <c r="R11" i="24" s="1"/>
  <c r="Q15" i="24"/>
  <c r="Q8" i="24"/>
  <c r="T8" i="24" s="1"/>
  <c r="Q14" i="24"/>
  <c r="T14" i="24" s="1"/>
  <c r="Q7" i="24"/>
  <c r="T7" i="24" s="1"/>
  <c r="Q13" i="24"/>
  <c r="T13" i="24" s="1"/>
  <c r="Q12" i="24"/>
  <c r="T12" i="24" s="1"/>
  <c r="P10" i="24"/>
  <c r="R10" i="24" s="1" a="1"/>
  <c r="R10" i="24" s="1"/>
  <c r="P17" i="24"/>
  <c r="R17" i="24" s="1" a="1"/>
  <c r="R17" i="24" s="1"/>
  <c r="P9" i="24"/>
  <c r="R9" i="24" s="1" a="1"/>
  <c r="R9" i="24" s="1"/>
  <c r="P7" i="24"/>
  <c r="R7" i="24" s="1" a="1"/>
  <c r="R7" i="24" s="1"/>
  <c r="P15" i="24"/>
  <c r="R15" i="24" s="1" a="1"/>
  <c r="R15" i="24" s="1"/>
  <c r="P8" i="24"/>
  <c r="R8" i="24" s="1" a="1"/>
  <c r="R8" i="24" s="1"/>
  <c r="I11" i="24"/>
  <c r="L11" i="24" s="1"/>
  <c r="I10" i="24"/>
  <c r="L10" i="24" s="1"/>
  <c r="J17" i="24" a="1"/>
  <c r="J17" i="24" s="1"/>
  <c r="I17" i="24"/>
  <c r="J9" i="24" a="1"/>
  <c r="J9" i="24" s="1"/>
  <c r="I9" i="24"/>
  <c r="I15" i="24"/>
  <c r="I14" i="24"/>
  <c r="L14" i="24" s="1"/>
  <c r="I13" i="24"/>
  <c r="L13" i="24" s="1"/>
  <c r="I12" i="24"/>
  <c r="L12" i="24" s="1"/>
  <c r="W1" i="30"/>
  <c r="AZ43" i="24" s="1"/>
  <c r="E2" i="24"/>
  <c r="BB14" i="24" l="1"/>
  <c r="X15" i="30"/>
  <c r="BA15" i="24" s="1"/>
  <c r="X15" i="31"/>
  <c r="X17" i="30"/>
  <c r="BA17" i="24" s="1"/>
  <c r="X17" i="31"/>
  <c r="N18" i="24"/>
  <c r="AV16" i="24"/>
  <c r="AY16" i="24" s="1"/>
  <c r="AV11" i="24"/>
  <c r="AY11" i="24" s="1"/>
  <c r="AV15" i="24"/>
  <c r="AY15" i="24" s="1"/>
  <c r="AV7" i="24"/>
  <c r="AV9" i="24"/>
  <c r="AY9" i="24" s="1"/>
  <c r="AV10" i="24"/>
  <c r="AY10" i="24" s="1"/>
  <c r="AV13" i="24"/>
  <c r="AY13" i="24" s="1"/>
  <c r="AV8" i="24"/>
  <c r="AV12" i="24"/>
  <c r="AY12" i="24" s="1"/>
  <c r="AV6" i="24"/>
  <c r="AV17" i="24"/>
  <c r="AY17" i="24" s="1"/>
  <c r="AV14" i="24"/>
  <c r="AY14" i="24" s="1"/>
  <c r="C4" i="42"/>
  <c r="G5" i="42"/>
  <c r="F5" i="42"/>
  <c r="D5" i="42"/>
  <c r="H2" i="23"/>
  <c r="I15" i="23"/>
  <c r="Y15" i="30" s="1"/>
  <c r="I17" i="23"/>
  <c r="Y17" i="30" s="1"/>
  <c r="Y17" i="31" s="1"/>
  <c r="BB13" i="24"/>
  <c r="BB16" i="24"/>
  <c r="BB11" i="24"/>
  <c r="I9" i="23"/>
  <c r="Y9" i="30" s="1"/>
  <c r="Y9" i="31" s="1"/>
  <c r="BB10" i="24"/>
  <c r="BB19" i="24"/>
  <c r="AB3" i="24"/>
  <c r="E5" i="42"/>
  <c r="T17" i="24"/>
  <c r="T9" i="24"/>
  <c r="T15" i="24"/>
  <c r="T6" i="24"/>
  <c r="L9" i="24"/>
  <c r="K9" i="24"/>
  <c r="N23" i="24"/>
  <c r="L17" i="24"/>
  <c r="K17" i="24"/>
  <c r="K15" i="24"/>
  <c r="L15" i="24"/>
  <c r="K6" i="24"/>
  <c r="M19" i="24" a="1"/>
  <c r="M19" i="24" s="1"/>
  <c r="N19" i="24" s="1"/>
  <c r="H37" i="24"/>
  <c r="J37" i="24" s="1" a="1"/>
  <c r="J37" i="24" s="1"/>
  <c r="I34" i="24"/>
  <c r="L34" i="24" s="1"/>
  <c r="H34" i="24"/>
  <c r="J34" i="24" s="1" a="1"/>
  <c r="J34" i="24" s="1"/>
  <c r="M32" i="24" a="1"/>
  <c r="M32" i="24" s="1"/>
  <c r="N32" i="24" s="1"/>
  <c r="M26" i="24" a="1"/>
  <c r="M26" i="24" s="1"/>
  <c r="N26" i="24" s="1"/>
  <c r="M20" i="24" a="1"/>
  <c r="M20" i="24" s="1"/>
  <c r="N20" i="24" s="1"/>
  <c r="M21" i="24" a="1"/>
  <c r="M21" i="24" s="1"/>
  <c r="N21" i="24" s="1"/>
  <c r="M22" i="24" a="1"/>
  <c r="M22" i="24" s="1"/>
  <c r="N22" i="24" s="1"/>
  <c r="M14" i="24" a="1"/>
  <c r="M14" i="24" s="1"/>
  <c r="N14" i="24" s="1"/>
  <c r="M16" i="24" a="1"/>
  <c r="M16" i="24" s="1"/>
  <c r="N16" i="24" s="1"/>
  <c r="I6" i="24"/>
  <c r="L6" i="24" s="1"/>
  <c r="H6" i="24"/>
  <c r="J6" i="24" s="1" a="1"/>
  <c r="J6" i="24" s="1"/>
  <c r="AZ3" i="24"/>
  <c r="M15" i="24" a="1"/>
  <c r="M15" i="24" s="1"/>
  <c r="M17" i="24" a="1"/>
  <c r="M17" i="24" s="1"/>
  <c r="M9" i="24" a="1"/>
  <c r="M9" i="24" s="1"/>
  <c r="M11" i="24" a="1"/>
  <c r="M11" i="24" s="1"/>
  <c r="N11" i="24" s="1"/>
  <c r="M12" i="24" a="1"/>
  <c r="M12" i="24" s="1"/>
  <c r="N12" i="24" s="1"/>
  <c r="M10" i="24" a="1"/>
  <c r="M10" i="24" s="1"/>
  <c r="N10" i="24" s="1"/>
  <c r="M13" i="24" a="1"/>
  <c r="M13" i="24" s="1"/>
  <c r="N13" i="24" s="1"/>
  <c r="J7" i="24" a="1"/>
  <c r="J7" i="24" s="1"/>
  <c r="I7" i="24"/>
  <c r="L7" i="24" s="1"/>
  <c r="J8" i="24" a="1"/>
  <c r="J8" i="24" s="1"/>
  <c r="I8" i="24"/>
  <c r="L8" i="24" s="1"/>
  <c r="N8" i="24" s="1"/>
  <c r="P6" i="24"/>
  <c r="R6" i="24" s="1" a="1"/>
  <c r="R6" i="24" s="1"/>
  <c r="BB15" i="24" l="1"/>
  <c r="Y15" i="31"/>
  <c r="X1" i="30"/>
  <c r="BA43" i="24" s="1"/>
  <c r="BA3" i="24" s="1"/>
  <c r="D4" i="42"/>
  <c r="E4" i="42" s="1"/>
  <c r="F4" i="42" s="1"/>
  <c r="G4" i="42" s="1"/>
  <c r="H4" i="42" s="1"/>
  <c r="I4" i="42" s="1"/>
  <c r="J4" i="42" s="1"/>
  <c r="K4" i="42" s="1"/>
  <c r="L4" i="42" s="1"/>
  <c r="M4" i="42" s="1"/>
  <c r="N4" i="42" s="1"/>
  <c r="O4" i="42" s="1"/>
  <c r="P4" i="42" s="1"/>
  <c r="Q4" i="42" s="1"/>
  <c r="R4" i="42" s="1"/>
  <c r="A5" i="42"/>
  <c r="I2" i="23"/>
  <c r="BB17" i="24"/>
  <c r="X1" i="31"/>
  <c r="BB9" i="24"/>
  <c r="Y1" i="30"/>
  <c r="N15" i="24"/>
  <c r="N17" i="24"/>
  <c r="N9" i="24"/>
  <c r="M37" i="24" a="1"/>
  <c r="M37" i="24" s="1"/>
  <c r="N37" i="24" s="1"/>
  <c r="M34" i="24" a="1"/>
  <c r="M34" i="24" s="1"/>
  <c r="N34" i="24" s="1"/>
  <c r="W1" i="31"/>
  <c r="M8" i="24" a="1"/>
  <c r="M8" i="24" s="1"/>
  <c r="M7" i="24" a="1"/>
  <c r="M7" i="24" s="1"/>
  <c r="N7" i="24" s="1"/>
  <c r="M6" i="24" a="1"/>
  <c r="M6" i="24" s="1"/>
  <c r="N6" i="24" s="1"/>
  <c r="Y1" i="31" l="1"/>
  <c r="BB43" i="24"/>
  <c r="BB3" i="24" s="1"/>
  <c r="E11" i="38"/>
  <c r="E17" i="38"/>
  <c r="E23" i="38"/>
  <c r="E15" i="38"/>
  <c r="E21" i="38"/>
  <c r="E13" i="38"/>
  <c r="E19" i="38"/>
  <c r="E7" i="38"/>
  <c r="E6" i="38"/>
  <c r="E8" i="38" l="1"/>
  <c r="E10" i="38" l="1"/>
  <c r="E12" i="38" l="1"/>
  <c r="E14" i="38" l="1"/>
  <c r="E16" i="38" l="1"/>
  <c r="E18" i="38" l="1"/>
  <c r="E20" i="38" l="1"/>
  <c r="E24" i="38" l="1"/>
  <c r="E22" i="38"/>
  <c r="F11" i="46" l="1"/>
  <c r="C11" i="46"/>
  <c r="E11" i="46"/>
  <c r="G11" i="46"/>
  <c r="D11" i="46"/>
  <c r="B11" i="4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CA816D-DEFF-441A-9242-0438586FDE51}" keepAlive="1" name="Consulta - DISTR_FASE" description="Conexão com a consulta 'DISTR_FASE' na pasta de trabalho." type="5" refreshedVersion="7" background="1" saveData="1">
    <dbPr connection="Provider=Microsoft.Mashup.OleDb.1;Data Source=$Workbook$;Location=DISTR_FASE;Extended Properties=&quot;&quot;" command="SELECT * FROM [DISTR_FASE]"/>
  </connection>
  <connection id="2" xr16:uid="{BC8BD25B-9B0A-468A-91C7-071C856CA81B}" keepAlive="1" name="Consulta - DISTR-FIN_0" description="Conexão com a consulta 'DISTR-FIN_0' na pasta de trabalho." type="5" refreshedVersion="7" background="1" saveData="1">
    <dbPr connection="Provider=Microsoft.Mashup.OleDb.1;Data Source=$Workbook$;Location=DISTR-FIN_0;Extended Properties=&quot;&quot;" command="SELECT * FROM [DISTR-FIN_0]"/>
  </connection>
  <connection id="3" xr16:uid="{12C77790-A8FC-4EB9-901F-7B4370C2DA4F}" keepAlive="1" name="Consulta - DISTR-MÊS" description="Conexão com a consulta 'DISTR-MÊS' na pasta de trabalho." type="5" refreshedVersion="7" background="1" saveData="1">
    <dbPr connection="Provider=Microsoft.Mashup.OleDb.1;Data Source=$Workbook$;Location=DISTR-MÊS;Extended Properties=&quot;&quot;" command="SELECT * FROM [DISTR-MÊS]"/>
  </connection>
  <connection id="4" xr16:uid="{D0BE898B-2DC3-4143-9EA5-166B85CDAA8C}" keepAlive="1" name="Consulta - Hh EXE-TOTAL" description="Conexão com a consulta 'Hh EXE-TOTAL' na pasta de trabalho." type="5" refreshedVersion="7" background="1" saveData="1">
    <dbPr connection="Provider=Microsoft.Mashup.OleDb.1;Data Source=$Workbook$;Location=&quot;Hh EXE-TOTAL&quot;;Extended Properties=&quot;&quot;" command="SELECT * FROM [Hh EXE-TOTAL]"/>
  </connection>
  <connection id="5" xr16:uid="{C0CEF82D-CEA8-4374-B22F-9E07A04512D1}" keepAlive="1" name="Consulta - Tb_HhEXEC EDIVIT" description="Conexão com a consulta 'Tb_HhEXEC EDIVIT' na pasta de trabalho." type="5" refreshedVersion="7" background="1" saveData="1">
    <dbPr connection="Provider=Microsoft.Mashup.OleDb.1;Data Source=$Workbook$;Location=&quot;Tb_HhEXEC EDIVIT&quot;;Extended Properties=&quot;&quot;" command="SELECT * FROM [Tb_HhEXEC EDIVIT]"/>
  </connection>
  <connection id="6" xr16:uid="{072CF456-2A43-4F75-998B-C2DD4CDE58F9}" keepAlive="1" name="Consulta - Tb_HhEXEC UTGC" description="Conexão com a consulta 'Tb_HhEXEC UTGC' na pasta de trabalho." type="5" refreshedVersion="7" background="1" saveData="1">
    <dbPr connection="Provider=Microsoft.Mashup.OleDb.1;Data Source=$Workbook$;Location=&quot;Tb_HhEXEC UTGC&quot;;Extended Properties=&quot;&quot;" command="SELECT * FROM [Tb_HhEXEC UTGC]"/>
  </connection>
  <connection id="7" xr16:uid="{6CC990FA-0148-4117-828C-4F4FA151EAB5}" keepAlive="1" name="Consulta - tb_QTDEPLAN" description="Conexão com a consulta 'tb_QTDEPLAN' na pasta de trabalho." type="5" refreshedVersion="8" background="1" saveData="1">
    <dbPr connection="Provider=Microsoft.Mashup.OleDb.1;Data Source=$Workbook$;Location=tb_QTDEPLAN;Extended Properties=&quot;&quot;" command="SELECT * FROM [tb_QTDEPLAN]"/>
  </connection>
  <connection id="8" xr16:uid="{19BBD406-1EF1-4547-A158-726D0D8D0B9F}" keepAlive="1" name="Consulta - tb_QTDEPLAN (2)" description="Conexão com a consulta 'tb_QTDEPLAN (2)' na pasta de trabalho." type="5" refreshedVersion="8" background="1" saveData="1">
    <dbPr connection="Provider=Microsoft.Mashup.OleDb.1;Data Source=$Workbook$;Location=&quot;tb_QTDEPLAN (2)&quot;;Extended Properties=&quot;&quot;" command="SELECT * FROM [tb_QTDEPLAN (2)]"/>
  </connection>
  <connection id="9" xr16:uid="{F917E21C-6350-43B6-8F33-735078268E98}" keepAlive="1" name="ThisWorkbookDataModel" description="Modelo de Dados"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15F26868-E5AA-4D5B-B949-A6F0C2DF1A99}" name="WorksheetConnection_CONTROLE INTEGRADO DE DEMANDAS (ES-MG).xlsx!Tb_HhEXEC_EDIVIT" type="102" refreshedVersion="7" minRefreshableVersion="5">
    <extLst>
      <ext xmlns:x15="http://schemas.microsoft.com/office/spreadsheetml/2010/11/main" uri="{DE250136-89BD-433C-8126-D09CA5730AF9}">
        <x15:connection id="Tb_HhEXEC_EDIVIT">
          <x15:rangePr sourceName="_xlcn.WorksheetConnection_CONTROLEINTEGRADODEDEMANDASESMG.xlsxTb_HhEXEC_EDIVIT"/>
        </x15:connection>
      </ext>
    </extLst>
  </connection>
  <connection id="11" xr16:uid="{7BBE0032-BA5D-41BC-A170-3E300B54BC84}" name="WorksheetConnection_CONTROLE INTEGRADO DE DEMANDAS (ES-MG).xlsx!Tb_HhEXEC_UTGC" type="102" refreshedVersion="7" minRefreshableVersion="5">
    <extLst>
      <ext xmlns:x15="http://schemas.microsoft.com/office/spreadsheetml/2010/11/main" uri="{DE250136-89BD-433C-8126-D09CA5730AF9}">
        <x15:connection id="Tb_HhEXEC_UTGC">
          <x15:rangePr sourceName="_xlcn.WorksheetConnection_CONTROLEINTEGRADODEDEMANDASESMG.xlsxTb_HhEXEC_UTGC"/>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<sst xmlns="http://schemas.openxmlformats.org/spreadsheetml/2006/main" count="76304" uniqueCount="3316">
  <si>
    <t>QTD SS</t>
  </si>
  <si>
    <t>(Tudo)</t>
  </si>
  <si>
    <t>TOMADOR</t>
  </si>
  <si>
    <t>R$ MEDIDO</t>
  </si>
  <si>
    <t>Rótulos de Linha</t>
  </si>
  <si>
    <t>Contagem de STATUS DEMANDA</t>
  </si>
  <si>
    <t>Contagem de STATUS PRIMÁRIO (EC)</t>
  </si>
  <si>
    <t>Contagem de STATUS SECUNDÁRIO (EC)</t>
  </si>
  <si>
    <t xml:space="preserve">R$ APROVADO </t>
  </si>
  <si>
    <t>R$ SALDO</t>
  </si>
  <si>
    <t>EM ANDAMENTO</t>
  </si>
  <si>
    <t>APROVADO</t>
  </si>
  <si>
    <t>EM PLANEJAMENTO</t>
  </si>
  <si>
    <t>REPROVADO</t>
  </si>
  <si>
    <t>Total Geral</t>
  </si>
  <si>
    <t>NÃO EMITIDA SAMC</t>
  </si>
  <si>
    <t>RETORNO OK</t>
  </si>
  <si>
    <t>CONT.</t>
  </si>
  <si>
    <t>Nº  SS</t>
  </si>
  <si>
    <t>ID | DESCRIÇÃO DA DEMANDA</t>
  </si>
  <si>
    <t>STATUS DEMANDA</t>
  </si>
  <si>
    <t>ESTIMATIVA DE CUSTOS</t>
  </si>
  <si>
    <t>CRONOGRAMA</t>
  </si>
  <si>
    <t>ACOMPANHAMENTO FÍSICO</t>
  </si>
  <si>
    <t>ÚLTIMA REVISÃO</t>
  </si>
  <si>
    <t>ÚLTIMO ENVIO</t>
  </si>
  <si>
    <t>ÚLTIMA APROV.</t>
  </si>
  <si>
    <t>PRÓX. ENVIO</t>
  </si>
  <si>
    <t>STATUS PRIMÁRIO</t>
  </si>
  <si>
    <t>AGUARD. RETORNO</t>
  </si>
  <si>
    <t>STATUS SECUNDÁRIO</t>
  </si>
  <si>
    <t>TÉRM. LB</t>
  </si>
  <si>
    <t>TÉRM. TD</t>
  </si>
  <si>
    <t>DESVIO (d)</t>
  </si>
  <si>
    <t>PREV (%)</t>
  </si>
  <si>
    <t>REAL (%)</t>
  </si>
  <si>
    <t>DESVIO (%)</t>
  </si>
  <si>
    <t>M.O PREV.</t>
  </si>
  <si>
    <t>M.O REAL</t>
  </si>
  <si>
    <t>R$ APROVADO</t>
  </si>
  <si>
    <t xml:space="preserve">R$ MEDIDO </t>
  </si>
  <si>
    <t xml:space="preserve">R$ SALDO </t>
  </si>
  <si>
    <t>ID | TÍTULO DA DEMANDA</t>
  </si>
  <si>
    <t>REVISÃO (EC)</t>
  </si>
  <si>
    <t>DATA ENVIO. (EC)</t>
  </si>
  <si>
    <t>DATA APROV. (EC)</t>
  </si>
  <si>
    <t>STATUS PRIMÁRIO (EC)</t>
  </si>
  <si>
    <t>STATUS SECUNDÁRIO (EC)</t>
  </si>
  <si>
    <t>REVISÃO (CR)</t>
  </si>
  <si>
    <t>DATA ENVIO. (CR)</t>
  </si>
  <si>
    <t>DATA APROV. (CR)</t>
  </si>
  <si>
    <t>PRÓX. ENVIO2</t>
  </si>
  <si>
    <t xml:space="preserve">STATUS PRIMÁRIO (EC) </t>
  </si>
  <si>
    <t>TÉRMINO LB</t>
  </si>
  <si>
    <t>SS-10/2025</t>
  </si>
  <si>
    <t>SS-11/2025</t>
  </si>
  <si>
    <t>SS-12/2025</t>
  </si>
  <si>
    <t>SS-14/2025</t>
  </si>
  <si>
    <t>SS-15/2025</t>
  </si>
  <si>
    <t>SS-16/2025</t>
  </si>
  <si>
    <t>SS-17/2025</t>
  </si>
  <si>
    <t>SS-18/2025</t>
  </si>
  <si>
    <t>SS-19/2025</t>
  </si>
  <si>
    <t>SS-20/2025</t>
  </si>
  <si>
    <t>REV.00</t>
  </si>
  <si>
    <t>REV.01</t>
  </si>
  <si>
    <t>REV.02</t>
  </si>
  <si>
    <t>REV.03</t>
  </si>
  <si>
    <t>REV.04</t>
  </si>
  <si>
    <t>REV.05</t>
  </si>
  <si>
    <t>REV.06</t>
  </si>
  <si>
    <t>REV.07</t>
  </si>
  <si>
    <t>REV.08</t>
  </si>
  <si>
    <t>REV.09</t>
  </si>
  <si>
    <t>REV.10</t>
  </si>
  <si>
    <t>DATA ENVIO</t>
  </si>
  <si>
    <t>STATUS ENVIO EC</t>
  </si>
  <si>
    <t>STATUS APROVAÇÃO</t>
  </si>
  <si>
    <t>Coluna1</t>
  </si>
  <si>
    <t>STATUS ENVIO (EC)</t>
  </si>
  <si>
    <t>STATUS APROVAÇÃO (EC)</t>
  </si>
  <si>
    <t>N/A</t>
  </si>
  <si>
    <t>TOTAIS</t>
  </si>
  <si>
    <t>STATUS ENVIO CR</t>
  </si>
  <si>
    <t>STATUS ENVIO (CR)</t>
  </si>
  <si>
    <t>STATUS APROVAÇÃO (CR)</t>
  </si>
  <si>
    <t xml:space="preserve"> -- IMPLANTAÇÃO ÁREA I (EDIVIT, UTG-SUL, TIMS)</t>
  </si>
  <si>
    <t>EDIVIT</t>
  </si>
  <si>
    <t/>
  </si>
  <si>
    <t xml:space="preserve"> -- IMPLANTAÇÃO ÁREA II (UTGC)</t>
  </si>
  <si>
    <t>UTGC</t>
  </si>
  <si>
    <t xml:space="preserve"> -- IMPLANTAÇÃO ÁREA III (REGAP, UTE-IBT)</t>
  </si>
  <si>
    <t>REGAP</t>
  </si>
  <si>
    <t>24-0651-ES - MONTAGEM DO GALPÃO DA UPGN-2</t>
  </si>
  <si>
    <t>23-0706-ES - MANUTENÇÃO DO GALPÃO SECGN</t>
  </si>
  <si>
    <t>23-0803-ES - MANUTENÇÃO DO GALPÃO K-14</t>
  </si>
  <si>
    <t>23-710B-ES - MANUTENÇÃO DO GALPÃO DE BOMBAS DE TRANSFERÊNCIA DE GLP PARA TABR</t>
  </si>
  <si>
    <t>23-0713-ES - MANUTENÇÃO DO GALPÃO K-02</t>
  </si>
  <si>
    <t>23-0707-ES - MANUTENÇÃO DO GALPÃO UPGN-3</t>
  </si>
  <si>
    <t>24-0096-ES - REFORMA DA COBERTURA DO K-04</t>
  </si>
  <si>
    <t>21-0007-ES - DESMONTAGEM DO GALPÃO DA UPCGN-1</t>
  </si>
  <si>
    <t>22-0496-ES - CONSTRUÇÃO DE ÁREA DE ESTOQUE DE MATERIAIS</t>
  </si>
  <si>
    <t>23-0496-ES - ADEQUAÇÃO DOS SANITÁRIOS COLETIVOS - TORRES LESTE E OESTE</t>
  </si>
  <si>
    <t>23-0052-ES - MANUTENÇÃO DAS TORRES DE RESFRIAMENTO</t>
  </si>
  <si>
    <t>23-0052-ES - SUBSTITUIÇÃO DOS ISOLAMENTOS ACÚSTICOS NA CENTRAL DE UTILIDADES</t>
  </si>
  <si>
    <t>23-0291-ES - ADEQUAÇÃO DA LUMINOSIDADE EXTERNA DO EDIVIT</t>
  </si>
  <si>
    <t>24-1110-ES - ADEQUAÇÃO DA SALA DE MONITORAMENTO CISC</t>
  </si>
  <si>
    <t>23-0316-ES - SINALIZAÇÃO DAS ESCADAS</t>
  </si>
  <si>
    <t>25-0147-ES - DISPONIBILIZAÇÃO DE CONTAINER ESCRITÓRIO</t>
  </si>
  <si>
    <r>
      <rPr>
        <b/>
        <u/>
        <sz val="11"/>
        <color theme="0"/>
        <rFont val="Calibri"/>
        <family val="2"/>
        <scheme val="minor"/>
      </rPr>
      <t>UTGC</t>
    </r>
    <r>
      <rPr>
        <b/>
        <sz val="11"/>
        <color theme="0"/>
        <rFont val="Calibri"/>
        <family val="2"/>
        <scheme val="minor"/>
      </rPr>
      <t xml:space="preserve">
CÁLCULO DE ENTREGA INICIAL</t>
    </r>
  </si>
  <si>
    <r>
      <rPr>
        <b/>
        <u/>
        <sz val="11"/>
        <color theme="0"/>
        <rFont val="Calibri"/>
        <family val="2"/>
        <scheme val="minor"/>
      </rPr>
      <t>UTGC</t>
    </r>
    <r>
      <rPr>
        <b/>
        <sz val="11"/>
        <color theme="0"/>
        <rFont val="Calibri"/>
        <family val="2"/>
        <scheme val="minor"/>
      </rPr>
      <t xml:space="preserve">
FERIADOS</t>
    </r>
  </si>
  <si>
    <t>1º ENVIO</t>
  </si>
  <si>
    <t>ÚLT ENVIO</t>
  </si>
  <si>
    <t>APROV</t>
  </si>
  <si>
    <t>INÍCIO LB</t>
  </si>
  <si>
    <t>TÉRM LB</t>
  </si>
  <si>
    <t>SS</t>
  </si>
  <si>
    <t>EMISSÃO DE SS</t>
  </si>
  <si>
    <t>ENTREGA PACOTE</t>
  </si>
  <si>
    <t>HOLD</t>
  </si>
  <si>
    <t>Ano Novo</t>
  </si>
  <si>
    <t>Carnaval</t>
  </si>
  <si>
    <t>Cinzas</t>
  </si>
  <si>
    <t>Sexta-Feira Santa</t>
  </si>
  <si>
    <t>Dia de Tiradentes</t>
  </si>
  <si>
    <t>Nossa Senhora da Penha</t>
  </si>
  <si>
    <t>Dia do Trabalho</t>
  </si>
  <si>
    <t>Corpus Christi</t>
  </si>
  <si>
    <t>Dia dos Linhares</t>
  </si>
  <si>
    <t>Independência do Brasil</t>
  </si>
  <si>
    <t>Nossa Senhora Aparecida</t>
  </si>
  <si>
    <t>Dia de Finados</t>
  </si>
  <si>
    <t>Proclamação da República</t>
  </si>
  <si>
    <t>Consciência Negra</t>
  </si>
  <si>
    <t>Dia de Nossa Senhora da Conceição</t>
  </si>
  <si>
    <t>Natal</t>
  </si>
  <si>
    <r>
      <rPr>
        <b/>
        <u/>
        <sz val="11"/>
        <color theme="0"/>
        <rFont val="Calibri"/>
        <family val="2"/>
        <scheme val="minor"/>
      </rPr>
      <t>EDIVIT</t>
    </r>
    <r>
      <rPr>
        <b/>
        <sz val="11"/>
        <color theme="0"/>
        <rFont val="Calibri"/>
        <family val="2"/>
        <scheme val="minor"/>
      </rPr>
      <t xml:space="preserve">
CÁLCULO DE ENTREGA INICIAL</t>
    </r>
  </si>
  <si>
    <r>
      <rPr>
        <b/>
        <u/>
        <sz val="11"/>
        <color theme="0"/>
        <rFont val="Calibri"/>
        <family val="2"/>
        <scheme val="minor"/>
      </rPr>
      <t>EDIVIT</t>
    </r>
    <r>
      <rPr>
        <b/>
        <sz val="11"/>
        <color theme="0"/>
        <rFont val="Calibri"/>
        <family val="2"/>
        <scheme val="minor"/>
      </rPr>
      <t xml:space="preserve">
FERIADOS</t>
    </r>
  </si>
  <si>
    <t>SS-13/2025</t>
  </si>
  <si>
    <t>Nossa Senhora da Vitória</t>
  </si>
  <si>
    <t>Dia da Construção Civil</t>
  </si>
  <si>
    <r>
      <rPr>
        <b/>
        <u/>
        <sz val="11"/>
        <color theme="0"/>
        <rFont val="Calibri"/>
        <family val="2"/>
        <scheme val="minor"/>
      </rPr>
      <t>REGAP</t>
    </r>
    <r>
      <rPr>
        <b/>
        <sz val="11"/>
        <color theme="0"/>
        <rFont val="Calibri"/>
        <family val="2"/>
        <scheme val="minor"/>
      </rPr>
      <t xml:space="preserve">
CÁLCULO DE ENTREGA INICIAL</t>
    </r>
  </si>
  <si>
    <r>
      <rPr>
        <b/>
        <u/>
        <sz val="11"/>
        <color theme="0"/>
        <rFont val="Calibri"/>
        <family val="2"/>
        <scheme val="minor"/>
      </rPr>
      <t>REGAP</t>
    </r>
    <r>
      <rPr>
        <b/>
        <sz val="11"/>
        <color theme="0"/>
        <rFont val="Calibri"/>
        <family val="2"/>
        <scheme val="minor"/>
      </rPr>
      <t xml:space="preserve">
FERIADOS</t>
    </r>
  </si>
  <si>
    <t>TÍTULO DA SS</t>
  </si>
  <si>
    <t>STATUS</t>
  </si>
  <si>
    <t>UBR APROV</t>
  </si>
  <si>
    <t>UBR MEDIDO</t>
  </si>
  <si>
    <t>SET.25</t>
  </si>
  <si>
    <t>OUT.25</t>
  </si>
  <si>
    <t>NOV.25</t>
  </si>
  <si>
    <t>DEZ.25</t>
  </si>
  <si>
    <t>JAN.26</t>
  </si>
  <si>
    <t>FEV.26</t>
  </si>
  <si>
    <t>MAR.26</t>
  </si>
  <si>
    <t>ABR.26</t>
  </si>
  <si>
    <t>MAI.26</t>
  </si>
  <si>
    <t>JUN.26</t>
  </si>
  <si>
    <t>JUL.26</t>
  </si>
  <si>
    <t>AGO.26</t>
  </si>
  <si>
    <t>SET.26</t>
  </si>
  <si>
    <t>OUT.26</t>
  </si>
  <si>
    <t>NOV.26</t>
  </si>
  <si>
    <t>DEZ.26</t>
  </si>
  <si>
    <t>SS-21/2025</t>
  </si>
  <si>
    <t>SS-22/2025</t>
  </si>
  <si>
    <t>SS-23/2025</t>
  </si>
  <si>
    <t>SS-24/2025</t>
  </si>
  <si>
    <t>24-1106-ES - ADEQUAÇÃO DA SALA DE MONITORAMENTO N1 CISC</t>
  </si>
  <si>
    <t>24-0087-ES - REMOÇÃO DAS TELHAS DE PROTEÇÃO DOS PAINÉIS DO K21 E K40</t>
  </si>
  <si>
    <t>23-0838-ES - ADEQUAÇÃO DA ILUMINAÇÃO VIÁRIA</t>
  </si>
  <si>
    <t>UTGSUL</t>
  </si>
  <si>
    <t xml:space="preserve">SET.25 </t>
  </si>
  <si>
    <t xml:space="preserve">OUT.25 </t>
  </si>
  <si>
    <t xml:space="preserve">NOV.25 </t>
  </si>
  <si>
    <t xml:space="preserve">DEZ.25 </t>
  </si>
  <si>
    <t xml:space="preserve">JAN.26 </t>
  </si>
  <si>
    <t xml:space="preserve">FEV.26 </t>
  </si>
  <si>
    <t xml:space="preserve">MAR.26 </t>
  </si>
  <si>
    <t xml:space="preserve">ABR.26 </t>
  </si>
  <si>
    <t xml:space="preserve">MAI.26 </t>
  </si>
  <si>
    <t xml:space="preserve">JUN.26 </t>
  </si>
  <si>
    <t xml:space="preserve">JUL.26 </t>
  </si>
  <si>
    <t xml:space="preserve">AGO.26 </t>
  </si>
  <si>
    <t xml:space="preserve">SET.26 </t>
  </si>
  <si>
    <t xml:space="preserve">OUT.26 </t>
  </si>
  <si>
    <t xml:space="preserve">NOV.26 </t>
  </si>
  <si>
    <t xml:space="preserve">DEZ.26 </t>
  </si>
  <si>
    <t>-</t>
  </si>
  <si>
    <t>1</t>
  </si>
  <si>
    <t>12</t>
  </si>
  <si>
    <t>2</t>
  </si>
  <si>
    <t>3</t>
  </si>
  <si>
    <t>4</t>
  </si>
  <si>
    <t>5</t>
  </si>
  <si>
    <t>6</t>
  </si>
  <si>
    <t>7</t>
  </si>
  <si>
    <t>8</t>
  </si>
  <si>
    <t>9</t>
  </si>
  <si>
    <t>10</t>
  </si>
  <si>
    <t>11</t>
  </si>
  <si>
    <t>13</t>
  </si>
  <si>
    <t>14</t>
  </si>
  <si>
    <t>15</t>
  </si>
  <si>
    <t>16</t>
  </si>
  <si>
    <t>PLAN</t>
  </si>
  <si>
    <t>MOB</t>
  </si>
  <si>
    <t>ENTR.</t>
  </si>
  <si>
    <t>LEGENDA:</t>
  </si>
  <si>
    <t>DESCRIÇÃO</t>
  </si>
  <si>
    <t>SALA CISC</t>
  </si>
  <si>
    <t>DISP. CONTÊINER</t>
  </si>
  <si>
    <t>ILUM. VIÁRIA</t>
  </si>
  <si>
    <t>RMV. TELHAS</t>
  </si>
  <si>
    <t>TORRE RESFR</t>
  </si>
  <si>
    <t>ACÚSTICO</t>
  </si>
  <si>
    <t>SINALIZAÇÃO ESC</t>
  </si>
  <si>
    <t>SANITÁRIOS</t>
  </si>
  <si>
    <t>LUMINOSIDADE</t>
  </si>
  <si>
    <t>RUÍDOS TORRE RESF</t>
  </si>
  <si>
    <t>IMPLANTAÇÃO EDIVIT</t>
  </si>
  <si>
    <t>IMPLANTAÇÃO UTGC</t>
  </si>
  <si>
    <t>IMPLANTAÇÃO REGAP</t>
  </si>
  <si>
    <t>ETP.01</t>
  </si>
  <si>
    <t>ETP.02</t>
  </si>
  <si>
    <t>ETP.03</t>
  </si>
  <si>
    <t>ETP.04</t>
  </si>
  <si>
    <t>ETP.05</t>
  </si>
  <si>
    <t>ETP.06</t>
  </si>
  <si>
    <t>ETP.07</t>
  </si>
  <si>
    <t>ETP.08</t>
  </si>
  <si>
    <t>ETP.09</t>
  </si>
  <si>
    <t>ETP.10</t>
  </si>
  <si>
    <t xml:space="preserve">%Check </t>
  </si>
  <si>
    <t>%Check</t>
  </si>
  <si>
    <t>SS-25/2025</t>
  </si>
  <si>
    <t>23-0052-ES - ATENUAÇÃO DE RUÍDOS NAS TORRES DE RESFRIAMENTO</t>
  </si>
  <si>
    <t>21-0418-ES - SUBSTITUIÇÃO DAS LINHAS DE ABASTECIMENTO DE ÁGUA DE POÇO TUBULARES</t>
  </si>
  <si>
    <t>ABAST POÇO</t>
  </si>
  <si>
    <t>RO-14/25
RO-15/25</t>
  </si>
  <si>
    <t>RO-98/25
RO-103/25</t>
  </si>
  <si>
    <t>SS-26/2025</t>
  </si>
  <si>
    <t>SS-27/2025</t>
  </si>
  <si>
    <t>SS-28/2025</t>
  </si>
  <si>
    <t>SS-29/2025</t>
  </si>
  <si>
    <t>SS-30/2025</t>
  </si>
  <si>
    <t>25-0395-ES - INTERVENÇÃO NAS INFILTRAÇÕES DA COBERTURA PRÉDIO ADMINISTRATIVO</t>
  </si>
  <si>
    <t>24-0666-ES - ADEQUAÇÃO DE PISO ELEVADO NO CENTRO DE SAÚDE</t>
  </si>
  <si>
    <t>CONCLUÍDA</t>
  </si>
  <si>
    <t>Hh</t>
  </si>
  <si>
    <t>DESVIO (%)
ANT</t>
  </si>
  <si>
    <t>SS-31/2025</t>
  </si>
  <si>
    <t>25-0147-ES - ADEQUAÇÃO NA ÁREA DA NOVA PORTARIA</t>
  </si>
  <si>
    <t>PISO ELEVADO</t>
  </si>
  <si>
    <t>ADEQUAÇÃO PORTARIA</t>
  </si>
  <si>
    <t>FASE</t>
  </si>
  <si>
    <t>%DISTR</t>
  </si>
  <si>
    <t>MÊS</t>
  </si>
  <si>
    <t>SS-10/2025ETP.01</t>
  </si>
  <si>
    <t>SS-10/2025ETP.02</t>
  </si>
  <si>
    <t>SS-10/2025ETP.03</t>
  </si>
  <si>
    <t>SS-10/2025ETP.04</t>
  </si>
  <si>
    <t>SS-10/2025ENTR.</t>
  </si>
  <si>
    <t>SS-11/2025ETP.01</t>
  </si>
  <si>
    <t>SS-11/2025ETP.02</t>
  </si>
  <si>
    <t>SS-11/2025ENTR.</t>
  </si>
  <si>
    <t>SS-12/2025ETP.01</t>
  </si>
  <si>
    <t>SS-12/2025ETP.02</t>
  </si>
  <si>
    <t>SS-12/2025ETP.03</t>
  </si>
  <si>
    <t>SS-12/2025ENTR.</t>
  </si>
  <si>
    <t>SS-15/2025ETP.01</t>
  </si>
  <si>
    <t>SS-15/2025ETP.02</t>
  </si>
  <si>
    <t>SS-15/2025ETP.03</t>
  </si>
  <si>
    <t>SS-15/2025ETP.04</t>
  </si>
  <si>
    <t>SS-15/2025ETP.05</t>
  </si>
  <si>
    <t>SS-15/2025ETP.06</t>
  </si>
  <si>
    <t>SS-15/2025ETP.07</t>
  </si>
  <si>
    <t>SS-15/2025ETP.08</t>
  </si>
  <si>
    <t>SS-15/2025ETP.09</t>
  </si>
  <si>
    <t>SS-15/2025ENTR.</t>
  </si>
  <si>
    <t>SS-16/2025ETP.01</t>
  </si>
  <si>
    <t>SS-16/2025ETP.02</t>
  </si>
  <si>
    <t>SS-16/2025ETP.03</t>
  </si>
  <si>
    <t>SS-16/2025ENTR.</t>
  </si>
  <si>
    <t>SS-17/2025ETP.01</t>
  </si>
  <si>
    <t>SS-17/2025ETP.02</t>
  </si>
  <si>
    <t>SS-17/2025ETP.03</t>
  </si>
  <si>
    <t>SS-17/2025ETP.04</t>
  </si>
  <si>
    <t>SS-17/2025ETP.05</t>
  </si>
  <si>
    <t>SS-17/2025ETP.06</t>
  </si>
  <si>
    <t>SS-17/2025ETP.07</t>
  </si>
  <si>
    <t>SS-17/2025ENTR.</t>
  </si>
  <si>
    <t>SS-18/2025ETP.01</t>
  </si>
  <si>
    <t>SS-18/2025ETP.02</t>
  </si>
  <si>
    <t>SS-18/2025ETP.03</t>
  </si>
  <si>
    <t>SS-18/2025ENTR.</t>
  </si>
  <si>
    <t>SS-19/2025ETP.01</t>
  </si>
  <si>
    <t>SS-19/2025ETP.02</t>
  </si>
  <si>
    <t>SS-19/2025ETP.03</t>
  </si>
  <si>
    <t>SS-19/2025ENTR.</t>
  </si>
  <si>
    <t>SS-20/2025ETP.01</t>
  </si>
  <si>
    <t>SS-20/2025ETP.02</t>
  </si>
  <si>
    <t>SS-20/2025ETP.03</t>
  </si>
  <si>
    <t>SS-22/2025ETP.01</t>
  </si>
  <si>
    <t>SS-22/2025ETP.02</t>
  </si>
  <si>
    <t>SS-22/2025ETP.03</t>
  </si>
  <si>
    <t>SS-22/2025ENTR.</t>
  </si>
  <si>
    <t>SS-23/2025ETP.01</t>
  </si>
  <si>
    <t>SS-23/2025ENTR.</t>
  </si>
  <si>
    <t>SS-24/2025ETP.01</t>
  </si>
  <si>
    <t>SS-24/2025ETP.02</t>
  </si>
  <si>
    <t>SS-24/2025ETP.03</t>
  </si>
  <si>
    <t>SS-24/2025ETP.04</t>
  </si>
  <si>
    <t>SS-24/2025ETP.05</t>
  </si>
  <si>
    <t>SS-24/2025ETP.06</t>
  </si>
  <si>
    <t>SS-24/2025ETP.07</t>
  </si>
  <si>
    <t>SS-24/2025ENTR.</t>
  </si>
  <si>
    <t>COD-SS</t>
  </si>
  <si>
    <t>SS-10/2025PLAN</t>
  </si>
  <si>
    <t>SS-10/2025MOB</t>
  </si>
  <si>
    <t>SS-11/2025PLAN</t>
  </si>
  <si>
    <t>SS-11/2025MOB</t>
  </si>
  <si>
    <t>SS-12/2025PLAN</t>
  </si>
  <si>
    <t>SS-12/2025MOB</t>
  </si>
  <si>
    <t>SS-15/2025PLAN</t>
  </si>
  <si>
    <t>SS-15/2025MOB</t>
  </si>
  <si>
    <t>SS-16/2025PLAN</t>
  </si>
  <si>
    <t>SS-16/2025MOB</t>
  </si>
  <si>
    <t>SS-17/2025PLAN</t>
  </si>
  <si>
    <t>SS-17/2025MOB</t>
  </si>
  <si>
    <t>SS-18/2025PLAN</t>
  </si>
  <si>
    <t>SS-18/2025MOB</t>
  </si>
  <si>
    <t>SS-19/2025PLAN</t>
  </si>
  <si>
    <t>SS-19/2025MOB</t>
  </si>
  <si>
    <t>SS-20/2025PLAN</t>
  </si>
  <si>
    <t>SS-20/2025MOB</t>
  </si>
  <si>
    <t>SS-22/2025PLAN</t>
  </si>
  <si>
    <t>SS-22/2025MOB</t>
  </si>
  <si>
    <t>SS-23/2025PLAN</t>
  </si>
  <si>
    <t>SS-23/2025MOB</t>
  </si>
  <si>
    <t>SS-24/2025PLAN</t>
  </si>
  <si>
    <t>SS-24/2025MOB</t>
  </si>
  <si>
    <t>&gt;&gt;&gt;&gt;&gt;&gt;&gt; PROJEÇÃO DE MEDIÇÃO</t>
  </si>
  <si>
    <t>SS-27/2025PLAN</t>
  </si>
  <si>
    <t>SS-29/2025PLAN</t>
  </si>
  <si>
    <t>SS-26/2025PLAN</t>
  </si>
  <si>
    <t>SS-26/2025MOB</t>
  </si>
  <si>
    <t>SS-27/2025MOB</t>
  </si>
  <si>
    <t>SS-28/2025PLAN</t>
  </si>
  <si>
    <t>SS-28/2025MOB</t>
  </si>
  <si>
    <t>SS-29/2025MOB</t>
  </si>
  <si>
    <t>SS-31/2025PLAN</t>
  </si>
  <si>
    <t>SS-31/2025MOB</t>
  </si>
  <si>
    <t>SS-31/2025ETP.01</t>
  </si>
  <si>
    <t>24-0307-ES - MANUTENÇÃO DO GALPÃO K-23</t>
  </si>
  <si>
    <t>23-0735-ES - MANUTENÇÃO DO GALPÃO K-12</t>
  </si>
  <si>
    <t>23-0831-ES - MANUTENÇÃO DO GALPÃO K-48</t>
  </si>
  <si>
    <t>GALPÃO K-23</t>
  </si>
  <si>
    <t>GALPÃO K-12</t>
  </si>
  <si>
    <t>GALPÃO K-48</t>
  </si>
  <si>
    <t>COBERTURA K-32</t>
  </si>
  <si>
    <t>GALPÃO UPGN-2</t>
  </si>
  <si>
    <t>GALPÃO SECGN</t>
  </si>
  <si>
    <t>GALPÃO K-14</t>
  </si>
  <si>
    <t>GALPÃO K-15</t>
  </si>
  <si>
    <t>GALPÃO K-02</t>
  </si>
  <si>
    <t>GALPÃO UPGN-3</t>
  </si>
  <si>
    <t>SALA K-04</t>
  </si>
  <si>
    <t>GALPÃO UPCGN-1</t>
  </si>
  <si>
    <t>GALPÃO ESTOQUE</t>
  </si>
  <si>
    <t>SS-31/2025ENTR.</t>
  </si>
  <si>
    <t>SS-26/2025ETP.01</t>
  </si>
  <si>
    <t>SS-26/2025ETP.02</t>
  </si>
  <si>
    <t>SS-26/2025ETP.03</t>
  </si>
  <si>
    <t>SS-26/2025ETP.04</t>
  </si>
  <si>
    <t>SS-26/2025ETP.05</t>
  </si>
  <si>
    <t>SS-26/2025ETP.06</t>
  </si>
  <si>
    <t>SS-26/2025ENTR.</t>
  </si>
  <si>
    <t>SS-27/2025ETP.01</t>
  </si>
  <si>
    <t>SS-27/2025ETP.02</t>
  </si>
  <si>
    <t>SS-27/2025ETP.03</t>
  </si>
  <si>
    <t>SS-27/2025ETP.04</t>
  </si>
  <si>
    <t>SS-27/2025ENTR.</t>
  </si>
  <si>
    <t>SS-28/2025ETP.01</t>
  </si>
  <si>
    <t>SS-28/2025ETP.02</t>
  </si>
  <si>
    <t>SS-28/2025ETP.03</t>
  </si>
  <si>
    <t>SS-28/2025ETP.04</t>
  </si>
  <si>
    <t>SS-28/2025ETP.05</t>
  </si>
  <si>
    <t>SS-28/2025ETP.06</t>
  </si>
  <si>
    <t>SS-28/2025ENTR.</t>
  </si>
  <si>
    <t>SS-29/2025ETP.01</t>
  </si>
  <si>
    <t>SS-29/2025ETP.02</t>
  </si>
  <si>
    <t>SS-29/2025ETP.03</t>
  </si>
  <si>
    <t>SS-29/2025ENTR.</t>
  </si>
  <si>
    <t>VALOR</t>
  </si>
  <si>
    <t>SS-10/2025VALOR</t>
  </si>
  <si>
    <t>SS-11/2025VALOR</t>
  </si>
  <si>
    <t>SS-12/2025VALOR</t>
  </si>
  <si>
    <t>SS-14/2025VALOR</t>
  </si>
  <si>
    <t>SS-15/2025VALOR</t>
  </si>
  <si>
    <t>SS-16/2025VALOR</t>
  </si>
  <si>
    <t>SS-17/2025VALOR</t>
  </si>
  <si>
    <t>SS-18/2025VALOR</t>
  </si>
  <si>
    <t>SS-19/2025VALOR</t>
  </si>
  <si>
    <t>SS-20/2025VALOR</t>
  </si>
  <si>
    <t>SS-21/2025VALOR</t>
  </si>
  <si>
    <t>SS-22/2025VALOR</t>
  </si>
  <si>
    <t>SS-23/2025VALOR</t>
  </si>
  <si>
    <t>SS-24/2025VALOR</t>
  </si>
  <si>
    <t>SS-25/2025VALOR</t>
  </si>
  <si>
    <t>SS-26/2025VALOR</t>
  </si>
  <si>
    <t>SS-27/2025VALOR</t>
  </si>
  <si>
    <t>SS-28/2025VALOR</t>
  </si>
  <si>
    <t>SS-29/2025VALOR</t>
  </si>
  <si>
    <t>SS-30/2025VALOR</t>
  </si>
  <si>
    <t>SS-31/2025VALOR</t>
  </si>
  <si>
    <t>RO-399/25
RO-400/25
RO-401/25</t>
  </si>
  <si>
    <t>SS-33/2025</t>
  </si>
  <si>
    <t>SS-32/2025</t>
  </si>
  <si>
    <t>21-0008-ES - ADEQUAÇÕES DO GALPÃO UPCGN-2</t>
  </si>
  <si>
    <t>24-0669-ES - ADEQUAÇÕES EM PISO ELEVADO - PORTARIAS</t>
  </si>
  <si>
    <t>GALPÃO UPCGN-2</t>
  </si>
  <si>
    <t>PISO ELEVADO - PORTARIA</t>
  </si>
  <si>
    <t>SS-32/2025VALOR</t>
  </si>
  <si>
    <t>SS-33/2025VALOR</t>
  </si>
  <si>
    <t>CANTEIRO DA INOVA</t>
  </si>
  <si>
    <t>GESTÃO (ADM LOCAL)</t>
  </si>
  <si>
    <t>EXECUÇÃO DE SERVIÇOS</t>
  </si>
  <si>
    <t>APROV. PLANEJAMENTO</t>
  </si>
  <si>
    <t>MOBILIZAÇÃO</t>
  </si>
  <si>
    <t>ADM</t>
  </si>
  <si>
    <t>SERV</t>
  </si>
  <si>
    <t>FASE-FINAL</t>
  </si>
  <si>
    <t>ON HOLD</t>
  </si>
  <si>
    <t>FISCALIZ.</t>
  </si>
  <si>
    <t>TIPO</t>
  </si>
  <si>
    <t>SERVIÇO</t>
  </si>
  <si>
    <t>SS-01/2025</t>
  </si>
  <si>
    <t>SS-02/2025</t>
  </si>
  <si>
    <t>SS-03/2025</t>
  </si>
  <si>
    <t>SS-04/2025</t>
  </si>
  <si>
    <t>SS-05/2025</t>
  </si>
  <si>
    <t>SS-06/2025</t>
  </si>
  <si>
    <t>SS-07/2025</t>
  </si>
  <si>
    <t>SS-08/2025</t>
  </si>
  <si>
    <t>SS-09/2025</t>
  </si>
  <si>
    <t>SS-01/2026</t>
  </si>
  <si>
    <t>SS-04/2025VALOR</t>
  </si>
  <si>
    <t>SS-04/2025PLAN</t>
  </si>
  <si>
    <t>SS-04/2025MOB</t>
  </si>
  <si>
    <t>SS-04/2025ETP.01</t>
  </si>
  <si>
    <t>SS-04/2025ETP.02</t>
  </si>
  <si>
    <t>SS-04/2025ETP.03</t>
  </si>
  <si>
    <t>SS-04/2025ETP.04</t>
  </si>
  <si>
    <t>SS-04/2025ETP.05</t>
  </si>
  <si>
    <t>SS-04/2025ETP.06</t>
  </si>
  <si>
    <t>SS-04/2025ETP.07</t>
  </si>
  <si>
    <t>SS-04/2025ETP.08</t>
  </si>
  <si>
    <t>SS-04/2025ENTR.</t>
  </si>
  <si>
    <t>SS-05/2025VALOR</t>
  </si>
  <si>
    <t>SS-05/2025PLAN</t>
  </si>
  <si>
    <t>SS-05/2025MOB</t>
  </si>
  <si>
    <t>SS-05/2025ETP.01</t>
  </si>
  <si>
    <t>SS-05/2025ETP.02</t>
  </si>
  <si>
    <t>SS-05/2025ETP.03</t>
  </si>
  <si>
    <t>SS-05/2025ENTR.</t>
  </si>
  <si>
    <t>SS-06/2025VALOR</t>
  </si>
  <si>
    <t>SS-06/2025PLAN</t>
  </si>
  <si>
    <t>SS-06/2025MOB</t>
  </si>
  <si>
    <t>SS-06/2025ETP.01</t>
  </si>
  <si>
    <t>SS-06/2025ETP.02</t>
  </si>
  <si>
    <t>SS-06/2025ETP.03</t>
  </si>
  <si>
    <t>SS-06/2025ENTR.</t>
  </si>
  <si>
    <t>SS-07/2025VALOR</t>
  </si>
  <si>
    <t>SS-07/2025PLAN</t>
  </si>
  <si>
    <t>SS-07/2025MOB</t>
  </si>
  <si>
    <t>SS-07/2025ETP.01</t>
  </si>
  <si>
    <t>SS-07/2025ETP.02</t>
  </si>
  <si>
    <t>SS-07/2025ETP.03</t>
  </si>
  <si>
    <t>SS-07/2025ENTR.</t>
  </si>
  <si>
    <t>SS-08/2025VALOR</t>
  </si>
  <si>
    <t>SS-08/2025PLAN</t>
  </si>
  <si>
    <t>SS-08/2025MOB</t>
  </si>
  <si>
    <t>SS-08/2025ETP.01</t>
  </si>
  <si>
    <t>SS-08/2025ETP.02</t>
  </si>
  <si>
    <t>SS-08/2025ETP.03</t>
  </si>
  <si>
    <t>SS-08/2025ENTR.</t>
  </si>
  <si>
    <t>SS-09/2025VALOR</t>
  </si>
  <si>
    <t>SS-09/2025PLAN</t>
  </si>
  <si>
    <t>SS-09/2025MOB</t>
  </si>
  <si>
    <t>SS-09/2025ETP.01</t>
  </si>
  <si>
    <t>SS-09/2025ETP.02</t>
  </si>
  <si>
    <t>SS-09/2025ETP.03</t>
  </si>
  <si>
    <t>SS-09/2025ENTR.</t>
  </si>
  <si>
    <t>SS-01/2026VALOR</t>
  </si>
  <si>
    <t>SS-32/2025PLAN</t>
  </si>
  <si>
    <t>SS-32/2025MOB</t>
  </si>
  <si>
    <t>SS-32/2025ETP.01</t>
  </si>
  <si>
    <t>SS-32/2025ENTR.</t>
  </si>
  <si>
    <t>SS-01/2026PLAN</t>
  </si>
  <si>
    <t>SS-01/2026MOB</t>
  </si>
  <si>
    <t>SS-01/2026ETP.01</t>
  </si>
  <si>
    <t>SS-01/2026ETP.02</t>
  </si>
  <si>
    <t>SS-01/2026ETP.03</t>
  </si>
  <si>
    <t>SS-01/2026ENTR.</t>
  </si>
  <si>
    <t>SS-30/2025PLAN</t>
  </si>
  <si>
    <t>SS-30/2025MOB</t>
  </si>
  <si>
    <t>SS-30/2025ETP.01</t>
  </si>
  <si>
    <t>SS-30/2025ETP.02</t>
  </si>
  <si>
    <t>SS-30/2025ETP.03</t>
  </si>
  <si>
    <t>SS-30/2025ENTR.</t>
  </si>
  <si>
    <t>SS-33/2025PLAN</t>
  </si>
  <si>
    <t>SS-33/2025MOB</t>
  </si>
  <si>
    <t>SS-33/2025ETP.01</t>
  </si>
  <si>
    <t>SS-33/2025ETP.02</t>
  </si>
  <si>
    <t>SS-33/2025ETP.03</t>
  </si>
  <si>
    <t>SS-33/2025ETP.04</t>
  </si>
  <si>
    <t>SS-33/2025ETP.05</t>
  </si>
  <si>
    <t>SS-33/2025ETP.06</t>
  </si>
  <si>
    <t>SS-33/2025ETP.07</t>
  </si>
  <si>
    <t>SS-33/2025ENTR.</t>
  </si>
  <si>
    <t>JAN.27</t>
  </si>
  <si>
    <t>FEV.27</t>
  </si>
  <si>
    <t>MAR.27</t>
  </si>
  <si>
    <t>ABR.27</t>
  </si>
  <si>
    <t>MAI.27</t>
  </si>
  <si>
    <t>JUN.27</t>
  </si>
  <si>
    <t>JUL.27</t>
  </si>
  <si>
    <t>AGO.27</t>
  </si>
  <si>
    <t>EDIVIT|UTGSUL</t>
  </si>
  <si>
    <t>RO-431/25
RO-433/25
RO-434/25
RO-77/26
RO-87/26</t>
  </si>
  <si>
    <t>SS-02/2026</t>
  </si>
  <si>
    <t>SS-03/2026</t>
  </si>
  <si>
    <t>SS-04/2026</t>
  </si>
  <si>
    <t>21-0008-ES - PREPARAÇÃO DE ÁREA PARA INSTALAÇÃO DO CANTEIRO DA INOVA</t>
  </si>
  <si>
    <t>23-0828-ES - MANUTENÇÃO DO GALPÃO K-56</t>
  </si>
  <si>
    <t>23-0736-ES - MANUTENÇÃO DO DEPÓSITO DE PIG K-34</t>
  </si>
  <si>
    <t>24-0653-ES - REFORMA DO TELHADO DO K-26</t>
  </si>
  <si>
    <t>EM PLANEJ.</t>
  </si>
  <si>
    <t>DEPÓSITO DE PIG K-34</t>
  </si>
  <si>
    <t>GALPÃO K-56</t>
  </si>
  <si>
    <t>GALPÃO K-26</t>
  </si>
  <si>
    <t>SS-02/2026VALOR</t>
  </si>
  <si>
    <t>SS-02/2026PLAN</t>
  </si>
  <si>
    <t>SS-03/2026VALOR</t>
  </si>
  <si>
    <t>SS-03/2026PLAN</t>
  </si>
  <si>
    <t>SS-04/2026VALOR</t>
  </si>
  <si>
    <t>SS-04/2026PLAN</t>
  </si>
  <si>
    <t>SS-02/2026MOB</t>
  </si>
  <si>
    <t>SS-03/2026MOB</t>
  </si>
  <si>
    <t>SS-04/2026MOB</t>
  </si>
  <si>
    <t>SS-24/2025ETP.08</t>
  </si>
  <si>
    <t>SS-24/2025ETP.09</t>
  </si>
  <si>
    <t>ETP.11</t>
  </si>
  <si>
    <t>SS-04/2025JAN.27</t>
  </si>
  <si>
    <t>SS-05/2025JAN.27</t>
  </si>
  <si>
    <t>SS-06/2025JAN.27</t>
  </si>
  <si>
    <t>SS-07/2025JAN.27</t>
  </si>
  <si>
    <t>SS-08/2025JAN.27</t>
  </si>
  <si>
    <t>SS-09/2025JAN.27</t>
  </si>
  <si>
    <t>SS-10/2025JAN.27</t>
  </si>
  <si>
    <t>SS-11/2025JAN.27</t>
  </si>
  <si>
    <t>SS-12/2025JAN.27</t>
  </si>
  <si>
    <t>SS-14/2025JAN.27</t>
  </si>
  <si>
    <t>SS-15/2025JAN.27</t>
  </si>
  <si>
    <t>SS-16/2025JAN.27</t>
  </si>
  <si>
    <t>SS-17/2025JAN.27</t>
  </si>
  <si>
    <t>SS-18/2025JAN.27</t>
  </si>
  <si>
    <t>SS-19/2025JAN.27</t>
  </si>
  <si>
    <t>SS-20/2025JAN.27</t>
  </si>
  <si>
    <t>SS-21/2025JAN.27</t>
  </si>
  <si>
    <t>SS-22/2025JAN.27</t>
  </si>
  <si>
    <t>SS-23/2025JAN.27</t>
  </si>
  <si>
    <t>SS-24/2025JAN.27</t>
  </si>
  <si>
    <t>SS-25/2025JAN.27</t>
  </si>
  <si>
    <t>SS-26/2025JAN.27</t>
  </si>
  <si>
    <t>SS-27/2025JAN.27</t>
  </si>
  <si>
    <t>SS-28/2025JAN.27</t>
  </si>
  <si>
    <t>SS-29/2025JAN.27</t>
  </si>
  <si>
    <t>SS-30/2025JAN.27</t>
  </si>
  <si>
    <t>SS-31/2025JAN.27</t>
  </si>
  <si>
    <t>SS-32/2025JAN.27</t>
  </si>
  <si>
    <t>SS-33/2025JAN.27</t>
  </si>
  <si>
    <t>SS-01/2026JAN.27</t>
  </si>
  <si>
    <t>SS-02/2026JAN.27</t>
  </si>
  <si>
    <t>SS-03/2026JAN.27</t>
  </si>
  <si>
    <t>SS-04/2026JAN.27</t>
  </si>
  <si>
    <t>FEV.262</t>
  </si>
  <si>
    <t>SS-04/2025FEV.262</t>
  </si>
  <si>
    <t>SS-05/2025FEV.262</t>
  </si>
  <si>
    <t>SS-06/2025FEV.262</t>
  </si>
  <si>
    <t>SS-07/2025FEV.262</t>
  </si>
  <si>
    <t>SS-08/2025FEV.262</t>
  </si>
  <si>
    <t>SS-09/2025FEV.262</t>
  </si>
  <si>
    <t>SS-10/2025FEV.262</t>
  </si>
  <si>
    <t>SS-11/2025FEV.262</t>
  </si>
  <si>
    <t>SS-12/2025FEV.262</t>
  </si>
  <si>
    <t>SS-14/2025FEV.262</t>
  </si>
  <si>
    <t>SS-15/2025FEV.262</t>
  </si>
  <si>
    <t>SS-16/2025FEV.262</t>
  </si>
  <si>
    <t>SS-17/2025FEV.262</t>
  </si>
  <si>
    <t>SS-18/2025FEV.262</t>
  </si>
  <si>
    <t>SS-19/2025FEV.262</t>
  </si>
  <si>
    <t>SS-20/2025FEV.262</t>
  </si>
  <si>
    <t>SS-21/2025FEV.262</t>
  </si>
  <si>
    <t>SS-22/2025FEV.262</t>
  </si>
  <si>
    <t>SS-23/2025FEV.262</t>
  </si>
  <si>
    <t>SS-24/2025FEV.262</t>
  </si>
  <si>
    <t>SS-25/2025FEV.262</t>
  </si>
  <si>
    <t>SS-26/2025FEV.262</t>
  </si>
  <si>
    <t>SS-27/2025FEV.262</t>
  </si>
  <si>
    <t>SS-28/2025FEV.262</t>
  </si>
  <si>
    <t>SS-29/2025FEV.262</t>
  </si>
  <si>
    <t>SS-30/2025FEV.262</t>
  </si>
  <si>
    <t>SS-31/2025FEV.262</t>
  </si>
  <si>
    <t>SS-32/2025FEV.262</t>
  </si>
  <si>
    <t>SS-33/2025FEV.262</t>
  </si>
  <si>
    <t>SS-01/2026FEV.262</t>
  </si>
  <si>
    <t>SS-02/2026FEV.262</t>
  </si>
  <si>
    <t>SS-03/2026FEV.262</t>
  </si>
  <si>
    <t>SS-04/2026FEV.262</t>
  </si>
  <si>
    <t>CANCELADA</t>
  </si>
  <si>
    <t>SS-05/2026</t>
  </si>
  <si>
    <t>24-1172-ES - REFORMA DO TELHADO DO K-24</t>
  </si>
  <si>
    <t>24-0968-ES - INSTALAÇÃO DE SISTEMA DE CLIMATIZAÇÃO NO K-24</t>
  </si>
  <si>
    <t>SS-07/2026</t>
  </si>
  <si>
    <t>SS-02/2026ETP.01</t>
  </si>
  <si>
    <t>SS-02/2026ETP.02</t>
  </si>
  <si>
    <t>SS-02/2026ETP.03</t>
  </si>
  <si>
    <t>SS-02/2026ETP.04</t>
  </si>
  <si>
    <t>SS-02/2026ETP.05</t>
  </si>
  <si>
    <t>SS-02/2026ETP.06</t>
  </si>
  <si>
    <t>SS-02/2026ENTR.</t>
  </si>
  <si>
    <t>SS-04/2026ETP.01</t>
  </si>
  <si>
    <t>SS-04/2026ETP.02</t>
  </si>
  <si>
    <t>SS-04/2026ETP.03</t>
  </si>
  <si>
    <t>SS-04/2026ETP.04</t>
  </si>
  <si>
    <t>SS-04/2026ETP.05</t>
  </si>
  <si>
    <t>SS-04/2026ETP.06</t>
  </si>
  <si>
    <t>SS-04/2026ETP.07</t>
  </si>
  <si>
    <t>SS-04/2026ENTR.</t>
  </si>
  <si>
    <t>ACUM</t>
  </si>
  <si>
    <t>TOTAL MEDIDO</t>
  </si>
  <si>
    <t>SS-06/2026</t>
  </si>
  <si>
    <t>21-0036-ES - DESMONTAGEM DOS CHILLERS DE ABSORÇÃO E RECUPERADORES DE ENERGIA</t>
  </si>
  <si>
    <t>DIARIO</t>
  </si>
  <si>
    <t>Implantação - Mobilização/Desmobilização</t>
  </si>
  <si>
    <t>UP3U</t>
  </si>
  <si>
    <t>FGCY</t>
  </si>
  <si>
    <t>PEDROCARDOSO</t>
  </si>
  <si>
    <t>0,000</t>
  </si>
  <si>
    <t>23.579,171</t>
  </si>
  <si>
    <t>34.768,551</t>
  </si>
  <si>
    <t>Reformas prediais, administrativo- C/mat</t>
  </si>
  <si>
    <t>5900</t>
  </si>
  <si>
    <t>Não</t>
  </si>
  <si>
    <t>SS-2/2025</t>
  </si>
  <si>
    <t>Os somatrios desde incio at o prazo final da SS dos acmulos de hora parada e meteorolgicas no final da SS a Petrobras ir analisar se e cabvel o abono revertido em acrscimo de dias no prazo de entrega da demanda.Final de semana (sbado) equipe administrativa no atuou nas atividades administrativas de mobilizao geral. Sem atividades.Sem efetivo de mo de obra direta para prosseguir com a execuo.RO aceito pela fiscalizao.</t>
  </si>
  <si>
    <t>RO DIRIO DE OBRA - SS-2/2025 (IMPLANTAO)&amp;gt; SEM EXPEDIENTE;</t>
  </si>
  <si>
    <t>Diária</t>
  </si>
  <si>
    <t>04/10/2025</t>
  </si>
  <si>
    <t>Aprovado</t>
  </si>
  <si>
    <t>4600684819</t>
  </si>
  <si>
    <t>RO-47/2025</t>
  </si>
  <si>
    <t>CT4_KVSF_SIGEM</t>
  </si>
  <si>
    <t>Os somatrios desde incio at o prazo final da SS dos acmulos de hora parada e meteorolgicas no final da SS a Petrobras ir analisar se e cabvel o abono revertido em acrscimo de dias no prazo de entrega da demanda.Dia 23/09/2025, equipe de gesto deu continuidade s atividades de mobilizao.Equipe trabalhando na elaborao da documentao dos colaboradores e cadastro no prestserv, correo de procedimento da UPCGN-1 para anlise.Elaborao do pacote de planejamento das demandas.</t>
  </si>
  <si>
    <t>RO DIRIO DE OBRA - SS-2/2025 (IMPLANTAO)&amp;gt; CADASTRO DE COLABORADORES NO PRESTSERV;&amp;gt; ELABORAO DE DOCUMENTAO DE SMS (PROCEDIMENTOS E APR'S);&amp;gt; LEVANTAMENTO DE MATERIAIS PARA ADEQUAO DE CANTEIRO;&amp;gt; ELABORAO DO PACOTE DE PLANEJAMENTO DE DEMANDAS DE SERVIOS.</t>
  </si>
  <si>
    <t>23/09/2025</t>
  </si>
  <si>
    <t>RO-21/2025</t>
  </si>
  <si>
    <t>Serviços de Reparos Programados</t>
  </si>
  <si>
    <t>FEXN</t>
  </si>
  <si>
    <t>ELISEUGOMES</t>
  </si>
  <si>
    <t>0,002</t>
  </si>
  <si>
    <t>769,820</t>
  </si>
  <si>
    <t>20</t>
  </si>
  <si>
    <t>Para concluso dos servios est restando somente a concluso da substituio das telas e isolamento acstico da parede Norte nas partes mais altas que comeou a ser executada pelos Iratas no dia 10/01/26, ser necessrio mais um dia de atividades dos Iratas para a concluso dos servios na parede norte e consequentemente concluso dos servios da SS.</t>
  </si>
  <si>
    <t>SEM ATIVIDADE NESTE DIA.</t>
  </si>
  <si>
    <t>19/01/2026</t>
  </si>
  <si>
    <t>Aguardando Aprovação</t>
  </si>
  <si>
    <t>RO-69/2026</t>
  </si>
  <si>
    <t>Dia 20/11/25, Feriado no houve expediente.</t>
  </si>
  <si>
    <t>RO DIRIO DE OBRA - SS-16/2025 (ISOLAMENTO ACSTICO)SEM EXPEDIENTE.</t>
  </si>
  <si>
    <t>20/11/2025</t>
  </si>
  <si>
    <t>RO-250/2025</t>
  </si>
  <si>
    <t>Domingo, dia 25/01/26, no houve expediente.</t>
  </si>
  <si>
    <t>SEM EXPEDIENTE - DOMINGO</t>
  </si>
  <si>
    <t>25/01/2026</t>
  </si>
  <si>
    <t>RO-116/2026</t>
  </si>
  <si>
    <t>EWZQ</t>
  </si>
  <si>
    <t>0,001</t>
  </si>
  <si>
    <t>304,320</t>
  </si>
  <si>
    <t>Fiscalizao aprova o relatrio apresentado!</t>
  </si>
  <si>
    <t>RO DIRIO DE OBRA - SS-19/2025 (SINALIZAO DAS ESCADAS)&amp;gt;EXECUO DE DEMARCAO DE PISO - BLOCO 4 - LADO LESTE - GARAGENS - [MOD: 6]&amp;gt;&amp;gt;PTT: 20884918 (HR SOLIC 07:30 | HR LIB 07:50 | ATRASO 00:00) - (HR ENC 16:30 | ATRASO 00:00)&amp;gt;&amp;gt; CONDIES CLIMTICAS: TEMPO BOM&amp;gt;&amp;gt;&amp;gt; IMPEDIMENTOS ACUMULADOSLIBERAO PT/PTT: 00:00 = 0,00dCONDIES CLIMTICAS: 00:00 = 0,00dPETROBRAS: 00:00 = 0,00d</t>
  </si>
  <si>
    <t>10/11/2025</t>
  </si>
  <si>
    <t>RO-206/2025</t>
  </si>
  <si>
    <t>19.743,098</t>
  </si>
  <si>
    <t>26.751,941</t>
  </si>
  <si>
    <t>SS-1/2025</t>
  </si>
  <si>
    <t>Domingo, dia 12/10/25, no houve expediente de trabalho.</t>
  </si>
  <si>
    <t>RO DIRIO DE OBRA - SS-1/2025 (IMPLANTAO)&amp;gt; SEM EXPEDIENTE.</t>
  </si>
  <si>
    <t>12/10/2025</t>
  </si>
  <si>
    <t>RO-63/2025</t>
  </si>
  <si>
    <t>1.568,588</t>
  </si>
  <si>
    <t>5.602,110</t>
  </si>
  <si>
    <t>A equipe da APJ Engenharia esteve em recesso durante o perodo de 24/12/25 a 04/01/26, o recesso foi compensado conforme alinhado entre a fiscalizao e a superviso da APJ e a Supervisora de Obras Petrobras, Patricia Fasheber.</t>
  </si>
  <si>
    <t>INFORMAMOS QUE DURANTE O PERODO DE 24/12/2025 A 04/01/2026 NO HOUVE EXPEDIENTE.RECESSO DE FINAL DE ANO, QUE FOI COMPENSADO COM O BANCO DE HORAS.</t>
  </si>
  <si>
    <t>04/01/2026</t>
  </si>
  <si>
    <t>24/12/2025</t>
  </si>
  <si>
    <t>RO-9/2026</t>
  </si>
  <si>
    <t>1.745,985</t>
  </si>
  <si>
    <t>4.157,110</t>
  </si>
  <si>
    <t>RAFAELSARAUJO</t>
  </si>
  <si>
    <t>14.414,733</t>
  </si>
  <si>
    <t>30.999,425</t>
  </si>
  <si>
    <t>SS-4/2025</t>
  </si>
  <si>
    <t>Os somatrios desde incio at o prazo final da SS dos acmulos de hora parada e meteorolgicas no final da SS a Petrobras ir analisar se e cabvel o abono revertido em acrscimo de dias no prazo de entrega da demanda.No dia 20/11 (quarta-feira) houve paralisao no bairro Aviso da empresa Ektor, a fiscalizao e a contratada conseguiram acessar a unidade no horrio do almoo.As atividades iniciaram com atraso de 4h (TODAS as demandas). Houve incidncia de ventos  tarde, que no foi pontuado pela contratada, as atividades em altura foram paralisadas.1. UPCGN-1:Foi programada a PTT conforme pontuado pela contratada, da disciplina de caldeiraria, desmontagem da estrutura em solo.Atividade em altura de remoo dos pontaletes paralisada, ventos acima de 50 km/h.2. SECGN:A atividade da equipe de caldeiraria (iratas) com uso de talhas foi paralisada, ventos acima de 50 km/h.Equipe de eltrica atuou na atividade de adequao da rede eltrica do galpo, em solo.3. UPGN-3:Foram programadas as PTT's de caldeiraria convencional, eltrica, pintura e irata.A equipe de caldeiraria atuou na instalao das venezianas.Demais atividades no foram executadas, devido ao horrio da liberao.4. K-15:Equipe de caldeiraria atuou na montagem das estruturas metlicas.05. K-04:No K-04 a equipe de civil atuou na instalao de roda forro e tratamento das paredes internas da sala.Faltou anexar a SS do K-04 no RDO.6. K-14:No foi executada nenhuma atividade, a PT de pintura programada (20.936.221) foi cancelada.7. UPGN-2:No foi executada nenhuma atividade, a PT de caldeiraria programada (20.936.180) foi cancelada.RO aceito pela fiscalizao.</t>
  </si>
  <si>
    <t>RO DIRIO DE OBRA - SS-04/2025 (UPGN-2)  &amp;gt; RETIRADA DE INSERTS - [MOD: 03 | PEMT: 01] PT:20936180 (HR SOLIC 13:00 | HR LIB 14:00 | ATRASO 000:00) - (HR ENC 16:30 | ATRASO 00:00)  AS ATIVIDADES NO FORAM EXECUTADAS NO PERIODO DA MANH DEVIDO PARALIZAO NA ESTRADA PELA EMPRESA EKTOR  &amp;gt;&amp;gt; CONDIES CLIMTICAS: TEMPO BOM  &amp;gt;&amp;gt;&amp;gt; IMPEDIMENTOS ACUMULADOS LIBERAO PT/PTT: 00:00 = 0,00d CONDIES CLIMTICAS: 00:00 = 0,00d PETROBRAS: 00:00 = 0,00d OUTROS: 20:00 = 2,00d RO DIRIO DE OBRA - SS-5/2025 (SECGN)  &amp;gt;ADEQUAO DOS SUPORTES DAS CALHAS DO GALPO- [MOD: 06 | PEMT00 ] PT:20936127(HR SOLIC 13:32 | HR LI 13:32 | ATRASO 00:00) - (HR ENC 16:30 | ATRASO 00:00) &amp;gt; INSTALAO DE INFRA ESTRUTURAS ELETRICA - [MOD: 02 | PEMT: 01] PT:20936066 (HR SOLIC 12:20 | HR LIB 13:40 | ATRASO 00:00) - (HR ENC 16:30 | ATRASO 00:00) AS ATIVIDADES NO FORAM EXECUTADAS NO PERIODO DA MANH DEVIDO PARALIZAO NA ESTRADA PELA EMPRESA EKTOR  &amp;gt;&amp;gt; CONDIES CLIMTICAS:: TEMPO BOM  &amp;gt;&amp;gt;&amp;gt; IMPEDIMENTOS ACUMULADOS LIBERAO PT/PTT: 10:29 = 1,19d CONDIES CLIMTICAS: 36:50 = 3,85d PETROBRAS: 05:30 = 0,81d OUTROS: 28:00 = 3,00d  RO DIRIO DE OBRA - SS-6/2025 (GALPO K-14)  &amp;gt; TRATAMENTO E PINTUTA DA ESTRUTURA DE CONCRETO - [MOD: 02| PEMT-0] PT:20936221 (HR SOLIC 13:30 | HR LIB 13:30| ATRASO 00:00) - (HR ENC 16:30 | ATRASO 00:00  AS ATIVIDADES NO FORAM EXECUTADAS NO PERIODO DA MANH DEVIDO PARALIZAO NA ESTRADA PELA EMPRESA EKTOR  &amp;gt;&amp;gt; CONDIES CLIMTICAS:TEMPO BOM  &amp;gt;&amp;gt;&amp;gt; IMPEDIMENTOS ACUMULADOS LIBERAO PT/PTT: 06:43 = 0,83d CONDIES CLIMTICAS: 00:00 = 0,00d PETROBRAS: 00:00 = 0,00d OUTROS: 28:00 = 3,00d RO DIRIO DE OBRA - SS-7/2025 (GALPO K-15)  &amp;gt;RELIZANDO APERTOS E ADEQUAES NAS ESTRUTURAS METALICAS [MOD: 04 | PEMT: 1] PT20936202(HR SOLIC 12:40 | HR LIB 13:30| ATRASO 00:00) - (HR ENC 16:30 | ATRASO 00:00) AS ATIVIDADES NO FORAM EXECUTADAS NO PERIODO DA MANH DEVIDO PARALIZAO NA ESTRADA PELA EMPRESA EKTOR &amp;gt;&amp;gt; CONDIES CLIMTICAS:TEMPO BOM  &amp;gt;&amp;gt;&amp;gt; IMPEDIMENTOS ACUMULADOS LIBERAO PT/PTT: 10:23 = 1,19d CONDIES CLIMTICAS: 14:50 = 0,84d PETROBRAS: 00:00 = 0,00d OUTROS: 28:00 = 3,00d RO DIRIO DE OBRA - SS-9/2025 (UPGN-3)  &amp;gt; REALIZANDO INSTALAO DE VENEZIANAS LATERAIS - [MOD: 04| PEMT-01] PT:20867402(HR SOLIC 12:00| HR LIB 12:10 | ATRASO 00:00) - (HR ENC 16:30 | ATRASO 00:00)  AS ATIVIDADES NO FORAM EXECUTADAS NO PERIODO DA MANH DEVIDO PARALIZAO NA ESTRADA PELA EMPRESA EKTOR &amp;gt;&amp;gt; CONDIES CLIMTICAS::TEMPO BOM   &amp;gt;&amp;gt;&amp;gt; IMPEDIMENTOS ACUMULADOS LIBERAO PT/PTT: 18:31= 2,86d CONDIES CLIMTICAS: 38:20 = 4,24d PETROBRAS: 00:00 = 0,00d OUTROS: 28:00 = 3,00d  RO DIRIO DE OBRA - SS-11/2025 (UPCGN-1)  &amp;gt; DESMONTAGEM DOS PERFIS E RETIRADA DE TELHAS E RETIRADA DE INSERTS - [MOD: 05 | PEMT: 02] PT 20867560(HR SOLIC 12:00 | HR LIB 12:00 | ATRASO 00:00) - (HR ENC 16:30 | ATRASO 00:00)   AS ATIVIDADES NO FORAM EXECUTADAS NO PERIODO DA MANH DEVIDO PARALIZAO NA ESTRADA PELA EMPRESA EKTOR &amp;gt;&amp;gt; CONDIES CLIMTICAS: TEMPO BOM  &amp;gt;&amp;gt;&amp;gt; IMPEDIMENTOS ACUMULADOS LIBERAO PT/PTT: 07:26 = 0,83d CONDIES CLIMTICAS: 61:11 = 6,25d PETROBRAS: 00:00 = 0,00d OUTROS: 28:00 = 3,00d RO DIRIO DE OBRA - SS-18/2025 (ADEQUAO DA SALA DE MONITORAMENTO N1 CISC)&amp;gt;REFORMA DA SALA INTERNA DO K-04 (ANTIGA SALA TIC) - [MOD: 04 | PEMT: 0]PT: 20940440(HR SOLIC 12:46| HR LIB 12:53 | ATRASO 00:00) - (HR ENC 16:30 | ATRASO 00:00 &amp;gt;MONTAGEM DE CAVALETES PARA ISOLAMENTO DAS ATIVIDADES- [MOD: 03 | PEMT: 0]PT:20871373 (HR SOLIC 12:20| HR LIB 12:20 | ATRASO 00:00) - (HR ENC 16:30 | ATRASO 00:00AS ATIVIDADES NO FORAM EXECUTADAS NO PERIODO DA MANH DEVIDO PARALIZAO NA ESTRADA PELA EMPRESA EKTOR   &amp;gt;&amp;gt; CONDIES CLIMTICAS: TEMPO BOM  &amp;gt;&amp;gt;&amp;gt; IMPEDIMENTOS ACUMULADOS LIBERAO PT/PTT: 00:00 = 0,00d CONDIES CLIMTICAS: 00:00 = 0,00d PETROBRAS: 00:00 = 0,00d OUTROS: 28:00 = 3,00</t>
  </si>
  <si>
    <t>RO-261/2025</t>
  </si>
  <si>
    <t>2.888,829</t>
  </si>
  <si>
    <t>SS-5/2025</t>
  </si>
  <si>
    <t>2.422,112</t>
  </si>
  <si>
    <t>4.521,272</t>
  </si>
  <si>
    <t>SS-6/2025</t>
  </si>
  <si>
    <t>1.928,892</t>
  </si>
  <si>
    <t>SS-7/2025</t>
  </si>
  <si>
    <t>1.984,150</t>
  </si>
  <si>
    <t>SS-9/2025</t>
  </si>
  <si>
    <t>SS-17- Adequao da Luminosidade.Atividades executadas: Execuo da instalao/substituio das luminrias na regio de talude em frente as cancelas de entrada de veculos, prximo a praa das bandeiras.a atividade foi iniciada aps a instalao da linha de vida que foi feita pelos profissionais Iratas.</t>
  </si>
  <si>
    <t>"RO DIRIO E OBRA - SS-17/2025 (LUMINOSIDADE)&amp;gt;SUBSTITUIO DAS LUMINRIAS NO TALUDE - MOD:2 |PT: (21180614 |HR SOLIC 07:30 | HR LIB 10:30 |ATRASO 02:30|) - (HR ENC 16:30 | ATRASO 00:00)&amp;gt;&amp;gt;CONDIES CLIMTICAS: TEMPO BOM&amp;gt;&amp;gt;&amp;gt;IMPEDIMENTOS ACUMULADOSLIBERAO PT/PTT: 11:34 = 1,45dCONDIES CLIMTICAS: 39:00 = 4,88dPETROBRAS: 19:00 = 2,38dOUTROS: 2:20 = 0,3dAPJ: 0:00 = 0d"</t>
  </si>
  <si>
    <t>24/01/2026</t>
  </si>
  <si>
    <t>RO-114/2026</t>
  </si>
  <si>
    <t>Fiscalizao aprova RO apresentado.Domingo sem atividades.</t>
  </si>
  <si>
    <t>RO DIRIO DE OBRA - SS-16/2025 (ISOLAMENTO ACSTICO) SEM EXPEDIENTE.</t>
  </si>
  <si>
    <t>23/11/2025</t>
  </si>
  <si>
    <t>RO-267/2025</t>
  </si>
  <si>
    <t>Sbado dia 08/11/25, no houve expediente de trabalho.</t>
  </si>
  <si>
    <t>RO DIRIO DE OBRA - SS-1/2025 (IMPLANTAO)SEM EXPEDIENTE.</t>
  </si>
  <si>
    <t>08/11/2025</t>
  </si>
  <si>
    <t>RO-204/2025</t>
  </si>
  <si>
    <t>Fiscalizao se encontra de acordo e ciente das informaes contidas neste RO.- Devido as chuvas no dia a PT foi liberada a partir das 11:00 devido as condies climticas terem melhorado e dando condio a execuo da atividade, de organizao e limpeza do canteiro.</t>
  </si>
  <si>
    <t>RO DIRIO DE OBRA - SS-1/2025 (IMPLANTAO)&amp;gt; ELABORAO DA EAP, ORAMENTO E CRONOGRAMA, DA SS-15/2025 (MANUTENO DAS TORRES DE RESFRIAMENTO);&amp;gt; DDS NA REA COM A FISCALIZAO - PREVENO DE QUEDA DE OBJETOS;&amp;gt; ORGANIZAO E LIMPEZA DO CANTEIRO DE OBRAS;&amp;gt;LIBERAO DE PT(20732855): HR SOLIC 11:00 | HR LIB 11:00 | ATRASO 00:00.</t>
  </si>
  <si>
    <t>09/10/2025</t>
  </si>
  <si>
    <t>RO-55/2025</t>
  </si>
  <si>
    <t>Os somatrios desde incio at o prazo final da SS dos acmulos de hora parada e meteorolgicas no final da SS a Petrobras ir analisar se e cabvel o abono revertido em acrscimo de dias no prazo de entrega da demanda.Dia 25/09/2025, equipe de gesto deu continuidade s atividades de mobilizao.Equipe trabalhando na elaborao da documentao dos colaboradores e cadastro no prestserv.Elaborao do pacote de planejamento das demandas, elaborao de cronogramas e procedimentos e documentao de SMS.No dia 25/09 a equipe tambm deu continuidade na reviso da documentao para a medio (pleito, memria de clculo, BM e demais documentos necessrios).</t>
  </si>
  <si>
    <t>RO DIRIO DE OBRA - SS-2/2025 (IMPLANTAO)&amp;gt; CADASTRO DE COLABORADORES NO PRESTSERV;&amp;gt; ELABORAO DE DOCUMENTAO DE SMS (PROCEDIMENTOS E APR'S);&amp;gt; LEVANTAMENTO DE MATERIAIS PARA ADEQUAO DE CANTEIRO;&amp;gt; REALIZAO DE ATIVIDADES DE MOBILIZAO DE FORNECEDORES E SUBCONTRATAES;&amp;gt; ELABORAO DO PACOTE DE PLANEJAMENTO DE DEMANDAS DE SERVIOS;&amp;gt; REALIZAO DE TREINAMENTO DE PERMISSO PARA TRABALHO.</t>
  </si>
  <si>
    <t>25/09/2025</t>
  </si>
  <si>
    <t>RO-23/2025</t>
  </si>
  <si>
    <t>RO-115/2026</t>
  </si>
  <si>
    <t>Segunda feira, dia 06/10/25,no houve expediente de trabalho devido ao feriado da categoria da Civil (Sintraconst).</t>
  </si>
  <si>
    <t>RO DIRIO DE OBRA - SS-1/2025 (IMPLANTAO)&amp;gt; SEM EXPEDIENTE DEVIDO FERIADO SINDICAL;</t>
  </si>
  <si>
    <t>06/10/2025</t>
  </si>
  <si>
    <t>RO-45/2025</t>
  </si>
  <si>
    <t>Domingo, dia 09/11/25, no houve expediente de trabalho.</t>
  </si>
  <si>
    <t>09/11/2025</t>
  </si>
  <si>
    <t>RO-205/2025</t>
  </si>
  <si>
    <t>Domingo, dia 19/10/25, no houve expediente de trabalho.</t>
  </si>
  <si>
    <t>19/10/2025</t>
  </si>
  <si>
    <t>RO-108/2025</t>
  </si>
  <si>
    <t>Fiscalizao se encontra ciente e de acordo com o RO do dia</t>
  </si>
  <si>
    <t>RO DIRIO DE OBRA - SS-1/2025 (IMPLANTAO)&amp;gt;ORGANIZAO E LIMPEZA DO CANTEIRO DE OBRAS - [MOD: 3]PTT: 20752328 (HR SOLIC 07:40 | HR LIB 08:00 | ATRASO 00:00) - (HR ENC 15:46:00 | ATRASO 00:00) &amp;gt;MOVIMENTAO MANUAL DE CARGA - [MOD: 2]PTT: 20751298 (HR SOLIC 07:40 | HR LIB 08:00 | ATRASO 00:00) - (HR ENC 15:49:00 | ATRASO 00:00)&amp;gt;MOVIMENTAO DE CARGA COM AUXLIO DE VECULO AUTOMOTIVO - [MOD: 2]PTT: 20793564 (HR SOLIC 07:40 | HR LIB 08:00 | ATRASO 00:00) - (HR ENC 15:51:00 | ATRASO 00:00)&amp;gt;&amp;gt; CONDIES CLIMTICAS: TEMPO BOM&amp;gt;&amp;gt;&amp;gt; IMPEDIMENTOS ACUMULADOS LIBERAO PT/PTT: 00:00 = 0,00d CONDIES CLIMTICAS: 00:00 = 0,00d PETROBRAS: 00:00 = 0,00d  OUTROS: 00:00 = 0,00d</t>
  </si>
  <si>
    <t>07/11/2025</t>
  </si>
  <si>
    <t>RO-194/2025</t>
  </si>
  <si>
    <t>Os somatrios desde incio at o prazo final da SS dos acmulos de hora parada e meteorolgicas no final da SS a Petrobras ir analisar se e cabvel o abono revertido em acrscimo de dias no prazo de entrega da demanda.Dia 29/09/2025, equipe de gesto deu continuidade s atividades de mobilizao.Equipe trabalhando na elaborao da documentao dos colaboradores e cadastro no prestserv; levantamento e organizao dos materiais no canteiro; organizao dos EPI's e EPC's no canteiro.Elaborao do pacote de planejamento das demandas, elaborao de cronogramas e procedimentos e documentao de SMS.RO aceito pela fiscalizao.</t>
  </si>
  <si>
    <t>RO DIRIO DE OBRA - SS-2/2025 (IMPLANTAO)&amp;gt; ENVIADO O PACOTE DE PLANEJAMENTO DA SS-4/2025;&amp;gt; ELABORAO DE DOCUMENTAO DE SMS (PROCEDIMENTOS E APR'S);&amp;gt; LEVANTAMENTO DE MATERIAIS PARA ADEQUAO DE CANTEIRO;&amp;gt; LEVANTAMENTO DE EPI'S E EPC'S PARA INCIO DAS ATIVIDADES DE CAMPO;&amp;gt; VISITA A REA OPERACIONAL PARA CONFERNCIA DE MATERIAIS;</t>
  </si>
  <si>
    <t>29/09/2025</t>
  </si>
  <si>
    <t>RO-31/2025</t>
  </si>
  <si>
    <t>Fiscalizao aprova RO apresentado.</t>
  </si>
  <si>
    <t>RO DIRIO DE OBRA - SS-1/2025 (IMPLANTAO)&amp;gt; SEM ATIVIDADES</t>
  </si>
  <si>
    <t>28/09/2025</t>
  </si>
  <si>
    <t>RO-27/2025</t>
  </si>
  <si>
    <t>- Equipe atuando na organizao e limpeza do canteiro de obras da APJ e realizando movimentao e transporte de materiais do canteiro da antiga contratada, para o novo canteiro da APJ.- Fiscalizao est ciente e de acordo com o RO do dia 30/10/2025.</t>
  </si>
  <si>
    <t>RO DIRIO DE OBRA - SS-1/2025 (IMPLANTAO)&amp;gt; PLANEJAMENTO:&amp;gt;&amp;gt;APROVAO DO PACOTE DE PLANEJAMENTO DA SS-19/2025 (SINALIZAO DAS ESCADAS), PELA FISCALIZAO;&amp;gt;&amp;gt;A SS-19/2025 J FOI ACEITA NO SAMC.&amp;gt; ATIVIDADES:&amp;gt;&amp;gt;LIBERAO DE PTT (20752328) - ORGANIZAO E LIMPEZA DO CANTEIRO DE OBRAS - (MOD: 7);&amp;gt;&amp;gt;&amp;gt;LIMPEZA E SEGREGAO DE MATERIAIS PARA DESCARTE;&amp;gt;&amp;gt;LIBERAO DE PTT (20751298) - MOVIMENTAO MANUAL DE CARGA - (MOD: 2);&amp;gt;&amp;gt;&amp;gt;EQUIPE AGUARDANDO A LIBERAO DE FRENTE DE SERVIO PARA O INCIO DAS ATIVIDADES;&amp;gt;&amp;gt;LIBERAO DE PTT (20793564) - MOVIMENTAO DE CARGA COM AUXLIO DE VECULO AUTOMOTIVO - SUPRIMENTOS- MOD: 1);&amp;gt;&amp;gt;&amp;gt;MOVIMENTAO DE FERRAMENTAS E MATERIAIS DO CANTEIRO 2 PARA O CANTEIRO 1.&amp;gt;&amp;gt;&amp;gt;CONDIES CLIMTICAS: TEMPO BOM&amp;gt;&amp;gt;&amp;gt; IMPACTO ACUMULADOLIBERAO PT/PTT: 00:00 = 0,00dINCIDNCIA DE CHUVA: 00:00 = 0,00dINCIDNCIA DE RAIOS: 00:00 = 0,00dINCIDNCIA DE VENTOS: 00:00 = 0,00dIMPEDIMENTOS FISCALIZAO: 00:00 = 0,00d</t>
  </si>
  <si>
    <t>30/10/2025</t>
  </si>
  <si>
    <t>RO-145/2025</t>
  </si>
  <si>
    <t>Os somatrios desde incio at o prazo final da SS dos acmulos de hora parada e meteorolgicas no final da SS a Petrobras ir analisar se e cabvel o abono revertido em acrscimo de dias no prazo de entrega da demanda.Dia 26/09/2025, equipe de gesto deu continuidade s atividades de mobilizao.Equipe trabalhando na elaborao da documentao dos colaboradores e cadastro no prestserv.Elaborao do pacote de planejamento das demandas, elaborao de cronogramas e procedimentos e documentao de SMS.Participao de reunies conforme descrito em RO.No dia 26/09 a equipe tambm deu continuidade na reviso da documentao para a medio (pleito, memria de clculo, BM e demais documentos necessrios).RO aceito pela fiscalizao.</t>
  </si>
  <si>
    <t>RO DIRIO DE OBRA - SS-2/2025 (IMPLANTAO)&amp;gt; CADASTRO DE COLABORADORES NO PRESTSERV;&amp;gt; ELABORAO DE DOCUMENTAO DE SMS (PROCEDIMENTOS E APR'S);&amp;gt; LEVANTAMENTO DE MATERIAIS PARA ADEQUAO DE CANTEIRO;&amp;gt; REALIZAO DE ATIVIDADES DE MOBILIZAO DE FORNECEDORES E SUBCONTRATAES;&amp;gt; ELABORAO DO PACOTE DE PLANEJAMENTO DE DEMANDAS DE SERVIOS;&amp;gt; REALIZAO DE" OLA" NO CANTEIRO;&amp;gt; ORGANIZAO DO ALMOXARIFADO (FERRAMENTAS E EPI'S).&amp;gt;PARTICIPAO DE CONSECOM;&amp;gt; INSTALAO DE PLACA DE OBRA.</t>
  </si>
  <si>
    <t>26/09/2025</t>
  </si>
  <si>
    <t>RO-25/2025</t>
  </si>
  <si>
    <t>Fiscalizao aprova RO apresentado.Sbado sem atividades</t>
  </si>
  <si>
    <t>27/09/2025</t>
  </si>
  <si>
    <t>RO-26/2025</t>
  </si>
  <si>
    <t>Fiscalizao se encontra ciente e de acordo com o RO do dia.</t>
  </si>
  <si>
    <t>RO DIRIO DE OBRA - SS-1/2025 (IMPLANTAO)&amp;gt;ORGANIZAO E LIMPEZA DO CANTEIRO DE OBRAS - [MOD: 2]PTT: 20752328 (HR SOLIC 07:45 | HR LIB 08:00 | ATRASO 00:00) - (HR ENC 16:30:00 | ATRASO 00:00)&amp;gt;MOVIMENTAO MANUAL DE CARGA - [MOD: 2]PTT: 20751298 (HR SOLIC 07:30 | HR LIB 07:50 | ATRASO 00:00) - (HR ENC 16:30:00 | ATRASO 00:00)&amp;gt;MOVIMENTAO DE CARGA COM AUXLIO DE VECULO AUTOMOTIVO - [MOD: 1]PTT: 20793564 (HR SOLIC 07:40 | HR LIB 08:00 | ATRASO 00:00) - (HR ENC 16:30:00 | ATRASO 00:00)&amp;gt;&amp;gt; CONDIES CLIMTICAS: TEMPO BOM&amp;gt;&amp;gt;&amp;gt; IMPEDIMENTOS ACUMULADOSLIBERAO PT/PTT: 00:00 = 0,00dCONDIES CLIMTICAS: 00:00 = 0,00dPETROBRAS: 00:00 = 0,00dOUTROS: 00:00 = 0,00d</t>
  </si>
  <si>
    <t>19/11/2025</t>
  </si>
  <si>
    <t>RO-253/2025</t>
  </si>
  <si>
    <t>Os somatrios desde incio at o prazo final da SS dos acmulos de hora parada e meteorolgicas no final da SS a Petrobras ir analisar se e cabvel o abono revertido em acrscimo de dias no prazo de entrega da demanda.Dia 22/09/2025, parte da equipe de gesto composta por (2 TST, 1 preposto, 1 tcnico de suprimentos, 1 tcnico de planejamento) e equipe direta (1 encarregado de caldeiraria), compareceram na unidade para realizar a integrao/treinamento.Equipe iniciou o envio da documentao dos colaboradores e cadastro no prestserv, fizeram envio do procedimento da UPCGN-1 para anlise.</t>
  </si>
  <si>
    <t>RO DIRIO DE OBRA - SS-2/2025 (IMPLANTAO)&amp;gt; CADASTRO DE COLABORADORES NO PRESTSERV;&amp;gt; ELABORAO DE DOCUMENTAO DE SMS (PROCEDIMENTOS E APR'S);&amp;gt; LEVANTAMENTO DE MATERIAIS PARA ADEQUAO DE CANTEIRO;&amp;gt; REALIZADO INTEGRAO DE COLABORADORES NA UNIDADE.</t>
  </si>
  <si>
    <t>22/09/2025</t>
  </si>
  <si>
    <t>RO-20/2025</t>
  </si>
  <si>
    <t>Sbado, dia 22/11/25, no houve expediente.</t>
  </si>
  <si>
    <t>RO DIRIO DE OBRA - SS-19/2025 (SINALIZAO DAS ESCADAS) SEM EXPEDIENTE.</t>
  </si>
  <si>
    <t>22/11/2025</t>
  </si>
  <si>
    <t>RO-262/2025</t>
  </si>
  <si>
    <t>SMS</t>
  </si>
  <si>
    <t>WANDERSONLSILVA</t>
  </si>
  <si>
    <t>Envio do doc. CDIGO 310 -PCMSO NR-7 (EDIVIT e UTGC) com Habilitao legal do mdico responsvel, com as adequaes.03 11 2025</t>
  </si>
  <si>
    <t>03/11/2025</t>
  </si>
  <si>
    <t>Em Registro</t>
  </si>
  <si>
    <t>RO-154/2025</t>
  </si>
  <si>
    <t>YGORGABRIEL</t>
  </si>
  <si>
    <t>Prezados, boa tarde.Conforme sinalizado na RAC, encaminho em anexo documentao dos funcionrios abaixo:</t>
  </si>
  <si>
    <t>02/03/2026</t>
  </si>
  <si>
    <t>RO-241/2026</t>
  </si>
  <si>
    <t>Fiscalizao se encontra de acordo e ciente das informaes contidas neste RO.</t>
  </si>
  <si>
    <t>RO DIRIO DE OBRA - SS-1/2025 (IMPLANTAO)&amp;gt; DESENVOLVIMENTO DA EAP DA SS-14/2025, SS-15/2025 E SS-16/2025;&amp;gt; ELABORAO DE DOCUMENTAO DE SMS (PROCEDIMENTOS E APR'S);&amp;gt; LEVANTAMENTO DE MATERIAIS PARA ADEQUAO DE CANTEIRO;&amp;gt; INSPEO DE CAMPO EM ALGUNS BANHEIROS DA SS-14 COM A FISCALIZAO;</t>
  </si>
  <si>
    <t>01/10/2025</t>
  </si>
  <si>
    <t>RO-35/2025</t>
  </si>
  <si>
    <t>- Equipe da Engeval finalizou o restante da descarga de andaimes que sero utilizados para a troca dos revestimentos acsticos da torre de resfriamento, o material foi descarregado na rea atrs da torre de resfriamento conforme alinhado com o cliente, foi feito o isolamento e identificao do material conforme padro.</t>
  </si>
  <si>
    <t>RO DIRIO DE OBRA - SS-16/2025 (ISOLAMENTO ACSTICO)&amp;gt;RECEBIMENTO E DESCARREGAMENTO DE PEAS DE ANDAIMES - [MOD: 2]PT: 20863476 (HR SOLIC 07:50 | HR LIB 08:06 | ATRASO 00:00) - (HR ENC 16:30 | ATRASO 00:00) &amp;gt;&amp;gt; CONDIES CLIMTICAS: TEMPO BOM&amp;gt;&amp;gt;&amp;gt; IMPEDIMENTOS ACUMULADOS LIBERAO PT/PTT: 00:00 = 0,00d CONDIES CLIMTICAS: 00:00 = 0,00d PETROBRAS: 00:00 = 0,00d  OUTROS: 00:00 = 0,00d______________________________________________________________________________________________________________________&amp;gt;&amp;gt;&amp;gt;&amp;gt;OBS.: A APJ INFORMA QUE A EQUIPE MOBILIZADA PARA A SS-14 AINDA AGUARDA O INCIO DA DEMANDA, QUE AINDA NO FOI APROVADA.</t>
  </si>
  <si>
    <t>05/11/2025</t>
  </si>
  <si>
    <t>RO-184/2025</t>
  </si>
  <si>
    <t>Os somatrios desde incio at o prazo final da SS dos acmulos de hora parada e meteorolgicas no final da SS a Petrobras ir analisar se e cabvel o abono revertido em acrscimo de dias no prazo de entrega da demanda.Dia 30/09/2025, equipe de gesto deu continuidade s atividades de mobilizao.Equipe trabalhando na elaborao da documentao dos colaboradores e cadastro no prestserv; levantamento e organizao dos materiais no canteiro; organizao dos EPI's e EPC's no canteiro.Elaborao do pacote de planejamento das demandas, elaborao de cronogramas e procedimentos e documentao de SMS.RO aceito pela fiscalizao.</t>
  </si>
  <si>
    <t>RO DIRIO DE OBRA - SS-2/2025 (IMPLANTAO)&amp;gt; ENVIADO O PACOTE DE PLANEJAMENTO DA SS-7/2025 E SS-12/2025;&amp;gt; ELABORAO DE DOCUMENTAO DE SMS (PROCEDIMENTOS E APR'S);&amp;gt; LEVANTAMENTO DE MATERIAIS PARA ADEQUAO DE CANTEIRO;&amp;gt; LEVANTAMENTO DE EPI'S E EPC'S PARA INCIO DAS ATIVIDADES DE CAMPO;&amp;gt; TREINAMENTO ON-LINE DE INTEGRAO DE COLABORADORES AO COMPARTILHADO OBRAS;</t>
  </si>
  <si>
    <t>30/09/2025</t>
  </si>
  <si>
    <t>RO-34/2025</t>
  </si>
  <si>
    <t>Os somatrios desde incio at o prazo final da SS dos acmulos de hora parada e meteorolgicas no final da SS a Petrobras ir analisar se e cabvel o abono revertido em acrscimo de dias no prazo de entrega da demanda.Final de semana (domingo) equipe administrativa no atuou nas atividades administrativas de mobilizao geral. Sem atividades.Sem efetivo de mo de obra direta para prosseguir com a execuo.RO aceito pela fiscalizao.</t>
  </si>
  <si>
    <t>RO DIRIO DE OBRA - SS-5/2025 (SECGN)  &amp;gt; SEM EXPEDIENTE &amp;gt;&amp;gt;&amp;gt; IMPACTO ACUMULADO LIBERAO PT/PTT: 00:36 = 0,08d INCIDNCIA DE CHUVA: 08:00 = 0,00d INCIDNCIA DE RAIOS: 00:00 = 0,00d INCIDNCIA DE VENTOS: 14:00 = 1,58d IMPEDIMENTOS FISCALIZAO: 00:00 = 0,00d  RO DIRIO DE OBRA - SS-9/2025 (UPGN-3) &amp;gt; SEM EXPEDIENTE &amp;gt;&amp;gt;&amp;gt; IMPACTO ACUMULADO LIBERAO PT/PTT: 02:08 = 0,94d INCIDNCIA DE CHUVA: 12:30 = 1,57d INCIDNCIA DE RAIOS: 00:00 = 0,00d INCIDNCIA DE VENTOS: 11:00 = 0,56d IMPEDIMENTOS FISCALIZAO: 00:00 = 0,00d  RO DIRIO DE OBRA - SS-11/2025 (UPCGN-1)&amp;gt; SEM EXPEDIENTE &amp;gt;&amp;gt;&amp;gt; IMPACTO ACUMULADO LIBERAO PT/PTT: 02:52 = 0,35d INCIDNCIA DE CHUVA: 23:01 = 2,98d INCIDNCIA DE RAIOS: 00:00 = 0,00d INCIDNCIA DE VENTOS: 20:50 = 2,6d IMPEDIMENTOS FISCALIZAO: 00:00 = 0,00d</t>
  </si>
  <si>
    <t>26/10/2025</t>
  </si>
  <si>
    <t>RO-134/2025</t>
  </si>
  <si>
    <t>- Equipe atuando na organizao e limpeza do canteiro de obras da APJ e realizando movimentao e transporte de materiais do canteiro da antiga contratada, para o novo canteiro da APJ.- Fiscalizao est ciente e de acordo com o RO do dia 31/10/2025.</t>
  </si>
  <si>
    <t>RO DIRIO DE OBRA - SS-1/2025 (IMPLANTAO)&amp;gt; ATIVIDADES:&amp;gt;&amp;gt;LIBERAO DE PTT (20752328) - ORGANIZAO E LIMPEZA DO CANTEIRO DE OBRAS - (MOD: 7);&amp;gt;&amp;gt;&amp;gt;LIMPEZA E SEGREGAO DE MATERIAIS PARA DESCARTE;&amp;gt;&amp;gt;LIBERAO DE PTT (20751298) - MOVIMENTAO MANUAL DE CARGA - (MOD: 2);&amp;gt;&amp;gt;&amp;gt;EQUIPE AGUARDANDO A LIBERAO DE FRENTE DE SERVIO PARA O INCIO DAS ATIVIDADES;&amp;gt;&amp;gt;LIBERAO DE PTT (20793564) - MOVIMENTAO DE CARGA COM AUXLIO DE VECULO AUTOMOTIVO - SUPRIMENTOS- MOD: 1);&amp;gt;&amp;gt;&amp;gt;MOVIMENTAO DE FERRAMENTAS E MATERIAIS DO CANTEIRO 2 PARA O CANTEIRO 1.&amp;gt;&amp;gt;&amp;gt;CONDIES CLIMTICAS: TEMPO BOM&amp;gt;&amp;gt;&amp;gt; IMPACTO ACUMULADOLIBERAO PT/PTT: 00:00 = 0,00dINCIDNCIA DE CHUVA: 00:00 = 0,00dINCIDNCIA DE RAIOS: 00:00 = 0,00dINCIDNCIA DE VENTOS: 00:00 = 0,00dIMPEDIMENTOS FISCALIZAO: 00:00 = 0,00d</t>
  </si>
  <si>
    <t>31/10/2025</t>
  </si>
  <si>
    <t>RO-159/2025</t>
  </si>
  <si>
    <t>Fiscalizao aprova o relatrio apresentado!Sbado sem atividades.</t>
  </si>
  <si>
    <t>RO DIRIO DE OBRA - SS-19/2025 (SINALIZAO DAS ESADAS)SEM EXPEDIENTE.</t>
  </si>
  <si>
    <t>RO-200/2025</t>
  </si>
  <si>
    <t>396,643</t>
  </si>
  <si>
    <t>Fiscalizao aprova RO apresentado!</t>
  </si>
  <si>
    <t>RO-28/2026</t>
  </si>
  <si>
    <t>Sbado dia 15/11/25, no houve expediente de trabalho.</t>
  </si>
  <si>
    <t>15/11/2025</t>
  </si>
  <si>
    <t>RO-232/2025</t>
  </si>
  <si>
    <t>Equipe atuando na organizao e limpeza do canteiro de obras da APJ e realizando movimentao e transporte de materiais do canteiro da antiga contratada, para o novo canteiro da APJ.Fiscalizao ciente e de acordo com o RO do dia 24/10/25.</t>
  </si>
  <si>
    <t>RO DIRIO DE OBRA - SS-1/2025 (IMPLANTAO)&amp;gt; DDS INTERNO: AMIGO DO PEITO - UTILIZAO DO EPI NO CANTEIRO DE OBRAS;&amp;gt; ATIVIDADES:&amp;gt;&amp;gt;LIBERAO DE PTT (20752328) - ORGANIZAO E LIMPEZA DO CANTEIRO DE OBRAS - (MOD: 8);&amp;gt;&amp;gt;LIBERAO DE PTT (20793564) - MOVIMENTAO DE CARGA COM AUXLIO DE VECULO AUTOMOTIVO - SUPRIMENTOS- MOD: 6);&amp;gt;&amp;gt;LIBERAO DE PTT (20751298) - MOVIMENTAO MANUAL DE CARGA - (MOD: 4);&amp;gt;&amp;gt;&amp;gt; MOVIMENTAO DE FERRAMENTAS E MATERIAIS DO CANTEIRO 2 PARA O CANTEIRO 1.&amp;gt;&amp;gt;&amp;gt;CONDIES CLIMTICAS: TEMPO BOM&amp;gt;&amp;gt;&amp;gt; IMPACTO ACUMULADOLIBERAO PT/PTT: 00:00 = 0,00dINCIDNCIA DE CHUVA: 00:00 = 0,00dINCIDNCIA DE RAIOS: 00:00 = 0,00dINCIDNCIA DE VENTOS: 00:00 = 0,00dIMPEDIMENTOS FISCALIZAO: 00:00 = 0,00d</t>
  </si>
  <si>
    <t>24/10/2025</t>
  </si>
  <si>
    <t>RO-130/2025</t>
  </si>
  <si>
    <t>Os somatrios desde incio at o prazo final da SS dos acmulos de hora parada e meteorolgicas no final da SS a Petrobras ir analisar se e cabvel o abono revertido em acrscimo de dias no prazo de entrega da demanda.Troca de dia equipe administrativa no atuou nas atividades administrativas de mobilizao geral. Sem atividades.Sem efetivo de mo de obra direta para prosseguir com a execuo.RO aceito pela fiscalizao.</t>
  </si>
  <si>
    <t>RO DIRIO DE OBRA - SS-04/2025 (UPGN-2)  &amp;gt; RETIRADA DE INSERTS - [MOD: 03 | PEMT: 01] PT: (HR SOLIC 00:00 | HR LIB 00:00 | ATRASO 000:00) - (HR ENC 16:30 | ATRASO 00:00) SEM EXPEDIENTE  &amp;gt;&amp;gt; CONDIES CLIMTICAS: TEMPO BOM  &amp;gt;&amp;gt;&amp;gt; IMPEDIMENTOS ACUMULADOS LIBERAO PT/PTT: 00:00 = 0,00d CONDIES CLIMTICAS: 00:00 = 0,00d PETROBRAS: 00:00 = 0,00d OUTROS: 20:00 = 2,00d RO DIRIO DE OBRA - SS-5/2025 (SECGN)  &amp;gt;ADEQUAO DOS SUPORTES DAS CALHAS DO GALPO- [MOD: 06 | PEMT00 ] PT:(HR SOLIC 00:00 | HR LI 00:00 | ATRASO 00:00) - (HR ENC 16:30 | ATRASO 00:00) &amp;gt; INSTALAO DE INFRA ESTRUTURAS ELETRICA - [MOD: 02 | PEMT: 01] PT:20936066 (HR SOLIC 00:00 | HR LIB 00:00 | ATRASO 00:00) - (HR ENC 16:30 | ATRASO 00:00)SEM EXPEDIENTE  &amp;gt;&amp;gt; CONDIES CLIMTICAS:: TEMPO BOM  &amp;gt;&amp;gt;&amp;gt; IMPEDIMENTOS ACUMULADOS LIBERAO PT/PTT: 10:29 = 1,19d CONDIES CLIMTICAS: 36:50 = 3,85d PETROBRAS: 05:30 = 0,81d OUTROS: 28:00 = 3,00d  RO DIRIO DE OBRA - SS-6/2025 (GALPO K-14)  &amp;gt; TRATAMENTO E PINTUTA DA ESTRUTURA DE CONCRETO - [MOD: 02| PEMT-0] PT: (HR SOLIC 00:00 | HR LIB 00:00| ATRASO 00:00) - (HR ENC 16:30 | ATRASO 00:00 SEM EXPEDIENTE  &amp;gt;&amp;gt; CONDIES CLIMTICAS:TEMPO BOM  &amp;gt;&amp;gt;&amp;gt; IMPEDIMENTOS ACUMULADOS LIBERAO PT/PTT: 06:43 = 0,83d CONDIES CLIMTICAS: 00:00 = 0,00d PETROBRAS: 00:00 = 0,00d OUTROS: 28:00 = 3,00d RO DIRIO DE OBRA - SS-7/2025 (GALPO K-15)  &amp;gt;RELIZANDO APERTOS E ADEQUAES NAS ESTRUTURAS METALICAS [MOD: 04 | PEMT: 1] PT(HR SOLIC 00:00 | HR LIB 00:00| ATRASO 00:00) - (HR ENC 16:30 | ATRASO 00:00)SEM EXPEDIENTE  &amp;gt;&amp;gt; CONDIES CLIMTICAS:TEMPO BOM  &amp;gt;&amp;gt;&amp;gt; IMPEDIMENTOS ACUMULADOS LIBERAO PT/PTT: 10:23 = 1,19d CONDIES CLIMTICAS: 14:50 = 0,84d PETROBRAS: 00:00 = 0,00d OUTROS: 28:00 = 3,00d RO DIRIO DE OBRA - SS-9/2025 (UPGN-3)  &amp;gt; REALIZANDO INSTALAO DE VENEZIANAS LATERAIS - [MOD: 04| PEMT-01] PT:2(HR SOLIC 00:00| HR LIB 00:00 | ATRASO 00:00) - (HR ENC 16:30 | ATRASO 00:00) SEM EXPEDIENTE  &amp;gt;&amp;gt; CONDIES CLIMTICAS::TEMPO BOM &amp;gt;&amp;gt;&amp;gt; IMPEDIMENTOS ACUMULADOS LIBERAO PT/PTT: 18:31= 2,86d CONDIES CLIMTICAS: 38:20 = 4,24d PETROBRAS: 00:00 = 0,00d OUTROS: 28:00 = 3,00d  RO DIRIO DE OBRA - SS-11/2025 (UPCGN-1)  &amp;gt; DESMONTAGEM DOS PERFIS E RETIRADA DE TELHAS E RETIRADA DE INSERTS - [MOD: 05 | PEMT: 02] PT (HR SOLIC 00:00 | HR LIB 00:00 | ATRASO 00:00) - (HR ENC 16:30 | ATRASO 00:00)   SEM EXPEDIENTE  &amp;gt;&amp;gt; CONDIES CLIMTICAS: TEMPO BOM  &amp;gt;&amp;gt;&amp;gt; IMPEDIMENTOS ACUMULADOS LIBERAO PT/PTT: 07:26 = 0,83d CONDIES CLIMTICAS: 61:11 = 6,25d PETROBRAS: 00:00 = 0,00d OUTROS: 28:00 = 3,00d RO DIRIO DE OBRA - SS-18/2025 (ADEQUAO DA SALA DE MONITORAMENTO N1 CISC)&amp;gt;REFORMA DA SALA INTERNA DO K-04 (ANTIGA SALA TIC) - [MOD: 04 | PEMT: 0]PT: (HR SOLIC 00:00| HR LIB 00:00 | ATRASO 00:00) - (HR ENC 16:30 | ATRASO 00:00 &amp;gt;MONTAGEM DE CAVALETES PARA ISOLAMENTO DAS ATIVIDADES- [MOD: 03 | PEMT: 0]PT: (HR SOLIC 00:00| HR LIB 00:00 | ATRASO 00:00) - (HR ENC 16:30 | ATRASO 00:00SEM EXPEDIENTE &amp;gt;&amp;gt; CONDIES CLIMTICAS: TEMPO BOM  &amp;gt;&amp;gt;&amp;gt; IMPEDIMENTOS ACUMULADOS LIBERAO PT/PTT: 00:00 = 0,00d CONDIES CLIMTICAS: 00:00 = 0,00d PETROBRAS: 00:00 = 0,00d OUTROS: 28:00 = 3,00</t>
  </si>
  <si>
    <t>21/11/2025</t>
  </si>
  <si>
    <t>RO-258/2025</t>
  </si>
  <si>
    <t>Domingo, dia 05/10/25, no houve expediente de trabalho.</t>
  </si>
  <si>
    <t>RO DIRIO DE OBRA - SS-1/2025 (IMPLANTAO)&amp;gt; SEM EXPEDIENTE;</t>
  </si>
  <si>
    <t>05/10/2025</t>
  </si>
  <si>
    <t>RO-44/2025</t>
  </si>
  <si>
    <t>Equipe da Engeval a servio da APJ, est executando a montagem dos andaimes para a troca dos isolamentos acsticos das paredes do lado interno das torres de resfriamento.A montagem prossegue normalmente apesar das dificuldades das interferncias do local e de acesso na central de utilidades, equipe iniciou o servio com certo atraso devido a aferio de presso arterial no posto mdico que estava com determinada demanda de colaboradores de outras empresas.</t>
  </si>
  <si>
    <t>RO DIRIO DE OBRA - SS-16/2025 (ISOLAMENTO ACSTICO)&amp;gt;MONTAGEM DE ANDAIMES - [MOD: 10]PT: 20920388 (HR SOLIC 08:00 | HR LIB 10:32 | ATRASO 02:32) - (HR ENC 16:30 | ATRASO 00:00) &amp;gt;&amp;gt; CONDIES CLIMTICAS: TEMPO BOM&amp;gt;&amp;gt;&amp;gt; IMPEDIMENTOS ACUMULADOS LIBERAO PT/PTT: 02:32 = 0,00dCONDIES CLIMTICAS: 00:00 = 0,00d PETROBRAS: 00:00 = 0,00d  OUTROS: 00:00 = 0,00dIMPEDIMENTOS CAUSADOS PELA AFERIO DE PRESSO ARTERIAL E EMISSO DE PT.</t>
  </si>
  <si>
    <t>17/11/2025</t>
  </si>
  <si>
    <t>RO-242/2025</t>
  </si>
  <si>
    <t>RO DIRIO DE OBRA - SS-1/2025 (IMPLANTAO)&amp;gt;ORGANIZAO E LIMPEZA DO CANTEIRO DE OBRAS - [MOD: 2]PTT: 20910218 (HR SOLIC 07:16 | HR LIB 07:36 | ATRASO 00:00) - (HR ENC 15:50:00 | ATRASO 00:00)&amp;gt;MOVIMENTAO MANUAL DE CARGA - [MOD: 2]PTT: 20910261 (HR SOLIC 07:23 | HR LIB 07:43 | ATRASO 00:00) - (HR ENC 15:55:00 | ATRASO 00:00)&amp;gt;MOVIMENTAO DE CARGA COM AUXLIO DE VECULO AUTOMOTIVO - [MOD: 1]PTT: 20941855 (HR SOLIC 07:38 | HR LIB 07:58 | ATRASO 00:00) - (HR ENC 15:45:00 | ATRASO 00:00)&amp;gt;&amp;gt; CONDIES CLIMTICAS: TEMPO BOM&amp;gt;&amp;gt;&amp;gt; IMPEDIMENTOS ACUMULADOSLIBERAO PT/PTT: 00:00 = 0,00dCONDIES CLIMTICAS: 00:00 = 0,00dPETROBRAS: 00:00 = 0,00dOUTROS: 00:00 = 0,00d</t>
  </si>
  <si>
    <t>RO-270/2025</t>
  </si>
  <si>
    <t>- Equipe da Engeval trouxe uma parte da carga de andaimes que sero utilizados para a troca dos revestimentos acsticos da torre de resfriamento, o material foi descarregado na rea atrs da torre de resfriamento conforme alinhado com o cliente.</t>
  </si>
  <si>
    <t>RO DIRIO DE OBRA - SS-16/2025 (ISOLAMENTO ACSTICO)&amp;gt;RECEBIMENTO E DESCARREGAMENTO DE PEAS DE ANDAIMES - [MOD: 2]PTT: 20860539 (HR SOLIC 14:00 | HR LIB 14:20 | ATRASO 00:00) - (HR ENC 16:30 | ATRASO 00:00) &amp;gt;&amp;gt; CONDIES CLIMTICAS: TEMPO BOM&amp;gt;&amp;gt;&amp;gt; IMPEDIMENTOS ACUMULADOS LIBERAO PT/PTT: 00:00 = 0,00d CONDIES CLIMTICAS: 00:00 = 0,00d PETROBRAS: 00:00 = 0,00d  OUTROS: 00:00 = 0,00d______________________________________________________________________________________________________________________&amp;gt;&amp;gt;&amp;gt;&amp;gt;OBS.: A APJ INFORMA QUE A EQUIPE MOBILIZADA PARA A SS-14 AINDA AGUARDA O INCIO DA DEMANDA, QUE AINDA NO FOI APROVADA.</t>
  </si>
  <si>
    <t>04/11/2025</t>
  </si>
  <si>
    <t>RO-179/2025</t>
  </si>
  <si>
    <t>- Equipe da contratada est realizando a organizao e limpeza do canteiro ,a montagem do porto de entrada est sendo realizada.- Efetivo total: 7 colaboradores.- Solicitado ao Encarregado Dirceu, para que a equipe execute o processo de OLA, durante e aps a concluso da atividade diariamente.</t>
  </si>
  <si>
    <t>RO DIRIO DE OBRA - SS-1/2025 (IMPLANTAO)&amp;gt; DDS NA REA - MOVIMENTAO DE CARGA MANUALMENTE;&amp;gt;&amp;gt;LIBERAO DE PTT (20752328) - ORGANIZAO E LIMPEZA DO CANTEIRO DE OBRAS - (MOD: 4);&amp;gt;&amp;gt; LIBERAO DE PTT (20751298) - MOVIMENTAO MANUAL DE CARGA - (MOD: 3);&amp;gt;&amp;gt; CONDIES CLIMTICAS: TEMPO BOM&amp;gt;&amp;gt;&amp;gt; IMPACTO ACUMULADOLIBERAO PT/PTT: 00:00 = 0,00dINCIDNCIA DE CHUVA: 00:00 = 0,00dINCIDNCIA DE RAIOS: 00:00 = 0,00dINCIDNCIA DE VENTOS: 00:00 = 0,00dIMPEDIMENTOS FISCALIZAO: 00:00 = 0,00d</t>
  </si>
  <si>
    <t>16/10/2025</t>
  </si>
  <si>
    <t>RO-95/2025</t>
  </si>
  <si>
    <t>Equipe da Engeval a servio da APJ, est executando a montagem dos andaimes para a troca dos isolamentos acsticos das paredes do lado interno das torres de resfriamento.A montagem prossegue normalmente apesar das dificuldades das interferncias do local e de acesso na central de utilidades.</t>
  </si>
  <si>
    <t>RO DIRIO DE OBRA - SS-16/2025 (ISOLAMENTO ACSTICO)&amp;gt;MONTAGEM DE ANDAIMES - [MOD: 4]PT: 20892077 (HR SOLIC 07:50 | HR LIB 08:10 | ATRASO 00:00) - (HR ENC 16:30 | ATRASO 00:00) &amp;gt;&amp;gt; CONDIES CLIMTICAS: TEMPO BOM&amp;gt;&amp;gt;&amp;gt; IMPEDIMENTOS ACUMULADOS LIBERAO PT/PTT: 00:00 = 0,000CONDIES CLIMTICAS: 00:00 = 0,00d PETROBRAS: 00:00 = 0,00d  OUTROS: 00:00 = 0,00d</t>
  </si>
  <si>
    <t>11/11/2025</t>
  </si>
  <si>
    <t>RO-208/2025</t>
  </si>
  <si>
    <t>RO DIRIO DE OBRA - SS-1/2025 (IMPLANTAO)&amp;gt; DESENVOLVIMENTO DA EAP DA SS-14/2025, SS-15/2025 E SS-16/2025;&amp;gt; ELABORAO DE DOCUMENTAO DE SMS (PROCEDIMENTOS E APR'S);&amp;gt; LEVANTAMENTO DE MATERIAIS PARA ADEQUAO DE CANTEIRO;&amp;gt; LEVANTAMENTO DE EPI'S E EPC'S PARA INCIO DAS ATIVIDADES DE CAMPO;&amp;gt; REALIZAO DE TREINAMENTO/SIMULADO DE RCP;</t>
  </si>
  <si>
    <t>RO-33/2025</t>
  </si>
  <si>
    <t>Domingo, dia 07/12/25, no houve expediente de trabalho.</t>
  </si>
  <si>
    <t>RO DIRIO E OBRA - SS-15/2025 (TORRE RESFR)SEM EXPEDIENTE - DOMINGO</t>
  </si>
  <si>
    <t>07/12/2025</t>
  </si>
  <si>
    <t>RO-330/2025</t>
  </si>
  <si>
    <t>RO DIRIO DE OBRA - SS-1/2025 (IMPLANTAO)&amp;gt; ELABORAO DA EAP, ORAMENTO E CRONOGRAMA, DA SS-15/2025 (MANUTENO DAS TORRES DE RESFRIAMENTO);&amp;gt; DDS INTERNO - AMIGO DO PEITO, OLA E ANIMAIS PEONHENTOS;&amp;gt; ORGANIZAO E LIMPEZA DO CANTEIRO DE OBRAS (MOVIMENTAO DE CARGA COM UTILIZAO DE CARRO PLATAFORMA);&amp;gt;&amp;gt;LIBERAO DE PT(20737256) - MOVIMENTAO MANUAL DE CARGA - HR SOLIC 10:00 | HR LIB 10:00 | ATRASO 00:00.</t>
  </si>
  <si>
    <t>10/10/2025</t>
  </si>
  <si>
    <t>RO-61/2025</t>
  </si>
  <si>
    <t>Sbado, dia 04/10/25 , no houve expediente de trabalho.</t>
  </si>
  <si>
    <t>RO-43/2025</t>
  </si>
  <si>
    <t>RO DIRIO DE OBRA - SS-19/2025 (SINALIZAO DAS ESCADAS)  &amp;gt;EXECUO DE DEMARCAO DE PISO, REPOSIO DE PISO TTIL E SINALIZAO VISUAL BL 4 - P1 AO G3 - [MOD: 3] PTT: 20884918 (HR SOLIC 08:00 | HR LIB 08:22 | ATRASO 00:00) - (HR ENC 15:54 | ATRASO 00:00)  &amp;gt;&amp;gt; CONDIES CLIMTICAS: TEMPO BOM &amp;gt;&amp;gt;&amp;gt; IMPEDIMENTOS ACUMULADOS LIBERAO PT/PTT: 03:50 = 0,48d CONDIES CLIMTICAS: 00:00 = 0,00d PETROBRAS: 00:00 = 0,00d OUTROS: 00:00 = 0,00d</t>
  </si>
  <si>
    <t>RO-269/2025</t>
  </si>
  <si>
    <t>Dia 20/11/25, Feriado, no houve expediente de trabalho.</t>
  </si>
  <si>
    <t>RO-249/2025</t>
  </si>
  <si>
    <t>507,876</t>
  </si>
  <si>
    <t>1.360,800</t>
  </si>
  <si>
    <t>12/03/2026</t>
  </si>
  <si>
    <t>RO-301/2026</t>
  </si>
  <si>
    <t>RO DIRIO DE OBRA - SS-1/2025 (IMPLANTAO)&amp;gt; DESENVOLVIMENTO DA EAP DA SS-14/2025, SS-15/2025 E SS-16/2025;&amp;gt; ELABORAO DE DOCUMENTAO DE SMS (PROCEDIMENTOS E APR'S);&amp;gt; LEVANTAMENTO DE MATERIAIS PARA ADEQUAO DE CANTEIRO;&amp;gt; INSPEO EM CAMPO DE SANITRIOS SS-14/2025;&amp;gt; DDS GERAL COM O TEMA: EPI - EQUIPAMENTO DE PROTEO INDIVIDUAL;</t>
  </si>
  <si>
    <t>02/10/2025</t>
  </si>
  <si>
    <t>RO-37/2025</t>
  </si>
  <si>
    <t>RO DIRIO DE OBRA - SS-16/2025 (ISOLAMENTO ACSTICO)  &amp;gt;SUBSTITUIO DO ISOLAMENTO ACSTICO - [MOD: 4] PT: 20941853 (HR SOLIC 07:37 | HR LIB 08:04 | ATRASO 00:00) - (HR ENC 15:53 | ATRASO 00:00)  &amp;gt;&amp;gt; CONDIES CLIMTICAS: TEMPO BOM &amp;gt;&amp;gt;&amp;gt; IMPEDIMENTOS ACUMULADOS LIBERAO PT/PTT: 16:00 = 2,00d CONDIES CLIMTICAS: 00:00 = 0,00d PETROBRAS: 00:00 = 0,00d OUTROS: 00:00 = 0,00d</t>
  </si>
  <si>
    <t>RO-268/2025</t>
  </si>
  <si>
    <t>RO DIRIO DE OBRA - SS-1/2025 (IMPLANTAO)&amp;gt; ATIVIDADES:&amp;gt;&amp;gt;LIBERAO DE PTT (20752328) - ORGANIZAO E LIMPEZA DO CANTEIRO DE OBRAS - (MOD: 10);&amp;gt;&amp;gt;&amp;gt;LIMPEZA E SEGREGAO DE MATERIAIS PARA DESCARTE;&amp;gt;&amp;gt;LIBERAO DE PTT (20751298) - MOVIMENTAO MANUAL DE CARGA - (MOD: 4);&amp;gt;&amp;gt;&amp;gt;EQUIPE AGUARDANDO A LIBERAO DE FRENTE DE SERVIO PARA O INCIO DAS ATIVIDADES;&amp;gt;&amp;gt;LIBERAO DE PTT (20793564) - MOVIMENTAO DE CARGA COM AUXLIO DE VECULO AUTOMOTIVO - SUPRIMENTOS- MOD: 1);&amp;gt;&amp;gt;&amp;gt;MOVIMENTAO DE FERRAMENTAS E MATERIAIS DO CANTEIRO 2 PARA O CANTEIRO 1.OBS.: A APJ INFORMA QUE A EQUIPE MOBILIZADA PARA A SS-14 AINDA AGUARDA O INCIO DA DEMANDA, QUE AINDA NO FOI APROVADA.&amp;gt;&amp;gt;&amp;gt;CONDIES CLIMTICAS: TEMPO BOM&amp;gt;&amp;gt;&amp;gt; IMPACTO ACUMULADOLIBERAO PT/PTT: 00:00 = 0,00dINCIDNCIA DE CHUVA: 00:00 = 0,00dINCIDNCIA DE RAIOS: 00:00 = 0,00dINCIDNCIA DE VENTOS: 00:00 = 0,00dIMPEDIMENTOS FISCALIZAO: 00:00 = 0,00d</t>
  </si>
  <si>
    <t>RO-171/2025</t>
  </si>
  <si>
    <t>SS-22 Sala Cisc - UtgsulAtividade executada: lixamento e pintura das paredes.</t>
  </si>
  <si>
    <t>"RO DIRIO E OBRA - SS-22/2025 (SALA CISC)&amp;gt;INSTALAES ELTRICAS E PINTURA - MOD:5 |PT: (21033342 |HR SOLIC 07:30 | HR LIB 09:00 |ATRASO 01:00|) - (HR ENC 14:30 | ATRASO 02:00)&amp;gt;&amp;gt;CONDIES CLIMTICAS: TEMPO BOM&amp;gt;&amp;gt;&amp;gt;IMPEDIMENTOS ACUMULADOSLIBERAO PT/PTT: 56:36 = 7,08dCONDIES CLIMTICAS: 0:00 = 0dPETROBRAS: 0:00 = 0dOUTROS: 0:00 = 0dAPJ: 0:00 = 0d"</t>
  </si>
  <si>
    <t>13/01/2026</t>
  </si>
  <si>
    <t>RO-45/2026</t>
  </si>
  <si>
    <t>RO DIRIO DE OBRA - SS-2/2025 (IMPLANTAO)&amp;gt; SEM ATIVIDADES</t>
  </si>
  <si>
    <t>RO-28/2025</t>
  </si>
  <si>
    <t>RO DIRIO DE OBRA - SS-1/2025 (IMPLANTAO)&amp;gt; CADASTRO DE COLABORADORES NO PRESTSERV;&amp;gt; ELABORAO DE DOCUMENTAO DE SMS (PROCEDIMENTOS E APR'S);&amp;gt; LEVANTAMENTO DE MATERIAIS PARA ADEQUAO DE CANTEIRO;&amp;gt; PARTICIPAO DA PALESTRA "CAMPANHA SADE MENTAL".</t>
  </si>
  <si>
    <t>RO-17/2025</t>
  </si>
  <si>
    <t>Envio do doc. CDIGO 354 -Ficha de entrega, controle e treinamento de EPI NR-6 na unidade UTGC para avalio..</t>
  </si>
  <si>
    <t>RO-146/2025</t>
  </si>
  <si>
    <t>RO DIRIO DE OBRA - SS-1/2025 (IMPLANTAO)&amp;gt;ORGANIZAO E LIMPEZA DO CANTEIRO DE OBRAS - [MOD: 2]PTT: 20752328 (HR SOLIC 07:50 | HR LIB 08:10 | ATRASO 00:00) - (HR ENC 16:30:00 | ATRASO 00:00) &amp;gt;MOVIMENTAO MANUAL DE CARGA - [MOD: 2]PTT: 20751298 (HR SOLIC 07:50 | HR LIB 08:10 | ATRASO 00:00) - (HR ENC 16:30:00 | ATRASO 00:00)&amp;gt;MOVIMENTAO DE CARGA COM AUXLIO DE VECULO AUTOMOTIVO - [MOD: 2]PTT: 20793564 (HR SOLIC 07:40 | HR LIB 08:00 | ATRASO 00:00) - (HR ENC 16:30:00 | ATRASO 00:00)&amp;gt;&amp;gt; CONDIES CLIMTICAS: TEMPO BOM&amp;gt;&amp;gt;&amp;gt; IMPEDIMENTOS ACUMULADOS LIBERAO PT/PTT: 00:00 = 0,00d CONDIES CLIMTICAS: 00:00 = 0,00d PETROBRAS: 00:00 = 0,00d  OUTROS: 00:00 = 0,00d</t>
  </si>
  <si>
    <t>12/11/2025</t>
  </si>
  <si>
    <t>RO-213/2025</t>
  </si>
  <si>
    <t>- Equipe atuando na organizao e limpeza do canteiro de obras da APJ e realizando movimentao e transporte de materiais do canteiro da antiga contratada, para o novo canteiro da APJ.- Fiscalizao est ciente e de acordo com o RO do dia 28/10/2025.</t>
  </si>
  <si>
    <t>RO DIRIO DE OBRA - SS-1/2025 (IMPLANTAO)&amp;gt; PLANEJAMENTO:&amp;gt;&amp;gt;EFETIVO PARA SS-14/2025 EST MOBILIZADO. CONFORME REUNIO DE PLANEJAMENTO, FOMOS INFORMADOS QUE A LIBERAO/APROVAO PARA INCIO DAS ATIVIDADES SER APS A SEGUNDA SEMANA DE NOVEMBRO/2025;&amp;gt; ATIVIDADES:&amp;gt;&amp;gt;LIBERAO DE PTT (20752328) - ORGANIZAO E LIMPEZA DO CANTEIRO DE OBRAS - (MOD: 4);&amp;gt;&amp;gt;&amp;gt;LIMPEZA E SEGREGAO DE MATERIAIS PARA DESCARTE;&amp;gt;&amp;gt;LIBERAO DE PTT (20751298) - MOVIMENTAO MANUAL DE CARGA - (MOD: 3);&amp;gt;&amp;gt;&amp;gt;EQUIPE AGUARDANDO A LIBERAO DE FRENTE DE SERVIO PARA O INCIO DAS ATIVIDADES;&amp;gt;&amp;gt;LIBERAO DE PTT (20793564) - MOVIMENTAO DE CARGA COM AUXLIO DE VECULO AUTOMOTIVO - SUPRIMENTOS- MOD: 2);&amp;gt;&amp;gt;&amp;gt;MOVIMENTAO DE FERRAMENTAS E MATERIAIS DO CANTEIRO 2 PARA O CANTEIRO 1.&amp;gt;&amp;gt;&amp;gt;CONDIES CLIMTICAS: TEMPO BOM&amp;gt;&amp;gt;&amp;gt; IMPACTO ACUMULADOLIBERAO PT/PTT: 00:00 = 0,00dINCIDNCIA DE CHUVA: 00:00 = 0,00dINCIDNCIA DE RAIOS: 00:00 = 0,00dINCIDNCIA DE VENTOS: 00:00 = 0,00dIMPEDIMENTOS FISCALIZAO: 00:00 = 0,00d</t>
  </si>
  <si>
    <t>28/10/2025</t>
  </si>
  <si>
    <t>RO-138/2025</t>
  </si>
  <si>
    <t>RO DIRIO DE OBRA - SS-1/2025 (IMPLANTAO)&amp;gt;ORGANIZAO E LIMPEZA DO CANTEIRO DE OBRAS - [MOD: 2]PTT: 20752328 (HR SOLIC 07:30 | HR LIB 08:00 | ATRASO 00:00) - (HR ENC 16:30:00 | ATRASO 00:00)&amp;gt;MOVIMENTAO MANUAL DE CARGA - [MOD: 2]PTT: 20751298 (HR SOLIC 07:30 | HR LIB 08:00 | ATRASO 00:00) - (HR ENC 16:30:00 | ATRASO 00:00)&amp;gt;MOVIMENTAO DE CARGA COM AUXLIO DE VECULO AUTOMOTIVO - [MOD: 1]PTT: 20793564 (HR SOLIC 07:30 | HR LIB 08:00 | ATRASO 00:00) - (HR ENC 16:30:00 | ATRASO 00:00)&amp;gt;&amp;gt; CONDIES CLIMTICAS: TEMPO BOM&amp;gt;&amp;gt;&amp;gt; IMPEDIMENTOS ACUMULADOSLIBERAO PT/PTT: 00:00 = 0,00dCONDIES CLIMTICAS: 00:00 = 0,00dPETROBRAS: 00:00 = 0,00dOUTROS: 00:00 = 0,00d</t>
  </si>
  <si>
    <t>18/11/2025</t>
  </si>
  <si>
    <t>RO-246/2025</t>
  </si>
  <si>
    <t>Envio do doc. CDIGO 362 -Plano de manut. preventiva de mquinas e equipamentos e manual de operao NR-12, para avaliao.</t>
  </si>
  <si>
    <t>Cancelado</t>
  </si>
  <si>
    <t>RO-169/2025</t>
  </si>
  <si>
    <t>Fiscalizao aprova RO apresentado</t>
  </si>
  <si>
    <t>RO DIRIO DE OBRA - SS-19/2025 (SINALIZAO DAS ESCADAS)  &amp;gt;EXECUO DE DEMARCAO DE PISO, REPOSIO DE PISO TTIL E SINALIZAO VISUAL BL 4 - P1 AO G3 - [MOD: 3] PTT: 20884918 (HR SOLIC 07:40 | HR LIB 12:00 | ATRASO 03:50) - (HR ENC 16:50 | ATRASO 00:00)  &amp;gt;&amp;gt; CONDIES CLIMTICAS: TEMPO BOM &amp;gt;&amp;gt;&amp;gt; IMPEDIMENTOS ACUMULADOS LIBERAO PT/PTT: 03:50 = 0,48d CONDIES CLIMTICAS: 00:00 = 0,00d PETROBRAS: 00:00 = 0,00d OUTROS: 00:00 = 0,00d</t>
  </si>
  <si>
    <t>RO-252/2025</t>
  </si>
  <si>
    <t>Fiscalizao se encontra de acordo com o RO do dia.</t>
  </si>
  <si>
    <t>RO DIRIO DE OBRA - SS-1/2025 (IMPLANTAO)&amp;gt;ORGANIZAO E LIMPEZA DO CANTEIRO DE OBRAS - [MOD: 2]PTT: 20752328 (HR SOLIC 07:30 | HR LIB 07:50 | ATRASO 00:00) - (HR ENC 11:50:00 | ATRASO 00:00) &amp;gt;MOVIMENTAO MANUAL DE CARGA - [MOD: 2]PTT: 20751298 (HR SOLIC 07:36 | HR LIB 07:56 | ATRASO 00:00) - (HR ENC 11:50:00 | ATRASO 00:00)&amp;gt;MOVIMENTAO DE CARGA COM AUXLIO DE VECULO AUTOMOTIVO - [MOD: 1]PTT: 20793564 (HR SOLIC 07:40 | HR LIB 08:00 | ATRASO 00:00) - (HR ENC 11:50:00 | ATRASO 00:00)&amp;gt;&amp;gt; CONDIES CLIMTICAS: TEMPO BOM&amp;gt;&amp;gt;&amp;gt; IMPEDIMENTOS ACUMULADOS LIBERAO PT/PTT: 00:00 = 0,00d CONDIES CLIMTICAS: 00:00 = 0,00d PETROBRAS: 00:00 = 0,00d  OUTROS: 00:00 = 0,00dEXPEDIENTE REDUZIDO, EM FUNO DO FERIADO DE 15 DE NOVEMBRO (SBADO).</t>
  </si>
  <si>
    <t>14/11/2025</t>
  </si>
  <si>
    <t>RO-228/2025</t>
  </si>
  <si>
    <t>Os somatrios desde incio at o prazo final da SS dos acmulos de hora parada e meteorolgicas no final da SS a Petrobras ir analisar se e cabvel o abono revertido em acrscimo de dias no prazo de entrega da demanda.Feriado sindical da empresa APJ, equipe administrativa no atuou nas atividades administrativas de mobilizao geral. Sem atividades.Sem efetivo de mo de obra direta para prosseguir com a execuo.RO aceito pela fiscalizao.</t>
  </si>
  <si>
    <t>RO DIRIO DE OBRA - SS-2/2025 (IMPLANTAO)&amp;gt; SEM EXPEDIENTE DEVIDO AO FERIADO SINDICAL;</t>
  </si>
  <si>
    <t>RO-49/2025</t>
  </si>
  <si>
    <t>RO DIRIO DE OBRA - SS-19/2025 (SINALIZAO DAS ESCADAS)&amp;gt;INSTALAO DE PISO TTIL E SINALIZAO VISUAL - COMPLEXO DE CONTINGNCIA - [MOD: 3]&amp;gt;&amp;gt;PTT: 20884918 (HR SOLIC 07:30 | HR LIB 08:00 | ATRASO 00:00) - (HR ENC 16:30 | ATRASO 00:00)&amp;gt;&amp;gt; CONDIES CLIMTICAS: TEMPO BOM&amp;gt;&amp;gt;&amp;gt; IMPEDIMENTOS ACUMULADOSLIBERAO PT/PTT: 00:00 = 0,00dCONDIES CLIMTICAS: 00:00 = 0,00dPETROBRAS: 00:00 = 0,00d</t>
  </si>
  <si>
    <t>RO-245/2025</t>
  </si>
  <si>
    <t>RO DIRIO DE OBRA - SS-1/2025 (IMPLANTAO)&amp;gt; CADASTRO DE COLABORADORES NO PRESTSERV;&amp;gt; ELABORAO DE DOCUMENTAO DE SMS (PROCEDIMENTOS E APR'S);&amp;gt; LEVANTAMENTO DE MATERIAIS PARA ADEQUAO DE CANTEIRO;&amp;gt; REUNIO DE MEDIO SET/25;&amp;gt; DSMS - ORIENTAO PARA ACESSO DE GRANDES MQUINAS EM OBRAS;&amp;gt; REALIZAO DE TREINAMENTO DE PERMISSO PARA TRABALHO.</t>
  </si>
  <si>
    <t>RO-19/2025</t>
  </si>
  <si>
    <t>RO DIRIO DE OBRA - SS-1/2025 (IMPLANTAO)&amp;gt; DESENVOLVIMENTO DA EAP DA SS-14/2025, SS-15/2025 E SS-16/2025;&amp;gt; ELABORAO DE DOCUMENTAO DE SMS (PROCEDIMENTOS E APR'S);&amp;gt; LEVANTAMENTO DE MATERIAIS PARA ADEQUAO DE CANTEIRO;&amp;gt; CONTINUAO DA INSPEO EM CAMPO DE SANITRIOS SS-14/2025;&amp;gt; INSPEO EM CAMPO NA TORRE DE RESFRIAMENTO PARA VALIDAO DA SS-15/2025 E SS-16/2025;</t>
  </si>
  <si>
    <t>03/10/2025</t>
  </si>
  <si>
    <t>RO-42/2025</t>
  </si>
  <si>
    <t>Fiscalizao se encontra de acordo e ciente das informaes contidas neste RO.Solicitado ao Eng Rubens da empresa APJ, para que contemple no RO'S as condies climticas eo efetivo de mo de obra.</t>
  </si>
  <si>
    <t>RO DIRIO DE OBRA - SS-1/2025 (IMPLANTAO)&amp;gt; DDS INTERNO - ALERTA SE LIGA - ENTORCE CORTE E QUEDA DO MESMO NVEL;&amp;gt; REVISO DO LEVANTAMENTO DAS LUMINRIAS - SS-17/2025;&amp;gt;&amp;gt;LIBERAO DE PTT (20752328) - ORGANIZAO E LIMPEZA DO CANTEIRO DE OBRAS;&amp;gt;&amp;gt; LIBERAO DE PTT (20751298) - MOVIMENTAO MANUAL DE CARGA.&amp;gt;&amp;gt; TEMPO CHUVOSO - INCIO DAS ATIVIDADES S 09:30H.</t>
  </si>
  <si>
    <t>15/10/2025</t>
  </si>
  <si>
    <t>RO-87/2025</t>
  </si>
  <si>
    <t>Fiscalizao aprova o relatrio apresentado!Domingo sem atividades.</t>
  </si>
  <si>
    <t>RO-203/2025</t>
  </si>
  <si>
    <t>No houve atividade desta SS, no dia , equipe est atuando no corte de perfis para a SS-15.</t>
  </si>
  <si>
    <t>"RO DIRIO E OBRA - SS-16/2025 (ACSTICO)&amp;gt;NO HOUVE ATIVIDADE NESTE DIA - MOD: |PT: ( |HR SOLIC 00:00 | HR LIB 00:00 |ATRASO |) - (HR ENC 00:00 | ATRASO )&amp;gt;&amp;gt;CONDIES CLIMTICAS: TEMPO BOM&amp;gt;&amp;gt;&amp;gt;IMPEDIMENTOS ACUMULADOSLIBERAO PT/PTT: 22:55 = 2,87dCONDIES CLIMTICAS: 2:30 = 0,32dPETROBRAS: 1:30 = 0,19dOUTROS: 0:00 = 0dAPJ: 0:00 = 0d"</t>
  </si>
  <si>
    <t>10/12/2025</t>
  </si>
  <si>
    <t>RO-350/2025</t>
  </si>
  <si>
    <t>RO-201/2025</t>
  </si>
  <si>
    <t>RO-302/2026</t>
  </si>
  <si>
    <t>Equipe da Torres Brasil, subcontratada da APJ est atuando na manuteno das torres de resfriamento, Atividades realizadas no dia de hoje: Montagem dos suportes inferiores das torres de resfriamento A e B, laminao para preparao e solda com resina dos pontaletes dos suportes.</t>
  </si>
  <si>
    <t>"RO DIRIO E OBRA - SS-15/2025 (TORRE RESFR)&amp;gt;CORTE DE PERFIS E PREPARAO DE SUPORTES - MOD:2 |PT: (21138656 |HR SOLIC 07:50 | HR LIB 08:08 |ATRASO 00:00|) - (HR ENC 16:30 | ATRASO 00:00)&amp;gt;&amp;gt;CONDIES CLIMTICAS: TEMPO BOM&amp;gt;&amp;gt;&amp;gt;IMPEDIMENTOS ACUMULADOSLIBERAO PT/PTT: 4:21 = 0,55dCONDIES CLIMTICAS: 2:30 = 0,32dPETROBRAS: 4:30 = 0,57dOUTROS: 4:55 = 0,62dAPJ: 0:00 = 0d"</t>
  </si>
  <si>
    <t>15/01/2026</t>
  </si>
  <si>
    <t>RO-66/2026</t>
  </si>
  <si>
    <t>Domingo, dia 08/02/26,no houve expediente.</t>
  </si>
  <si>
    <t>08/02/2026</t>
  </si>
  <si>
    <t>RO-176/2026</t>
  </si>
  <si>
    <t>RO DIRIO DE OBRA - SS-1/2025 (IMPLANTAO)&amp;gt;ENTREGA DO PACOTE DE PLANEJAMENTO DA SS-15/2025 (MANUTENO DAS TORRES DE RESFRIAMENTO);&amp;gt; DDS INTERNO - INSPEO DE MQUINAS E FERRAMENTAS;&amp;gt; ORGANIZAO E LIMPEZA DO CANTEIRO DE OBRAS;&amp;gt; LEVANTAMENTO "IN LOCO" SS-17/2025 - ADEQUAO DA LUMINOSIDADE DA REA EXTERNA DO EDIVIT;&amp;gt;&amp;gt;LIBERAO DE PT(20745734) - HR SOLIC 7:50 | HR LIB 7:50 | ATRASO 00:00.</t>
  </si>
  <si>
    <t>13/10/2025</t>
  </si>
  <si>
    <t>RO-71/2025</t>
  </si>
  <si>
    <t>A fiscalizao encontra se ciente e de acordo como RO do dia.</t>
  </si>
  <si>
    <t>RO DIRIO DE OBRA - SS-1/2025 (IMPLANTAO)&amp;gt;ORGANIZAO E LIMPEZA DO CANTEIRO DE OBRAS - [MOD: 9]PTT: 20752328 (HR SOLIC 07:40 | HR LIB 08:10 | ATRASO 00:00) - (HR ENC 17:00 | ATRASO 00:00) &amp;gt;MOVIMENTAO MANUAL DE CARGA - [MOD: 3]PTT: 20751298 (HR SOLIC 07:40 | HR LIB 08:10 | ATRASO 00:00) - (HR ENC 17:00 | ATRASO 00:00)&amp;gt;MOVIMENTAO DE CARGA COM AUXLIO DE VECULO AUTOMOTIVO - [MOD: 1]PTT: 20793564 (HR SOLIC 07:40 | HR LIB 08:10 | ATRASO 00:00) - (HR ENC 17:00 | ATRASO 00:00)&amp;gt;&amp;gt; CONDIES CLIMTICAS: TEMPO BOM&amp;gt;&amp;gt;&amp;gt; IMPEDIMENTOS ACUMULADOS LIBERAO PT/PTT: 00:00 = 0,00d CONDIES CLIMTICAS: 00:00 = 0,00d PETROBRAS: 00:00 = 0,00d  OUTROS: 00:00 = 0,00d______________________________________________________________________________________________________________________&amp;gt;&amp;gt;&amp;gt;&amp;gt;OBS.: A APJ INFORMA QUE A EQUIPE MOBILIZADA PARA A SS-14 AINDA AGUARDA O INCIO DA DEMANDA, QUE AINDA NO FOI APROVADA.</t>
  </si>
  <si>
    <t>RO-177/2025</t>
  </si>
  <si>
    <t>Fiscalizao aprova o relatrio apresentado!SS-14 -Adequao dos sanitrios coletivos - Torres Leste e Oeste, aguardando aprovao do planejamento.</t>
  </si>
  <si>
    <t>RO DIRIO DE OBRA - SS-19/2025 (SINALIZAO DAS ESADAS)&amp;gt;EXECUO DE DEMARCAO DE PISO - TORRE OESTE - LADO LESTE - [MOD: 4]PT: 20863644 (HR SOLIC 09:30 | HR LIB 10:09 | ATRASO 00:00) - (HR ENC 16:30 | ATRASO 00:09) &amp;gt;&amp;gt; CONDIES CLIMTICAS: TEMPO BOM&amp;gt;&amp;gt;&amp;gt; IMPEDIMENTOS ACUMULADOS LIBERAO PT/PTT: 00:00 = 0,00d CONDIES CLIMTICAS: 00:00 = 0,00d PETROBRAS: 00:00 = 0,00d  OUTROS: 00:00 = 0,00d______________________________________________________________________________________________________________________&amp;gt;&amp;gt;&amp;gt;&amp;gt;OBS.: A APJ INFORMA QUE A EQUIPE MOBILIZADA PARA A SS-14 AINDA AGUARDA O INCIO DA DEMANDA, QUE AINDA NO FOI APROVADA.</t>
  </si>
  <si>
    <t>RO-185/2025</t>
  </si>
  <si>
    <t>- Equipe atuando na organizao e limpeza do canteiro de obras da APJ e realizando movimentao e transporte de materiais do canteiro da antiga contratada, para o novo canteiro da APJ.- Limpeza, organizao. transporte de materiais e resduos dos sanitrios.- Foi instalada a placa de identificao da contratada no canteiro de obras.Fiscalizao ciente e de acordo com o RO do dia 27/10/25.</t>
  </si>
  <si>
    <t>RO DIRIO DE OBRA - SS-1/2025 (IMPLANTAO)&amp;gt; PLANEJAMENTO:&amp;gt;&amp;gt;ENTREGA DO PACOTE DE PLANEJAMENTO E ORAMENTO DA SS-19/2025 - SINALIZAO DAS ESCADAS;&amp;gt; ATIVIDADES:&amp;gt;&amp;gt;LIBERAO DE PTT (20752328) - ORGANIZAO E LIMPEZA DO CANTEIRO DE OBRAS - (MOD: 3);&amp;gt;&amp;gt;&amp;gt;LIMPEZA E SEGREGAO DE MATERIAIS;&amp;gt;&amp;gt;LIBERAO DE PTT (20751298) - MOVIMENTAO MANUAL DE CARGA - (MOD: 4);&amp;gt;&amp;gt;&amp;gt;BLOCO 1 P1 - LIMPEZA, ORGANIZAO, TRANSPORTE DE MATERIAIS E RESDUOS DOS SANITRIOS;&amp;gt;&amp;gt;LIBERAO DE PTT (20793564) - MOVIMENTAO DE CARGA COM AUXLIO DE VECULO AUTOMOTIVO - SUPRIMENTOS- MOD: 1);&amp;gt;&amp;gt;&amp;gt; MOVIMENTAO DE FERRAMENTAS E MATERIAIS DO CANTEIRO 2 PARA O CANTEIRO 1.&amp;gt;&amp;gt;&amp;gt;CONDIES CLIMTICAS: TEMPO BOM&amp;gt;&amp;gt;&amp;gt; IMPACTO ACUMULADOLIBERAO PT/PTT: 00:00 = 0,00dINCIDNCIA DE CHUVA: 00:00 = 0,00dINCIDNCIA DE RAIOS: 00:00 = 0,00dINCIDNCIA DE VENTOS: 00:00 = 0,00dIMPEDIMENTOS FISCALIZAO: 00:00 = 0,00d</t>
  </si>
  <si>
    <t>27/10/2025</t>
  </si>
  <si>
    <t>RO-135/2025</t>
  </si>
  <si>
    <t>RO DIRIO DE OBRA - SS-19/2025 (SINALIZAO DAS ESCADAS)&amp;gt;EXECUO DE DEMARCAO DE PISO E SINALIZAO VISUAL - BLOCO 4 - LADO LESTE - GARAGENS - [MOD: 6]&amp;gt;&amp;gt;PTT: 20884918 (HR SOLIC 07:50 | HR LIB 08:10 | ATRASO 00:00) - (HR ENC 16:30 | ATRASO 00:00)&amp;gt;&amp;gt; CONDIES CLIMTICAS: TEMPO BOM&amp;gt;&amp;gt;&amp;gt; IMPEDIMENTOS ACUMULADOSLIBERAO PT/PTT: 00:00 = 0,00dCONDIES CLIMTICAS: 00:00 = 0,00dPETROBRAS: 00:00 = 0,00d</t>
  </si>
  <si>
    <t>RO-207/2025</t>
  </si>
  <si>
    <t>Sbado dia 15/11/25, No houve expediente de trabalho.</t>
  </si>
  <si>
    <t>RO-230/2025</t>
  </si>
  <si>
    <t>Equipe da Engeval est executando a montagem do andaime no entorno das paredes das torres de resfriamento, no houve atraso para liberao de equipe atuar na substituio dos isolamentos acsticos da torre, mas por segurana foi alinhado entre a contratada e a fiscalizao para que as duas equipes a de andaime e da APJ, no atuassem ao mesmo tempo devido ao risco de queda de materiais.</t>
  </si>
  <si>
    <t>RO DIRIO DE OBRA - SS-16/2025 (ISOLAMENTO ACSTICO)  &amp;gt;MONTAGEM DE ANDAIMES - [MOD: 6] PT: 20933882 (HR SOLIC 07:45 | HR LIB 12:30 | ATRASO 03:45) - (HR ENC 16:30 | ATRASO 00:00) &amp;gt;SUBSTITUIO DO ISOLAMENTO ACSTICO - [MOD: 7] PT: 2093828 (HR SOLIC 07:45 | HR LIB 12:00 | ATRASO 03:45) - (HR ENC 16:30 | ATRASO 00:00)  &amp;gt;&amp;gt; CONDIES CLIMTICAS: TEMPO BOM &amp;gt;&amp;gt;&amp;gt; IMPEDIMENTOS ACUMULADOS LIBERAO PT/PTT: 16:00 = 2,00d CONDIES CLIMTICAS: 00:00 = 0,00d PETROBRAS: 00:00 = 0,00d OUTROS: 00:00 = 0,00d</t>
  </si>
  <si>
    <t>RO-254/2025</t>
  </si>
  <si>
    <t>Domingo, dia 16/11/25, no houve expediente de trabalho.</t>
  </si>
  <si>
    <t>16/11/2025</t>
  </si>
  <si>
    <t>RO-231/2025</t>
  </si>
  <si>
    <t>Fiscalizao se encontra de acordo e ciente das informaes contidas neste RO.Equipe da contratada esteve em treinamento de LIBRA das 13:00 as 15:00</t>
  </si>
  <si>
    <t>RO DIRIO DE OBRA - SS-1/2025 (IMPLANTAO)&amp;gt; DDS INTERNO - TRABALHO A CU ABERTO, EXPOSIO AO SOL, CHUVA - HIDRATAO;&amp;gt; LEVANTAMENTO, COM PROJETO, DAS LUMINRIAS A SEREM SUBSTITUIDAS NA REA EXTERNA DO EDIVIT - POSTEAMENTO E GRAMADO;&amp;gt; TREINAMENTO DE LIBRA DAS 13:OOH S 15:00H;&amp;gt;&amp;gt;LIBERAO DE PTT (20752328) - HR SOLIC 8:08 | HR LIB 8:08 | ATRASO 00:00 - ORGANIZAO E LIMPEZA DO CANTEIRO DE OBRAS;&amp;gt;&amp;gt; LIBERAO DE PTT (20751298) - HR SOLIC 08:26 | HR LIB 08:26 | ATRASO 00:00 - MOVIMENTAO MANUAL DE CARGA.</t>
  </si>
  <si>
    <t>14/10/2025</t>
  </si>
  <si>
    <t>RO-72/2025</t>
  </si>
  <si>
    <t>RO DIRIO DE OBRA - SS-1/2025 (IMPLANTAO)&amp;gt;ORGANIZAO E LIMPEZA DO CANTEIRO DE OBRAS - [MOD: 3]PTT: 20752328 (HR SOLIC 07:30 | HR LIB 07:50 | ATRASO 00:00) - (HR ENC 16:30:00 | ATRASO 00:00) &amp;gt;MOVIMENTAO MANUAL DE CARGA - [MOD: 3]PTT: 20751298 (HR SOLIC 07:30 | HR LIB 07:50 | ATRASO 00:00) - (HR ENC 16:30:00 | ATRASO 00:00)&amp;gt;MOVIMENTAO DE CARGA COM AUXLIO DE VECULO AUTOMOTIVO - [MOD: 1]PTT: 20793564 (HR SOLIC 07:45 | HR LIB 08:05 | ATRASO 00:00) - (HR ENC 16:30:00 | ATRASO 00:00)&amp;gt;&amp;gt; CONDIES CLIMTICAS: TEMPO BOM&amp;gt;&amp;gt;&amp;gt; IMPEDIMENTOS ACUMULADOS LIBERAO PT/PTT: 00:00 = 0,00d CONDIES CLIMTICAS: 00:00 = 0,00d PETROBRAS: 00:00 = 0,00d  OUTROS: 00:00 = 0,00d</t>
  </si>
  <si>
    <t>13/11/2025</t>
  </si>
  <si>
    <t>RO-221/2025</t>
  </si>
  <si>
    <t>Domingo, dia 02/11/25,no houve expediente de trabalho.</t>
  </si>
  <si>
    <t>02/11/2025</t>
  </si>
  <si>
    <t>RO-161/2025</t>
  </si>
  <si>
    <t>Os somatrios desde incio at o prazo final da SS dos acmulos de hora parada e meteorolgicas no final da SS a Petrobras ir analisar se e cabvel o abono revertido em acrscimo de dias no prazo de entrega da demanda.Dia 02/10/2025, equipe de gesto deu continuidade s atividades de mobilizao.Equipe trabalhando na elaborao da documentao dos colaboradores e cadastro no prestserv; levantamento e organizao dos materiais no canteiro; organizao dos EPI's e EPC's no canteiro.Elaborao do pacote de planejamento das demandas, elaborao de cronogramas e procedimentos e documentao de SMS.Foi reprogramada a PT 20.688.030 (tambm programada no dia 01/10), referente  demanda de desmontagem da cobertura da UPCGN-1, mas no havia efetivo direto para dar incio  atividade (ambos dias).RO aceito pela fiscalizao.</t>
  </si>
  <si>
    <t>RO DIRIO DE OBRA - SS-2/2025 (IMPLANTAO)&amp;gt; ELABORAO DE DOCUMENTAO DE SMS (PROCEDIMENTOS E APR'S);&amp;gt; LEVANTAMENTO DE MATERIAIS PARA ADEQUAO DE CANTEIRO;&amp;gt; LEVANTAMENTO DE EPI'S E EPC'S PARA INCIO DAS ATIVIDADES DE CAMPO;</t>
  </si>
  <si>
    <t>RO-39/2025</t>
  </si>
  <si>
    <t>RO DIRIO DE OBRA - SS-1/2025 (IMPLANTAO)&amp;gt; CADASTRO DE COLABORADORES NO PRESTSERV;&amp;gt; ELABORAO DE DOCUMENTAO DE SMS (PROCEDIMENTOS E APR'S);&amp;gt; LEVANTAMENTO DE MATERIAIS PARA ADEQUAO DE CANTEIRO;&amp;gt; PARTICIPAO DE CONSECOM.</t>
  </si>
  <si>
    <t>RO-24/2025</t>
  </si>
  <si>
    <t>Dia 20/11/25, Feriado, no houve expediente.</t>
  </si>
  <si>
    <t>RO DIRIO DE OBRA - SS-19/2025 (SINALIZAO DAS ESCADAS)SEM EXPEDIENTE.</t>
  </si>
  <si>
    <t>RO-248/2025</t>
  </si>
  <si>
    <t>Equipe atuando na organizao e limpeza do canteiro de obras da APJ e realizando movimentao e transporte de materiais do canteiro da antiga contratada, para o novo canteiro 2 da APJ.Fiscalizao ciente e de acordo com o RO do dia 22/10/25.</t>
  </si>
  <si>
    <t>RO DIRIO DE OBRA - SS-1/2025 (IMPLANTAO)&amp;gt; DDS INTERNA - SE LIGA - ACIDENTE TPICO SEM AFASTAMENTO - CLASSE 1;&amp;gt; DDS NA REA - TEMA: SEGURANA EM ATIVIDADES COM ELEMENTOS CORTANTES - MINISTRANTE - PATRICIA FASSHEBER;&amp;gt; ATIVIDADES:&amp;gt;&amp;gt;LIBERAO DE PTT (20752328) - ORGANIZAO E LIMPEZA DO CANTEIRO DE OBRAS - (MO DE OBRA DIRETA: 5);&amp;gt;&amp;gt; LIBERAO DE PTT (20751298) - MOVIMENTAO MANUAL DE CARGA - (MO DE OBRA DIRETA: 2);&amp;gt;&amp;gt;&amp;gt; MOVIMENTAO DE FERRAMENTAS E MATERIAIS DO CANTEIRO 2 PARA O CANTEIRO 1.&amp;gt;&amp;gt;&amp;gt; IMPACTO ACUMULADODDS NA REA - 08:00H-08:40HLIBERAO PT/PTT: 00:00 = 0,00dINCIDNCIA DE CHUVA: 00:00 = 0,00dINCIDNCIA DE RAIOS: 00:00 = 0,00dINCIDNCIA DE VENTOS: 00:00 = 0,00dIMPEDIMENTOS FISCALIZAO: 00:00 = 0,00d</t>
  </si>
  <si>
    <t>22/10/2025</t>
  </si>
  <si>
    <t>RO-120/2025</t>
  </si>
  <si>
    <t>Sbado, dia 14/02/26, no houve expediente.</t>
  </si>
  <si>
    <t>SEM EXPEDIENTE - SBADO</t>
  </si>
  <si>
    <t>14/02/2026</t>
  </si>
  <si>
    <t>RO-195/2026</t>
  </si>
  <si>
    <t>PABLOAZAMBI</t>
  </si>
  <si>
    <t>- Fiscalizao encontra se ciente e de acordo com o RO do dia 20/10/25.- Foi cobrado ao preposto da APJ, Eng Rubens para que seja instalado a placa de identificao do canteiro de obras, assim que a mesma estiver pronta/confeccionadapara a instalao.</t>
  </si>
  <si>
    <t>RO DIRIO DE OBRA - SS-1/2025 (IMPLANTAO)&amp;gt; DDS INTERNA - TRABALHO INTERPERIES (DENGUE);&amp;gt; ENVIO DO PACOTE DE PLANEJAMENTO DA SS-14/2025 (ADEQUAO DOS SANITRIOS);&amp;gt; ENVIO DO PACOTE DE PLANEJAMENTO DA SS-15/2025 (MANUTENO DAS TORRES DE RESFRIAMENTO);&amp;gt; ATIVIDADES:&amp;gt;&amp;gt;LIBERAO DE PTT (20752328) - ORGANIZAO E LIMPEZA DO CANTEIRO DE OBRAS - (MO DE OBRA DIRETA: 5);&amp;gt;&amp;gt;&amp;gt; MONTAGEM DO TRAVAMENTO DA ESTRUTURA DO TAPUME;&amp;gt;&amp;gt;&amp;gt; COMPLEMENTO DA MONTAGEM DAS PRATELEIRAS DO CONTAINER;&amp;gt;&amp;gt; LIBERAO DE PTT (20751298) - MOVIMENTAO MANUAL DE CARGA - (MO DE OBRA DIRETA: 2);&amp;gt;&amp;gt;&amp;gt; MOVIMENTAO DE FERRAMENTAS E MATERIAIS DO CANTEIRO 2 PARA O CANTEIRO 1.&amp;gt;&amp;gt; CONDIES CLIMTICAS: TEMPO BOM&amp;gt;&amp;gt;&amp;gt; IMPACTO ACUMULADOLIBERAO PT/PTT: 00:00 = 0,00dINCIDNCIA DE CHUVA: 00:00 = 0,00dINCIDNCIA DE RAIOS: 00:00 = 0,00dINCIDNCIA DE VENTOS: 00:00 = 0,00dIMPEDIMENTOS FISCALIZAO: 00:00 = 0,00d</t>
  </si>
  <si>
    <t>20/10/2025</t>
  </si>
  <si>
    <t>RO-102/2025</t>
  </si>
  <si>
    <t>RO DIRIO DE OBRA - SS-19/2025 (SINALIZAO DAS ESADAS)&amp;gt;EXECUO DE DEMARCAO DE PISO - TORRE OESTE - LADO LESTE - [MOD: 4]PT: 20870152 (HR SOLIC 08:00 | HR LIB 08:54 | ATRASO 00:24) - (HR ENC 16:46 | ATRASO 00:24) &amp;gt;&amp;gt; CONDIES CLIMTICAS: TEMPO BOM&amp;gt;&amp;gt;&amp;gt; IMPEDIMENTOS ACUMULADOS LIBERAO PT/PTT: 00:26 = 0,04d CONDIES CLIMTICAS: 00:00 = 0,00d PETROBRAS: 00:00 = 0,00d  OUTROS: 00:00 = 0,0______________________________________________________________________________________________________________________&amp;gt;&amp;gt;&amp;gt;&amp;gt;OBS.: A APJ INFORMA QUE A EQUIPE MOBILIZADA PARA A SS-14 AINDA AGUARDA O INCIO DA DEMANDA, QUE AINDA NO FOI APROVADA.</t>
  </si>
  <si>
    <t>06/11/2025</t>
  </si>
  <si>
    <t>RO-189/2025</t>
  </si>
  <si>
    <t>RO DIRIO DE OBRA - SS-1/2025 (IMPLANTAO)&amp;gt; DESENVOLVIMENTO DA EAP, ORAMENTO E CRONOGRAMA, DA SS-15/2025 (PACOTE ENVIADO NO FINAL DO EXPEDIENTE);&amp;gt; ENVIADO PACOTE DE PLANEJAMENTO DA SS-14/2025;&amp;gt; TREINAMENTO DO EFETIVO OPERACIONAL, VIA TEAMS, DOS CURSOS DE TRILHA DO CONHECIMNTO EM OBRAS E TUTORES DO PROJETO EPI.</t>
  </si>
  <si>
    <t>08/10/2025</t>
  </si>
  <si>
    <t>RO-53/2025</t>
  </si>
  <si>
    <t>Os somatrios desde incio at o prazo final da SS dos acmulos de hora parada e meteorolgicas no final da SS a Petrobras ir analisar se e cabvel o abono revertido em acrscimo de dias no prazo de entrega da demanda.No dia 24/11 (segunda-feira) houve chuva durante todo o dia e a fiscalizao registrou baixa (ou nenhuma) produtividade nas atividades.1. UPCGN-1:Foi programada a PTT conforme pontuado pela contratada, da disciplina de caldeiraria, desmontagem da estrutura em solo.2. SECGN:PTT da atividade de caldeiraria (iratas) para montagem de perfis da fachada e instalao de tirantes.Para a equipe de eltrica foi programada a atividade de adequao da rede eltrica do galpo.3. UPGN-3:Foram programadas as PTT's de caldeiraria convencional, eltrica, pintura e irata.A equipe de caldeiraria iria atuar na instalao das venezianas.Demais atividades no foram pontuadas no RO, mas estavam programadas, de qualquer forma, a chuva impediu a execuo de todas as atividades.4. K-15:Programada a PT de montagem das estruturas metlicas, com uso de guindaste.05. K-04:No K-04 a equipe de civil atuou na instalao de roda forro e tratamento das paredes internas da sala.Foi programada a PT de montagem de andaime, mas a equipe no estava disponvel e a PT foi cancelada.Faltou anexar a SS do K-04 no RDO.6. K-14:No foi executada nenhuma atividade, a PT de pintura programada (20.936.221) foi liberada, mas devido  chuva, no foi possvel executar.Foram programadas as PT's de caldeiraria e eltrica, mas estas foram canceladas pela operao.7. UPGN-2:No foi programada PT, pois a OM estava em reviso (com pendncia de assinatura do N3 para liberar a AR e tria da OM).De qualquer forma, houve ocorrncia de chuva durante todo o dia.RO aceito pela fiscalizao.</t>
  </si>
  <si>
    <t>RO DIRIO DE OBRA - SS-04/2025 (UPGN-2)  &amp;gt; RETIRADA DE INSERTS - [MOD: 03 | PEMT: 01] PT: (HR SOLIC 00:00 | HR LIB 00:00 | ATRASO 00:00) - (HR ENC 16:30 | ATRASO 00:00)  ATIVIDADES IMPACTADAS PELO DIA TODO DE CHUVA  &amp;gt;&amp;gt; CONDIES CLIMTICAS: TEMPO CHUVOSO  &amp;gt;&amp;gt;&amp;gt; IMPEDIMENTOS ACUMULADOS LIBERAO PT/PTT: 00:00 = 0,00d CONDIES CLIMTICAS: 08:00 = 1,00d PETROBRAS: 00:00 = 0,00d OUTROS: 20:00 = 2,50d RO DIRIO DE OBRA - SS-5/2025 (SECGN)  &amp;gt;ADEQUAO DOS SUPORTES DAS CALHAS DO GALPO- [MOD: 06 | PEMT00 ] PT:20867585(HR SOLIC 08:00 | HR LI 00:00 | ATRASO 00:00) - (HR ENC 16:30 | ATRASO 00:00)  &amp;gt; INSTALAO DE INFRA ESTRUTURAS ELETRICA - [MOD: 02 | PEMT: 01] PT: 20945271 (HR SOLIC 08:00 | HR LIB 00:00 | ATRASO 00:00) - (HR ENC 16:30 | ATRASO 00:00)  ATIVIDADES IMPACTADAS PELO DIA TODO DE CHUVA &amp;gt;&amp;gt; CONDIES CLIMTICAS:TEMPO CHUVOSO  &amp;gt;&amp;gt;&amp;gt; IMPEDIMENTOS ACUMULADOS LIBERAO PT/PTT: 11:20 = 1,29d CONDIES CLIMTICAS: 44:50 = 4,85d PETROBRAS: 05:30 = 0,81d OUTROS: 28:00 = 3,50d RO DIRIO DE OBRA - SS-6/2025 (GALPO K-14)  &amp;gt; TRATAMENTO E PINTUTA DA ESTRUTURA DE CONCRETO - [MOD: 02| PEMT-0] PT:20945446(HR SOLIC 08:05 | HR LIB 00:00| ATRASO 00:00) - (HR ENC 16:30 | ATRASO 00:00   &amp;gt;&amp;gt; CONDIES CLIMTICAS:TEMPO CHUVOSO  &amp;gt;&amp;gt;&amp;gt; IMPEDIMENTOS ACUMULADOS LIBERAO PT/PTT: 06:43 = 0,83d CONDIES CLIMTICAS: 08:00 = 1,00d PETROBRAS: 00:00 = 0,00d OUTROS: 28:00 = 3,50d RO DIRIO DE OBRA - SS-7/2025 (GALPO K-15)  &amp;gt;RELIZANDO APERTOS E ADEQUAES NAS ESTRUTURAS METALICAS [MOD: 04 | PEMT: 1] PT:20945313(HR SOLIC 08:40 | HR LIB 00|:00 ATRASO 00:00) - (HR ENC 16:30 | ATRASO 00:00)  ATIVIDADES IMPACTADAS PELO DIA TODO DE CHUVA.  &amp;gt;&amp;gt; CONDIES CLIMTICAS:TEMPO CHUVOSO  &amp;gt;&amp;gt;&amp;gt; IMPEDIMENTOS ACUMULADOS LIBERAO PT/PTT: 10:43 = 1,23d CONDIES CLIMTICAS: 22:50 = 2,84d PETROBRAS: 00:00 = 0,00d OUTROS: 28:00 = 3,50d RO DIRIO DE OBRA - SS-9/2025 (UPGN-3)  &amp;gt; REALIZANDO INSTALAO DE VENEZIANAS LATERAIS - [MOD: 04| PEMT-01] PT:20867402(HR SOLIC 00:00| HR LIB 00:00 | ATRASO 00:00) - (HR ENC 16:30 | ATRASO 00:00)  ATIVIDADES IMPACTADAS PELO DIA TODO DE CHUVA. &amp;gt;&amp;gt; CONDIES CLIMTICAS:TEMPO CHUVOSO  &amp;gt;&amp;gt;&amp;gt; IMPEDIMENTOS ACUMULADOS LIBERAO PT/PTT: 18:31= 2,86d CONDIES CLIMTICAS: 46:20 = 5,24d PETROBRAS: 00:00 = 0,00d OUTROS: 28:00 = 3,50d_______________________________________________________RO DIRIO DE OBRA - SS-11/2025 (UPCGN-1)  &amp;gt; DESMONTAGEM DOS PERFIS E RETIRADA DE TELHAS E RETIRADA DE INSERTS - [MOD: 05 | PEMT: 02] PT20867560 (HR SOLIC 00:00 | HR LIB 00:00 | ATRASO 00:00) - (HR ENC 16:30 | ATRASO 00:00)  ATIVIDADES IMPACTADAS PELO DIA TODO DE CHUVA. &amp;gt;&amp;gt; CONDIES CLIMTICAS: TEMPO CHUVOSO  &amp;gt;&amp;gt;&amp;gt; IMPEDIMENTOS ACUMULADOS LIBERAO PT/PTT: 07:26 = 0,83d CONDIES CLIMTICAS: 69:11 = 7,25d PETROBRAS: 00:00 = 0,00d OUTROS: 28:00 = 3,50d_____________________________________________RO DIRIO DE OBRA - SS-18/2025 (ADEQUAO DA SALA DE MONITORAMENTO N1 CISC)&amp;gt;REFORMA DA SALA INTERNA DO K-04 (ANTIGA SALA TIC) - [MOD: 04 | PEMT: 0]PT: 20951004(HR SOLIC 08:58| HR LIB 08:59 | ATRASO 00:00) - (HR ENC 16:30 | ATRASO 00:00&amp;gt;MONTAGEM DE CAVALETES PARA ISOLAMENTO DAS ATIVIDADES- [MOD: 03 | PEMT: 0]PT:20871373 (HR SOLIC 08:00| HR LIB 08:00 | ATRASO 00:00) - (HR ENC 16:30 | ATRASO 00:00&amp;gt;&amp;gt; CONDIES CLIMTICAS: TEMPO CHUVOSO  &amp;gt;&amp;gt;&amp;gt; IMPEDIMENTOS ACUMULADOS LIBERAO PT/PTT: 00:00 = 0,00d CONDIES CLIMTICAS: 00:00 = 0,00d PETROBRAS: 00:00 = 0,00d OUTROS: 28:00 = 3,00</t>
  </si>
  <si>
    <t>24/11/2025</t>
  </si>
  <si>
    <t>RO-278/2025</t>
  </si>
  <si>
    <t>- Equipe atuando na organizao e limpeza do canteiro de obras da APJ e realizando movimentao e transporte de materiais do canteiro da antiga contratada, para o novo canteiro da APJ.- Fiscalizao est ciente e de acordo com o RO do dia 29/10/2025.</t>
  </si>
  <si>
    <t>RO DIRIO DE OBRA - SS-1/2025 (IMPLANTAO)&amp;gt; PLANEJAMENTO:&amp;gt;&amp;gt;APROVAO DO CRONOGRAMA DA SS-19/2025 (SINALIZAO DAS ESCADAS) PELA FISCALIZAO;&amp;gt; ATIVIDADES:&amp;gt;&amp;gt;LIBERAO DE PTT (20752328) - ORGANIZAO E LIMPEZA DO CANTEIRO DE OBRAS - (MOD: 7);&amp;gt;&amp;gt;&amp;gt;LIMPEZA E SEGREGAO DE MATERIAIS PARA DESCARTE;&amp;gt;&amp;gt;LIBERAO DE PTT (20751298) - MOVIMENTAO MANUAL DE CARGA - (MOD: 2);&amp;gt;&amp;gt;&amp;gt;EQUIPE AGUARDANDO A LIBERAO DE FRENTE DE SERVIO PARA O INCIO DAS ATIVIDADES;&amp;gt;&amp;gt;LIBERAO DE PTT (20793564) - MOVIMENTAO DE CARGA COM AUXLIO DE VECULO AUTOMOTIVO - SUPRIMENTOS- MOD: 1);&amp;gt;&amp;gt;&amp;gt;MOVIMENTAO DE FERRAMENTAS E MATERIAIS DO CANTEIRO 2 PARA O CANTEIRO 1.&amp;gt;&amp;gt;&amp;gt;CONDIES CLIMTICAS: TEMPO BOM&amp;gt;&amp;gt;&amp;gt; IMPACTO ACUMULADOLIBERAO PT/PTT: 00:00 = 0,00dINCIDNCIA DE CHUVA: 00:00 = 0,00dINCIDNCIA DE RAIOS: 00:00 = 0,00dINCIDNCIA DE VENTOS: 00:00 = 0,00dIMPEDIMENTOS FISCALIZAO: 00:00 = 0,00d</t>
  </si>
  <si>
    <t>29/10/2025</t>
  </si>
  <si>
    <t>RO-141/2025</t>
  </si>
  <si>
    <t>RO DIRIO DE OBRA - SS-19/2025 (SINALIZAO DAS ESADAS)&amp;gt;EXECUO DE DEMARCAO DE PISO E SINALIZAO VISUAL - BLOCO 2, BLOCO 4 E BLOCO CENTRAL - [MOD: 6]&amp;gt;&amp;gt;PT: 20870152(HR SOLIC 07:50 | HR LIB 08:10 | ATRASO 00:00) - (HR ENC 15:48 | ATRASO 00:00)&amp;gt;&amp;gt;PT: 20875244 (HR SOLIC 07:50 | HR LIB 08:10 | ATRASO 00:00) - (HR ENC 15:48 | ATRASO 00:00) &amp;gt;&amp;gt; CONDIES CLIMTICAS: TEMPO BOM&amp;gt;&amp;gt;&amp;gt; IMPEDIMENTOS ACUMULADOS LIBERAO PT/PTT: 00:00 = 0,00d CONDIES CLIMTICAS: 00:00 = 0,00d PETROBRAS: 00:00 = 0,00d  OUTROS: 00:00 = 0,0</t>
  </si>
  <si>
    <t>RO-193/2025</t>
  </si>
  <si>
    <t>FXCB</t>
  </si>
  <si>
    <t>Os somatrios desde incio at o prazo final da SS dos acmulos de hora parada e meteorolgicas no final da SS a Petrobras ir analisar se e cabvel o abono revertido em acrscimo de dias no prazo de entrega da demanda.1. UPCGN-1:Foi programada a PTT conforme pontuado pela contratada, da disciplina de caldeiraria, desmontagem da estrutura em solo e remoo de pontaletes.2. SECGN:Foi programada a PT para utilizao da talha na instalao da viga treliada. Demais atividades para adequao do suporte das calhas.Para a equipe de eltrica foi programada a atividade de adequao da rede eltrica do galpo.3. UPGN-3:Foram programadas as PTT's de caldeiraria convencional, eltrica, pintura e irata.A equipe de caldeiraria atuou na instalao das venezianas na fachada dos fundos.Demais atividades de pintura e eltrica no foram pontuadas no RO, mas estavam programadas.4. K-15:Programada a PT de montagem das estruturas metlicas, com uso de guindaste, para montagem dos perfis laterais.05. K-04:No K-04 a equipe de civil atuou na finalizao da pintura e instalao de porta de acesso.Foi programada a PT de montagem de andaime, mas a equipe no estava disponvel e a PT foi cancelada.6. K-14:Foi executado o servio de pintura conforme mencionado acima, realizando as atividades. Foi executada a remoo de luminrias pela equipe de eltrica.7. UPGN-2:PT programada para equipe atuar na remoo dos inserts fixados nos pilares de concreto.8. SALA CISCPT foi programada, mas cancelada devido a falta de mo de obra, que estava em atendimento no EDIVIT. RO aceito pela fiscalizao.</t>
  </si>
  <si>
    <t>RO DIRIO DE OBRA - SS-04/2025 (UPGN-2)  &amp;gt; RETIRADA DE INSERTS - [MOD: 04 | PEMT: 01] PT:20954959 (HR SOLIC 07:50 | HR LIB 07:52 | ATRASO 00:00) - (HR ENC 16:30 | ATRASO 00:00)  &amp;gt;&amp;gt; CONDIES CLIMTICAS: TEMPO BOM&amp;gt;&amp;gt;&amp;gt; IMPEDIMENTOS ACUMULADOS LIBERAO PT/PTT: 00:00 = 0,00d CONDIES CLIMTICAS: 08:00 = 1,00d PETROBRAS: 00:00 = 0,00d OUTROS: 20:00 = 2,50d  RO DIRIO DE OBRA - SS-5/2025 (SECGN) &amp;gt;MONTAGEM DE ESTRUTURA METALICA DO GALPO COM USO DE TALHA- [MOD: 03 | PEMT 00 ] PT:20953702(HR SOLIC 08:00 | HR LI 08:30 | ATRASO 00:00) - (HR ENC 16:30 | ATRASO 00:00)  &amp;gt; INSTALAO DE INFRA ESTRUTURAS ELETRICA - [MOD: 02 | PEMT: 01] PT: 20953686 (HR SOLIC 07:50 | HR LIB 08:20 | ATRASO 00:00) - (HR ENC 16:30 | ATRASO 00:00)  &amp;gt;&amp;gt; CONDIES CLIMTICAS:: TEMPO BOM  &amp;gt;&amp;gt;&amp;gt; IMPEDIMENTOS ACUMULADOS LIBERAO PT/PTT: 10:29 = 1,29d CONDIES CLIMTICAS: 44:50 = 4,85d PETROBRAS: 05:30 = 0,81d OUTROS: 28:00 = 3,50d  RO DIRIO DE OBRA - SS-6/2025 (GALPO K-14)  &amp;gt; TRATAMENTO E PINTUTA DA ESTRUTURA DE CONCRETO - [MOD: 02| PEMT-0] PT:20953652(HR SOLIC 08:20 | HR LIB 08:50| ATRASO 00:00) - (HR ENC 16:30 | ATRASO 00:00  &amp;gt; RETIRADA DE LUMINARIAS - [MOD: 02| PEMT-1] PT:20932667(HR SOLIC 08:00 | HR LIB 08:30| ATRASO 00:00) - (HR ENC 16:30 | ATRASO 00:00  &amp;gt;&amp;gt; CONDIES CLIMTICAS::TEMPO BOM  &amp;gt;&amp;gt;&amp;gt; IMPEDIMENTOS ACUMULADOS LIBERAO PT/PTT: 06:43 = 0,83d CONDIES CLIMTICAS: 08:00 = 1,00d PETROBRAS: 00:00 = 0,00d OUTROS: 28:00 = 3,50d RO DIRIO DE OBRA - SS-7/2025 (GALPO K-15)  &amp;gt;RELIZANDO APERTOS, ADEQUAES E IAMENTO DAS ESTRUTURAS METALICAS [MOD: 04 | PEMT: 1] [GUIN:01] PT:20953612(HR SOLIC 07:50 | HR LIB 08:10 | ATRASO 00:00) - (HR ENC 16:30 | ATRASO 00:00)  &amp;gt;&amp;gt; CONDIES CLIMTICAS:TEMPO BOM  &amp;gt;&amp;gt;&amp;gt; IMPEDIMENTOS ACUMULADOS LIBERAO PT/PTT: 10:43 = 1,23d CONDIES CLIMTICAS: 22:50 = 2,84d PETROBRAS: 00:00 = 0,00d OUTROS: 28:00 = 3,50d RO DIRIO DE OBRA - SS-9/2025 (UPGN-3)  &amp;gt; REALIZANDO INSTALAO DE VENEZIANAS LATERAIS - [MOD: 04| PEMT-01] PT:20867402(HR SOLIC 07:50| HR LIB 08:00 | ATRASO 00:00) - (HR ENC 16:30 | ATRASO 00:00)  &amp;gt;&amp;gt; CONDIES CLIMTICAS:TEMPO BOM  &amp;gt;&amp;gt;&amp;gt; IMPEDIMENTOS ACUMULADOS LIBERAO PT/PTT: 18:31= 2,86d CONDIES CLIMTICAS: 46:20 = 5,24d PETROBRAS: 00:00 = 0,00d OUTROS: 28:00 = 3,50d  RO DIRIO DE OBRA - SS-11/2025 (UPCGN-1)  &amp;gt; DESMONTAGEM DOS PERFIS E RETIRADA DE TELHAS E RETIRADA DE INSERTS - [MOD: 05 | PEMT: 02] [CMK:01] PT20867560 (HR SOLIC 07:50 | HR LIB 08:00 | ATRASO 00:00) - (HR ENC 16:30 | ATRASO 00:00) &amp;gt;&amp;gt; CONDIES CLIMTICAS: TEMPO BOM  &amp;gt;&amp;gt;&amp;gt; IMPEDIMENTOS ACUMULADOS LIBERAO PT/PTT: 07:26 = 0,83d CONDIES CLIMTICAS: 69:11 = 7,25d PETROBRAS: 00:00 = 0,00d OUTROS: 28:00 = 3,50d RO DIRIO DE OBRA - SS-18/2025 (ADEQUAO DA SALA DE MONITORAMENTO N1 CISC)&amp;gt;REFORMA DA SALA INTERNA DO K-04 (ANTIGA SALA TIC) - [MOD: 04 | PEMT: 0]PT: 20955612(HR SOLIC 07:58| HR LIB 08:00 | ATRASO 00:00) - (HR ENC 16:30 | ATRASO 00:00&amp;gt;MONTAGEM DE CAVALETES PARA ISOLAMENTO DAS ATIVIDADES- [MOD: 03 | PEMT: 0]PT:20871373 (HR SOLIC 08:00| HR LIB 08:00 | ATRASO 00:00) - (HR ENC 16:30 | ATRASO 00:00&amp;gt;&amp;gt; CONDIES CLIMTICAS: TEMPO BOM  &amp;gt;&amp;gt;&amp;gt; IMPEDIMENTOS ACUMULADOS LIBERAO PT/PTT: 00:00 = 0,00d CONDIES CLIMTICAS: 00:00 = 0,00d PETROBRAS: 00:00 = 0,00d OUTROS: 28:00 = 3,00</t>
  </si>
  <si>
    <t>25/11/2025</t>
  </si>
  <si>
    <t>RO-280/2025</t>
  </si>
  <si>
    <t>662,400</t>
  </si>
  <si>
    <t>-Sbado dia 01/11/25, no houve expediente de trabalho.</t>
  </si>
  <si>
    <t>01/11/2025</t>
  </si>
  <si>
    <t>RO-160/2025</t>
  </si>
  <si>
    <t>Sbado, dia 18/10/25, no houve expediente de trabalho.</t>
  </si>
  <si>
    <t>18/10/2025</t>
  </si>
  <si>
    <t>RO-107/2025</t>
  </si>
  <si>
    <t>RO DIRIO DE OBRA - SS-1/2025 (IMPLANTAO)&amp;gt; CADASTRO DE COLABORADORES NO PRESTSERV;&amp;gt; ELABORAO DE DOCUMENTAO DE SMS (PROCEDIMENTOS E APR'S);&amp;gt; LEVANTAMENTO DE MATERIAIS PARA ADEQUAO DE CANTEIRO.</t>
  </si>
  <si>
    <t>RO-16/2025</t>
  </si>
  <si>
    <t>RO-233/2025</t>
  </si>
  <si>
    <t>A fiscalizao se encontra ciente e de acordo com o RO do dia.</t>
  </si>
  <si>
    <t>RO DIRIO DE OBRA - SS-1/2025 (IMPLANTAO)&amp;gt;ORGANIZAO E LIMPEZA DO CANTEIRO DE OBRAS - [MOD: 3]PTT: 20752328 (HR SOLIC 07:40 | HR LIB 08:00 | ATRASO 00:00) - (HR ENC 17:00 | ATRASO 00:00) &amp;gt;MOVIMENTAO MANUAL DE CARGA - [MOD: 2]PTT: 20751298 (HR SOLIC 07:40 | HR LIB 08:00 | ATRASO 00:00) - (HR ENC 17:00 | ATRASO 00:00)&amp;gt;MOVIMENTAO DE CARGA COM AUXLIO DE VECULO AUTOMOTIVO - [MOD: 2]PTT: 20793564 (HR SOLIC 07:40 | HR LIB 08:00 | ATRASO 00:00) - (HR ENC 17:00 | ATRASO 00:00)&amp;gt;&amp;gt; CONDIES CLIMTICAS: TEMPO BOM&amp;gt;&amp;gt;&amp;gt; IMPEDIMENTOS ACUMULADOS LIBERAO PT/PTT: 00:00 = 0,00d CONDIES CLIMTICAS: 00:00 = 0,00d PETROBRAS: 00:00 = 0,00d  OUTROS: 00:00 = 0,00d______________________________________________________________________________________________________________________&amp;gt;&amp;gt;&amp;gt;&amp;gt;OBS.: A APJ INFORMA QUE A EQUIPE MOBILIZADA PARA A SS-14 AINDA AGUARDA O INCIO DA DEMANDA, QUE AINDA NO FOI APROVADA.</t>
  </si>
  <si>
    <t>RO-187/2025</t>
  </si>
  <si>
    <t>RO DIRIO DE OBRA - SS-1/2025 (IMPLANTAO)&amp;gt; DDS NA REA - PREVENO CONTRA QUEDA DE OBJETOS;&amp;gt; ATIVIDADES:&amp;gt;&amp;gt;LIBERAO DE PTT (20752328) - ORGANIZAO E LIMPEZA DO CANTEIRO DE OBRAS - (MOD: 5);&amp;gt;&amp;gt;LIBERAO DE PTT (20793564) - MOVIMENTAO DE CARGA COM AUXLIO DE VECULO AUTOMOTIVO - SUPRIMENTOS- MOD: 1);&amp;gt;&amp;gt;LIBERAO DE PTT (20751298) - MOVIMENTAO MANUAL DE CARGA - (MOD: 2);&amp;gt;&amp;gt;&amp;gt; MOVIMENTAO DE FERRAMENTAS E MATERIAIS DO CANTEIRO 2 PARA O CANTEIRO 1.&amp;gt;&amp;gt;&amp;gt;CONDIES CLIMTICAS: TEMPO BOM&amp;gt;&amp;gt;&amp;gt; IMPACTO ACUMULADOLIBERAO PT/PTT: 00:00 = 0,00dINCIDNCIA DE CHUVA: 00:00 = 0,00dINCIDNCIA DE RAIOS: 00:00 = 0,00dINCIDNCIA DE VENTOS: 00:00 = 0,00dIMPEDIMENTOS FISCALIZAO: 00:00 = 0,00d</t>
  </si>
  <si>
    <t>23/10/2025</t>
  </si>
  <si>
    <t>RO-124/2025</t>
  </si>
  <si>
    <t>RO DIRIO DE OBRA - SS-5/2025 (SECGN)  &amp;gt; SEM EXPEDIENTE &amp;gt;&amp;gt;&amp;gt; IMPACTO ACUMULADO LIBERAO PT/PTT: 00:00 = 0,00d INCIDNCIA DE CHUVA: 00:00 = 0,00d INCIDNCIA DE RAIOS: 00:00 = 0,00d INCIDNCIA DE VENTOS: 07:30 = 0,94d IMPEDIMENTOS FISCALIZAO: 00:00 = 0,00d  RO DIRIO DE OBRA - SS-9/2025 (UPGN-3) &amp;gt; SEM EXPEDIENTE &amp;gt;&amp;gt;&amp;gt; IMPACTO ACUMULADO LIBERAO PT/PTT: 00:00 = 0,0d INCIDNCIA DE CHUVA: 06:30 = 0,82d INCIDNCIA DE RAIOS: 00:00 = 0,00d INCIDNCIA DE VENTOS: 00:00 = 0,00d IMPEDIMENTOS FISCALIZAO: 00:00 = 0,00d  RO DIRIO DE OBRA - SS-11/2025 (UPCGN-1)&amp;gt; SEM EXPEDIENTE &amp;gt;&amp;gt;&amp;gt; IMPACTO ACUMULADO LIBERAO PT/PTT: 01:72 = 0,27d INCIDNCIA DE CHUVA: 17:01 = 2,23d INCIDNCIA DE RAIOS: 00:00 = 0,00d INCIDNCIA DE VENTOS: 09:50 = 1,23d IMPEDIMENTOS FISCALIZAO: 00:00 = 0,00d</t>
  </si>
  <si>
    <t>RO-123/2025</t>
  </si>
  <si>
    <t>RO DIRIO DE OBRA - SS-19/2025 (SINALIZAO DAS ESCADAS)&amp;gt;EXECUO DE DEMARCAO DE PISO E SINALIZAO VISUAL - BL2 E BL4 - [MOD: 4]&amp;gt;&amp;gt;PTT: 20884918 (HR SOLIC 07:45 | HR LIB 08:05 | ATRASO 00:00) - (HR ENC 16:30 | ATRASO 00:00)&amp;gt;&amp;gt; CONDIES CLIMTICAS: TEMPO BOM&amp;gt;&amp;gt;&amp;gt; IMPEDIMENTOS ACUMULADOSLIBERAO PT/PTT: 00:00 = 0,00dCONDIES CLIMTICAS: 00:00 = 0,00dPETROBRAS: 00:00 = 0,00d</t>
  </si>
  <si>
    <t>RO-215/2025</t>
  </si>
  <si>
    <t>Equipe de fiscalizao ciente e de acordo com o RO do dia.</t>
  </si>
  <si>
    <t>RO DIRIO DE OBRA - SS-1/2025 (IMPLANTAO)&amp;gt;ORGANIZAO E LIMPEZA DO CANTEIRO DE OBRAS - [MOD: 6]PTT: 20752328 (HR SOLIC 07:40 | HR LIB 08:00 | ATRASO 00:00) - (HR ENC 17:00 | ATRASO 00:00) &amp;gt;MOVIMENTAO MANUAL DE CARGA - [MOD: 3]PTT: 20751298 (HR SOLIC 07:40 | HR LIB 08:00 | ATRASO 00:00) - (HR ENC 17:00 | ATRASO 00:00)&amp;gt;MOVIMENTAO DE CARGA COM AUXLIO DE VECULO AUTOMOTIVO - [MOD: 1]PTT: 20793564 (HR SOLIC 07:40 | HR LIB 08:00 | ATRASO 00:00) - (HR ENC 17:00 | ATRASO 00:00)&amp;gt;&amp;gt; CONDIES CLIMTICAS: TEMPO BOM&amp;gt;&amp;gt;&amp;gt; IMPEDIMENTOS ACUMULADOS LIBERAO PT/PTT: 00:00 = 0,00d CONDIES CLIMTICAS: 00:00 = 0,00d PETROBRAS: 00:00 = 0,00d  OUTROS: 00:00 = 0,00d______________________________________________________________________________________________________________________&amp;gt;&amp;gt;&amp;gt;&amp;gt;OBS.: A APJ INFORMA QUE A EQUIPE MOBILIZADA PARA A SS-14 AINDA AGUARDA O INCIO DA DEMANDA, QUE AINDA NO FOI APROVADA.</t>
  </si>
  <si>
    <t>RO-183/2025</t>
  </si>
  <si>
    <t>RO-48/2025</t>
  </si>
  <si>
    <t>- Foi feito uma reunio com a equipe de montadores de andaime da Engeval, juntamente com o SMS da contratada APJ Engenharia antes do inicio das atividades, falando sobre os riscos da mesma, modo de acessar o local e as suas interferncias , e recomendaes em geral para um bom desempenho da atividade com segurana.- A documentao da equipe em campo se encontrava em ordem e de acordo, a montagem do andaime foi iniciada porm foi feito um alerta por conta do fiscal admistrativo de que a contratada no havia inserido no sistema alguns documentos que eram pertinentes e que a montagem fosse paralisada , que foi prontamente feito pelo fiscal de campo e encerrada a atividade.- Foi informada a contratada que a atividade s poder ser iniciada novamente, aps a insero desses documentos ligados ao SMS no sistema SAMC.</t>
  </si>
  <si>
    <t>RO DIRIO DE OBRA - SS-16/2025 (ISOLAMENTO ACSTICO)&amp;gt;INCIO DAS ATIVIDADES DE MONTAGEM DE ANDAIMES - [MOD: 4]PT: 20869402 (HR SOLIC 09:00 | HR LIB 9:27 | ATRASO 00:00) - (HR ENC 14:30 | ATRASO 00:00) &amp;gt;&amp;gt; CONDIES CLIMTICAS: TEMPO BOM&amp;gt;&amp;gt;&amp;gt; IMPEDIMENTOS ACUMULADOS LIBERAO PT/PTT: 00:00 = 0,000CONDIES CLIMTICAS: 00:00 = 0,00d PETROBRAS: 00:00 = 0,00d  OUTROS: 00:00 = 0,00d______________________________________________________________________________________________________________________&amp;gt;&amp;gt;&amp;gt;&amp;gt;OBS.: A APJ INFORMA QUE A EQUIPE MOBILIZADA PARA A SS-14 AINDA AGUARDA O INCIO DA DEMANDA, QUE AINDA NO FOI APROVADA.</t>
  </si>
  <si>
    <t>RO-188/2025</t>
  </si>
  <si>
    <t>Os somatrios desde incio at o prazo final da SS dos acmulos de hora parada e meteorolgicas no final da SS a Petrobras ir analisar se e cabvel o abono revertido em acrscimo de dias no prazo de entrega da demanda.Fim de semana (domingo) equipe administrativa no atuou nas atividades administrativas de mobilizao geral. Sem atividades.Sem efetivo de mo de obra direta para prosseguir com a execuo.RO aceito pela fiscalizao.</t>
  </si>
  <si>
    <t>RO-260/2025</t>
  </si>
  <si>
    <t>RO-265/2025</t>
  </si>
  <si>
    <t>Equipe da Engeval a servio da APJ, est executando a montagem dos andaimes para a troca dos isolamentos acsticos das paredes do lado interno das torres de resfriamento.A montagem prossegue normalmente apesar das dificuldades das interferncias do local e de acesso na central de utilidades, equipe est desenvolvendo bem a atividade de montagem dos andaimes.Foi emitida a PT de nmero20928133, para a troca dos isolamentos, porm a mesma s foi aberta por volta das 14:30, devido a interferncia com a movimentao do pessoal da montagem de andaime.</t>
  </si>
  <si>
    <t>RO DIRIO DE OBRA - SS-16/2025 (ISOLAMENTO ACSTICO) &amp;gt;MONTAGEM DE ANDAIMES - [MOD: 7] PT: 20927239 (HR SOLIC 07:24 | HR LIB 08:16 | ATRASO 00:16) - (HR ENC 16:30 | ATRASO 00:00) &amp;gt;SUBSTITUIO DO ISOLAMENTO ACSTICO - [MOD: 3] PT: 20928133 (HR SOLIC 07:00 | HR LIB 16:00 | ATRASO 08:00) - (HR ENC 16:30 | ATRASO 00:00)  &amp;gt;&amp;gt; CONDIES CLIMTICAS: TEMPO BOM &amp;gt;&amp;gt;&amp;gt; IMPEDIMENTOS ACUMULADOS LIBERAO PT/PTT: 12:24 = 1,50d CONDIES CLIMTICAS: 00:00 = 0,00d PETROBRAS: 00:00 = 0,00d OUTROS: 00:00 = 0,00d</t>
  </si>
  <si>
    <t>RO-247/2025</t>
  </si>
  <si>
    <t>SS-17- Adequao da Luminosidade.Atividades executadas: Execuo das base de concreto para instalao dos refletores das pedras, na praa das bandeiras.Houve chuva no perodo da tarde, o que impactou o andamento dos servios.</t>
  </si>
  <si>
    <t>"RO DIRIO E OBRA - SS-17/2025 (LUMINOSIDADE)&amp;gt;LUMINRIAS PARA AS PEDRAS - MOD:5 |PT: (21159591 |HR SOLIC 07:30 | HR LIB 10:12 |ATRASO 02:12|) - (HR ENC 16:30 | ATRASO 00:00)&amp;gt;&amp;gt;CONDIES CLIMTICAS: TEMPO BOM&amp;gt;&amp;gt;&amp;gt;IMPEDIMENTOS ACUMULADOSLIBERAO PT/PTT: 2:34 = 0,33dCONDIES CLIMTICAS: 15:00 = 1,88dPETROBRAS: 19:00 = 2,38dOUTROS: 2:20 = 0,3dAPJ: 0:00 = 0d"</t>
  </si>
  <si>
    <t>20/01/2026</t>
  </si>
  <si>
    <t>RO-78/2026</t>
  </si>
  <si>
    <t>As atividades de montagem de andaimes na torre de resfriamento foram iniciadas somente aps a regularizao dos documentos pendentes no sistema SAMC, conforme mencionado no RO do dia 07/11/25, a regularizao se deu no sistema aps a aprovao e validao pelo fiscal administrativo Oreste, que enviou e-mail informando da regularizao e liberao para a atividade, que foi iniciada as 14:20 do respectivo dia aps a liberao da PT para execuo do servio.</t>
  </si>
  <si>
    <t>RO DIRIO DE OBRA - SS-16/2025 (ISOLAMENTO ACSTICO)&amp;gt;REINCIO DAS ATIVIDADES DE MONTAGEM DE ANDAIMES - [MOD: 4]PT: 20888802 (HR SOLIC 09:00 | HR LIB 9:20 | ATRASO 00:00) - (HR ENC 16:30 | ATRASO 00:00) &amp;gt;&amp;gt; CONDIES CLIMTICAS: TEMPO BOM&amp;gt;&amp;gt;&amp;gt; IMPEDIMENTOS ACUMULADOS LIBERAO PT/PTT: 00:00 = 0,000CONDIES CLIMTICAS: 00:00 = 0,00d PETROBRAS: 00:00 = 0,00d  OUTROS: 00:00 = 0,00d</t>
  </si>
  <si>
    <t>RO-198/2025</t>
  </si>
  <si>
    <t>RO DIRIO DE OBRA - SS-19/2025 (SINALIZAO DAS ESCADAS)&amp;gt;EXECUO DE DEMARCAO DE PISO, REPOSIO DE PISO TTIL E SINALIZAO VISUAL - BL2 E BL4 - [MOD: 3]&amp;gt;&amp;gt;PTT: 20884918 (HR SOLIC 07:50 | HR LIB 08:10 | ATRASO 00:00) - (HR ENC 16:30 | ATRASO 00:00)&amp;gt;&amp;gt; CONDIES CLIMTICAS: TEMPO BOM&amp;gt;&amp;gt;&amp;gt; IMPEDIMENTOS ACUMULADOSLIBERAO PT/PTT: 00:00 = 0,00dCONDIES CLIMTICAS: 00:00 = 0,00dPETROBRAS: 00:00 = 0,00d</t>
  </si>
  <si>
    <t>RO-219/2025</t>
  </si>
  <si>
    <t>Os somatrios desde incio at o prazo final da SS dos acmulos de hora parada e meteorolgicas no final da SS a Petrobras ir analisar se e cabvel o abono revertido em acrscimo de dias no prazo de entrega da demanda.Fim de semana (sbado) equipe administrativa no atuou nas atividades administrativas de mobilizao geral. Sem atividades.Sem efetivo de mo de obra direta para prosseguir com a execuo.RO aceito pela fiscalizao.</t>
  </si>
  <si>
    <t>RO-259/2025</t>
  </si>
  <si>
    <t>RO-113/2026</t>
  </si>
  <si>
    <t>RO-264/2025</t>
  </si>
  <si>
    <t>Sbado, dia 21/02/26, no houve expediente de trabalho.</t>
  </si>
  <si>
    <t>21/02/2026</t>
  </si>
  <si>
    <t>RO-211/2026</t>
  </si>
  <si>
    <t>RO-202/2025</t>
  </si>
  <si>
    <t>Domingo, dia 26/10/2025, No houve expediente de trabalho.</t>
  </si>
  <si>
    <t>RO DIRIO DE OBRA - SS-1/2025 (IMPLANTAO)DOMINGO: SEM EXPEDIENTE.</t>
  </si>
  <si>
    <t>RO-132/2025</t>
  </si>
  <si>
    <t>Fiscalizao aprova o relatrio apresentado!Domingo sem atividade.</t>
  </si>
  <si>
    <t>RO-234/2025</t>
  </si>
  <si>
    <t>RO-29/2025</t>
  </si>
  <si>
    <t>Foi concluda a substituio das telas e isolamento acstico da parede Norte nas partes mais altas que comeou a ser executada pelos Iratas no dia 10/01/26, com a atividade realizada no dia 24/01/26 pelos Iratas, foi executada a concluso dos servios na parede norte e consequentemente concluso dos servios da SS, somente em dois pontos onde esto as ancoragens de trabalho em altura  que os novos isolantes ainda no foram instalados, os mesmos sero instalados brevemente, pois as ancoragens ainda esto sendo utilizadas para execuo de novas atividades de outras demandas.</t>
  </si>
  <si>
    <t>"RO DIRIO E OBRA - SS-16/2025 (ACSTICO)&amp;gt;NO HOUVE ATIVIDADE NESTE DIA - MOD: |PT: ( |HR SOLIC 00:00 | HR LIB 00:00 |ATRASO |) - (HR ENC 00:00 | ATRASO )&amp;gt;&amp;gt;CONDIES CLIMTICAS: TEMPO BOM&amp;gt;&amp;gt;&amp;gt;IMPEDIMENTOS ACUMULADOSLIBERAO PT/PTT: 23:07 = 2,89dCONDIES CLIMTICAS: 2:30 = 0,32dPETROBRAS: 1:30 = 0,19dOUTROS: 0:00 = 0dAPJ: 0:00 = 0d"</t>
  </si>
  <si>
    <t>26/01/2026</t>
  </si>
  <si>
    <t>RO-122/2026</t>
  </si>
  <si>
    <t>Enviado doc. CDIGO 365 -Procedimentos para atividades criticas para avaliao.</t>
  </si>
  <si>
    <t>RO-100/2025</t>
  </si>
  <si>
    <t>Fiscalizao de acordo com RO apresentado.</t>
  </si>
  <si>
    <t>RO-117/2026</t>
  </si>
  <si>
    <t>RO DIRIO DE OBRA - SS-16/2025 (ISOLAMENTO ACSTICO)&amp;gt;MONTAGEM DE ANDAIMES - [MOD: 6]PT: 20910280 (HR SOLIC 08:00 | HR LIB 08:20 | ATRASO 00:00) - (HR ENC 11:50 | ATRASO 00:00) &amp;gt;&amp;gt; CONDIES CLIMTICAS: TEMPO BOM&amp;gt;&amp;gt;&amp;gt; IMPEDIMENTOS ACUMULADOS LIBERAO PT/PTT: 00:00 = 0,00dCONDIES CLIMTICAS: 00:00 = 0,00d PETROBRAS: 00:00 = 0,00d  OUTROS: 00:00 = 0,00dEXPEDIENTE REDUZIDO, EM FUNO DO FERIADO DE 15 DE NOVEMBRO.</t>
  </si>
  <si>
    <t>RO-229/2025</t>
  </si>
  <si>
    <t>Sbado, dia 25/10/2025, no houve expediente de trabalho.</t>
  </si>
  <si>
    <t>RO DIRIO DE OBRA - SS-1/2025 (IMPLANTAO)SBADO: SEM EXPEDIENTE.</t>
  </si>
  <si>
    <t>25/10/2025</t>
  </si>
  <si>
    <t>RO-131/2025</t>
  </si>
  <si>
    <t>RO-237/2025</t>
  </si>
  <si>
    <t>Os somatrios desde incio at o prazo final da SS dos acmulos de hora parada e meteorolgicas no final da SS a Petrobras ir analisar se e cabvel o abono revertido em acrscimo de dias no prazo de entrega da demanda.Dia 07/10/2025, equipe de se apresentou na unidade e iniciou os preparativos para se deslocarem para rea operacional.Equipe fez treinamento de operao de PEMT com a empresa Mills.Recebimento de 01 PEMT.Foi reprogramada a PT 20.688.030, referente  demanda de desmontagem da cobertura da UPCGN-1, mas a atividade no foi realizada.s 15h aconteceu o simulado de abandono de rea, finalizando s 15h30.RO aceito pela fiscalizao.</t>
  </si>
  <si>
    <t>RO DIRIO DE OBRA - SS-11/2025 (UPCGN-1)&amp;gt; MOBILIZAO DE EQUIPE PARA INCIO DAS ATIVIDADES DE CAMPO;&amp;gt; TREINAMENTO PARA OPERAO DE PEMT.&amp;gt; SIMULADO DE ABONDONO DE REA (15: 00 AS 15:30)</t>
  </si>
  <si>
    <t>07/10/2025</t>
  </si>
  <si>
    <t>RO-52/2025</t>
  </si>
  <si>
    <t>RO DIRIO DE OBRA - SS-19/2025 (SINALIZAO DAS ESCADAS)&amp;gt;INSTALAO DE PISO TTIL E SINALIZAO VISUAL - COMPLEXO DE CONTINGNCIA - [MOD: 3]&amp;gt;&amp;gt;PTT: 20884918 (HR SOLIC 08:00 | HR LIB 08:00 | ATRASO 00:00) - (HR ENC 16:30 | ATRASO 00:00)&amp;gt;&amp;gt; CONDIES CLIMTICAS: TEMPO BOM&amp;gt;&amp;gt;&amp;gt; IMPEDIMENTOS ACUMULADOSLIBERAO PT/PTT: 00:00 = 0,00dCONDIES CLIMTICAS: 00:00 = 0,00dPETROBRAS: 00:00 = 0,00d</t>
  </si>
  <si>
    <t>RO-240/2025</t>
  </si>
  <si>
    <t>RO-110/2026</t>
  </si>
  <si>
    <t>Os somatrios desde incio at o prazo final da SS dos acmulos de hora parada e meteorolgicas no final da SS a Petrobras ir analisar se e cabvel o abono revertido em acrscimo de dias no prazo de entrega da demanda.Dia 01/10/2025, equipe de gesto deu continuidade s atividades de mobilizao.Equipe trabalhando na elaborao da documentao dos colaboradores e cadastro no prestserv; levantamento e organizao dos materiais no canteiro; organizao dos EPI's e EPC's no canteiro.Elaborao do pacote de planejamento das demandas, elaborao de cronogramas e procedimentos e documentao de SMS.RO aceito pela fiscalizao.</t>
  </si>
  <si>
    <t>RO DIRIO DE OBRA - SS-2/2025 (IMPLANTAO)&amp;gt; ENVIADO O PACOTE DE PLANEJAMENTO DA SS-6/2025;&amp;gt; ELABORAO DE DOCUMENTAO DE SMS (PROCEDIMENTOS E APR'S);&amp;gt; LEVANTAMENTO DE MATERIAIS PARA ADEQUAO DE CANTEIRO;&amp;gt; LEVANTAMENTO DE EPI'S E EPC'S PARA INCIO DAS ATIVIDADES DE CAMPO;&amp;gt; INCLUSO DE EQUIPE DE MO DE OBRA DIRETA NO PRESTSERV;</t>
  </si>
  <si>
    <t>RO-36/2025</t>
  </si>
  <si>
    <t>- Equipe da contratada est realizando a organizao e limpeza do canteiro ,a montagem do porto de entrada est sendo realizada.- Efetivo total: 7 colaboradores.- Efetuar reviso geral no tapume aps a concluso e reforar os pontos indicados conforme informado no campo ao Enc. Dirceu.- Solicitado ao Encarregado Dirceu, para que a equipe execute o processo de OLA, durante e aps a concluso da atividade diariamente.</t>
  </si>
  <si>
    <t>RO DIRIO DE OBRA - SS-1/2025 (IMPLANTAO)&amp;gt; DDS NA REA - MOVIMENTAO MANUAL DE CARGAS - FISCAL DE SMS JOO BATISTA DE OLIVEIRA;&amp;gt; APROVAO DO PACOTE DE PLANEJAMENTO DA SS-16/2025 (ISOLAMENTO ACSTICO);&amp;gt; ATIVIDADES:&amp;gt;&amp;gt;LIBERAO DE PTT (20752328) - ORGANIZAO E LIMPEZA DO CANTEIRO DE OBRAS - (MO DE OBRA DIRETA: 5);&amp;gt;&amp;gt;&amp;gt; MONTAGEM DO PORTO DO CANTEIRO COM CONCRETAGEM DE 3 POSTES PARA O TAPUME;&amp;gt;&amp;gt;&amp;gt; MONTAGEM DAS PRATELEIRAS DENTRO DO CONTAINER;&amp;gt;&amp;gt; LIBERAO DE PTT (20751298) - MOVIMENTAO MANUAL DE CARGA - (MO DE OBRA DIRETA: 2);&amp;gt;&amp;gt;&amp;gt; MOVIMENTAO DE MATERIAIS PARA AS INSTALAES DO CANTEIRO.&amp;gt;&amp;gt; CONDIES CLIMTICAS: TEMPO BOM&amp;gt;&amp;gt;&amp;gt; IMPACTO ACUMULADOLIBERAO PT/PTT: 00:00 = 0,00dINCIDNCIA DE CHUVA: 00:00 = 0,00dINCIDNCIA DE RAIOS: 00:00 = 0,00dINCIDNCIA DE VENTOS: 00:00 = 0,00dIMPEDIMENTOS FISCALIZAO: 00:00 = 0,00d</t>
  </si>
  <si>
    <t>17/10/2025</t>
  </si>
  <si>
    <t>RO-97/2025</t>
  </si>
  <si>
    <t>RO DIRIO DE OBRA - SS-1/2025 (IMPLANTAO)&amp;gt; DESENVOLVIMENTO DA EAP DA SS-14/2025, SS-15/2025 E SS-16/2025;&amp;gt; ELABORAO DE DOCUMENTAO DE SMS (PROCEDIMENTOS E APR'S);&amp;gt; LEVANTAMENTO DE MATERIAIS PARA ADEQUAO DE CANTEIRO;&amp;gt; LEVANTAMENTO DE EPI'S E EPC'S PARA INCIO DAS ATIVIDADES DE CAMPO;</t>
  </si>
  <si>
    <t>RO-30/2025</t>
  </si>
  <si>
    <t>RO DIRIO DE OBRA - SS-1/2025 (IMPLANTAO)&amp;gt; INCIO DA ATIVIDADE DE LIMPEZA E ORGANIZAO DO CANTEIRO DE OBRAS (PT 20721935);&amp;gt; DESENVOLVIMENTO DA EAP E ORAMENTO DA SS-14/2025, SS-15/2025 E SS-16/2025;&amp;gt; INTEGRAO DO EFETIVO DE PRODUO;&amp;gt; TREINAMENTO DO EFETIVO DE PRODUO NA NR6, NR12, NR17, NR18, NR35;&amp;gt; APLICAO DA ORDEM DE SERVIO.</t>
  </si>
  <si>
    <t>RO-51/2025</t>
  </si>
  <si>
    <t>Os somatrios desde incio at o prazo final da SS dos acmulos de hora parada e meteorolgicas no final da SS a Petrobras ir analisar se e cabvel o abono revertido em acrscimo de dias no prazo de entrega da demanda.Dia 24/09/2025, equipe de gesto deu continuidade s atividades de mobilizao.Equipe trabalhando na elaborao da documentao dos colaboradores e cadastro no prestserv.Elaborao do pacote de planejamento das demandas, elaborao de cronogramas e procedimentos.No dia 24/09 a equipe participou da reunio de medio e correo da documentao (pleito, memria de clculo, BM e demais documentos necessrios).</t>
  </si>
  <si>
    <t>RO DIRIO DE OBRA - SS-2/2025 (IMPLANTAO)&amp;gt; CADASTRO DE COLABORADORES NO PRESTSERV;&amp;gt; ELABORAO DE DOCUMENTAO DE SMS (PROCEDIMENTOS E APR'S);&amp;gt; LEVANTAMENTO DE MATERIAIS PARA ADEQUAO DE CANTEIRO;&amp;gt; REALIZAO DE ATIVIDADES DE MOBILIZAO DE FORNECEDORES E SUBCONTRATAES;&amp;gt; ELABORAO DO PACOTE DE PLANEJAMENTO DE DEMANDAS DE SERVIOS.</t>
  </si>
  <si>
    <t>24/09/2025</t>
  </si>
  <si>
    <t>RO-22/2025</t>
  </si>
  <si>
    <t>RO DIRIO DE OBRA - SS-19/2025 (SINALIZAO DAS ESCADAS)&amp;gt;EXECUO DE DEMARCAO DE PISO, REPOSIO DE PISO TTIL E SINALIZAO VISUAL - BL2 E BL4 - [MOD: 3]&amp;gt;&amp;gt;PTT: 20884918 (HR SOLIC 07:40 | HR LIB 08:00 | ATRASO 08:00) - (HR ENC 11:50 | ATRASO 00:00)&amp;gt;&amp;gt; CONDIES CLIMTICAS: TEMPO BOM&amp;gt;&amp;gt;&amp;gt; IMPEDIMENTOS ACUMULADOSLIBERAO PT/PTT: 00:00 = 0,00dCONDIES CLIMTICAS: 00:00 = 0,00dPETROBRAS: 00:00 = 0,00dEXPEDIENTE REDUZIDO, EM FUNO DO FERIADO DE 15 DE NOVEMBRO (SBADO).</t>
  </si>
  <si>
    <t>RO-222/2025</t>
  </si>
  <si>
    <t>Equipe da Engeval a servio da APJ, est executando a montagem dos andaimes para a troca dos isolamentos acsticos das paredes do lado interno das torres de resfriamento.A montagem prossegue normalmente apesar das dificuldades das interferncias do local e de acesso na central de utilidades.Houve atraso para liberar a PT devido aos montadores estarem aguardando a aferio da presso de todos da equipe no posto mdico, que se encontrava cheio de colaboradores de outras empresas, devido a esse fato tivemos o impacto na produtividade da montagem no dia.</t>
  </si>
  <si>
    <t>RO DIRIO DE OBRA - SS-16/2025 (ISOLAMENTO ACSTICO)&amp;gt;MONTAGEM DE ANDAIMES - [MOD: 4]PT: 20892077 (HR SOLIC 07:30 | HR LIB 10:20 | ATRASO 02:00) - (HR ENC 16:30 | ATRASO 00:00) &amp;gt;&amp;gt; CONDIES CLIMTICAS: TEMPO BOM&amp;gt;&amp;gt;&amp;gt; IMPEDIMENTOS ACUMULADOS LIBERAO PT/PTT: 02:00 = 0,00dCONDIES CLIMTICAS: 00:00 = 0,00d PETROBRAS: 00:00 = 0,00d  OUTROS: 00:00 = 0,00d</t>
  </si>
  <si>
    <t>RO-214/2025</t>
  </si>
  <si>
    <t>Atividade de montagem de andaime na torre de resfriamento foi paralisada pelo fiscal Administrativo Oreste , devido a falta de documentos que a empresa APJ Engenharia no lanou no sistema SAMC , esses documentos so da sub contratada Engeval, a atividade s ser retomada aps o envio da documentao para o sistema.</t>
  </si>
  <si>
    <t>RO DIRIO DE OBRA - SS-16/2025 (ISOLAMENTO ACSTICO)SEM ATIVIDADE.</t>
  </si>
  <si>
    <t>RO-199/2025</t>
  </si>
  <si>
    <t>RO DIRIO DE OBRA - SS-1/2025 (IMPLANTAO)&amp;gt;ORGANIZAO E LIMPEZA DO CANTEIRO DE OBRAS - [MOD: 2]PTT: 20752328 (HR SOLIC 07:30 | HR LIB 07:50 | ATRASO 00:00) - (HR ENC 16:30:00 | ATRASO 00:00)&amp;gt;MOVIMENTAO MANUAL DE CARGA - [MOD: 2]PTT: 20751298 (HR SOLIC 07:30 | HR LIB 07:50 | ATRASO 00:00) - (HR ENC 16:30:00 | ATRASO 00:00)&amp;gt;MOVIMENTAO DE CARGA COM AUXLIO DE VECULO AUTOMOTIVO - [MOD: 1]PTT: 20793564 (HR SOLIC 07:32 | HR LIB 07:52 | ATRASO 00:00) - (HR ENC 16:30:00 | ATRASO 00:00)&amp;gt;&amp;gt; CONDIES CLIMTICAS: TEMPO BOM&amp;gt;&amp;gt;&amp;gt; IMPEDIMENTOS ACUMULADOSLIBERAO PT/PTT: 00:00 = 0,00dCONDIES CLIMTICAS: 00:00 = 0,00dPETROBRAS: 00:00 = 0,00dOUTROS: 00:00 = 0,00d</t>
  </si>
  <si>
    <t>RO-241/2025</t>
  </si>
  <si>
    <t>RO DIRIO DE OBRA - SS-16/2025 (ISOLAMENTO ACSTICO)&amp;gt;MONTAGEM DE ANDAIMES - [MOD: 10]PT: 20904187 (HR SOLIC 07:50 | HR LIB 08:10 | ATRASO 00:00) - (HR ENC 16:30 | ATRASO 00:00) &amp;gt;&amp;gt; CONDIES CLIMTICAS: TEMPO BOM&amp;gt;&amp;gt;&amp;gt; IMPEDIMENTOS ACUMULADOS LIBERAO PT/PTT: 00:00 = 0,00dCONDIES CLIMTICAS: 00:00 = 0,00d PETROBRAS: 00:00 = 0,00d  OUTROS: 00:00 = 0,00d</t>
  </si>
  <si>
    <t>RO-220/2025</t>
  </si>
  <si>
    <t>RO DIRIO DE OBRA - SS-1/2025 (IMPLANTAO)&amp;gt;ORGANIZAO E LIMPEZA DO CANTEIRO DE OBRAS - [MOD: 3]PTT: 20752328 (HR SOLIC 07:40 | HR LIB 08:00 | ATRASO 00:00) - (HR ENC 16:30:00 | ATRASO 00:00) &amp;gt;MOVIMENTAO MANUAL DE CARGA - [MOD: 2]PTT: 20751298 (HR SOLIC 07:40 | HR LIB 08:00 | ATRASO 00:00) - (HR ENC 16:30:00 | ATRASO 00:00)&amp;gt;MOVIMENTAO DE CARGA COM AUXLIO DE VECULO AUTOMOTIVO - [MOD: 2]PTT: 20793564 (HR SOLIC 07:40 | HR LIB 08:00 | ATRASO 00:00) - (HR ENC 16:30:00 | ATRASO 00:00)&amp;gt;&amp;gt; CONDIES CLIMTICAS: TEMPO BOM&amp;gt;&amp;gt;&amp;gt; IMPEDIMENTOS ACUMULADOS LIBERAO PT/PTT: 00:00 = 0,00d CONDIES CLIMTICAS: 00:00 = 0,00d PETROBRAS: 00:00 = 0,00d  OUTROS: 00:00 = 0,00d</t>
  </si>
  <si>
    <t>RO-197/2025</t>
  </si>
  <si>
    <t>RO DIRIO DE OBRA - SS-5/2025 (SECGN)  &amp;gt; SEM EXPEDIENTE &amp;gt;&amp;gt;&amp;gt; IMPACTO ACUMULADO LIBERAO PT/PTT: 00:36 = 0,08d INCIDNCIA DE CHUVA: 08:00 = 0,00d INCIDNCIA DE RAIOS: 00:00 = 0,00d INCIDNCIA DE VENTOS: 14:00 = 1,59d IMPEDIMENTOS FISCALIZAO: 00:00 = 0,00d  RO DIRIO DE OBRA - SS-9/2025 (UPGN-3) &amp;gt; SEM EXPEDIENTE &amp;gt;&amp;gt;&amp;gt; IMPACTO ACUMULADO LIBERAO PT/PTT: 02:08 = 0,94d INCIDNCIA DE CHUVA: 12:30 = 1,57d INCIDNCIA DE RAIOS: 00:00 = 0,00d INCIDNCIA DE VENTOS: 11:00 = 1,37d IMPEDIMENTOS FISCALIZAO: 00:00 = 0,00d  RO DIRIO DE OBRA - SS-11/2025 (UPCGN-1)&amp;gt; SEM EXPEDIENTE &amp;gt;&amp;gt;&amp;gt; IMPACTO ACUMULADO LIBERAO PT/PTT: 02:52 = 0,38d INCIDNCIA DE CHUVA: 23:01 = 2,98d INCIDNCIA DE RAIOS: 00:00 = 0,00d INCIDNCIA DE VENTOS: 20:50 = 2,6d IMPEDIMENTOS FISCALIZAO: 00:00 = 0,00d</t>
  </si>
  <si>
    <t>RO-133/2025</t>
  </si>
  <si>
    <t>- A fiscalizao se encontra ciente e de acordo com o RO de obra do dia 21/10/25.</t>
  </si>
  <si>
    <t>RO DIRIO DE OBRA - SS-1/2025 (IMPLANTAO)&amp;gt; DDS INTERNA - ORDEM DE SERVIO;&amp;gt; APROVAO DO PACOTE DE PLANEJAMENTO / FINANCEIRO DA SS-15/2025 (MANUTENO DAS TORRES DE RESFRIAMENTO);&amp;gt; ATIVIDADES:&amp;gt;&amp;gt;LIBERAO DE PTT (20752328) - ORGANIZAO E LIMPEZA DO CANTEIRO DE OBRAS - (MO DE OBRA DIRETA: 5);&amp;gt;&amp;gt; LIBERAO DE PTT (20751298) - MOVIMENTAO MANUAL DE CARGA - (MO DE OBRA DIRETA: 2);&amp;gt;&amp;gt;&amp;gt; MOVIMENTAO DE FERRAMENTAS E MATERIAIS DO CANTEIRO 2 PARA O CANTEIRO 1.&amp;gt;&amp;gt; CONDIES CLIMTICAS: TEMPO CHUVOSO&amp;gt;&amp;gt;&amp;gt; IMPACTO ACUMULADOLIBERAO PT/PTT: 07:30 = 0,00dINCIDNCIA DE CHUVA: 00:00 = 0,00dINCIDNCIA DE RAIOS: 00:00 = 0,00dINCIDNCIA DE VENTOS: 00:00 = 0,00dIMPEDIMENTOS FISCALIZAO: 00:00 = 0,00d</t>
  </si>
  <si>
    <t>21/10/2025</t>
  </si>
  <si>
    <t>RO-118/2025</t>
  </si>
  <si>
    <t>Os somatrios desde incio at o prazo final da SS dos acmulos de hora parada e meteorolgicas no final da SS a Petrobras ir analisar se e cabvel o abono revertido em acrscimo de dias no prazo de entrega da demanda.Dia 03/10/2025, equipe de gesto deu continuidade s atividades de mobilizao.Equipe trabalhando na elaborao da documentao dos colaboradores e cadastro no prestserv; levantamento e organizao dos materiais no canteiro; organizao dos EPI's e EPC's no canteiro.Elaborao do pacote de planejamento das demandas, elaborao de cronogramas e procedimentos e documentao de SMS.Foi reprogramada a PT 20.688.030 novamente, referente  demanda de desmontagem da cobertura da UPCGN-1, mas no havia efetivo direto para dar incio  atividade.RO aceito pela fiscalizao.</t>
  </si>
  <si>
    <t>RO-46/2025</t>
  </si>
  <si>
    <t>Sbado, dia 11/10/25, no houve expediente de trabalho.</t>
  </si>
  <si>
    <t>11/10/2025</t>
  </si>
  <si>
    <t>RO-62/2025</t>
  </si>
  <si>
    <t>Equipe da Torres Brasil, subcontratada da APJ est atuando na manuteno das torres de resfriamento, no foi executada nenhuma atividade hoje, o servio da Torres Brasil, foi concludo nas torres A e B, a equipe dever retornar agora quando for concluda a etapa de restaurao dos anis dos difusores e montagem dos ventiladores das torres A e B.Foi realizado a atividade de corte/instalao e solda dos anis de Difusores que foram entregues pelo fornecedor da contratada, a atividade transcorre normalmente.Realizado ainda dentro dos painis eltricos na central de utilidades a instalao dos inversores de frequncia com retirada do Soft-Start.</t>
  </si>
  <si>
    <t>"RO DIRIO E OBRA - SS-15/2025 (TORRE RESFR)&amp;gt;INSTALAO DO ANEL COM CORTE E SOLDA, FIXAO DA P DA HLICE DO VENTILADOR E TRAVAMENTO E PINTURA DE PEAS DO DIFUSOR - MOD:3 |PT: (21242256 |HR SOLIC 07:42 | HR LIB 08:22 |ATRASO 00:10|) - (HR ENC 15:45 | ATRASO 00:45)&amp;gt;&amp;gt;CONDIES CLIMTICAS: TEMPO BOM&amp;gt;&amp;gt;&amp;gt;IMPEDIMENTOS ACUMULADOSLIBERAO PT/PTT: 5:16 = 0,66dCONDIES CLIMTICAS: 10:30 = 1,32dPETROBRAS: 6:00 = 0,75dOUTROS: 4:55 = 0,62dAPJ: 0:00 = 0d"___________________________________________________________________________________________________________________________________________________________"RO DIRIO E OBRA - SS-24/2025 (RUDOS TORRE RESF)&amp;gt;INSTALAO DO INVERSOR DE FREQUNIA COM RETIRADA DO SOFT-START - MOD:2 |PT: (21241211 |HR SOLIC 08:00 | HR LIB 08:30 |ATRASO 00:00|) - (HR ENC 16:30 | ATRASO 00:00)&amp;gt;&amp;gt;CONDIES CLIMTICAS: TEMPO BOM&amp;gt;&amp;gt;&amp;gt;IMPEDIMENTOS ACUMULADOSLIBERAO PT/PTT: 0:00 = 0,01dCONDIES CLIMTICAS: 16:00 = 2dPETROBRAS: 1:40 = 0,21dOUTROS: 0:00 = 0dAPJ: 0:00 = 0d"</t>
  </si>
  <si>
    <t>07/02/2026</t>
  </si>
  <si>
    <t>RO-175/2026</t>
  </si>
  <si>
    <t>RO-263/2025</t>
  </si>
  <si>
    <t>Envio do doc. CDIGO 319 A -Evidncia de divulgao das Ordens e Instrues de Servio NR-01 para avaliao.</t>
  </si>
  <si>
    <t>RO-152/2025</t>
  </si>
  <si>
    <t>SEM ATIVIDADE NESTE DIA</t>
  </si>
  <si>
    <t>RO-85/2026</t>
  </si>
  <si>
    <t>RO DIRIO DE OBRA - SS-1/2025 (IMPLANTAO)&amp;gt; CADASTRO DE COLABORADORES NO PRESTSERV;&amp;gt; ELABORAO DE DOCUMENTAO DE SMS (PROCEDIMENTOS E APR'S);&amp;gt; LEVANTAMENTO DE MATERIAIS PARA ADEQUAO DE CANTEIRO;&amp;gt; PARTICIPAO DA PALESTRA "DIA DE SEGURANA DA IOCI" MINISTRADO PELA PATRCIA.</t>
  </si>
  <si>
    <t>RO-18/2025</t>
  </si>
  <si>
    <t>Fiscalizao aprova RO apresentado.Sbado sem atividades.</t>
  </si>
  <si>
    <t>RO-266/2025</t>
  </si>
  <si>
    <t>RO-209/2025</t>
  </si>
  <si>
    <t>RO DIRIO DE OBRA - SS-16/2025 (ISOLAMENTO ACSTICO)&amp;gt;INCIO DAS ATIVIDADES DE MONTAGEM DE ANDAIMES - [MOD: 4]PT: 20863476 (HR SOLIC 09:00 | HR LIB 9:27 | ATRASO 00:00) - (HR ENC 14:30 | ATRASO 00:17) &amp;gt;&amp;gt; CONDIES CLIMTICAS: TEMPO BOM&amp;gt;&amp;gt;&amp;gt; IMPEDIMENTOS ACUMULADOS LIBERAO PT/PTT: 00:00 = 0,00d CONDIES CLIMTICAS: 00:00 = 0,00d PETROBRAS: 00:00 = 0,00d  OUTROS: 00:00 = 0,00d______________________________________________________________________________________________________________________&amp;gt;&amp;gt;&amp;gt;&amp;gt;OBS.: A APJ INFORMA QUE A EQUIPE MOBILIZADA PARA A SS-14 AINDA AGUARDA O INCIO DA DEMANDA, QUE AINDA NO FOI APROVADA.</t>
  </si>
  <si>
    <t>RO-186/2025</t>
  </si>
  <si>
    <t>CONTROLE DE IMPEDIMENTOS &amp; RO'S (UTGC).xlsm</t>
  </si>
  <si>
    <t>2.301,535</t>
  </si>
  <si>
    <t>4.109,885</t>
  </si>
  <si>
    <t>RO DIRIO E OBRA - SS-04/2025 (UPGN-2)  &amp;gt;SOLDA DOS INSERTS E MONTAGEM DE ESTRUTURA METALICA - MOD:13 | PEMT:2 | PT: (21321852 |HR SOLIC 08:00 | HR LIB 08:30 |ATRASO 00:00|) - (HR ENC 16:30 | ATRASO 00:00)  &amp;gt;INSTALAO DE PERFIS LATERAIS - MOD:3 | PT: (21354484 |HR SOLIC 08:00 | HR LIB 08:30 |ATRASO 00:00|) - (HR ENC 16:30 | ATRASO 00:00)  &amp;gt;TRATAMENTO E PINTURA DAS ESTRUTURAS METALICAS - MOD:5 | PT: (21321870 |HR SOLIC 08:00 | HR LIB 08:30 |ATRASO 00:00|) - (HR ENC 16:30 | ATRASO 00:00)  &amp;gt;&amp;gt;CONDIES CLIMTICAS: TEMPO BOM  &amp;gt;&amp;gt;&amp;gt;IMPEDIMENTOS ACUMULADOS LIBERAO PT/PTT: 46:11 = 5,59d CONDIES CLIMTICAS: 47:15 = 4,91d PETROBRAS: 8:20 = 1,05d OUTROS: 25:20 = 4,17d APJ: 0:00 = 0d RO DIRIO E OBRA - SS-08/2025 (K-02)  &amp;gt;SOLDAGEM E MONTAGEM DE ESTRUTURA METALICA - MOD:4 | PEMT:1 | GUINDASTE:1 | PT: (21326556 |HR SOLIC 08:00 | HR LIB 08:30 |ATRASO 00:00|) - (HR ENC 16:30 | ATRASO 00:00)  &amp;gt;MONTAGEM DE INFRA ESTRUTURA ELETRICA - MOD:2 | PT: (21354468 |HR SOLIC 08:00 | HR LIB 09:00 |ATRASO 00:30|) - (HR ENC 16:30 | ATRASO 00:00)  &amp;gt;MONTAGEM DE ANDAIME - MOD:6 | PT: (ATRE |HR SOLIC 08:00 | HR LIB 08:10 |ATRASO 00:00|) - (HR ENC 16:30 | ATRASO 00:00)  &amp;gt;&amp;gt;CONDIES CLIMTICAS: TEMPO BOM  &amp;gt;&amp;gt;&amp;gt;IMPEDIMENTOS ACUMULADOS LIBERAO PT/PTT: 8:50 = 0,23d CONDIES CLIMTICAS: 3:30 = 0,44d PETROBRAS: 0:00 = 0d OUTROS: 120:30 = 2,07d APJ: 0:00 = 0d  __________________________________________________________________   RO DIRIO E OBRA - SS-12/2025 (ESTOQUE)  &amp;gt;MONTAGEM DE ESTRUTURA METALICA - MOD:4 | PT: (21326615 |HR SOLIC 08:00 | HR LIB 08:20 |ATRASO 00:00|) - (HR ENC 16:30 | ATRASO 00:00)  &amp;gt;&amp;gt;CONDIES CLIMTICAS: TEMPO BOM  &amp;gt;&amp;gt;&amp;gt;IMPEDIMENTOS ACUMULADOS LIBERAO PT/PTT: 0:00 = 0d CONDIES CLIMTICAS: 35:40 = 2,84d PETROBRAS: 0:00 = 0d OUTROS: 0:30 = 0,07d APJ: 0:00 = 0d RO DIRIO E OBRA - SS-18/2025 (SALA CISC)  &amp;gt;ACABAMENTO DE PINTURA NA PORTA - MOD:1 | PT: (21346853 |HR SOLIC 08:00 | HR LIB 08:20 |ATRASO 00:00|) - (HR ENC 16:30 | ATRASO 00:00)  &amp;gt;&amp;gt;CONDIES CLIMTICAS: TEMPO BOM  &amp;gt;&amp;gt;&amp;gt;IMPEDIMENTOS ACUMULADOS LIBERAO PT/PTT: 0:00 = 0d CONDIES CLIMTICAS: 0:00 = 0d PETROBRAS: 0:00 = 0d OUTROS: 0:30 = 0,07d APJ: 0:00 = 0d RO DIRIO E OBRA - SS-26/2025 (GALPO(K-23))  &amp;gt;NO HOUVE ATIVIDADE NESTE DIA - MOD: | PT: ( |HR SOLIC 00:00 | HR LIB 00:00 |ATRASO |) - (HR ENC 00:00 | ATRASO )  &amp;gt;&amp;gt;CONDIES CLIMTICAS: TEMPO BOM &amp;gt;&amp;gt;ATIVIDADE PARALIZADA PELA OPERAO (07:30 - 16:30)  &amp;gt;&amp;gt;&amp;gt;IMPEDIMENTOS ACUMULADOS LIBERAO PT/PTT: 09:42 = 1,4d CONDIES CLIMTICAS: 0:00 = 0d PETROBRAS: 0:00 = 0d OUTROS: 189:50 = 25,67d APJ: 0:00 = 0d  RO DIRIO E OBRA - SS-28/2025 (GALPO(K-48))  &amp;gt;TRATAMENTO E PINTURA ESTRUTURA METALICA E CONCRETO - MOD:1 | PEMT:1 | PT: (21354495 |HR SOLIC 08:00 | HR LIB 08:20 |ATRASO 00:00|) - (HR ENC 16:30 | ATRASO 00:00)  &amp;gt;&amp;gt;CONDIES CLIMTICAS: TEMPO BOM  &amp;gt;&amp;gt;&amp;gt;IMPEDIMENTOS ACUMULADOS LIBERAO PT/PTT: 4:30 = 0,53d CONDIES CLIMTICAS: 8:40 = 1,09d PETROBRAS: 0:00 = 0d OUTROS: 32:00 = 6d APJ: 0:00 = 0d RO DIRIO E OBRA - SS-29/2025 (COBERTURA K-32)  &amp;gt;RCUPERAO DE FISSURAS DAS PAREDES DAS CANALETAS - MOD:2 | PT: (21346889 |HR SOLIC 07:55 | HR LIB 07:59 |ATRASO 00:00|) - (HR ENC 16:30 | ATRASO 00:00)  &amp;gt;&amp;gt;CONDIES CLIMTICAS: TEMPO BOM  &amp;gt;&amp;gt;&amp;gt;IMPEDIMENTOS ACUMULADOS LIBERAO PT/PTT: 0:00 = 0,01d CONDIES CLIMTICAS: 3:30 = 0,44d PETROBRAS: 0:00 = 0d OUTROS: 0:00 = 0d APJ: 0:00 = 0d RO DIRIO E OBRA - SS-01/2026 (CANTEIRO INOVA)  SEM ATIVIDADES &amp;gt;&amp;gt;CONDIES CLIMTICAS: TEMPO BOM  &amp;gt;&amp;gt;&amp;gt;IMPEDIMENTOS ACUMULADOS LIBERAO PT/PTT: 0:00 = 0d CONDIES CLIMTICAS: 0:00 = 0d PETROBRAS: 0:00 = 0d OUTROS: 0:00 = 0d APJ: 0:00 = 0d _________________________________________________________RO DIRIO E OBRA - SS-27/2025 (GALPO(K-12)SEM ATIVIDADES&amp;gt;&amp;gt;CONDIES CLIMTICAS: TEMPO BOM &amp;gt;&amp;gt;&amp;gt;IMPEDIMENTOS ACUMULADOS LIBERAO PT/PTT: 1:15 = 0,6d CONDIES CLIMTICAS: 0:00 = 0d PETROBRAS: 0:00 = 0d OUTROS: 32:00 = 5d APJ: 0:00 = 0d</t>
  </si>
  <si>
    <t>10/03/2026</t>
  </si>
  <si>
    <t>Aguardando Confirmação</t>
  </si>
  <si>
    <t>RO-300/2026</t>
  </si>
  <si>
    <t>2.048,456</t>
  </si>
  <si>
    <t>3.793,437</t>
  </si>
  <si>
    <t>2.314,273</t>
  </si>
  <si>
    <t>3.857,114</t>
  </si>
  <si>
    <t>1.252,600</t>
  </si>
  <si>
    <t>2.505,200</t>
  </si>
  <si>
    <t>SS-8/2025</t>
  </si>
  <si>
    <t>419,924</t>
  </si>
  <si>
    <t>1.399,745</t>
  </si>
  <si>
    <t>194,483</t>
  </si>
  <si>
    <t>308,700</t>
  </si>
  <si>
    <t>SS-1/2026</t>
  </si>
  <si>
    <t>330,150</t>
  </si>
  <si>
    <t>471,643</t>
  </si>
  <si>
    <t>RO DIRIO E OBRA - SS-04/2025 (UPGN-2)  &amp;gt;INSTALAO DE TELA DE PROTEO - MOD:5 | PEMT:1 | GUINDASTE:1 | PT: (21344893 |HR SOLIC 08:00 | HR LIB 08:30 |ATRASO 00:00|) - (HR ENC 16:30 | ATRASO 00:00)  &amp;gt;SOLDA DOS INSERTS E MONTAGEM DE ESTRUTURA METALICA - MOD:14 | PEMT:2 | PT: (21321852 |HR SOLIC 08:00 | HR LIB 08:30 |ATRASO 00:00|) - (HR ENC 16:30 | ATRASO 00:00)  &amp;gt;PINTURA DE ESTRUTURA METALICA - MOD:5 | PT: (21321870 |HR SOLIC 08:00 | HR LIB 08:30 |ATRASO 00:00|) - (HR ENC 16:30 | ATRASO 00:00)  &amp;gt;&amp;gt;CONDIES CLIMTICAS: TEMPO BOM  &amp;gt;&amp;gt;&amp;gt;IMPEDIMENTOS ACUMULADOS LIBERAO PT/PTT: 46:11 = 5,59d CONDIES CLIMTICAS: 47:15 = 4,91d PETROBRAS: 8:20 = 1,05d OUTROS: 25:20 = 4,17d APJ: 0:00 = 0d RO DIRIO E OBRA - SS-08/2025 (K-02)  &amp;gt;MONTAGEM DE ESTRUTURA METALICA - MOD:3 | PEMT:1 | GUINDASTE:1 | PT: (21326556 |HR SOLIC 08:00 | HR LIB 08:40 |ATRASO 00:10|) - (HR ENC 16:30 | ATRASO 00:00)  &amp;gt;MONTAGEM INFRA ESTRUTURA ELETRICA - MOD:2 | PT: (21345077 |HR SOLIC 08:00 | HR LIB 08:20 |ATRASO 00:00|) - (HR ENC 16:30 | ATRASO 00:00)  &amp;gt;&amp;gt;CONDIES CLIMTICAS: TEMPO BOM  &amp;gt;&amp;gt;&amp;gt;IMPEDIMENTOS ACUMULADOS LIBERAO PT/PTT: 8:20 = 0,23d CONDIES CLIMTICAS: 3:30 = 0,44d PETROBRAS: 0:00 = 0d OUTROS: 120:30 = 2,07d APJ: 0:00 = 0d   RO DIRIO E OBRA - SS-12/2025 (ESTOQUE)  &amp;gt;MONTAGEM DE ESTRUTURA METALICA - MOD:4 | PT: (21326615 |HR SOLIC 08:00 | HR LIB 08:20 |ATRASO 00:00|) - (HR ENC 16:30 | ATRASO 00:00)  &amp;gt;&amp;gt;CONDIES CLIMTICAS: TEMPO BOM  &amp;gt;&amp;gt;&amp;gt;IMPEDIMENTOS ACUMULADOS LIBERAO PT/PTT: 0:00 = 0d CONDIES CLIMTICAS: 35:40 = 2,84d PETROBRAS: 0:00 = 0d OUTROS: 0:30 = 0,07d APJ: 0:00 = 0d RO DIRIO E OBRA - SS-18/2025 (SALA CISC)  &amp;gt;CORREO DE PINTURA E LIMPEZA DA AREA - MOD:2 | PT: (21346821 |HR SOLIC 08:00 | HR LIB 08:20 |ATRASO 00:00|) - (HR ENC 16:30 | ATRASO 00:00)  &amp;gt;&amp;gt;CONDIES CLIMTICAS: TEMPO BOM  &amp;gt;&amp;gt;&amp;gt;IMPEDIMENTOS ACUMULADOS LIBERAO PT/PTT: 0:00 = 0d CONDIES CLIMTICAS: 0:00 = 0d PETROBRAS: 0:00 = 0d OUTROS: 0:30 = 0,07d APJ: 0:00 = 0d RO DIRIO E OBRA - SS-26/2025 (GALPO(K-23))  &amp;gt;NO HOUVE ATIVIDADE NESTE DIA - MOD: | PT: ( |HR SOLIC 00:00 | HR LIB 00:00 |ATRASO |) - (HR ENC 00:00 | ATRASO )  &amp;gt;&amp;gt;CONDIES CLIMTICAS: TEMPO BOM &amp;gt;&amp;gt;ATIVIDADE PARALIZADA PELA OPERAO (07:30 - 16:30)  &amp;gt;&amp;gt;&amp;gt;IMPEDIMENTOS ACUMULADOS LIBERAO PT/PTT: 09:42 = 1,4d CONDIES CLIMTICAS: 0:00 = 0d PETROBRAS: 0:00 = 0d OUTROS: 181:50 = 25,67d APJ: 0:00 = 0d  RO DIRIO E OBRA - SS-28/2025 (GALPO(K-48))  &amp;gt;TRATAMENTO E PINTURA DE ESTRUTURA METALICA E CONCRETO - MOD:1 | PT: (21345056 |HR SOLIC 09:15 | HR LIB 09:25 |ATRASO 00:00|) - (HR ENC 16:30 | ATRASO 00:00)  &amp;gt;&amp;gt;CONDIES CLIMTICAS: TEMPO BOM  &amp;gt;&amp;gt;&amp;gt;IMPEDIMENTOS ACUMULADOS LIBERAO PT/PTT: 4:30 = 0,53d CONDIES CLIMTICAS: 8:40 = 1,09d PETROBRAS: 0:00 = 0d OUTROS: 32:00 = 6d APJ: 0:00 = 0d RO DIRIO E OBRA - SS-29/2025 (COBERTURA K-32)  &amp;gt;HIDROJATEAMENTO DA CANALETA - MOD:2 | PT: (21346876 |HR SOLIC 08:00 | HR LIB 08:23 |ATRASO 00:00|) - (HR ENC 16:30 | ATRASO 00:00)  &amp;gt;&amp;gt;CONDIES CLIMTICAS: TEMPO BOM  &amp;gt;&amp;gt;&amp;gt;IMPEDIMENTOS ACUMULADOS LIBERAO PT/PTT: 0:00 = 0,01d CONDIES CLIMTICAS: 3:30 = 0,44d PETROBRAS: 0:00 = 0d OUTROS: 0:00 = 0d APJ: 0:00 = 0d  RO DIRIO E OBRA - SS-01/2026 (CANTEIRO INOVA)  SEM ATIVIDADES &amp;gt;&amp;gt;CONDIES CLIMTICAS: TEMPO BOM  &amp;gt;&amp;gt;&amp;gt;IMPEDIMENTOS ACUMULADOS LIBERAO PT/PTT: 0:00 = 0d CONDIES CLIMTICAS: 0:00 = 0d PETROBRAS: 0:00 = 0d OUTROS: 0:00 = 0d APJ: 0:00 = 0d _________________________________________________________RO DIRIO E OBRA - SS-27/2025 (GALPO(K-12)SEM ATIVIDADES&amp;gt;&amp;gt;CONDIES CLIMTICAS: TEMPO BOM &amp;gt;&amp;gt;&amp;gt;IMPEDIMENTOS ACUMULADOS LIBERAO PT/PTT: 1:15 = 0,6d CONDIES CLIMTICAS: 0:00 = 0d PETROBRAS: 0:00 = 0d OUTROS: 32:00 = 5d APJ: 0:00 = 0d</t>
  </si>
  <si>
    <t>09/03/2026</t>
  </si>
  <si>
    <t>RO-299/2026</t>
  </si>
  <si>
    <t>RO DIRIO E OBRA - SS-04/2025 (UPGN-2)  SEM ATIVIDADES  &amp;gt;&amp;gt;CONDIES CLIMTICAS: TEMPO BOM  &amp;gt;&amp;gt;&amp;gt;IMPEDIMENTOS ACUMULADOS LIBERAO PT/PTT: 46:11 = 5,59d CONDIES CLIMTICAS: 47:15 = 4,91d PETROBRAS: 8:20 = 1,05d OUTROS: 25:20 = 4,17d APJ: 0:00 = 0d RO DIRIO E OBRA - SS-08/2025 (K-02)  SEM ATIVIDADES  &amp;gt;&amp;gt;CONDIES CLIMTICAS: TEMPO BOM  &amp;gt;&amp;gt;&amp;gt;IMPEDIMENTOS ACUMULADOS LIBERAO PT/PTT: 8:10 = 0,23d CONDIES CLIMTICAS: 3:30 = 0,44d PETROBRAS: 0:00 = 0d OUTROS: 120:30 = 2,07d APJ: 0:00 = 0d RO DIRIO E OBRA - SS-12/2025 (ESTOQUE)  SEM ATIVIDADES  &amp;gt;&amp;gt;CONDIES CLIMTICAS: TEMPO BOM  &amp;gt;&amp;gt;&amp;gt;IMPEDIMENTOS ACUMULADOS LIBERAO PT/PTT: 0:00 = 0d CONDIES CLIMTICAS: 35:40 = 2,84d PETROBRAS: 0:00 = 0d OUTROS: 0:30 = 0,07d APJ: 0:00 = 0d   RO DIRIO E OBRA - SS-18/2025 (SALA CISC)  SEM ATIVIDADES  &amp;gt;&amp;gt;CONDIES CLIMTICAS: TEMPO BOM  &amp;gt;&amp;gt;&amp;gt;IMPEDIMENTOS ACUMULADOS LIBERAO PT/PTT: 0:00 = 0d CONDIES CLIMTICAS: 0:00 = 0d PETROBRAS: 0:00 = 0d OUTROS: 0:30 = 0,07d APJ: 0:00 = 0d  RO DIRIO E OBRA - SS-26/2025 (GALPO(K-23)  SEM ATIVIDADES  &amp;gt;&amp;gt;CONDIES CLIMTICAS: TEMPO BOM   &amp;gt;&amp;gt;&amp;gt;IMPEDIMENTOS ACUMULADOS LIBERAO PT/PTT: 09:42 = 1,4d CONDIES CLIMTICAS: 0:00 = 0d PETROBRAS: 0:00 = 0d OUTROS: 173:50 = 25,67d APJ: 0:00 = 0d  RO DIRIO E OBRA - SS-28/2025 (GALPO(K-48)  SEM ATIVIDADES  &amp;gt;&amp;gt;CONDIES CLIMTICAS: TEMPO BOM  &amp;gt;&amp;gt;&amp;gt;IMPEDIMENTOS ACUMULADOS LIBERAO PT/PTT: 4:30 = 0,53d CONDIES CLIMTICAS: 8:40 = 1,09d PETROBRAS: 0:00 = 0d OUTROS: 32:00 = 6d APJ: 0:00 = 0d RO DIRIO E OBRA - SS-29/2025 (COBERTURA K-32)  SEM ATIVIDADES  &amp;gt;&amp;gt;CONDIES CLIMTICAS: TEMPO BOM  &amp;gt;&amp;gt;&amp;gt;IMPEDIMENTOS ACUMULADOS LIBERAO PT/PTT: 0:00 = 0,01d CONDIES CLIMTICAS: 3:30 = 0,44d PETROBRAS: 0:00 = 0d OUTROS: 0:00 = 0d APJ: 0:00 = 0d RO DIRIO E OBRA - SS-32/2025 (UPCGN-2)  SEM ATIVIDADES  &amp;gt;&amp;gt;CONDIES CLIMTICAS: TEMPO BOM  &amp;gt;&amp;gt;&amp;gt;IMPEDIMENTOS ACUMULADOS LIBERAO PT/PTT: 11:41 = 1,4d CONDIES CLIMTICAS: 5:29 = 0,69d PETROBRAS: 0:00 = 0d OUTROS: 32:00 = 4d APJ: 0:00 = 0d RO DIRIO E OBRA - SS-01/2026 (CANTEIRO INOVA)  SEM ATIVIDADES &amp;gt;&amp;gt;CONDIES CLIMTICAS: TEMPO BOM  &amp;gt;&amp;gt;&amp;gt;IMPEDIMENTOS ACUMULADOS LIBERAO PT/PTT: 0:00 = 0d CONDIES CLIMTICAS: 0:00 = 0d PETROBRAS: 0:00 = 0d OUTROS: 0:00 = 0d APJ: 0:00 = 0d _________________________________________________________RO DIRIO E OBRA - SS-27/2025 (GALPO(K-12)SEM ATIVIDADES&amp;gt;&amp;gt;CONDIES CLIMTICAS: TEMPO BOM&amp;gt;&amp;gt;&amp;gt;IMPEDIMENTOS ACUMULADOS LIBERAO PT/PTT: 1:15 = 0,6d CONDIES CLIMTICAS: 0:00 = 0d PETROBRAS: 0:00 = 0d OUTROS: 32:00 = 5d APJ: 0:00 = 0d</t>
  </si>
  <si>
    <t>08/03/2026</t>
  </si>
  <si>
    <t>RO-298/2026</t>
  </si>
  <si>
    <t>RO DIRIO E OBRA - SS-04/2025 (UPGN-2)  &amp;gt;INSTALAO DE TELA DE PROTEO - MOD:4 | PEMT:1 | PT: (21344893 |HR SOLIC 08:00 | HR LIB 08:40 |ATRASO 00:10|) - (HR ENC 16:30 | ATRASO 00:00)  &amp;gt;SOLDA DOS INSERTS E MONTAGEM DE ESTRUTURA - MOD:8 | PEMT:3 | GUINDASTE:1  PT: (21321852 |HR SOLIC 08:00 | HR LIB 08:50 |ATRASO 00:20|) - (HR ENC 16:30 | ATRASO 00:00)  &amp;gt;TRATAMENTO E PINTURA DAS ESTRUTURAS METALICAS - MOD:2 | PT: (21326556 |HR SOLIC 08:00 | HR LIB 08:40 |ATRASO 00:10|) - (HR ENC 16:30 | ATRASO 00:00)  &amp;gt;&amp;gt;CONDIES CLIMTICAS: TEMPO BOM  &amp;gt;&amp;gt;&amp;gt;IMPEDIMENTOS ACUMULADOS LIBERAO PT/PTT: 46:11 = 5,59d CONDIES CLIMTICAS: 47:15 = 4,91d PETROBRAS: 8:20 = 1,05d OUTROS: 25:20 = 4,17d APJ: 0:00 = 0d RO DIRIO E OBRA - SS-08/2025 (K-02)  &amp;gt;SOLDAGEM E MONTAGEM DE ESTRUTURA METALICAS - MOD:3 | PT: (21326556 |HR SOLIC 08:00 | HR LIB 08:40 |ATRASO 00:10|) - (HR ENC 16:30 | ATRASO 00:00)  &amp;gt;&amp;gt;CONDIES CLIMTICAS: TEMPO BOM  &amp;gt;&amp;gt;&amp;gt;IMPEDIMENTOS ACUMULADOS LIBERAO PT/PTT: 8:10 = 0,23d CONDIES CLIMTICAS: 3:30 = 0,44d PETROBRAS: 0:00 = 0d OUTROS: 120:30 = 2,07d APJ: 0:00 = 0d RO DIRIO E OBRA - SS-12/2025 (ESTOQUE)  &amp;gt;MONTAGEM DE ESTRUTURA METALICA - MOD:3 | PT: (21346945 |HR SOLIC 08:00 | HR LIB 08:10 |ATRASO 00:00|) - (HR ENC 16:30 | ATRASO 00:00)  &amp;gt;&amp;gt;CONDIES CLIMTICAS: TEMPO BOM  &amp;gt;&amp;gt;&amp;gt;IMPEDIMENTOS ACUMULADOS LIBERAO PT/PTT: 0:00 = 0d CONDIES CLIMTICAS: 35:40 = 2,84d PETROBRAS: 0:00 = 0d OUTROS: 0:30 = 0,07d APJ: 0:00 = 0d   RO DIRIO E OBRA - SS-18/2025 (SALA CISC)  &amp;gt;REVISO DA PINTURA RETIRADA E LIMPEZA DA AREA - MOD:4 | PT: (21346786 |HR SOLIC 08:00 | HR LIB 08:10 |ATRASO 00:00|) - (HR ENC 16:30 | ATRASO 00:00)  &amp;gt;&amp;gt;CONDIES CLIMTICAS: TEMPO BOM  &amp;gt;&amp;gt;&amp;gt;IMPEDIMENTOS ACUMULADOS LIBERAO PT/PTT: 0:00 = 0d CONDIES CLIMTICAS: 0:00 = 0d PETROBRAS: 0:00 = 0d OUTROS: 0:30 = 0,07d APJ: 0:00 = 0d  RO DIRIO E OBRA - SS-26/2025 (GALPO(K-23)  SEM ATIVIDADES  &amp;gt;&amp;gt;CONDIES CLIMTICAS: TEMPO BOM   &amp;gt;&amp;gt;&amp;gt;IMPEDIMENTOS ACUMULADOS LIBERAO PT/PTT: 09:42 = 1,4d CONDIES CLIMTICAS: 0:00 = 0d PETROBRAS: 0:00 = 0d OUTROS: 173:50 = 25,67d APJ: 0:00 = 0d  RO DIRIO E OBRA - SS-28/2025 (GALPO(K-48)  SEM ATIVIDADES  &amp;gt;&amp;gt;CONDIES CLIMTICAS: TEMPO BOM  &amp;gt;&amp;gt;&amp;gt;IMPEDIMENTOS ACUMULADOS LIBERAO PT/PTT: 4:30 = 0,53d CONDIES CLIMTICAS: 8:40 = 1,09d PETROBRAS: 0:00 = 0d OUTROS: 32:00 = 6d APJ: 0:00 = 0d RO DIRIO E OBRA - SS-29/2025 (COBERTURA K-32)  SEM ATIVIDADES  &amp;gt;&amp;gt;CONDIES CLIMTICAS: TEMPO BOM  &amp;gt;&amp;gt;&amp;gt;IMPEDIMENTOS ACUMULADOS LIBERAO PT/PTT: 0:00 = 0,01d CONDIES CLIMTICAS: 3:30 = 0,44d PETROBRAS: 0:00 = 0d OUTROS: 0:00 = 0d APJ: 0:00 = 0d RO DIRIO E OBRA - SS-32/2025 (UPCGN-2)  SEM ATIVIDADES  &amp;gt;&amp;gt;CONDIES CLIMTICAS: TEMPO BOM  &amp;gt;&amp;gt;&amp;gt;IMPEDIMENTOS ACUMULADOS LIBERAO PT/PTT: 11:41 = 1,4d CONDIES CLIMTICAS: 5:29 = 0,69d PETROBRAS: 0:00 = 0d OUTROS: 32:00 = 4d APJ: 0:00 = 0d RO DIRIO E OBRA - SS-01/2026 (CANTEIRO INOVA)  SEM ATIVIDADES &amp;gt;&amp;gt;CONDIES CLIMTICAS: TEMPO BOM  &amp;gt;&amp;gt;&amp;gt;IMPEDIMENTOS ACUMULADOS LIBERAO PT/PTT: 0:00 = 0d CONDIES CLIMTICAS: 0:00 = 0d PETROBRAS: 0:00 = 0d OUTROS: 0:00 = 0d APJ: 0:00 = 0d _________________________________________________________RO DIRIO E OBRA - SS-27/2025 (GALPO(K-12)SEM ATIVIDADES&amp;gt;&amp;gt;CONDIES CLIMTICAS: TEMPO BOM&amp;gt;&amp;gt;&amp;gt;IMPEDIMENTOS ACUMULADOS LIBERAO PT/PTT: 1:15 = 0,6d CONDIES CLIMTICAS: 0:00 = 0d PETROBRAS: 0:00 = 0d OUTROS: 32:00 = 5d APJ: 0:00 = 0d</t>
  </si>
  <si>
    <t>07/03/2026</t>
  </si>
  <si>
    <t>RO-297/2026</t>
  </si>
  <si>
    <t>RO DIRIO E OBRA - SS-04/2025 (UPGN-2)  &amp;gt;INSTALAO DE TELA DE PROTEO - MOD:5 | PEMT:1 | GUINDASTE:1 | PT: (21341069 |HR SOLIC 08:00 | HR LIB 08:50 |ATRASO 00:20|) - (HR ENC 16:30 | ATRASO 00:00)  &amp;gt;SOLDA DOS NSERTS E MONTAGEM DE ESTRUTURA METALICA - MOD:10 | PEMT:2 | MUNCK:1 | PT: (21321852 |HR SOLIC 08:00 | HR LIB 08:50 |ATRASO 00:20|) - (HR ENC 16:30 | ATRASO 00:00)  &amp;gt;MONTAGEM DE ANDAIME - MOD:3 | PT: (21206863 |HR SOLIC 08:00 | HR LIB 08:30 |ATRASO 00:00|) - (HR ENC 16:30 | ATRASO 00:00)  &amp;gt;TRATAMENTO E PINTURA DE ESTRUTURA METALICA - MOD:2 | PT: (21321870 |HR SOLIC 08:00 | HR LIB 08:30 |ATRASO 00:00|) - (HR ENC 16:30 | ATRASO 00:00)  &amp;gt;&amp;gt;CONDIES CLIMTICAS: TEMPO BOM  &amp;gt;&amp;gt;&amp;gt;IMPEDIMENTOS ACUMULADOS LIBERAO PT/PTT: 45:41 = 5,59d CONDIES CLIMTICAS: 47:15 = 4,91d PETROBRAS: 8:20 = 1,05d OUTROS: 25:20 = 4,17d APJ: 0:00 = 0d  RO DIRIO E OBRA - SS-08/2025 (K-02)  &amp;gt;SOLDAGEM DE ESTRUTURA METALICA - MOD:4 | GUINDASTE:1 | PT: (21341366 |HR SOLIC 08:00 | HR LIB 08:40 |ATRASO 00:10|) - (HR ENC 16:30 | ATRASO 00:00)  &amp;gt;&amp;gt;CONDIES CLIMTICAS: TEMPO BOM  &amp;gt;&amp;gt;&amp;gt;IMPEDIMENTOS ACUMULADOS LIBERAO PT/PTT: 8:00 = 0,23d CONDIES CLIMTICAS: 3:30 = 0,44d PETROBRAS: 0:00 = 0d OUTROS: 120:30 = 2,07d APJ: 0:00 = 0d  __________________________________________________________________  RO DIRIO E OBRA - SS-12/2025 (ESTOQUE)  &amp;gt;MONTAGEM DE ESTRUTURA METALICA - MOD:3 | PT: (21343470 |HR SOLIC 07:40 | HR LIB 07:45 |ATRASO 00:00|) - (HR ENC 16:30 | ATRASO 00:00)  &amp;gt;INSTALAO DO SISTEMA PLUVIAL - MOD:5 | PT: (21222476 |HR SOLIC 07:40 | HR LIB 07:45 |ATRASO 00:00|) - (HR ENC 16:30 | ATRASO 00:00)  &amp;gt;MONTAGEM DE ANDAIME - MOD:3 | PT: (21343531 |HR SOLIC 07:40 | HR LIB 07:50 |ATRASO 00:00|) - (HR ENC 16:30 | ATRASO 00:00)  &amp;gt;&amp;gt;CONDIES CLIMTICAS: TEMPO BOM  &amp;gt;&amp;gt;&amp;gt;IMPEDIMENTOS ACUMULADOS LIBERAO PT/PTT: 0:00 = 0d CONDIES CLIMTICAS: 35:40 = 2,84d PETROBRAS: 0:00 = 0d OUTROS: 0:30 = 0,07d APJ: 0:00 = 0d  ______________________________________________________________________  RO DIRIO E OBRA - SS-18/2025 (SALA CISC)  &amp;gt;REVISO DE PINTURA E LIMPEZA DA AREA - MOD:2 | PT: (21343462 |HR SOLIC 07:45 | HR LIB 07:50 |ATRASO 00:00|) - (HR ENC 16:30 | ATRASO 00:00)  &amp;gt;&amp;gt;CONDIES CLIMTICAS: TEMPO BOM  &amp;gt;&amp;gt;&amp;gt;IMPEDIMENTOS ACUMULADOS LIBERAO PT/PTT: 0:00 = 0d CONDIES CLIMTICAS: 0:00 = 0d PETROBRAS: 0:00 = 0d OUTROS: 0:30 = 0,07d APJ: 0:00 = 0d RO DIRIO E OBRA - SS-26/2025 (GALPO(K-23)  &amp;gt;NO HOUVE ATIVIDADE NESTE DIA - MOD: | PT: ( |HR SOLIC 00:00 | HR LIB 00:00 |ATRASO |) - (HR ENC 00:00 | ATRASO )  &amp;gt;&amp;gt;CONDIES CLIMTICAS: TEMPO BOM &amp;gt;&amp;gt;ATIVIDADE PARALIZADA PELA OPERAO (07:30 - 16:30)  &amp;gt;&amp;gt;&amp;gt;IMPEDIMENTOS ACUMULADOS LIBERAO PT/PTT: 09:42 = 1,4d CONDIES CLIMTICAS: 0:00 = 0d PETROBRAS: 0:00 = 0d OUTROS: 173:50 = 25,67d APJ: 0:00 = 0d   RO DIRIO E OBRA - SS-28/2025 (GALPO(K-48)  &amp;gt;TRATAMENTO E PINTURA DE ESTRUTURAS - MOD:2 | PT: (21341131 |HR SOLIC 08:30 | HR LIB 08:47 |ATRASO 00:00|) - (HR ENC 16:30 | ATRASO 00:00)  &amp;gt;&amp;gt;CONDIES CLIMTICAS: TEMPO BOM  &amp;gt;&amp;gt;&amp;gt;IMPEDIMENTOS ACUMULADOS LIBERAO PT/PTT: 4:30 = 0,53d CONDIES CLIMTICAS: 8:40 = 1,09d PETROBRAS: 0:00 = 0d OUTROS: 32:00 = 6d APJ: 0:00 = 0d RO DIRIO E OBRA - SS-29/2025 (COBERTURA K-32)  &amp;gt;HIDROJATEAMENTO DAS PAREDES E PISO DA CANALETA - MOD:2 | PT: (21343466 |HR SOLIC 07:35 | HR LIB 07:37 |ATRASO 00:00|) - (HR ENC 16:30 | ATRASO 00:00)  &amp;gt;&amp;gt;CONDIES CLIMTICAS: TEMPO BOM  &amp;gt;&amp;gt;&amp;gt;IMPEDIMENTOS ACUMULADOS LIBERAO PT/PTT: 0:00 = 0,01d CONDIES CLIMTICAS: 3:30 = 0,44d PETROBRAS: 0:00 = 0d OUTROS: 0:00 = 0d APJ: 0:00 = 0d RO DIRIO E OBRA - SS-32/2025 (UPCGN-2)  &amp;gt;PINTURA DE ESTRUTURA METALICA - MOD:2 | PT: (21341000 |HR SOLIC 08:00 | HR LIB 08:50 |ATRASO 00:20|) - (HR ENC 16:30 | ATRASO 00:00)  &amp;gt;REPARO E ADEQUAO DAS CALHAS - MOD:3 | PEMT:1 | PT: (21340909 |HR SOLIC 08:00 | HR LIB 08:40 |ATRASO 00:10|) - (HR ENC 16:30 | ATRASO 00:00)  &amp;gt;&amp;gt;CONDIES CLIMTICAS: TEMPO BOM  &amp;gt;&amp;gt;&amp;gt;IMPEDIMENTOS ACUMULADOS LIBERAO PT/PTT: 11:41 = 1,4d CONDIES CLIMTICAS: 5:29 = 0,69d PETROBRAS: 0:00 = 0d OUTROS: 32:00 = 4d APJ: 0:00 = 0d  RO DIRIO E OBRA - SS-01/2026 (CANTEIRO INOVA)  SEM ATIVIDADES  &amp;gt;&amp;gt;CONDIES CLIMTICAS: TEMPO BOM  &amp;gt;&amp;gt;&amp;gt;IMPEDIMENTOS ACUMULADOS LIBERAO PT/PTT: 0:00 = 0d CONDIES CLIMTICAS: 0:00 = 0d PETROBRAS: 0:00 = 0d OUTROS: 0:00 = 0d APJ: 0:00 = 0d _________________________________________________________ RO DIRIO E OBRA - SS-27/2025 (GALPO(K-12) SEM ATIVIDADES &amp;gt;&amp;gt;CONDIES CLIMTICAS: TEMPO BOM &amp;gt;&amp;gt;&amp;gt;IMPEDIMENTOS ACUMULADOS LIBERAO PT/PTT: 1:15 = 0,6d CONDIES CLIMTICAS: 0:00 = 0d PETROBRAS: 0:00 = 0d OUTROS: 32:00 = 5d APJ: 0:00 = 0d</t>
  </si>
  <si>
    <t>06/03/2026</t>
  </si>
  <si>
    <t>RO-296/2026</t>
  </si>
  <si>
    <t>RO DIRIO E OBRA - SS-04/2025 (UPGN-2)  &amp;gt;PINTURA DE ESTRUTURA METALICA - MOD:2 | PT: (21206909 |HR SOLIC 08:00 | HR LIB 08:30 |ATRASO 00:00|) - (HR ENC 16:30 | ATRASO 00:00)  &amp;gt;MONTAGEM DE ANDAIME - MOD:6 | PT: (21206863 |HR SOLIC 08:00 | HR LIB 08:30 |ATRASO 00:00|) - (HR ENC 16:30 | ATRASO 00:00)  &amp;gt;INSTALAO DE TELA DE PROTEO - MOD:5 | PEMT:1 | PT: (21334981 |HR SOLIC 08:00 | HR LIB 09:00 |ATRASO 00:30|) - (HR ENC 16:30 | ATRASO 00:00)  &amp;gt;SOLDA DOS INSERTS E MONTAGEM DE ESTRUTURA METALICA - MOD:10 | PEMT:2 | GUINDASTE:1 | PT: (21219304 |HR SOLIC 08:00 | HR LIB 09:00 |ATRASO 00:30|) - (HR ENC 16:30 | ATRASO 00:00)  &amp;gt;&amp;gt;CONDIES CLIMTICAS: TEMPO COM ANOMALIA &amp;gt;&amp;gt;INCIDNCIA DE CHUVA (08:00 - 13:00)  &amp;gt;&amp;gt;&amp;gt;IMPEDIMENTOS ACUMULADOS LIBERAO PT/PTT: 45:01 = 5,59d CONDIES CLIMTICAS: 47:15 = 4,91d PETROBRAS: 8:20 = 1,05d OUTROS: 25:20 = 4,17d APJ: 0:00 = 0d RO DIRIO E OBRA - SS-08/2025 (K-02)  &amp;gt;SOLDA DAS ESTRUTURAS METALICAS - MOD:4 | PT: (21219282 |HR SOLIC 08:00 | HR LIB 08:30 |ATRASO 00:00|) - (HR ENC 16:30 | ATRASO 00:00)  &amp;gt;&amp;gt;CONDIES CLIMTICAS: TEMPO COM ANOMALIA &amp;gt;&amp;gt;INCIDNCIA DE CHUVA (08:00 - 13:00)  &amp;gt;&amp;gt;&amp;gt;IMPEDIMENTOS ACUMULADOS LIBERAO PT/PTT: 7:50 = 0,23d CONDIES CLIMTICAS: 3:30 = 0,44d PETROBRAS: 0:00 = 0d OUTROS: 120:30 = 2,07d APJ: 0:00 = 0d  ____________________________________________________  RO DIRIO E OBRA - SS-12/2025 (ESTOQUE)  &amp;gt;MONTAGEM DE ESTRUTURA METALICA - MOD:3 | PT: (21337208 |HR SOLIC 08:50 | HR LIB 08:53 |ATRASO 00:00|) - (HR ENC 16:30 | ATRASO 00:00)  &amp;gt;ESCAVAO E CONCRETAGEM DE INFRA CFTV - MOD:5 | PT: (AREA LIBERADA |HR SOLIC 07:30 | HR LIB 07:40 |ATRASO 00:00|) - (HR ENC 16:30 | ATRASO 00:00)  &amp;gt;&amp;gt;CONDIES CLIMTICAS: TEMPO COM ANOMALIA &amp;gt;&amp;gt;INCIDNCIA DE CHUVA (08:00 - 13:00)  &amp;gt;&amp;gt;&amp;gt;IMPEDIMENTOS ACUMULADOS LIBERAO PT/PTT: 0:00 = 0d CONDIES CLIMTICAS: 35:40 = 2,84d PETROBRAS: 0:00 = 0d OUTROS: 0:30 = 0,07d APJ: 0:00 = 0d RO DIRIO E OBRA - SS-18/2025 (SALA CISC)  &amp;gt;REVISO DE PINTURA E LIMPEZA DA AREA - MOD:2 | PT: (21337185 |HR SOLIC 08:00 | HR LIB 08:30 |ATRASO 00:00|) - (HR ENC 16:30 | ATRASO 00:00)  &amp;gt;&amp;gt;CONDIES CLIMTICAS: TEMPO BOM  &amp;gt;&amp;gt;&amp;gt;IMPEDIMENTOS ACUMULADOS LIBERAO PT/PTT: 0:00 = 0d CONDIES CLIMTICAS: 0:00 = 0d PETROBRAS: 0:00 = 0d OUTROS: 0:30 = 0,07d APJ: 0:00 = 0d  RO DIRIO E OBRA - SS-26/2025 (GALPO(K-23))  &amp;gt;NO HOUVE ATIVIDADE NESTE DIA - MOD: | PT: ( |HR SOLIC 00:00 | HR LIB 00:00 |ATRASO |) - (HR ENC 00:00 | ATRASO )  &amp;gt;&amp;gt;CONDIES CLIMTICAS: TEMPO BOM &amp;gt;&amp;gt;ATIVIDADE PARALIZADA PELA OPERAO (07:30 - 16:30)  &amp;gt;&amp;gt;&amp;gt;IMPEDIMENTOS ACUMULADOS LIBERAO PT/PTT: 09:42 = 1,4d CONDIES CLIMTICAS: 0:00 = 0d PETROBRAS: 0:00 = 0d OUTROS: 165:50 = 25,67d APJ: 0:00 = 0d  RO DIRIO E OBRA - SS-28/2025 (GALPO(K-48))  &amp;gt;TRATAMENTO E PINTURA DE ESTRUTURA DE CONCRETO - MOD:2 | SEM ATIVIDADES  &amp;gt;&amp;gt;CONDIES CLIMTICAS: TEMPO BOM  &amp;gt;&amp;gt;&amp;gt;IMPEDIMENTOS ACUMULADOS LIBERAO PT/PTT: 4:30 = 0,53d CONDIES CLIMTICAS: 8:40 = 1,09d PETROBRAS: 0:00 = 0d OUTROS: 38:00 = 6d APJ: 0:00 = 0d  RO DIRIO E OBRA - SS-29/2025 (COBERTURA K-32)  &amp;gt;REPARO E TROCA DE PARAFUSOS DO TELHADO - MOD:2 | PT: (21337206 |HR SOLIC 08:00 | HR LIB 08:30 |ATRASO 00:00|) - (HR ENC 16:30 | ATRASO 00:00)  &amp;gt;REPARO E RECUPERAO DE CALHA DE ALVENARIA - MOD:2 | PT: (21337206 |HR SOLIC 08:00 | HR LIB 08:30 |ATRASO 00:00|) - (HR ENC 16:30 | ATRASO 00:00)  &amp;gt;&amp;gt;CONDIES CLIMTICAS: TEMPO BOM  &amp;gt;&amp;gt;&amp;gt;IMPEDIMENTOS ACUMULADOS LIBERAO PT/PTT: 0:00 = 0,01d CONDIES CLIMTICAS: 3:30 = 0,44d PETROBRAS: 0:00 = 0d OUTROS: 0:00 = 0d APJ: 0:00 = 0d RO DIRIO E OBRA - SS-32/2025 (UPCGN-2)  &amp;gt;REPARO E RECUPERAO DE CALHA - MOD:2 | PT: (21335695 |HR SOLIC 08:00 | HR LIB 08:30 |ATRASO 00:00|) - (HR ENC 16:30 | ATRASO 00:00)  &amp;gt;&amp;gt;CONDIES CLIMTICAS: TEMPO BOM  &amp;gt;&amp;gt;&amp;gt;IMPEDIMENTOS ACUMULADOS LIBERAO PT/PTT: 11:11 = 1,4d CONDIES CLIMTICAS: 5:29 = 0,69d PETROBRAS: 0:00 = 0d OUTROS: 38:00 = 4d APJ: 0:00 = 0d RO DIRIO E OBRA - SS-01/2026 (CANTEIRO INOVA)  SEM ATIVIDADES &amp;gt;&amp;gt;CONDIES CLIMTICAS: TEMPO BOM  &amp;gt;&amp;gt;&amp;gt;IMPEDIMENTOS ACUMULADOS LIBERAO PT/PTT: 0:00 = 0d CONDIES CLIMTICAS: 0:00 = 0d PETROBRAS: 0:00 = 0d OUTROS: 0:00 = 0d APJ: 0:00 = 0d _________________________________________________________RO DIRIO E OBRA - SS-27/2025 (GALPO(K-12)SEM ATIVIDADES&amp;gt;&amp;gt;CONDIES CLIMTICAS: TEMPO BOM&amp;gt;&amp;gt;&amp;gt;IMPEDIMENTOS ACUMULADOS LIBERAO PT/PTT: 1:15 = 0,6d CONDIES CLIMTICAS: 0:00 = 0d PETROBRAS: 0:00 = 0d OUTROS: 32:00 = 5d APJ: 0:00 = 0d</t>
  </si>
  <si>
    <t>05/03/2026</t>
  </si>
  <si>
    <t>RO-295/2026</t>
  </si>
  <si>
    <t>RO DIRIO E OBRA - SS-04/2025 (UPGN-2)  &amp;gt;INSTALAO DE TELA DE PROTEO - MOD:5 | PEMT:1 | GUINDASTE:1 | PT: (21334981 |HR SOLIC 08:00 | HR LIB 09:00 |ATRASO 00:30|) - (HR ENC 16:30 | ATRASO 00:00)  &amp;gt;SOLDA DOS INSERTS E MONTAGEM DE ESTRUTRA METALICA - MOD:10 | PEMT:2 | MUNCK:1 | PT: (21219304 |HR SOLIC 08:00 | HR LIB 09:00 |ATRASO 00:30|) - (HR ENC 16:30 | ATRASO 00:00)  &amp;gt;MONTAGEM DE ANDAIME - MOD:6 | PT: (21206863 |HR SOLIC 08:00 | HR LIB 08:15 |ATRASO 00:00|) - (HR ENC 16:30 | ATRASO 00:00)  &amp;gt;TRATAMENTO E PINTURA ESTRUTURA METALICA - MOD:2 | PT: (21206909 |HR SOLIC 08:00 | HR LIB 08:15 |ATRASO 00:00|) - (HR ENC 16:30 | ATRASO 00:00)  &amp;gt;&amp;gt;CONDIES CLIMTICAS: TEMPO BOM  &amp;gt;&amp;gt;&amp;gt;IMPEDIMENTOS ACUMULADOS LIBERAO PT/PTT: 39:01 = 5,59d CONDIES CLIMTICAS: 47:15 = 4,91d PETROBRAS: 8:20 = 1,05d OUTROS: 25:20 = 4,17d APJ: 0:00 = 0d  RO DIRIO E OBRA - SS-08/2025 (K-02)  &amp;gt;MONTAGEM DE ESTRUTURA METALICA E SOLDA - MOD:3 | PT: (21219282 |HR SOLIC 08:00 | HR LIB 08:30 |ATRASO 00:00|) - (HR ENC 16:30 | ATRASO 00:00)  &amp;gt;&amp;gt;CONDIES CLIMTICAS: TEMPO BOM   &amp;gt;&amp;gt;&amp;gt;IMPEDIMENTOS ACUMULADOS LIBERAO PT/PTT: 2:50 = 0,23d CONDIES CLIMTICAS: 3:30 = 0,44d PETROBRAS: 0:00 = 0d OUTROS: 120:30 = 2,07d APJ: 0:00 = 0d   RO DIRIO E OBRA - SS-12/2025 (ESTOQUE)  &amp;gt;MONTAGEM DE ESTRUTURA METALICA - MOD:3 | PT: (21337208 |HR SOLIC 08:50 | HR LIB 08:53 |ATRASO 00:00|) - (HR ENC 16:30 | ATRASO 00:00)  &amp;gt;MONTAGEM DE ANDAIME - MOD:3 | PT: (21332698 |HR SOLIC 07:40 | HR LIB 07:44 |ATRASO 00:00|) - (HR ENC 16:30 | ATRASO 00:00)  &amp;gt;ESCAVAO PARA PASSAGEM DE INFRA CFTV - MOD:5 | PT: (AREA LIBERADA|HR SOLIC 07:40 | HR LIB 07:50 |ATRASO 00:00|) - (HR ENC 16:30 | ATRASO 00:00)  &amp;gt;&amp;gt;CONDIES CLIMTICAS: TEMPO BOM  &amp;gt;&amp;gt;&amp;gt;IMPEDIMENTOS ACUMULADOS LIBERAO PT/PTT: 0:00 = 0d CONDIES CLIMTICAS: 30:40 = 2,84d PETROBRAS: 0:00 = 0d OUTROS: 0:30 = 0,07d APJ: 0:00 = 0d RO DIRIO E OBRA - SS-18/2025 (SALA CISC)  &amp;gt;PINTURA DAS PAREDES - MOD:2 | PT: (21331059 |HR SOLIC 07:50 | HR LIB 07:55 |ATRASO 00:00|) - (HR ENC 16:30 | ATRASO 00:00)  &amp;gt;&amp;gt;CONDIES CLIMTICAS: TEMPO BOM  &amp;gt;&amp;gt;&amp;gt;IMPEDIMENTOS ACUMULADOS LIBERAO PT/PTT: 0:00 = 0d CONDIES CLIMTICAS: 0:00 = 0d PETROBRAS: 0:00 = 0d OUTROS: 0:30 = 0,07d APJ: 0:00 = 0d RO DIRIO E OBRA - SS-26/2025 (GALPO(K-23))  &amp;gt;NO HOUVE ATIVIDADE NESTE DIA - MOD: | PT: ( |HR SOLIC 00:00 | HR LIB 00:00 |ATRASO |) - (HR ENC 00:00 | ATRASO )  &amp;gt;&amp;gt;CONDIES CLIMTICAS: TEMPO BOM &amp;gt;&amp;gt;ATIVIDADE PARALIZADA PELA OPERAO (07:30 - 16:30)  &amp;gt;&amp;gt;&amp;gt;IMPEDIMENTOS ACUMULADOS LIBERAO PT/PTT: 09:42 = 1,4d CONDIES CLIMTICAS: 0:00 = 0d PETROBRAS: 0:00 = 0d OUTROS: 157:50 = 25,67d APJ: 0:00 = 0d  RO DIRIO E OBRA - SS-28/2025 (GALPO(K-48))  &amp;gt;TRATAMENTO E PINTURA DE ESTRUTURA DE CONCRETO - MOD:2 | PT: (2133C0437 |HR SOLIC 09:00 | HR LIB 09:08 |ATRASO 00:00|) - (HR ENC 16:30 | ATRASO 00:00)  &amp;gt;&amp;gt;CONDIES CLIMTICAS: TEMPO BOM  &amp;gt;&amp;gt;&amp;gt;IMPEDIMENTOS ACUMULADOS LIBERAO PT/PTT: 4:30 = 0,53d CONDIES CLIMTICAS: 8:40 = 1,09d PETROBRAS: 0:00 = 0d OUTROS: 32:00 = 6d APJ: 0:00 = 0d  RO DIRIO E OBRA - SS-29/2025 (COBERTURA K-32)  &amp;gt;RECUPERAO DAS PAREDES DA CALHA COM ARGAMASSA - MOD:2 | PT: (21331024 |HR SOLIC 07:26 | HR LIB 07:28 |ATRASO 00:00|) - (HR ENC 16:30 | ATRASO 00:00)  &amp;gt;REPARO E TROCA DOS PARAFUSOS DO TELHADO - MOD:2 | PT: (21337206 |HR SOLIC 08:00 | HR LIB 08:10 |ATRASO 00:00|) - (HR ENC 16:30 | ATRASO 00:00)  &amp;gt;&amp;gt;CONDIES CLIMTICAS: TEMPO BOM  &amp;gt;&amp;gt;&amp;gt;IMPEDIMENTOS ACUMULADOS LIBERAO PT/PTT: 0:00 = 0,01d CONDIES CLIMTICAS: 3:30 = 0,44d PETROBRAS: 0:00 = 0d OUTROS: 0:00 = 0d APJ: 0:00 = 0d RO DIRIO E OBRA - SS-32/2025 (UPCGN-2)  &amp;gt;REPARO NAS EMENDAS DAS CALHAS - MOD:3 | PEMT:1 | PT: (21335695 |HR SOLIC 08:00 | HR LIB 08:50 |ATRASO 00:20|) - (HR ENC 16:30 | ATRASO 00:00)  &amp;gt;PINTURA DE ESTRUTURA METALICA - MOD:2 | PT: (21339420 |HR SOLIC 08:00 | HR LIB 08:30 |ATRASO 00:00|) - (HR ENC 16:30 | ATRASO 00:00)  &amp;gt;&amp;gt;CONDIES CLIMTICAS: TEMPO BOM  &amp;gt;&amp;gt;&amp;gt;IMPEDIMENTOS ACUMULADOS LIBERAO PT/PTT: 9:31 = 1,11d CONDIES CLIMTICAS: 5:30 = 0,69d PETROBRAS: 0:00 = 0d OUTROS: 38:00 = 4d APJ: 0:00 = 0d RO DIRIO E OBRA - SS-01/2026 (CANTEIRO INOVA)  SEM ATIVIDADES &amp;gt;&amp;gt;CONDIES CLIMTICAS: TEMPO BOM  &amp;gt;&amp;gt;&amp;gt;IMPEDIMENTOS ACUMULADOS LIBERAO PT/PTT: 0:00 = 0d CONDIES CLIMTICAS: 0:00 = 0d PETROBRAS: 0:00 = 0d OUTROS: 0:00 = 0d APJ: 0:00 = 0d _________________________________________________________RO DIRIO E OBRA - SS-27/2025 (GALPO(K-12)SEM ATIVIDADES&amp;gt;&amp;gt;CONDIES CLIMTICAS: TEMPO BOM&amp;gt;&amp;gt;&amp;gt;IMPEDIMENTOS ACUMULADOS LIBERAO PT/PTT: 1:15 = 0,6d CONDIES CLIMTICAS: 0:00 = 0d PETROBRAS: 0:00 = 0d OUTROS: 32:00 = 5d APJ: 0:00 = 0d</t>
  </si>
  <si>
    <t>04/03/2026</t>
  </si>
  <si>
    <t>RO-294/2026</t>
  </si>
  <si>
    <t>RO DIRIO E OBRA - SS-04/2025 (UPGN-2)&amp;gt;INSTALAO DE TELA DE PROTEO - MOD:5 | PEMT:1 | PT: (21323730 |HR SOLIC 08:00 | HR LIB 09:00 |ATRASO 00:30|) - (HR ENC 16:30 | ATRASO 00:00)  &amp;gt;SOLDA DOS INSERTS E MONTAGEM DE ESTRUTURA METALICA - MOD:12 | PEMT:2 | MUNCK:1 | PT: (21219304 |HR SOLIC 08:00 | HR LIB 09:00 |ATRASO 00:30|) - (HR ENC 16:30 | ATRASO 00:00)  &amp;gt;MONTAGEM DE ANDAIME - MOD:3 | PT: (21206863 |HR SOLIC 08:00 | HR LIB 08:10 |ATRASO 00:00|) - (HR ENC 16:30 | ATRASO 00:00)  &amp;gt;&amp;gt;CONDIES CLIMTICAS: TEMPO BOM  &amp;gt;&amp;gt;&amp;gt;IMPEDIMENTOS ACUMULADOS LIBERAO PT/PTT: 38:01 = 5,59d CONDIES CLIMTICAS: 47:15 = 4,91d PETROBRAS: 8:20 = 1,05d OUTROS: 25:20 = 4,17d APJ: 0:00 = 0d RO DIRIO E OBRA - SS-08/2025 (K-02)  &amp;gt;MONTAGEM DE ANDAIME - MOD:3 | PT: (ATRE |HR SOLIC 08:00 | HR LIB 08:10 |ATRASO 00:00|) - (HR ENC 16:30 | ATRASO 00:00)  &amp;gt;SOLDA E IAMENTO DE ESTRUTURA METALICA - MOD:3 | GUINDASTE:1 | MUNCK:1 | PT: (21323637 |HR SOLIC 08:00 | HR LIB 09:00 |ATRASO 00:30|) - (HR ENC 16:30 | ATRASO 00:00)  &amp;gt;&amp;gt;CONDIES CLIMTICAS: TEMPO BOM  &amp;gt;&amp;gt;&amp;gt;IMPEDIMENTOS ACUMULADOS LIBERAO PT/PTT: 2:50 = 0,23d CONDIES CLIMTICAS: 3:30 = 0,44d PETROBRAS: 0:00 = 0d OUTROS: 120:30 = 2,07d APJ: 0:00 = 0d  RO DIRIO E OBRA - SS-12/2025 (ESTOQUE)  &amp;gt;MONTAGEM DE ESTRUTURA METALICA - MOD:3 | PT: (21323637 |HR SOLIC 07:35 | HR LIB 07:47 |ATRASO 00:00|) - (HR ENC 16:30 | ATRASO 00:00)  &amp;gt;&amp;gt;CONDIES CLIMTICAS: TEMPO BOM  &amp;gt;&amp;gt;&amp;gt;IMPEDIMENTOS ACUMULADOS LIBERAO PT/PTT: 0:00 = 0d CONDIES CLIMTICAS: 30:40 = 2,84d PETROBRAS: 0:00 = 0d OUTROS: 0:30 = 0,07d APJ: 0:00 = 0d RO DIRIO E OBRA - SS-18/2025 (SALA CISC)  &amp;gt;REVISO DE PINTURA E LIMPEZA DE AREA - MOD:2 | PT: (21324156 |HR SOLIC 07:35 | HR LIB 07:40 |ATRASO 00:00|) - (HR ENC 16:30 | ATRASO 00:00)  &amp;gt;&amp;gt;CONDIES CLIMTICAS: TEMPO BOM  &amp;gt;&amp;gt;&amp;gt;IMPEDIMENTOS ACUMULADOS LIBERAO PT/PTT: 0:00 = 0d CONDIES CLIMTICAS: 0:00 = 0d PETROBRAS: 0:00 = 0d OUTROS: 0:30 = 0,07d APJ: 0:00 = 0d RO DIRIO E OBRA - SS-26/2025 (GALPO(K-23))  SEM ATIVIDADES&amp;gt;&amp;gt;CONDIES CLIMTICAS: TEMPO BOM  &amp;gt;&amp;gt;&amp;gt;IMPEDIMENTOS ACUMULADOS LIBERAO PT/PTT: 09:42 = 1,4d CONDIES CLIMTICAS: 0:00 = 0d PETROBRAS: 0:00 = 0d OUTROS: 149:50 = 25,67d APJ: 0:00 = 0d  RO DIRIO E OBRA - SS-28/2025 (GALPO(K-48))  &amp;gt;DESMONTAGEM DE ESTRUTURA METALICA - MOD:3 | PEMT:1 | PT: (21323945 |HR SOLIC 07:35 | HR LIB 07:40 |ATRASO 00:00|) - (HR ENC 16:30 | ATRASO 00:00)  &amp;gt;&amp;gt;CONDIES CLIMTICAS: TEMPO BOM  &amp;gt;&amp;gt;&amp;gt;IMPEDIMENTOS ACUMULADOS LIBERAO PT/PTT: 4:30 = 0,53d CONDIES CLIMTICAS: 8:40 = 1,09d PETROBRAS: 0:00 = 0d OUTROS: 32:00 = 6d APJ: 0:00 = 0d RO DIRIO E OBRA - SS-29/2025 (COBERTURA K-32)  &amp;gt;RECUPERAO DE PAREDE COM ARGAMASSA - MOD:2 | PT: (21326586 |HR SOLIC 07:35 | HR LIB 07:42 |ATRASO 00:00|) - (HR ENC 16:30 | ATRASO 00:00)  &amp;gt;&amp;gt;CONDIES CLIMTICAS: TEMPO BOM  &amp;gt;&amp;gt;&amp;gt;IMPEDIMENTOS ACUMULADOS LIBERAO PT/PTT: 0:00 = 0,01d CONDIES CLIMTICAS: 3:30 = 0,44d PETROBRAS: 0:00 = 0d OUTROS: 0:00 = 0d APJ: 0:00 = 0d  RO DIRIO E OBRA - SS-32/2025 (UPCGN-2)  &amp;gt;PINTURA DE ESTRUTURA METALICA - MOD:5 | PEMT:1 | PT: (21323567 |HR SOLIC 08:00 | HR LIB 09:20 |ATRASO 00:50|) - (HR ENC 16:30 | ATRASO 00:00)  &amp;gt;&amp;gt;CONDIES CLIMTICAS: TEMPO BOM   &amp;gt;&amp;gt;&amp;gt;IMPEDIMENTOS ACUMULADOS LIBERAO PT/PTT: 9:11 = 1,11d CONDIES CLIMTICAS: 5:30 = 0,69d PETROBRAS: 0:00 = 0d OUTROS: 38:00 = 4d APJ: 0:00 = 0d RO     RO DIRIO E OBRA - SS-01/2026 (CANTEIRO INOVA)  SEM ATIVIDADES  &amp;gt;&amp;gt;CONDIES CLIMTICAS: TEMPO BOM  &amp;gt;&amp;gt;&amp;gt;IMPEDIMENTOS ACUMULADOS LIBERAO PT/PTT: 0:00 = 0d CONDIES CLIMTICAS: 0:00 = 0d PETROBRAS: 0:00 = 0d OUTROS: 0:00 = 0d APJ: 0:00 = 0d _________________________________________________________RO DIRIO E OBRA - SS-27/2025 (GALPO(K-12)SEM ATIVIDADES&amp;gt;&amp;gt;CONDIES CLIMTICAS: TEMPO BOM &amp;gt;&amp;gt;&amp;gt;IMPEDIMENTOS ACUMULADOS LIBERAO PT/PTT: 1:15 = 0,6d CONDIES CLIMTICAS: 0:00 = 0d PETROBRAS: 0:00 = 0d OUTROS: 32:00 = 5d APJ: 0:00 = 0d</t>
  </si>
  <si>
    <t>03/03/2026</t>
  </si>
  <si>
    <t>RO-293/2026</t>
  </si>
  <si>
    <t>&amp;gt;INSTALAO DE TELA DE PROTEO - MOD:5 | PEMT:1 | PT: (21312924 |HR SOLIC 08:00 | HR LIB 09:40 |ATRASO 01:10|) - (HR ENC 16:30 | ATRASO 00:00)  &amp;gt;SOLDA DOS INSERTS E MONTAGEM DE ESTRUTURA METALICA - MOD:13 | PEMT:2 | GUINDASTE:1 | MUNCK:1 | PT: (21219304 |HR SOLIC 08:00 | HR LIB 09:00 |ATRASO 00:30|) - (HR ENC 16:30 | ATRASO 00:00)  &amp;gt;MONTAGEM DE ANDAIME - MOD:6 | PT: (21206863 |HR SOLIC 08:00 | HR LIB 08:10 |ATRASO 00:00|) - (HR ENC 16:30 | ATRASO 00:00)  &amp;gt;&amp;gt;CONDIES CLIMTICAS: TEMPO BOM  &amp;gt;&amp;gt;&amp;gt;IMPEDIMENTOS ACUMULADOS LIBERAO PT/PTT: 37:01 = 5,59d CONDIES CLIMTICAS: 47:15 = 4,91d PETROBRAS: 8:20 = 1,05d OUTROS: 25:20 = 4,17d APJ: 0:00 = 0d___________________________________________________________________RO DIRIO E OBRA - SS-08/2025 (K-02) &amp;gt;MONTAGEM DE ESTRUTURA METALICA (SOLDA) - MOD:3 | PT: (21219282 |HR SOLIC 08:00 | HR LIB 09:00 |ATRASO 00:30|) - (HR ENC 16:30 | ATRASO 00:00)  &amp;gt;&amp;gt;CONDIES CLIMTICAS: TEMPO BOM  &amp;gt;&amp;gt;&amp;gt;IMPEDIMENTOS ACUMULADOS LIBERAO PT/PTT: 2:20 = 0,23d CONDIES CLIMTICAS: 3:30 = 0,44d PETROBRAS: 0:00 = 0d OUTROS: 120:30 = 2,07d APJ: 0:00 = 0d RO DIRIO E OBRA - SS-12/2025 (ESTOQUE)  &amp;gt;MONTAGEM DE ESTRUTURA METALICA - MOD:4 | PT: (21317008 |HR SOLIC 07:35 | HR LIB 08:00 |ATRASO 00:00|) - (HR ENC 16:30 | ATRASO 00:00)  &amp;gt;&amp;gt;CONDIES CLIMTICAS: TEMPO BOM  &amp;gt;&amp;gt;&amp;gt;IMPEDIMENTOS ACUMULADOS LIBERAO PT/PTT: 0:00 = 0d CONDIES CLIMTICAS: 30:40 = 2,84d PETROBRAS: 0:00 = 0d OUTROS: 0:30 = 0,07d APJ: 0:00 = 0d  RO DIRIO E OBRA - SS-18/2025 (SALA CISC)  &amp;gt;PINTURA DE PAREDE, LIMPEZA E ORGANIZAO - MOD:4 | PT: (21320338 |HR SOLIC 07:35 | HR LIB 07:40 |ATRASO 00:00|) - (HR ENC 16:30 | ATRASO 00:00)  &amp;gt;ADEQUAO DO SISTEMA ELETRICO - MOD:2 | PT: (21323146 |HR SOLIC 12:20 | HR LIB 12:25 |ATRASO 00:00|) - (HR ENC 16:30 | ATRASO 00:00)  &amp;gt;&amp;gt;CONDIES CLIMTICAS: TEMPO BOM  &amp;gt;&amp;gt;&amp;gt;IMPEDIMENTOS ACUMULADOS LIBERAO PT/PTT: 0:00 = 0d CONDIES CLIMTICAS: 0:00 = 0d PETROBRAS: 0:00 = 0d OUTROS: 0:30 = 0,07d APJ: 0:00 = 0d RO DIRIO E OBRA - SS-26/2025 (GALPO(K-23)  SEM ATIVIDADES&amp;gt;&amp;gt;CONDIES CLIMTICAS: TEMPO BOM  &amp;gt;&amp;gt;&amp;gt;IMPEDIMENTOS ACUMULADOS LIBERAO PT/PTT: 09:42 = 1,4d CONDIES CLIMTICAS: 0:00 = 0d PETROBRAS: 0:00 = 0d OUTROS: 141:50 = 25,67d APJ: 0:00 = 0d  RO DIRIO E OBRA - SS-28/2025 (GALPO(K-48)  &amp;gt;DESMONTAGEM DE ESTRUTURA METALICA - MOD:4 | PEMT:1 | PT: (21315638 |HR SOLIC 08:00 | HR LIB 09:00 |ATRASO 00:30|) - (HR ENC 16:30 | ATRASO 00:00)  &amp;gt;&amp;gt;CONDIES CLIMTICAS: TEMPO BOM  &amp;gt;&amp;gt;&amp;gt;IMPEDIMENTOS ACUMULADOS LIBERAO PT/PTT: 4:30 = 0,53d CONDIES CLIMTICAS: 8:40 = 1,09d PETROBRAS: 0:00 = 0d OUTROS: 32:00 = 6d APJ: 0:00 = 0d  RO DIRIO E OBRA - SS-29/2025 (COBERTURA K-32)  &amp;gt;RECUPERAO DE PAREDE COM ARGAMASSA - MOD:2 | PT: (21321431 |HR SOLIC 07:50 | HR LIB 08:00 |ATRASO 00:00|) - (HR ENC 16:30 | ATRASO 00:00)  &amp;gt;&amp;gt;CONDIES CLIMTICAS: TEMPO BOM  &amp;gt;&amp;gt;&amp;gt;IMPEDIMENTOS ACUMULADOS LIBERAO PT/PTT: 0:00 = 0,0d CONDIES CLIMTICAS: 3:30 = 0,44d PETROBRAS: 0:00 = 0d OUTROS: 0:00 = 0d APJ: 0:00 = 0d  RO DIRIO E OBRA - SS-32/2025 (UPCGN-2)  &amp;gt;PINTURA DE ESTRUTURA METALICA - MOD:3 | PEMT:1 | PT: (21319975 |HR SOLIC 08:00 | HR LIB 09:40 |ATRASO 01:10|) - (HR ENC 16:30 | ATRASO 00:00)  &amp;gt;&amp;gt;CONDIES CLIMTICAS: TEMPO BOM  &amp;gt;&amp;gt;&amp;gt;IMPEDIMENTOS ACUMULADOS LIBERAO PT/PTT: 8:21 = 1,11d CONDIES CLIMTICAS: 5:30 = 0,69d PETROBRAS: 0:00 = 0d OUTROS: 38:00 = 4d APJ: 0:00 = 0d  RO DIRIO E OBRA - SS-11/2025 (UPCGN-1)  &amp;gt;RETIRADA DE TUBULAO PVC DESCIDA PLUVIAL - MOD:2 | PEMT:1 | PT: (21323974 |HR SOLIC 13:00 | HR LIB 14:00 |ATRASO 00:30|) - (HR ENC 16:30 | ATRASO 00:00)  &amp;gt;&amp;gt;CONDIES CLIMTICAS: TEMPO BOM  &amp;gt;&amp;gt;&amp;gt;IMPEDIMENTOS ACUMULADOS LIBERAO PT/PTT: 10:14 = 1,28d CONDIES CLIMTICAS: 69:59 = 8,75d PETROBRAS: 0:30 = 0,07d OUTROS: 28:00 = 3,5d APJ: 0:00 = 0d RO DIRIO E OBRA - SS-01/2026 (CANTEIRO INOVA)  SEM ATIVIDADES &amp;gt;&amp;gt;CONDIES CLIMTICAS: TEMPO BOM  &amp;gt;&amp;gt;&amp;gt;IMPEDIMENTOS ACUMULADOS LIBERAO PT/PTT: 0:00 = 0d CONDIES CLIMTICAS: 0:00 = 0d PETROBRAS: 0:00 = 0d OUTROS: 0:00 = 0d APJ: 0:00 = 0d _________________________________________________________RO DIRIO E OBRA - SS-27/2025 (GALPO(K-12)SEM ATIVIDADES&amp;gt;&amp;gt;CONDIES CLIMTICAS: TEMPO BOM &amp;gt;&amp;gt;&amp;gt;IMPEDIMENTOS ACUMULADOS LIBERAO PT/PTT: 1:15 = 0,6d CONDIES CLIMTICAS: 0:00 = 0d PETROBRAS: 0:00 = 0d OUTROS: 32:00 = 5d APJ: 0:00 = 0d</t>
  </si>
  <si>
    <t>RO-292/2026</t>
  </si>
  <si>
    <t>CONTROLE DE IMPEDIMENTOS &amp; RO'S (EDIVIT).xlsm</t>
  </si>
  <si>
    <t>"RO DIRIO E OBRA - SS-17/2025 (LUMINOSIDADE)&amp;gt;""SUBSTITUIO DAS LUMINRIAS DA BASE DOS POSTES BALIZADORES INTERNOS E EXTERNOS DO EDIVIT - INSTALAO DE LUMINRIAS DA BASE DOS POSTES BALIZADORES E POSTE DE 7MTS. - MOD:4 |PT: (21362830 |HR SOLIC 07:23 | HR LIB 08:30 |ATRASO 00:37|) - (HR ENC 16:30 | ATRASO 00:00)&amp;gt;&amp;gt;CONDIES CLIMTICAS: TEMPO BOM&amp;gt;&amp;gt;&amp;gt;IMPEDIMENTOS ACUMULADOSLIBERAO PT/PTT: 51:37 = 6,46dCONDIES CLIMTICAS: 48:24 = 6,05dPETROBRAS: 25:27 = 3,19dOUTROS: 2:20 = 0,3dAPJ: 0:00 = 0d"</t>
  </si>
  <si>
    <t>11/03/2026</t>
  </si>
  <si>
    <t>RO-291/2026</t>
  </si>
  <si>
    <t>"RO DIRIO E OBRA - SS-15/2025 (TORRE RESFR)&amp;gt;CORTE E VIGAS ""U"" DE FIBRA, TRATAMENTO MECNICO E RETOQUES DE PINTURA - MOD:3 |PT: (21363251 |HR SOLIC 08:11 | HR LIB 08:40 |ATRASO 00:00|) - (HR ENC 16:30 | ATRASO 00:00)&amp;gt;&amp;gt;CONDIES CLIMTICAS: TEMPO BOM&amp;gt;&amp;gt;&amp;gt;IMPEDIMENTOS ACUMULADOSLIBERAO PT/PTT: 22:54 = 2,87dCONDIES CLIMTICAS: 18:30 = 2,32dPETROBRAS: 6:00 = 0,75dOUTROS: 4:55 = 0,62dAPJ: 0:00 = 0d"______________________________________________________________________________________________________"RO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</si>
  <si>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RO-290/2026</t>
  </si>
  <si>
    <t>Est sendo realizado o tratamento mecnico, a furao e parafusamento dos anis dos difusores ,solicitado ateno ao encarregado Dirceu Carapina ao Nivelamento e correto parafusamento dos anis na estrutura do difusor, ficar atento e sempre inspecionar ainda a qualidade e acabamento nos pontos de solda que esto sendo feitos nos anis.</t>
  </si>
  <si>
    <t>"RO DIRIO E OBRA - SS-15/2025 (TORRE RESFR)&amp;gt;INSPEO E REVISO DA PARTE SUPERIOR DAS TORRES DE RESFRIAMENTO PARA A PREPARAO DO IAMENTO DAS COIFAS - MOD:2 |PT: (21357148 |HR SOLIC 07:15 | HR LIB 08:26 |ATRASO 00:41|) - (HR ENC 16:30 | ATRASO 00:00)&amp;gt;TRATAMENTO MECNICO, LAMINAO DE REPARO, ALINHAMENTO DAS PALETAS DO VENTILADOR, PINTURA DAS PARTES METLICAS- MOD:3 |PT: (21357151 |HR SOLIC 07:16 | HR LIB 08:26 |ATRASO 00:40|) - (HR ENC 16:30 | ATRASO 00:00)&amp;gt;&amp;gt;CONDIES CLIMTICAS: TEMPO BOM&amp;gt;&amp;gt;&amp;gt;IMPEDIMENTOS ACUMULADOSLIBERAO PT/PTT: 22:54 = 2,87dCONDIES CLIMTICAS: 18:30 = 2,32dPETROBRAS: 6:00 = 0,75dOUTROS: 4:55 = 0,62dAPJ: 0:00 = 0d"_________________________________________________________________________________________________________________________________________________________"RO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</si>
  <si>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RO-289/2026</t>
  </si>
  <si>
    <t>RO se encontra em conformidade e validado pela fiscalizao.</t>
  </si>
  <si>
    <t>"RO DIRIO E OBRA - SS-17/2025 (LUMINOSIDADE)&amp;gt;SUBSTITUIO DAS LUMINRIAS DA BASE DOS POSTES BALIZADORES INTERNOS E EXTERNOS DO EDIVIT - ALA SUL- MOD:4 |PT: (21357179 |HR SOLIC 07:22 | HR LIB 09:30 |ATRASO 01:38|) - (HR ENC 16:30 | ATRASO 00:00)&amp;gt;&amp;gt;CONDIES CLIMTICAS: TEMPO BOM&amp;gt;&amp;gt;&amp;gt;IMPEDIMENTOS ACUMULADOSLIBERAO PT/PTT: 51:00 = 6,38dCONDIES CLIMTICAS: 48:24 = 6,05dPETROBRAS: 25:27 = 3,19dOUTROS: 2:20 = 0,3dAPJ: 0:00 = 0d"</t>
  </si>
  <si>
    <t>RO-288/2026</t>
  </si>
  <si>
    <t>NR 18 - ANGELO SILVA.pdf; NR 18 - EDNALDO FLORES.pdf; NR 18 - EDUARDO COSTA.pdf; NR 18 - GEORGE FALQUETO.pdf; NR 18 - GUSTAVO GEIRA.pdf; NR 18 - LUCAS TITO.pdf; NR 18 - LUIZ SANTANA.pdf; NR 18 - MARCOS ARAUJO.pdf; NR 18 - REGIMAR SOARES.pdf; NR 18 - REGIS GONÇALVES.pdf; NR 18 - VINICIUS SANTOS.pdf; NR 18 - WESLEY SANTANA.pdf</t>
  </si>
  <si>
    <t>Envio doc. CDIGO 321 -Comprovao de treinamento sobre condies e meio ambiente de trabalho na construo civil NR-18 FEV 2026 para avaliao.</t>
  </si>
  <si>
    <t>RO-287/2026</t>
  </si>
  <si>
    <t>"RO DIRIO E OBRA - SS-17/2025 (LUMINOSIDADE)&amp;gt;SUBSTITUIO DAS LUMINRIAS DA BASE DOS POSTES BALIZADORES INTERNOS E EXTERNOS DO EDIVIT - ALA SUL - MOD:4 |PT: (21351641 |HR SOLIC 07:30 | HR LIB 10:10 |ATRASO 02:10|) - (HR ENC 16:30 | ATRASO 00:00)&amp;gt;&amp;gt;CONDIES CLIMTICAS: TEMPO BOM&amp;gt;&amp;gt;&amp;gt;IMPEDIMENTOS ACUMULADOSLIBERAO PT/PTT: 49:22 = 6,18dCONDIES CLIMTICAS: 48:24 = 6,05dPETROBRAS: 25:27 = 3,19dOUTROS: 2:20 = 0,3dAPJ: 0:00 = 0d"</t>
  </si>
  <si>
    <t>RO-286/2026</t>
  </si>
  <si>
    <t>Est sendo realizado o tratamento mecnico, a furao e parafusamento dos anis dos difusores ,solicitado ateno ao encarrado Dirceu Carapina ao Nivelamento e correto parafusamento dos anis na estrutura do difusor, ficar atento e sempre inspecionar ainda a qualidade e acabamento nos pontos de solda que esto sendo feitos nos anis.</t>
  </si>
  <si>
    <t>"RO DIRIO E OBRA - SS-15/2025 (TORRE RESFR)&amp;gt;TRATAMENTO MECNICO, LAMINAO DE REPARO, ALINHAMENTO DAS PALETAS DO VENTILADOR, PINTURA DAS PARTES METLICAS - MOD:4 |PT: (21351686 |HR SOLIC 07:30 | HR LIB 09:10 |ATRASO 01:10|) - (HR ENC 16:30 | ATRASO 00:00)&amp;gt;&amp;gt;CONDIES CLIMTICAS: TEMPO BOM&amp;gt;&amp;gt;&amp;gt;IMPEDIMENTOS ACUMULADOSLIBERAO PT/PTT: 21:33 = 2,7dCONDIES CLIMTICAS: 18:30 = 2,32dPETROBRAS: 6:00 = 0,75dOUTROS: 4:55 = 0,62dAPJ: 0:00 = 0d"________________________________________________________________________________________________________________________________________"RO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</si>
  <si>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RO-285/2026</t>
  </si>
  <si>
    <t>Domingo, dia 08/03/26, no houve expediente de trabalho.</t>
  </si>
  <si>
    <t>RO-284/2026</t>
  </si>
  <si>
    <t>Sbado, dia 07/03/26, no houve expediente de trabalho.</t>
  </si>
  <si>
    <t>RO-283/2026</t>
  </si>
  <si>
    <t>SEM ATIVIDADE - DOMINGO</t>
  </si>
  <si>
    <t>RO-282/2026</t>
  </si>
  <si>
    <t>SEM ATIVIDADE - SBADO</t>
  </si>
  <si>
    <t>RO-281/2026</t>
  </si>
  <si>
    <t>AUDICOMP FEV 2026 UTGC.pdf; 358-EVIDÊNCIA -AUDICOMP-FEV-26.pdf</t>
  </si>
  <si>
    <t>Envio doc. CDIGO 358 -Programa de AUDICOMP FEV 2026 UTGC e EDIVIT para avaliao.</t>
  </si>
  <si>
    <t>RO-280/2026</t>
  </si>
  <si>
    <t>"RO DIRIO E OBRA - SS-17/2025 (LUMINOSIDADE)&amp;gt;SUBSTITUIO DAS LMPADAS DOS DIFUSORES DOS POSTES DE 7,0M NA ALA SUL- MOD:4 |PT: (21343484 |HR SOLIC 07:20 | HR LIB 09:00 |ATRASO 01:10|) - (HR ENC 16:30 | ATRASO 00:00)&amp;gt;&amp;gt;CONDIES CLIMTICAS: TEMPO BOM&amp;gt;&amp;gt;&amp;gt;IMPEDIMENTOS ACUMULADOSLIBERAO PT/PTT: 47:12 = 5,9dCONDIES CLIMTICAS: 48:24 = 6,05dPETROBRAS: 25:27 = 3,19dOUTROS: 2:20 = 0,3dAPJ: 0:00 = 0d"</t>
  </si>
  <si>
    <t>RO-279/2026</t>
  </si>
  <si>
    <t>"RO DIRIO E OBRA - SS-15/2025 (TORRE RESFR)&amp;gt;TRATAMENTO MECNICO (RETOQUE DE PINTURA), FURAO E PARAFUSAR OS ANIS DOS DIFUSORES PARA ACOPLAR A BASE DA COIFA E SOLDA DAS PARTES METLICAS (CHASSI).- MOD:4 |PT: (21343479 |HR SOLIC 07:18 | HR LIB 09:20 |ATRASO 01:32|) - (HR ENC 16:30 | ATRASO 00:00)&amp;gt;&amp;gt;CONDIES CLIMTICAS: TEMPO BOM&amp;gt;&amp;gt;&amp;gt;IMPEDIMENTOS ACUMULADOSLIBERAO PT/PTT: 20:23 = 2,55dCONDIES CLIMTICAS: 18:30 = 2,32dPETROBRAS: 6:00 = 0,75dOUTROS: 4:55 = 0,62dAPJ: 0:00 = 0d"</t>
  </si>
  <si>
    <t>RO-278/2026</t>
  </si>
  <si>
    <t>DDSMS - Divulgação Política de SMS EDIVIT.pdf; DDS - DIVULGAÇÃO POLITICA QSMS 06 03 26 UTGC.pdf</t>
  </si>
  <si>
    <t>Envio doc. CDIGO302A -Evidncia de divulgao da Poltica de SMS, UTGC e EDIVIT para avaliao.</t>
  </si>
  <si>
    <t>RO-277/2026</t>
  </si>
  <si>
    <t>371- EVIDÊNCIA CHECKLIST APJ- FEV-26 EDIVIT.pdf</t>
  </si>
  <si>
    <t>Envio doc. CDIGO371 -Evidncias da realizao do Programa de Inspeo NR-12 UTGC e EDIVIT rev FEV 2026 para avaliao.</t>
  </si>
  <si>
    <t>RO-276/2026</t>
  </si>
  <si>
    <t>Formulário de saída de Resíduos ES - UTGC - RCC- 27.01.2026.xlsx; FORMULÁRIO DE SAÍDA DE RESÍDUOS MADEIRA - 27.01.2026.xlsx</t>
  </si>
  <si>
    <t>Envio doc. CDIGO 396 -Controle de Sada de Resduos de Obras (Modelo Petrobras ou similar) UTGC ref JAN 2026.</t>
  </si>
  <si>
    <t>RO-275/2026</t>
  </si>
  <si>
    <t>359-PLANILHA DE RELATOS DO AMIGO DO PEITO -FEV-26.xlsx; PLANILHA DE RELATOS DO AMIGO DO PEITO.xlsx</t>
  </si>
  <si>
    <t>Envio do doc. CDIGO 359 - Programa de Amigo do Peito FEV 2026 UTGC e EDIVIT para avaliao.</t>
  </si>
  <si>
    <t>RO-274/2026</t>
  </si>
  <si>
    <t>120575 - LISTAGEM PLANO DE MANUTENÇÃO X PROCEDIMENTOS MILLS EQUIPAMENTOS.PDF; 128579 - LISTAGEM PLANO DE MANUTENÇÃO X PROCEDIMENTOS MILLS EQUIPAMENTOS.PDF; 132818 - LISTAGEM PLANO DE MANUTENÇÃO X PROCEDIMENTOS MILLS EQUIPAMENTOS (2).PDF; 132821 - LISTAGEM PLANO DE MANUTENÇÃO X PROCEDIMENTOS MILLS EQUIPAMENTOS (2).PDF; 118391 - LISTAGEM PLANO DE MANUTENÇÃO X PROCEDIMENTOS MILLS EQUIPAMENTOS.PDF; 132818 - LISTAGEM PLANO DE MANUTENÇÃO X PROCEDIMENTOS MILLS EQUIPAMENTOS (2).PDF; PLANO DE MANUTENÇÃO - SRM4E71 - REV.5.pdf; MANUAL MS45007 GUINDAUTO.pdf</t>
  </si>
  <si>
    <t>Envio doc. CDIGO362 -Plano de manut. preventiva de mquinas e equipamentos e manual de operao NR-12 para avaliao.</t>
  </si>
  <si>
    <t>RO-273/2026</t>
  </si>
  <si>
    <t>02 VCP FEVEREIRO.pdf; 360-EVIDÊNCIA VCP-FEVEREIRO-26.pdf</t>
  </si>
  <si>
    <t>Envio doc. CDIGO360 -Programa de VCP (Verificao Conformidade e Procedimento) FEV 2026 UTGC e EDIVIT para analise.</t>
  </si>
  <si>
    <t>RO-272/2026</t>
  </si>
  <si>
    <t>381A -SIGEA UTGC APJ - FEV.25.xlsx; 381A-SIGEA EDIVIT APJ -FEV-26.xlsx</t>
  </si>
  <si>
    <t>Envio doc. CDIGO 381 A -SIGEA FEV 2026 UTGC e EDIVIT para avaliao.</t>
  </si>
  <si>
    <t>RO-271/2026</t>
  </si>
  <si>
    <t>RO DIRIO E OBRA - SS-04/2025 (UPGN-2)  SEM EXPEDIENTE &amp;gt;&amp;gt;CONDIES CLIMTICAS: TEMPO BOM  &amp;gt;&amp;gt;&amp;gt;IMPEDIMENTOS ACUMULADOS LIBERAO PT/PTT: 35:21 = 5,59d CONDIES CLIMTICAS: 47:15 = 4,91d PETROBRAS: 8:20 = 1,05d OUTROS: 25:20 = 4,17d APJ: 0:00 = 0dRO DIRIO E OBRA - SS-08/2025 (K-02)  SEM EXPEDIENTE  &amp;gt;&amp;gt;CONDIES CLIMTICAS: TEMPO BOM  &amp;gt;&amp;gt;&amp;gt;IMPEDIMENTOS ACUMULADOS LIBERAO PT/PTT: 1:50 = 0,23d CONDIES CLIMTICAS: 3:30 = 0,44d PETROBRAS: 0:00 = 0d OUTROS: 120:30 = 2,07d APJ: 0:00 = 0dRO DIRIO E OBRA - SS-12/2025 (ESTOQUE)   SEM EXPEDIENTE &amp;gt;&amp;gt;CONDIES CLIMTICAS: TEMPO BOM   &amp;gt;&amp;gt;&amp;gt;IMPEDIMENTOS ACUMULADOS LIBERAO PT/PTT: 0:00 = 0d CONDIES CLIMTICAS: 30:40 = 2,84d PETROBRAS: 0:00 = 0d OUTROS: 0:30 = 0,07d APJ: 0:00 = 0dRO DIRIO E OBRA - SS-18/2025 (SALA CISC)   SEM EXPEDIENTE  &amp;gt;&amp;gt;CONDIES CLIMTICAS: TEMPO BOM  &amp;gt;&amp;gt;&amp;gt;IMPEDIMENTOS ACUMULADOS LIBERAO PT/PTT: 0:00 = 0d CONDIES CLIMTICAS: 0:00 = 0d PETROBRAS: 0:00 = 0d OUTROS: 0:30 = 0,07d APJ: 0:00 = 0dRO DIRIO E OBRA - SS-26/2025 (GALPO(K-23))   SEM EXPEDIENTE &amp;gt;&amp;gt;CONDIES CLIMTICAS: TEMPO BOM  &amp;gt;&amp;gt;&amp;gt;IMPEDIMENTOS ACUMULADOS LIBERAO PT/PTT: 09:42 = 1,4d CONDIES CLIMTICAS: 0:00 = 0d PETROBRAS: 0:00 = 0d OUTROS: 141:50 = 25,67d APJ: 0:00 = 0dRO DIRIO E OBRA - SS-28/2025 (GALPO(K-48))   SEM EXPEDIENTE &amp;gt;&amp;gt;CONDIES CLIMTICAS: TEMPO BOM   &amp;gt;&amp;gt;&amp;gt;IMPEDIMENTOS ACUMULADOS LIBERAO PT/PTT: 4:00 = 0,53d CONDIES CLIMTICAS: 8:40 = 1,09d PETROBRAS: 0:00 = 0d OUTROS: 32:00 = 6d APJ: 0:00 = 0dRO DIRIO E OBRA - SS-29/2025 (COBERTURA K-32)   SEM EXPEDIENTE &amp;gt;&amp;gt;CONDIES CLIMTICAS: TEMPO BOM  &amp;gt;&amp;gt;&amp;gt;IMPEDIMENTOS ACUMULADOS LIBERAO PT/PTT: 0:0 = 0,03d CONDIES CLIMTICAS: 3:30 = 0d PETROBRAS: 0:00 = 0d OUTROS: 0:00 = 0d APJ: 0:00 = 0dRO DIRIO E OBRA - SS-32/2025 (UPCGN-2)   SEM EXPEDIENTE &amp;gt;&amp;gt;CONDIES CLIMTICAS: TEMPO BOM  &amp;gt;&amp;gt;&amp;gt;IMPEDIMENTOS ACUMULADOS LIBERAO PT/PTT: 7:11 = 1,11d CONDIES CLIMTICAS: 5:30 = 0,69d PETROBRAS: 0:00 = 0d OUTROS: 38:00 = 4d APJ: 0:00 = 0d____________________________________________________RO DIRIO E OBRA - SS-01/2026 (CANTEIRO INOVA)  SEM ATIVIDADES &amp;gt;&amp;gt;CONDIES CLIMTICAS: TEMPO BOM  &amp;gt;&amp;gt;&amp;gt;IMPEDIMENTOS ACUMULADOS LIBERAO PT/PTT: 0:00 = 0d CONDIES CLIMTICAS: 0:00 = 0d PETROBRAS: 0:00 = 0d OUTROS: 0:00 = 0d APJ: 0:00 = 0d _____________________________________________________RO DIRIO E OBRA - SS-27/2025 (GALPO(K-12)SEM ATIVIDADES&amp;gt;&amp;gt;CONDIES CLIMTICAS: TEMPO BOM&amp;gt;&amp;gt;&amp;gt;IMPEDIMENTOS ACUMULADOS LIBERAO PT/PTT: 1:15 = 0,6d CONDIES CLIMTICAS: 0:00 = 0d PETROBRAS: 0:00 = 0d OUTROS: 32:00 = 5d APJ: 0:00 = 0d</t>
  </si>
  <si>
    <t>01/03/2026</t>
  </si>
  <si>
    <t>RO-270/2026</t>
  </si>
  <si>
    <t>RO DIRIO E OBRA - SS-04/2025 (UPGN-2)  SEM EXPEDIENTE  &amp;gt;&amp;gt;CONDIES CLIMTICAS: TEMPO BOM  &amp;gt;&amp;gt;&amp;gt;IMPEDIMENTOS ACUMULADOS LIBERAO PT/PTT: 35:21 = 5,59d CONDIES CLIMTICAS: 47:15 = 4,91d PETROBRAS: 8:20 = 1,05d OUTROS: 25:20 = 4,17d APJ: 0:00 = 0d RO DIRIO E OBRA - SS-08/2025 (K-02)  SEM EXPEDIENTE  &amp;gt;&amp;gt;CONDIES CLIMTICAS: TEMPO BOM  &amp;gt;&amp;gt;&amp;gt;IMPEDIMENTOS ACUMULADOS LIBERAO PT/PTT: 1:50 = 0,23d CONDIES CLIMTICAS: 3:30 = 0,44d PETROBRAS: 0:00 = 0d OUTROS: 120:30 = 2,07d APJ: 0:00 = 0dRO DIRIO E OBRA - SS-12/2025 (ESTOQUE)   SEM EXPEDIENTE &amp;gt;&amp;gt;CONDIES CLIMTICAS: TEMPO BOM   &amp;gt;&amp;gt;&amp;gt;IMPEDIMENTOS ACUMULADOS LIBERAO PT/PTT: 0:00 = 0d CONDIES CLIMTICAS: 30:40 = 2,84d PETROBRAS: 0:00 = 0d OUTROS: 0:30 = 0,07d APJ: 0:00 = 0dRO DIRIO E OBRA - SS-18/2025 (SALA CISC)   SEM EXPEDIENTE  &amp;gt;&amp;gt;CONDIES CLIMTICAS: TEMPO BOM  &amp;gt;&amp;gt;&amp;gt;IMPEDIMENTOS ACUMULADOS LIBERAO PT/PTT: 0:00 = 0d CONDIES CLIMTICAS: 0:00 = 0d PETROBRAS: 0:00 = 0d OUTROS: 0:30 = 0,07d APJ: 0:00 = 0dRO DIRIO E OBRA - SS-26/2025 (GALPO(K-23))   SEM EXPEDIENTE  &amp;gt;&amp;gt;CONDIES CLIMTICAS: TEMPO BOM  &amp;gt;&amp;gt;&amp;gt;IMPEDIMENTOS ACUMULADOS LIBERAO PT/PTT: 09:42 = 1,4d CONDIES CLIMTICAS: 0:00 = 0d PETROBRAS: 0:00 = 0d OUTROS: 141:50 = 25,67d APJ: 0:00 = 0d RO DIRIO E OBRA - SS-28/2025 (GALPO(K-48))   SEM EXPEDIENTE  &amp;gt;&amp;gt;CONDIES CLIMTICAS: TEMPO BOM   &amp;gt;&amp;gt;&amp;gt;IMPEDIMENTOS ACUMULADOS LIBERAO PT/PTT: 4:00 = 0,53d CONDIES CLIMTICAS: 8:40 = 1,09d PETROBRAS: 0:00 = 0d OUTROS: 32:00 = 6d APJ: 0:00 = 0d RO DIRIO E OBRA - SS-29/2025 (COBERTURA K-32)   SEM EXPEDIENTE  &amp;gt;&amp;gt;CONDIES CLIMTICAS: TEMPO BOM  &amp;gt;&amp;gt;&amp;gt;IMPEDIMENTOS ACUMULADOS LIBERAO PT/PTT: 0:0 = 0,03d CONDIES CLIMTICAS: 3:30 = 0d PETROBRAS: 0:00 = 0d OUTROS: 0:00 = 0d APJ: 0:00 = 0d RO DIRIO E OBRA - SS-32/2025 (UPCGN-2)   SEM EXPEDIENTE &amp;gt;&amp;gt;CONDIES CLIMTICAS: TEMPO BOM  &amp;gt;&amp;gt;&amp;gt;IMPEDIMENTOS ACUMULADOS LIBERAO PT/PTT: 7:11 = 1,11d CONDIES CLIMTICAS: 5:30 = 0,69d PETROBRAS: 0:00 = 0d OUTROS: 38:00 = 4d APJ: 0:00 = 0d ____________________________________________________RO DIRIO E OBRA - SS-01/2026 (CANTEIRO INOVA)  SEM ATIVIDADES &amp;gt;&amp;gt;CONDIES CLIMTICAS: TEMPO BOM  &amp;gt;&amp;gt;&amp;gt;IMPEDIMENTOS ACUMULADOS LIBERAO PT/PTT: 0:00 = 0d CONDIES CLIMTICAS: 0:00 = 0d PETROBRAS: 0:00 = 0d OUTROS: 0:00 = 0d APJ: 0:00 = 0d _____________________________________________________RO DIRIO E OBRA - SS-27/2025 (GALPO(K-12)SEM ATIVIDADES&amp;gt;&amp;gt;CONDIES CLIMTICAS: TEMPO BOM  &amp;gt;&amp;gt;&amp;gt;IMPEDIMENTOS ACUMULADOS LIBERAO PT/PTT: 1:15 = 0,6d CONDIES CLIMTICAS: 0:00 = 0d PETROBRAS: 0:00 = 0d OUTROS: 32:00 = 5d APJ: 0:00 = 0d</t>
  </si>
  <si>
    <t>28/02/2026</t>
  </si>
  <si>
    <t>RO-269/2026</t>
  </si>
  <si>
    <t>433,290</t>
  </si>
  <si>
    <t>RO DIRIO E OBRA - SS-04/2025 (UPGN-2)  &amp;gt;INSTALAO DE TELA DE PROTEO - MOD:5 | PEMT:1 | PT: (21309360 |HR SOLIC 08:00 | HR LIB 09:00 |ATRASO 00:30|) - (HR ENC 16:30 | ATRASO 00:00)  &amp;gt;SOLDA DOS INSERTS E MONTAGEM DE ESTRUTURA METALICA - MOD:10 | PEMT:2 | GUINDASTE:1 | PT: (21219304 |HR SOLIC 08:00 | HR LIB 09:00 |ATRASO 00:30|) - (HR ENC 16:30 | ATRASO 00:00)  &amp;gt;MONTAGEM DE ANDAIME - MOD:6 | PT: (21206863 |HR SOLIC 08:00 | HR LIB 08:10 |ATRASO 00:00|) - (HR ENC 16:30 | ATRASO 00:00)  &amp;gt;&amp;gt;CONDIES CLIMTICAS: TEMPO COM ANOMALIA &amp;gt;&amp;gt;INCIDNCIA DE CHUVA (12:30 - 16:00)  &amp;gt;&amp;gt;&amp;gt;IMPEDIMENTOS ACUMULADOS LIBERAO PT/PTT: 35:21 = 5,59d CONDIES CLIMTICAS: 47:15 = 4,91d PETROBRAS: 8:20 = 1,05d OUTROS: 25:20 = 4,17d APJ: 0:00 = 0d RO DIRIO E OBRA - SS-08/2025 (K-02)  &amp;gt;MONTAGEM E SOLDA DE ESTRUTURA METALICA - MOD:4 | PT: (21219282 |HR SOLIC 08:00 | HR LIB 08:20 |ATRASO 00:00|) - (HR ENC 16:30 | ATRASO 00:00)  &amp;gt;&amp;gt;CONDIES CLIMTICAS: TEMPO COM ANOMALIA &amp;gt;&amp;gt;INCIDNCIA DE CHUVA (12:30 - 16:00)  &amp;gt;&amp;gt;&amp;gt;IMPEDIMENTOS ACUMULADOS LIBERAO PT/PTT: 1:50 = 0,23d CONDIES CLIMTICAS: 3:30 = 0,44d PETROBRAS: 0:00 = 0d OUTROS: 120:30 = 2,07d APJ: 0:00 = 0d RO DIRIO E OBRA - SS-12/2025 (ESTOQUE)  &amp;gt;MONTAGEM DE ESTRUTURA METALICA(PERFIS) - MOD:3 | PT: (21312010 |HR SOLIC 07:35 | HR LIB 07:40 |ATRASO 00:00|) - (HR ENC 16:30 | ATRASO 00:00)  &amp;gt;ESCAVAO PARA SISTEMA PLUVIAL. - MOD:5 | PT: (AREA LIBERADA |HR SOLIC 07:30 | HR LIB 07:37 |ATRASO 00:00|) - (HR ENC 16:30 | ATRASO 00:00)  &amp;gt;&amp;gt;CONDIES CLIMTICAS: TEMPO COM ANOMALIA &amp;gt;&amp;gt;INCIDNCIA DE CHUVA (12:30 - 16:00)  &amp;gt;&amp;gt;&amp;gt;IMPEDIMENTOS ACUMULADOS LIBERAO PT/PTT: 0:00 = 0d CONDIES CLIMTICAS: 30:40 = 2,84d PETROBRAS: 0:00 = 0d OUTROS: 0:30 = 0,07d APJ: 0:00 = 0d RO DIRIO E OBRA - SS-18/2025 (SALA CISC)  &amp;gt;APLICAO DE MASSA, PINTURA DAS PAREDES E LIMPEZA DA AREA. - MOD:4 | PT: (21311988 |HR SOLIC 07:50 | HR LIB 07:57 |ATRASO 00:00|) - (HR ENC 16:30 | ATRASO 00:00)  &amp;gt;&amp;gt;CONDIES CLIMTICAS: TEMPO BOM  &amp;gt;&amp;gt;&amp;gt;IMPEDIMENTOS ACUMULADOS LIBERAO PT/PTT: 0:00 = 0d CONDIES CLIMTICAS: 0:00 = 0d PETROBRAS: 0:00 = 0d OUTROS: 0:30 = 0,07d APJ: 0:00 = 0d  RO DIRIO E OBRA - SS-26/2025 (GALPO(K-23))  &amp;gt;NO HOUVE ATIVIDADE NESTE DIA - MOD: | PT: ( |HR SOLIC 00:00 | HR LIB 00:00 |ATRASO |) - (HR ENC 00:00 | ATRASO )  &amp;gt;&amp;gt;CONDIES CLIMTICAS: TEMPO BOM &amp;gt;&amp;gt;ATIVIDADE PARALIZADA PELA OPERAO (07:30 - 16:30)  &amp;gt;&amp;gt;&amp;gt;IMPEDIMENTOS ACUMULADOS LIBERAO PT/PTT: 09:42 = 1,4d CONDIES CLIMTICAS: 0:00 = 0d PETROBRAS: 0:00 = 0d OUTROS: 141:50 = 25,67d APJ: 0:00 = 0d RO DIRIO E OBRA - SS-28/2025 (GALPO(K-48))  &amp;gt;DESMONTAGEM DE ESTRUTURA METALICA - MOD:3 | PEMT:1 | PT: (21309396 |HR SOLIC 08:00 | HR LIB 08:30 |ATRASO 00:00|) - (HR ENC 16:30 | ATRASO 00:00)  &amp;gt;&amp;gt;CONDIES CLIMTICAS: TEMPO COM ANOMALIA &amp;gt;&amp;gt;INCIDNCIA DE CHUVA (12:30 - 16:00)  &amp;gt;&amp;gt;&amp;gt;IMPEDIMENTOS ACUMULADOS LIBERAO PT/PTT: 4:00 = 0,53d CONDIES CLIMTICAS: 8:40 = 1,09d PETROBRAS: 0:00 = 0d OUTROS: 32:00 = 6d APJ: 0:00 = 0d RO DIRIO E OBRA - SS-29/2025 (COBERTURA K-32)  &amp;gt;VISTORIA, PREPARAO E LIMPEZA DO LOCAL - MOD:4 | PEMT:1 | PT: (21307949 |HR SOLIC 08:00 | HR LIB 08:30 |ATRASO 00:00|) - (HR ENC 16:30 | ATRASO 00:00)  &amp;gt;&amp;gt;CONDIES CLIMTICAS: TEMPO COM ANOMALIA &amp;gt;&amp;gt;INCIDNCIA DE CHUVA (12:30- 16:00)  &amp;gt;&amp;gt;&amp;gt;IMPEDIMENTOS ACUMULADOS LIBERAO PT/PTT: 0:0 = 0,03d CONDIES CLIMTICAS: 3:30 = 0d PETROBRAS: 0:00 = 0d OUTROS: 0:00 = 0d APJ: 0:00 = 0d RO DIRIO E OBRA - SS-32/2025 (UPCGN-2)  &amp;gt;PINTURA DE ESTRUTURA METALICA - MOD:4 | PEMT:1 | PT: (21309325 |HR SOLIC 08:00 | HR LIB 09:00 |ATRASO 00:30|) - (HR ENC 16:30 | ATRASO 00:00)  &amp;gt;&amp;gt;CONDIES CLIMTICAS: TEMPO COM ANOMALIA &amp;gt;&amp;gt;INCIDNCIA DE CHUVA (12:30 - 16:00)  &amp;gt;&amp;gt;&amp;gt;IMPEDIMENTOS ACUMULADOS LIBERAO PT/PTT: 7:11 = 1,11d CONDIES CLIMTICAS: 5:30 = 0,69d PETROBRAS: 0:00 = 0d OUTROS: 0:00 = 4d APJ: 0:00 = 0d _________________________________RO DIRIO E OBRA - SS-01/2026 (CANTEIRO INOVA)  SEM ATIVIDADES &amp;gt;&amp;gt;CONDIES CLIMTICAS: TEMPO BOM  &amp;gt;&amp;gt;&amp;gt;IMPEDIMENTOS ACUMULADOS LIBERAO PT/PTT: 0:00 = 0d CONDIES CLIMTICAS: 0:00 = 0d PETROBRAS: 0:00 = 0d OUTROS: 0:00 = 0d APJ: 0:00 = 0d _____________________________________________________RO DIRIO E OBRA - SS-27/2025 (GALPO(K-12)SEM ATIVIDADES&amp;gt;&amp;gt;CONDIES CLIMTICAS: TEMPO BOM  &amp;gt;&amp;gt;&amp;gt;IMPEDIMENTOS ACUMULADOS LIBERAO PT/PTT: 1:15 = 0,6d CONDIES CLIMTICAS: 0:00 = 0d PETROBRAS: 0:00 = 0d OUTROS: 32:00 = 5d APJ: 0:00 = 0d</t>
  </si>
  <si>
    <t>27/02/2026</t>
  </si>
  <si>
    <t>RO-268/2026</t>
  </si>
  <si>
    <t>1.228,092</t>
  </si>
  <si>
    <t>RO DIRIO E OBRA - SS-04/2025 (UPGN-2)  &amp;gt;INSTALAO DE TELA DE PROTEO - MOD:5 | PEMT:1 | GUINDASTE:1 | PT: (21304401 |HR SOLIC 08:00 | HR LIB 08:30 |ATRASO 00:00|) - (HR ENC 16:30 | ATRASO 00:00)  &amp;gt;SOLDA DOS INSERTS E MONTAGEM DE ESTRUTURA METALICA - MOD:10 | PEMT:2 | MUNCK:1 | PT: (21219304 |HR SOLIC 08:00 | HR LIB 08:40 |ATRASO 00:0|) - (HR ENC 16:30 | ATRASO 00:00)  &amp;gt;ADEQUAO DO SISTEMA SPDA - MOD:3 | PEMT:1 | PT: (21302407 |HR SOLIC 08:00 | HR LIB 08:0 |ATRASO 00:10|) - (HR ENC 16:30 | ATRASO 00:00)  &amp;gt;MONTAGEM DE ANDAIME - MOD:6 | PT: (21206863 |HR SOLIC 08:00 | HR LIB 08:10 |ATRASO 00:00|) - (HR ENC 16:30 | ATRASO 00:00) &amp;gt;&amp;gt;CONDIES CLIMTICAS: TEMPO BOM &amp;gt;&amp;gt;&amp;gt;IMPEDIMENTOS ACUMULADOS LIBERAO PT/PTT: 34:21 = 4,99d CONDIES CLIMTICAS: 43:45 = 4,47d PETROBRAS: 8:20 = 1,05d OUTROS: 25:20 = 4,17d APJ: 0:00 = 0d RO DIRIO E OBRA - SS-06/2025 (K-14)  &amp;gt;INSTALAO DE RUFOS - MOD:4 | PEMT:1 | PT: (21304482 |HR SOLIC 08:00 | HR LIB 08:00 |ATRASO 00:00|) - (HR ENC 16:30 | ATRASO 00:00) &amp;gt;&amp;gt;CONDIES CLIMTICAS: TEMPO BOM &amp;gt;&amp;gt;&amp;gt;IMPEDIMENTOS ACUMULADOS LIBERAO PT/PTT: 47:19 = 6,54d CONDIES CLIMTICAS: 58:45 = 6,35d PETROBRAS: 1:30 = 0,19d OUTROS: 28:30 = 3,57d APJ: 0:00 = 0d RO DIRIO E OBRA - SS-12/2025 (ESTOQUE)  &amp;gt;INSTALAO DE PERFIS LATERAIS E SUPERIOR - MOD:3 | GUINDASTE:1 | PT: (21306429 |HR SOLIC 08:00 | HR LIB 08:10 |ATRASO 00:00|) - (HR ENC 16:30 | ATRASO 00:00)  &amp;gt;INSTALAO DE TUBULAO DO SISTEMA PLUVIAL - MOD:5 | PT: (AREA LIBERADA |HR SOLIC 07:50 | HR LIB 08:00 |ATRASO 00:00|) - (HR ENC 16:30 | ATRASO 00:00)  &amp;gt;&amp;gt;CONDIES CLIMTICAS: TEMPO BOM  &amp;gt;&amp;gt;&amp;gt;IMPEDIMENTOS ACUMULADOS LIBERAO PT/PTT: 0:00 = 0d CONDIES CLIMTICAS: 27:10 = 2,4d PETROBRAS: 0:00 = 0d OUTROS: 0:30 = 0,07d APJ: 0:00 = 0d RO DIRIO E OBRA - SS-18/2025 (SALA CISC)  &amp;gt;APLICAO DE MASSA E LIXAMENTO DE PAREDE - MOD:3 | PT: (21306428 |HR SOLIC 07:45 | HR LIB 07:52 |ATRASO 00:00|) - (HR ENC 16:30 | ATRASO 00:00)  &amp;gt;REPOSIO DE FORRO E LUMINARIA - MOD:1 | PT: (21301763 |HR SOLIC 07:55 | HR LIB 07:58 |ATRASO 00:00|) - (HR ENC 16:30 | ATRASO 00:00)  &amp;gt;&amp;gt;CONDIES CLIMTICAS: TEMPO BOM  &amp;gt;&amp;gt;&amp;gt;IMPEDIMENTOS ACUMULADOS LIBERAO PT/PTT: 0:00 = 0d CONDIES CLIMTICAS: 0:00 = 0d PETROBRAS: 0:00 = 0d OUTROS: 0:30 = 0,07d APJ: 0:00 = 0d  RO DIRIO E OBRA - SS-26/2025 (GALPO(K-23)  &amp;gt;NO HOUVE ATIVIDADE NESTE DIA - MOD: | PT: ( |HR SOLIC 00:00 | HR LIB 00:00 |ATRASO |) - (HR ENC 00:00 | ATRASO )  &amp;gt;&amp;gt;CONDIES CLIMTICAS: TEMPO BOM &amp;gt;&amp;gt;ATIVIDADE PARALIZADA PELA OPERAO. (07:30 - 16:30)  &amp;gt;&amp;gt;&amp;gt;IMPEDIMENTOS ACUMULADOS LIBERAO PT/PTT: 09:42 = 1,4d CONDIES CLIMTICAS: 0:00 = 0d PETROBRAS: 0:00 = 0d OUTROS: 133:50 = 23,67d APJ: 0:00 = 0d RO DIRIO E OBRA - SS-28/2025 (GALPO(K-48))  &amp;gt;DESMONTAGEM DE TELHAS E PERFIS - MOD:3 | PEMT:1 | PT: (21304436 |HR SOLIC 08:00 | HR LIB 08:40 |ATRASO 00:10|) - (HR ENC 16:30 | ATRASO 00:00) &amp;gt;&amp;gt;CONDIES CLIMTICAS: TEMPO BOM  &amp;gt;&amp;gt;&amp;gt;IMPEDIMENTOS ACUMULADOS LIBERAO PT/PTT: 4:00 = 0,5d CONDIES CLIMTICAS: 5:10 = 0,65d PETROBRAS: 0:00 = 0d OUTROS: 48:00 = 6d APJ: 0:00 = 0d  RO DIRIO E OBRA - SS-32/2025 (UPCGN-2)  &amp;gt;TRATAMENTO E PINTURA ESTRUTURA METALICA - MOD:3 | PT: (21304375 |HR SOLIC 08:00 | HR LIB 08:30 |ATRASO 00:00|) - (HR ENC 16:30 | ATRASO 00:00) &amp;gt;&amp;gt;CONDIES CLIMTICAS: TEMPO BOM  &amp;gt;&amp;gt;&amp;gt;IMPEDIMENTOS ACUMULADOS LIBERAO PT/PTT: 6:51 = 0,86d CONDIES CLIMTICAS: 2:00 = 0,25d PETROBRAS: 0:00 = 0d OUTROS: 08:00 = 4d APJ: 0:00 = 0d__________________________________________________RO DIRIO E OBRA - SS-01/2026 (CANTEIRO INOVA)  SEM ATIVIDADES &amp;gt;&amp;gt;CONDIES CLIMTICAS: TEMPO BOM  &amp;gt;&amp;gt;&amp;gt;IMPEDIMENTOS ACUMULADOS LIBERAO PT/PTT: 0:00 = 0d CONDIES CLIMTICAS: 0:00 = 0d PETROBRAS: 0:00 = 0d OUTROS: 0:00 = 0d APJ: 0:00 = 0d _____________________________________________________RO DIRIO E OBRA - SS-27/2025 (GALPO(K-12)SEM ATIVIDADES&amp;gt;&amp;gt;CONDIES CLIMTICAS: TEMPO BOM &amp;gt;&amp;gt;&amp;gt;IMPEDIMENTOS ACUMULADOS LIBERAO PT/PTT: 1:15 = 0,6d CONDIES CLIMTICAS: 0:00 = 0d PETROBRAS: 0:00 = 0d OUTROS: 32:00 = 5d APJ: 0:00 = 0d  RO DIRIO E OBRA - SS-29/2025 (COBERTURA K-32)  SEM ATIVIDADES  &amp;gt;&amp;gt;CONDIES CLIMTICAS: TEMPO BOM  &amp;gt;&amp;gt;&amp;gt;IMPEDIMENTOS ACUMULADOS LIBERAO PT/PTT: 0:00 = 0d CONDIES CLIMTICAS: 00:00 = 0d PETROBRAS: 0:00 = 0d OUTROS: 0:00 = 0,00d APJ: 0:00 = 0d RO DIRIO E OBRA - SS-08/2025 (K-02)  SEM ATIVIDADES  &amp;gt;&amp;gt;CONDIES CLIMTICAS: TEMPO BOM  &amp;gt;&amp;gt;&amp;gt;IMPEDIMENTOS ACUMULADOS LIBERAO PT/PTT: 1:50 = 0,23d CONDIES CLIMTICAS: 0:00 = 0d PETROBRAS: 0:00 = 0d OUTROS: 120:30= 2,07d APJ: 0:00 = 0d</t>
  </si>
  <si>
    <t>26/02/2026</t>
  </si>
  <si>
    <t>RO-267/2026</t>
  </si>
  <si>
    <t>RO DIRIO E OBRA - SS-04/2025 (UPGN-2)  &amp;gt;INSTALAO DE TELA DE PROTEO - MOD:5 | PEMT:1 | GUINDASTE:1 | PT: (21298825 |HR SOLIC 08:00 | HR LIB 08:30 |ATRASO 00:00|) - (HR ENC 16:30 | ATRASO 00:00)  &amp;gt;SOLDA DOS INSERTS E MONTAGEM DE ESTRUTURA METALICA - MOD:10 | PEMT:2 | MUNCK:1 | PT: (21219304 |HR SOLIC 08:00 | HR LIB 08:40 |ATRASO 00:10|) - (HR ENC 16:30 | ATRASO 00:00)  &amp;gt;ADEQUAO DO SISTEMA SPDA - MOD:3 | PEMT:1 | PT: (21298874 |HR SOLIC 08:00 | HR LIB 08:40 |ATRASO 00:10|) - (HR ENC 16:30 | ATRASO 00:00)  &amp;gt;MONTAGEM DE ANDAIME - MOD:6 | PT: (21206863 |HR SOLIC 08:00 | HR LIB 08:10 |ATRASO 00:00|) - (HR ENC 16:30 | ATRASO 00:00)  &amp;gt;&amp;gt;CONDIES CLIMTICAS: TEMPO COM ANOMALIA &amp;gt;&amp;gt;INCIDNCIA DE CHUVA (14:00 - 16:00)  &amp;gt;&amp;gt;&amp;gt;IMPEDIMENTOS ACUMULADOS LIBERAO PT/PTT: 34:21= 4,99d CONDIES CLIMTICAS: 43:45 = 4,47d PETROBRAS: 8:20 = 1,05d OUTROS: 25:20 = 4,17d APJ: 0:00 = 0d RO DIRIO E OBRA - SS-06/2025 (K-14)  &amp;gt;INSTALAO DE RUFOS - MOD:4 | PEMT:1 | PT: (21298929 |HR SOLIC 08:00 | HR LIB 08:50 |ATRASO 00:20|) - (HR ENC 16:30 | ATRASO 00:00)  &amp;gt;&amp;gt;CONDIES CLIMTICAS: TEMPO COM ANOMALIA &amp;gt;&amp;gt;INCIDNCIA DE CHUVA (14:00 - 16:00)  &amp;gt;&amp;gt;&amp;gt;IMPEDIMENTOS ACUMULADOS LIBERAO PT/PTT: 47:19 = 6,54d CONDIES CLIMTICAS: 58:45 = 6,35d PETROBRAS: 1:30 = 0,19d OUTROS: 28:30 = 3,57d APJ: 0:00 = 0d RO DIRIO E OBRA - SS-12/2025 (ESTOQUE)  &amp;gt;INSTALAO DE PERFIS LATERAIS E SUPERIOR - MOD:3 | GUINDASTE:1 | PT: (21302400 |HR SOLIC 08:00 | HR LIB 08:10 |ATRASO 00:00|) - (HR ENC 16:30 | ATRASO 00:00)  &amp;gt;INSTALAO DE TUBULAO DO SISTEMA PLUVIAL - MOD:5 | PT: (AREA LIBERADA|HR SOLIC 07:50 | HR LIB 08:00 |ATRASO 00:00|) - (HR ENC 16:30 | ATRASO 00:00)  &amp;gt;&amp;gt;CONDIES CLIMTICAS: TEMPO COM ANOMALIA &amp;gt;&amp;gt;INCIDNCIA DE CHUVA (14:00 - 16:00)  &amp;gt;&amp;gt;&amp;gt;IMPEDIMENTOS ACUMULADOS LIBERAO PT/PTT: 0:00 = 0d CONDIES CLIMTICAS: 27:10 = 2,4d PETROBRAS: 0:00 = 0d OUTROS: 0:30 = 0,07d APJ: 0:00 = 0d RO DIRIO E OBRA - SS-18/2025 (SALA CISC)  &amp;gt;APLICAO DE MASSA E LIXAMENTO DE PAREDE - MOD:3 | PT: (21300145 |HR SOLIC 07:45 | HR LIB 07:52 |ATRASO 00:00|) - (HR ENC 16:30 | ATRASO 00:00)  &amp;gt;REPOSIO DE FORRO E LUMINARIA - MOD:1 | PT: (21301763 |HR SOLIC 07:55 | HR LIB 07:58 |ATRASO 00:00|) - (HR ENC 16:30 | ATRASO 00:00)  &amp;gt;&amp;gt;CONDIES CLIMTICAS: TEMPO BOM  &amp;gt;&amp;gt;&amp;gt;IMPEDIMENTOS ACUMULADOS LIBERAO PT/PTT: 0:00 = 0d CONDIES CLIMTICAS: 0:00 = 0d PETROBRAS: 0:00 = 0d OUTROS: 0:30 = 0,07d APJ: 0:00 = 0d  RO DIRIO E OBRA - SS-26/2025 (GALPO(K-23)  &amp;gt;NO HOUVE ATIVIDADE NESTE DIA - MOD: | PT: ( |HR SOLIC 00:00 | HR LIB 00:00 |ATRASO |) - (HR ENC 00:00 | ATRASO )  &amp;gt;&amp;gt;CONDIES CLIMTICAS: TEMPO BOM &amp;gt;&amp;gt;ATIVIDADE PARALIZADA PELA OPERAO. (07:30 - 16:30)  &amp;gt;&amp;gt;&amp;gt;IMPEDIMENTOS ACUMULADOS LIBERAO PT/PTT: 09:42 = 1,4d CONDIES CLIMTICAS: 0:00 = 0d PETROBRAS: 0:00 = 0d OUTROS: 125:50 = 23,67d APJ: 0:00 = 0d RO DIRIO E OBRA - SS-28/2025 (GALPO(K-48))  &amp;gt;DESMONTAGEM DE TELHAS E PERFIS - MOD:3 | PEMT:1 | PT: (21298895 |HR SOLIC 08:00 | HR LIB 08:40 |ATRASO 00:10|) - (HR ENC 16:30 | ATRASO 00:00)  &amp;gt;&amp;gt;CONDIES CLIMTICAS: TEMPO COM ANOMALIA &amp;gt;&amp;gt;INCIDNCIA DE CHUVA (14:00 - 16:00)  &amp;gt;&amp;gt;&amp;gt;IMPEDIMENTOS ACUMULADOS LIBERAO PT/PTT: 4:00 = 0,5d CONDIES CLIMTICAS: 5:10 = 0,65d PETROBRAS: 0:00 = 0d OUTROS: 32:00 = 6d APJ: 0:00 = 0d  RO DIRIO E OBRA - SS-32/2025 (UPCGN-2)  &amp;gt;TRATAMENTO E PINTURA ESTRUTURA METALICA - MOD:3 | PT: (21298800 |HR SOLIC 08:00 | HR LIB 08:30 |ATRASO 00:00|) - (HR ENC 16:30 | ATRASO 00:00)  &amp;gt;&amp;gt;CONDIES CLIMTICAS: TEMPO COM ANOMALIA &amp;gt;&amp;gt;INCIDNCIA DE CHUVA (14:00 - 16:00)  &amp;gt;&amp;gt;&amp;gt;IMPEDIMENTOS ACUMULADOS LIBERAO PT/PTT: 6:51 = 0,86d CONDIES CLIMTICAS: 2:00 = 0,25d PETROBRAS: 0:00 = 0d OUTROS: 8:00 = 4d APJ: 0:00 = 0dRO DIRIO E OBRA - SS-01/2026 (CANTEIRO INOVA)  SEM ATIVIDADES &amp;gt;&amp;gt;CONDIES CLIMTICAS: TEMPO BOM  &amp;gt;&amp;gt;&amp;gt;IMPEDIMENTOS ACUMULADOS LIBERAO PT/PTT: 0:00 = 0d CONDIES CLIMTICAS: 0:00 = 0d PETROBRAS: 0:00 = 0d OUTROS: 0:00 = 0d APJ: 0:00 = 0d _____________________________________________________RO DIRIO E OBRA - SS-27/2025 (GALPO(K-12)SEM ATIVIDADES&amp;gt;&amp;gt;CONDIES CLIMTICAS: TEMPO BOM &amp;gt;&amp;gt;&amp;gt;IMPEDIMENTOS ACUMULADOS LIBERAO PT/PTT: 1:15 = 0,6d CONDIES CLIMTICAS: 0:00 = 0d PETROBRAS: 0:00 = 0d OUTROS: 32:00 = 5d APJ: 0:00 = 0d  RO DIRIO E OBRA - SS-29/2025 (COBERTURA K-32)  SEM ATIVIDADES  &amp;gt;&amp;gt;CONDIES CLIMTICAS: TEMPO BOM  &amp;gt;&amp;gt;&amp;gt;IMPEDIMENTOS ACUMULADOS LIBERAO PT/PTT: 0:00 = 0d CONDIES CLIMTICAS: 00:00 = 0d PETROBRAS: 0:00 = 0d OUTROS: 0:00 = 0,00d APJ: 0:00 = 0d</t>
  </si>
  <si>
    <t>25/02/2026</t>
  </si>
  <si>
    <t>RO-266/2026</t>
  </si>
  <si>
    <t>RO DIRIO E OBRA - SS-04/2025 (UPGN-2)  &amp;gt;IAMENTO E MONTAGEM DE TELA DE PROTEO - MOD:4 | GUINDASTE:1 | PT: (21283805 |HR SOLIC 08:00 | HR LIB 09:00 |ATRASO 00:30|) - (HR ENC 16:30 | ATRASO 00:00)  &amp;gt;SOLDA DOS INSERTS E MONTAGEM DE ESTRUTURA METALICA - MOD:11 | PEMT:2 | MUNCK:1 | PT: (21219304 |HR SOLIC 08:00 | HR LIB 08:40 |ATRASO 00:10|) - (HR ENC 16:30 | ATRASO 00:00)  &amp;gt;PINTURA DE ESTRUTURA METALICA - MOD:2 | PT: (21206909 |HR SOLIC 08:00 | HR LIB 08:40 |ATRASO 00:10|) - (HR ENC 16:30 | ATRASO 00:00)  &amp;gt;ADEQUAO DO SISTEMA SPDA - MOD:3 | PEMT:1 | PT: (21284594 |HR SOLIC 08:00 | HR LIB 09:00 |ATRASO 00:30|) - (HR ENC 16:30 | ATRASO 00:00)  &amp;gt;&amp;gt;CONDIES CLIMTICAS: TEMPO COM ANOMALIA &amp;gt;&amp;gt;INCIDNCIA DE RAIOS (13:40 - 14:40)  &amp;gt;&amp;gt;&amp;gt;IMPEDIMENTOS ACUMULADOS LIBERAO PT/PTT: 33:21 = 4,87d CONDIES CLIMTICAS: 39:35 = 3,95d PETROBRAS: 8:20 = 1,05d OUTROS: 25:20 = 4,17d APJ: 0:00 = 0d RO DIRIO E OBRA - SS-06/2025 (K-14)  &amp;gt;PINTURA DE ESTRUTURA METALICA - MOD:2 | PT: (21284756 |HR SOLIC 08:00 | HR LIB 08:52 |ATRASO 00:22|) - (HR ENC 16:30 | ATRASO 00:00)  &amp;gt;&amp;gt;CONDIES CLIMTICAS: TEMPO COM ANOMALIA &amp;gt;&amp;gt;INCIDNCIA DE RAIOS (13:40 - 14:40)  &amp;gt;&amp;gt;&amp;gt;IMPEDIMENTOS ACUMULADOS LIBERAO PT/PTT: 46:49= 6,48d CONDIES CLIMTICAS: 54:35 = 5,83d PETROBRAS: 1:30 = 0,19d OUTROS: 28:30 = 3,57d APJ: 0:00 = 0d  RO DIRIO E OBRA - SS-12/2025 (ESTOQUE)  &amp;gt;IAMENTO E MONTAGEM DE ESTRUTURA METALICA - MOD:3 | GUINDASTE:1 | PT: (21290202 |HR SOLIC 07:50 | HR LIB 08:00 |ATRASO 00:00|) - (HR ENC 16:30 | ATRASO 00:00)  &amp;gt;INSTALAO DE TUBULAO DA REDE PLUVIAL - MOD:5 | PT: (AL|HR SOLIC 07:50 | HR LIB 08:00 |ATRASO 00:00|) - (HR ENC 16:30 | ATRASO 00:00)  &amp;gt;&amp;gt;CONDIES CLIMTICAS: TEMPO BOM  &amp;gt;&amp;gt;&amp;gt;IMPEDIMENTOS ACUMULADOS LIBERAO PT/PTT: 0:00 = 0d CONDIES CLIMTICAS: 23:00 = 1,88d PETROBRAS: 0:00 = 0d OUTROS: 0:30 = 0,07d APJ: 0:00 = 0d RO DIRIO E OBRA - SS-18/2025 (SALA CISC)  &amp;gt;INSTALAO DE DIVISORIAS, EMASSAMENTO, PINTURA DE PAREDE - MOD:5 | PT: (21289894 |HR SOLIC 07:40 | HR LIB 07:50 |ATRASO 00:00|) - (HR ENC 16:30 | ATRASO 00:00)  &amp;gt;&amp;gt;CONDIES CLIMTICAS: TEMPO COM ANOMALIA, MAS NO IMPACTOU NA ATIVIDADE  &amp;gt;&amp;gt;&amp;gt;IMPEDIMENTOS ACUMULADOS LIBERAO PT/PTT: 0:00 = 0d CONDIES CLIMTICAS: 0:00 = 0d PETROBRAS: 0:00 = 0d OUTROS: 0:30 = 0,07d APJ: 0:00 = 0d RO DIRIO E OBRA - SS-26/2025 (GALPO(K-23)  &amp;gt;NO HOUVE ATIVIDADE NESTE DIA - MOD: | PT: ( |HR SOLIC 00:00 | HR LIB 00:00 |ATRASO |) - (HR ENC 00:00 | ATRASO )  &amp;gt;&amp;gt;CONDIES CLIMTICAS: TEMPO BOM &amp;gt;&amp;gt;ATIVIDADE PARALISADA PELA OPERAO, DEVIDO GALPO NO PODER FICAR DESCOBERTO. (07:30 - 16:30)  &amp;gt;&amp;gt;&amp;gt;IMPEDIMENTOS ACUMULADOS LIBERAO PT/PTT: 09:42= 1,4d CONDIES CLIMTICAS: 0:00 = 0d PETROBRAS: 0:00 = 0d OUTROS: 109:50 = 22,67d APJ: 0:00 = 0d RO DIRIO E OBRA - SS-28/2025 (GALPO(K-48)  &amp;gt;REMOO DE TELHAS E PERFIS METALICOS - MOD:3 | PEMT:1 | PT: (21284801|HR SOLIC 08:00 | HR LIB 08:50 |ATRASO 00:20|) - (HR ENC 16:30 | ATRASO 00:00)  &amp;gt;&amp;gt;CONDIES CLIMTICAS: TEMPO COM ANOMALIA &amp;gt;&amp;gt;INCIDNCIA DE RAIOS (13:40 - 14:40)  &amp;gt;&amp;gt;&amp;gt;IMPEDIMENTOS ACUMULADOS LIBERAO PT/PTT: 3:40 = 0,46d CONDIES CLIMTICAS: 1:00 = 0,13d PETROBRAS: 0:00 = 0d OUTROS: 32:00 = 6d APJ: 0:00 = 0d RO DIRIO E OBRA - SS-32/2025 (UPCGN-2)  &amp;gt;NO HOUVE ATIVIDADE NESTE DIA - MOD: | PT: ( |HR SOLIC 00:00 | HR LIB 00:00 |ATRASO |) - (HR ENC 00:00 | ATRASO )  &amp;gt;&amp;gt;CONDIES CLIMTICAS: TEMPO BOM &amp;gt;&amp;gt;PT DE PINTURA NO LIBERADA PELA OPERAO. (07:30 - 16:30)  &amp;gt;&amp;gt;&amp;gt;IMPEDIMENTOS ACUMULADOS LIBERAO PT/PTT: 6:51 = 0,86d CONDIES CLIMTICAS: 0:00 = 0d PETROBRAS: 0:00 = 0d OUTROS: 08:00 = 3d APJ: 0:00 = 0d____________________________________________________RO DIRIO E OBRA - SS-01/2026 (CANTEIRO INOVA)  SEM ATIVIDADES &amp;gt;&amp;gt;CONDIES CLIMTICAS: TEMPO BOM  &amp;gt;&amp;gt;&amp;gt;IMPEDIMENTOS ACUMULADOS LIBERAO PT/PTT: 0:00 = 0d CONDIES CLIMTICAS: 0:00 = 0d PETROBRAS: 0:00 = 0d OUTROS: 0:00 = 0d APJ: 0:00 = 0d _____________________________________________________RO DIRIO E OBRA - SS-27/2025 (GALPO(K-12)SEM ATIVIDADES&amp;gt;&amp;gt;CONDIES CLIMTICAS: TEMPO BOM &amp;gt;&amp;gt;&amp;gt;IMPEDIMENTOS ACUMULADOS LIBERAO PT/PTT: 1:15 = 0,6d CONDIES CLIMTICAS: 0:00 = 0d PETROBRAS: 0:00 = 0d OUTROS: 32:00 = 5d APJ: 0:00 = 0d  RO DIRIO E OBRA - SS-29/2025 (COBERTURA K-32)  SEM ATIVIDADES  &amp;gt;&amp;gt;CONDIES CLIMTICAS: TEMPO BOM  &amp;gt;&amp;gt;&amp;gt;IMPEDIMENTOS ACUMULADOS LIBERAO PT/PTT: 0:00 = 0d CONDIES CLIMTICAS: 00:00 = 0d PETROBRAS: 0:00 = 0d OUTROS: 0:00 = 0,00d APJ: 0:00 = 0d</t>
  </si>
  <si>
    <t>23/02/2026</t>
  </si>
  <si>
    <t>RO-264/2026</t>
  </si>
  <si>
    <t>RO DIRIO E OBRA - SS-04/2025 (UPGN-2)SEM EXPEDIENTE &amp;gt;&amp;gt;CONDIES CLIMTICAS: TEMPO BOM  &amp;gt;&amp;gt;&amp;gt;IMPEDIMENTOS ACUMULADOS LIBERAO PT/PTT: 32:01 = 4,7d CONDIES CLIMTICAS: 38:35 = 3,83d PETROBRAS: 8:20 = 1,05d OUTROS: 25:20 = 4,17d APJ: 0:00 = 0d RO DIRIO E OBRA - SS-06/2025 (K-14)  SEM EXPEDIENTE  &amp;gt;&amp;gt;CONDIES CLIMTICAS: TEMPO BOM  &amp;gt;&amp;gt;&amp;gt;IMPEDIMENTOS ACUMULADOS LIBERAO PT/PTT: 46:27 = 6,43d CONDIES CLIMTICAS: 53:35 = 5,7d PETROBRAS: 1:30 = 0,19d OUTROS: 28:30 = 3,57d APJ: 0:00 = 0d  RO DIRIO E OBRA - SS-08/2025 (K-02)  SEM EXPEDIENTE  &amp;gt;&amp;gt;CONDIES CLIMTICAS: TEMPO BOM  &amp;gt;&amp;gt;&amp;gt;IMPEDIMENTOS ACUMULADOS LIBERAO PT/PTT: 1:50 = 0,23d CONDIES CLIMTICAS: 0:00 = 0d PETROBRAS: 0:00 = 0d OUTROS: 120:30 = 2,07d APJ: 0:00 = 0d RO DIRIO E OBRA - SS-12/2025 (ESTOQUE)  SEM EXPEDIENTE  &amp;gt;&amp;gt;CONDIES CLIMTICAS: TEMPO BOM  &amp;gt;&amp;gt;&amp;gt;IMPEDIMENTOS ACUMULADOS LIBERAO PT/PTT: 0:00 = 0d CONDIES CLIMTICAS: 23:00 = 1,88d PETROBRAS: 0:00 = 0d OUTROS: 0:30 = 0,07d APJ: 0:00 = 0d RO DIRIO E OBRA - SS-18/2025 (SALA CISC)  SEM EXPEDIENTE  &amp;gt;&amp;gt;CONDIES CLIMTICAS: TEMPO BOM  &amp;gt;&amp;gt;&amp;gt;IMPEDIMENTOS ACUMULADOS LIBERAO PT/PTT: 0:00 = 0d CONDIES CLIMTICAS: 0:00 = 0d PETROBRAS: 0:00 = 0d OUTROS: 0:30 = 0,07d APJ: 0:00 = 0d  RO DIRIO E OBRA - SS-26/2025 (GALPO(K-23)  SEM EXPEDIENTE   &amp;gt;&amp;gt;CONDIES CLIMTICAS: TEMPO BOM  &amp;gt;&amp;gt;&amp;gt;IMPEDIMENTOS ACUMULADOS LIBERAO PT/PTT: 09:42 = 1,4d CONDIES CLIMTICAS: 0:00 = 0d PETROBRAS: 0:00 = 0d OUTROS: 101:50 = 11,67d APJ: 0:00 = 0d  RO DIRIO E OBRA - SS-28/2025 (GALPO(K-48)  SEM EXPEDIENTE  &amp;gt;&amp;gt;CONDIES CLIMTICAS: TEMPO BOM  &amp;gt;&amp;gt;&amp;gt;IMPEDIMENTOS ACUMULADOS LIBERAO PT/PTT: 3:20 = 0,42d CONDIES CLIMTICAS: 0:00 = 0d PETROBRAS: 0:00 = 0d OUTROS: 32:00 = 6d APJ: 0:00 = 0d RO DIRIO E OBRA - SS-32/2025 (UPCGN-2)  SEM EXPEDIENTE   &amp;gt;&amp;gt;CONDIES CLIMTICAS: TEMPO BOM &amp;gt;&amp;gt;&amp;gt;IMPEDIMENTOS ACUMULADOS LIBERAO PT/PTT: 6:51 = 0,86d CONDIES CLIMTICAS: 0:00 = 0d PETROBRAS: 0:00 = 0d OUTROS: 00:00 = 1d APJ: 0:00 = 0d______________________________________________RO DIRIO E OBRA - SS-01/2026 (CANTEIRO INOVA)  SEM EXPEDIENTE &amp;gt;&amp;gt;CONDIES CLIMTICAS: TEMPO BOM  &amp;gt;&amp;gt;&amp;gt;IMPEDIMENTOS ACUMULADOS LIBERAO PT/PTT: 0:00 = 0d CONDIES CLIMTICAS: 0:00 = 0d PETROBRAS: 0:00 = 0d OUTROS: 0:00 = 0d APJ: 0:00 = 0d _____________________________________________________RO DIRIO E OBRA - SS-05/2025 (SECGN)  SEM EXPEDIENTE  &amp;gt;&amp;gt;CONDIES CLIMTICAS: TEMPO BOM  &amp;gt;&amp;gt;&amp;gt;IMPEDIMENTOS ACUMULADOS LIBERAO PT/PTT: 43:51 = 5,84d CONDIES CLIMTICAS: 87:20 = 9,92d PETROBRAS: 6:30 = 0,82d OUTROS: 36:30 = 4,57d APJ: 0:00 = 0d RO DIRIO E OBRA - SS-27/2025 (GALPO(K-12)SEM EXPEDIENTE&amp;gt;&amp;gt;CONDIES CLIMTICAS: TEMPO BOM &amp;gt;&amp;gt;&amp;gt;IMPEDIMENTOS ACUMULADOS LIBERAO PT/PTT: 1:15 = 0,6d CONDIES CLIMTICAS: 0:00 = 0d PETROBRAS: 0:00 = 0d OUTROS: 32:00 = 5d APJ: 0:00 = 0d RO DIRIO E OBRA - SS-29/2025 (COBERTURA K-32)  SEM ATIVIDADES  &amp;gt;&amp;gt;CONDIES CLIMTICAS: TEMPO BOM  &amp;gt;&amp;gt;&amp;gt;IMPEDIMENTOS ACUMULADOS LIBERAO PT/PTT: 0:00 = 0d CONDIES CLIMTICAS: 00:00 = 0d PETROBRAS: 0:00 = 0d OUTROS: 0:00 = 0,00d APJ: 0:00 = 0d</t>
  </si>
  <si>
    <t>22/02/2026</t>
  </si>
  <si>
    <t>RO-263/2026</t>
  </si>
  <si>
    <t>RO DIRIO E OBRA - SS-04/2025 (UPGN-2)  &amp;gt;MONTAGEM DE ESTRUTURA METALICA - MOD:5 | GUINDASTE:1 | PT: (21283805 |HR SOLIC 08:20 | HR LIB 08:40 |ATRASO 00:00|) - (HR ENC 16:30 | ATRASO 00:00)  &amp;gt;SOLDA DOS INSERTS - MOD:4 | PEMT:1 | PT: (21219304 |HR SOLIC 08:20 | HR LIB 08:30 |ATRASO 00:00|) - (HR ENC 16:30 | ATRASO 00:00)  &amp;gt;TRATAMENTO E PINTURA NA ESTRUTURA METALICA - MOD:2 | PEMT:1 | PT: (21206909 |HR SOLIC 08:20 | HR LIB 08:40 |ATRASO 00:00|) - (HR ENC 16:30 | ATRASO 00:00)  &amp;gt;&amp;gt;CONDIES CLIMTICAS: TEMPO BOM  &amp;gt;&amp;gt;&amp;gt;IMPEDIMENTOS ACUMULADOS LIBERAO PT/PTT: 32:01 = 4,7d CONDIES CLIMTICAS: 38:35 = 3,83d PETROBRAS: 8:20 = 1,05d OUTROS: 25:20 = 4,17d APJ: 0:00 = 0d RO DIRIO E OBRA - SS-06/2025 (K-14)  SEM EXPEDIENTE  &amp;gt;&amp;gt;CONDIES CLIMTICAS: TEMPO BOM  &amp;gt;&amp;gt;&amp;gt;IMPEDIMENTOS ACUMULADOS LIBERAO PT/PTT: 46:27 = 6,43d CONDIES CLIMTICAS: 53:35 = 5,7d PETROBRAS: 1:30 = 0,19d OUTROS: 28:30 = 3,57d APJ: 0:00 = 0d  RO DIRIO E OBRA - SS-08/2025 (K-02)  SEM EXPEDIENTE  &amp;gt;&amp;gt;CONDIES CLIMTICAS: TEMPO BOM  &amp;gt;&amp;gt;&amp;gt;IMPEDIMENTOS ACUMULADOS LIBERAO PT/PTT: 1:50 = 0,23d CONDIES CLIMTICAS: 0:00 = 0d PETROBRAS: 0:00 = 0d OUTROS: 120:30 = 2,07d APJ: 0:00 = 0d RO DIRIO E OBRA - SS-12/2025 (ESTOQUE)  SEM EXPEDIENTE  &amp;gt;&amp;gt;CONDIES CLIMTICAS: TEMPO BOM  &amp;gt;&amp;gt;&amp;gt;IMPEDIMENTOS ACUMULADOS LIBERAO PT/PTT: 0:00 = 0d CONDIES CLIMTICAS: 23:00 = 1,88d PETROBRAS: 0:00 = 0d OUTROS: 0:30 = 0,07d APJ: 0:00 = 0d RO DIRIO E OBRA - SS-18/2025 (SALA CISC)  SEM EXPEDIENTE  &amp;gt;&amp;gt;CONDIES CLIMTICAS: TEMPO BOM  &amp;gt;&amp;gt;&amp;gt;IMPEDIMENTOS ACUMULADOS LIBERAO PT/PTT: 0:00 = 0d CONDIES CLIMTICAS: 0:00 = 0d PETROBRAS: 0:00 = 0d OUTROS: 0:30 = 0,07d APJ: 0:00 = 0d  RO DIRIO E OBRA - SS-26/2025 (GALPO(K-23)  SEM EXPEDIENTE   &amp;gt;&amp;gt;CONDIES CLIMTICAS: TEMPO BOM  &amp;gt;&amp;gt;&amp;gt;IMPEDIMENTOS ACUMULADOS LIBERAO PT/PTT: 09:42 = 1,4d CONDIES CLIMTICAS: 0:00 = 0d PETROBRAS: 0:00 = 0d OUTROS: 101:50 = 11,67d APJ: 0:00 = 0d  RO DIRIO E OBRA - SS-28/2025 (GALPO(K-48)  SEM EXPEDIENTE  &amp;gt;&amp;gt;CONDIES CLIMTICAS: TEMPO BOM  &amp;gt;&amp;gt;&amp;gt;IMPEDIMENTOS ACUMULADOS LIBERAO PT/PTT: 3:20 = 0,42d CONDIES CLIMTICAS: 0:00 = 0d PETROBRAS: 0:00 = 0d OUTROS: 32:00 = 6d APJ: 0:00 = 0d RO DIRIO E OBRA - SS-32/2025 (UPCGN-2)  SEM EXPEDIENTE   &amp;gt;&amp;gt;CONDIES CLIMTICAS: TEMPO BOM &amp;gt;&amp;gt;&amp;gt;IMPEDIMENTOS ACUMULADOS LIBERAO PT/PTT: 6:51 = 0,86d CONDIES CLIMTICAS: 0:00 = 0d PETROBRAS: 0:00 = 0d OUTROS: 00:00 = 1d APJ: 0:00 = 0d__________________________________________________________RO DIRIO E OBRA - SS-01/2026 (CANTEIRO INOVA)  SEM EXPEDIENTE &amp;gt;&amp;gt;CONDIES CLIMTICAS: TEMPO BOM  &amp;gt;&amp;gt;&amp;gt;IMPEDIMENTOS ACUMULADOS LIBERAO PT/PTT: 0:00 = 0d CONDIES CLIMTICAS: 0:00 = 0d PETROBRAS: 0:00 = 0d OUTROS: 0:00 = 0d APJ: 0:00 = 0d _____________________________________________________RO DIRIO E OBRA - SS-27/2025 (GALPO(K-12)SEM ATIVIDADES&amp;gt;&amp;gt;CONDIES CLIMTICAS: TEMPO BOM &amp;gt;&amp;gt;&amp;gt;IMPEDIMENTOS ACUMULADOS LIBERAO PT/PTT: 1:15 = 0,6d CONDIES CLIMTICAS: 0:00 = 0d PETROBRAS: 0:00 = 0d OUTROS: 32:00 = 5d APJ: 0:00 = 0d_______________________________________________________ RO DIRIO E OBRA - SS-29/2025 (COBERTURA K-32)  &amp;gt;MONTAGEM DE ANDAIME - MOD:6 | PT: (21287482 |HR SOLIC 07:30 | HR LIB 07:45 |ATRASO 00:00|) - (HR ENC 16:30 | ATRASO 00:00)  &amp;gt;&amp;gt;CONDIES CLIMTICAS: TEMPO BOM  &amp;gt;&amp;gt;&amp;gt;IMPEDIMENTOS ACUMULADOS LIBERAO PT/PTT: 0:00 = 0d CONDIES CLIMTICAS: 00:00 = 0d PETROBRAS: 0:00 = 0d OUTROS: 0:00 = 0,00d APJ: 0:00 = 0d_____________________________________________________________RO DIRIO E OBRA - SS-05/2025 (SECGN)  SEM EXPEDIENTE   &amp;gt;&amp;gt;CONDIES CLIMTICAS: TEMPO BOM  &amp;gt;&amp;gt;&amp;gt;IMPEDIMENTOS ACUMULADOS LIBERAO PT/PTT: 43:51 = 5,84d CONDIES CLIMTICAS: 87:20 = 9,92d PETROBRAS: 6:30 = 0,82d OUTROS: 36:30 = 4,57d APJ: 0:00 = 0d</t>
  </si>
  <si>
    <t>RO-262/2026</t>
  </si>
  <si>
    <t>RO DIRIO E OBRA - SS-04/2025 (UPGN-2)  &amp;gt;IAMENTO E MONTAGEM DE TELA DE PROTEO - MOD:4 | GUINDASTE:1 | PT: (21278382 |HR SOLIC 08:00 | HR LIB 08:50 |ATRASO 00:20|) - (HR ENC 16:30 | ATRASO 00:00)  &amp;gt;MONTAGEM DE ESTRUTURA METALICA E SOLDA DOS INSERTS - MOD:8 | PEMT:2 | PT: (21219304 |HR SOLIC 08:00 | HR LIB 08:40 |ATRASO 00:10|) - (HR ENC 16:30 | ATRASO 00:00)  &amp;gt;ADEQUAAO DO SISTEMA SPDA DO GALPO - MOD:3 | PEMT:1 | PT: (21279233 |HR SOLIC 08:00 | HR LIB 08:40 |ATRASO 00:10|) - (HR ENC 16:30 | ATRASO 00:00)  &amp;gt;TRATAMENTO E PINTURA DE ESTRUTURA METALICA - MOD:2 | PT: (21206909 |HR SOLIC 08:00 | HR LIB 08:40 |ATRASO 00:10|) - (HR ENC 16:30 | ATRASO 00:00)  &amp;gt;MONTAGEM DE ANDAIME - MOD:6 | PT: (21206863 |HR SOLIC 08:00 | HR LIB 08:10 |ATRASO 00:00|) - (HR ENC 16:30 | ATRASO 00:00)  &amp;gt;&amp;gt;CONDIES CLIMTICAS: TEMPO BOM  &amp;gt;&amp;gt;&amp;gt;IMPEDIMENTOS ACUMULADOS LIBERAO PT/PTT: 32:01 = 4,7d CONDIES CLIMTICAS: 38:35 = 3,83d PETROBRAS: 8:20 = 1,05d OUTROS: 25:20 = 4,17d APJ: 0:00 = 0d RO DIRIO E OBRA - SS-06/2025 (K-14)  &amp;gt;PINTURA DE ESTRUTURA METALICA E CONCRETO - MOD:2 | PT: (21279211 |HR SOLIC 08:00 | HR LIB 09:30 |ATRASO 01:00|) - (HR ENC 16:30 | ATRASO 00:00)  &amp;gt;&amp;gt;CONDIES CLIMTICAS: TEMPO BOM  &amp;gt;&amp;gt;&amp;gt;IMPEDIMENTOS ACUMULADOS LIBERAO PT/PTT: 46:27 = 6,43d CONDIES CLIMTICAS: 53:35 = 5,7d PETROBRAS: 1:30 = 0,19d OUTROS: 28:30 = 3,57d APJ: 0:00 = 0d  RO DIRIO E OBRA - SS-08/2025 (K-02)  &amp;gt;MONTAGEM DE ESTRUTURA METALICA - MOD:4 | PT: (21219282 |HR SOLIC 08:00 | HR LIB 08:20 |ATRASO 00:00|) - (HR ENC 16:30 | ATRASO 00:00)  &amp;gt;&amp;gt;CONDIES CLIMTICAS: TEMPO BOM  &amp;gt;&amp;gt;&amp;gt;IMPEDIMENTOS ACUMULADOS LIBERAO PT/PTT: 1:50 = 0,23d CONDIES CLIMTICAS: 0:00 = 0d PETROBRAS: 0:00 = 0d OUTROS: 120:30 = 2,07d APJ: 0:00 = 0d RO DIRIO E OBRA - SS-12/2025 (ESTOQUE)  &amp;gt;ESCAVAO DE VALA PARA REDE PLUVIAL - MOD:4 | PT: (21222476 |HR SOLIC 07:40 | HR LIB 07:45 |ATRASO 00:00|) - (HR ENC 16:30 | ATRASO 00:00)  &amp;gt;&amp;gt;CONDIES CLIMTICAS: TEMPO BOM  &amp;gt;&amp;gt;&amp;gt;IMPEDIMENTOS ACUMULADOS LIBERAO PT/PTT: 0:00 = 0d CONDIES CLIMTICAS: 23:00 = 1,88d PETROBRAS: 0:00 = 0d OUTROS: 0:30 = 0,07d APJ: 0:00 = 0d RO DIRIO E OBRA - SS-18/2025 (SALA CISC)  &amp;gt;INSTALAO DE DIVISORIAS E PINTURA DE PAREDE - MOD:7 | PT: (21280103 |HR SOLIC 07:40 | HR LIB 07:50 |ATRASO 00:00|) - (HR ENC 16:30 | ATRASO 00:00)  &amp;gt;&amp;gt;CONDIES CLIMTICAS: TEMPO BOM  &amp;gt;&amp;gt;&amp;gt;IMPEDIMENTOS ACUMULADOS LIBERAO PT/PTT: 0:00 = 0d CONDIES CLIMTICAS: 0:00 = 0d PETROBRAS: 0:00 = 0d OUTROS: 0:30 = 0,07d APJ: 0:00 = 0d  RO DIRIO E OBRA - SS-26/2025 (GALPO(K-23)  &amp;gt;NO HOUVE ATIVIDADE NESTE DIA - MOD: | PT: ( |HR SOLIC 00:00 | HR LIB 00:00 |ATRASO |) - (HR ENC 00:00 | ATRASO )  &amp;gt;&amp;gt;CONDIES CLIMTICAS: TEMPO BOM &amp;gt;&amp;gt;ATIVIDADE NO LIBERDA PELA OPERAO, DEVIDO GALPO NO PODER FICAR DESCOBERTO (07:30 - 16:30)  &amp;gt;&amp;gt;&amp;gt;IMPEDIMENTOS ACUMULADOS LIBERAO PT/PTT: 09:42 = 1,4d CONDIES CLIMTICAS: 0:00 = 0d PETROBRAS: 0:00 = 0d OUTROS: 101:50 = 11,67d APJ: 0:00 = 0d  RO DIRIO E OBRA - SS-28/2025 (GALPO(K-48)  &amp;gt;REMOO DE TELHAS DO GALPO - MOD:4 | PEMT:1 | PT: (21263893 |HR SOLIC 08:00 | HR LIB 09:15 |ATRASO 00:45|) - (HR ENC 16:30 | ATRASO 00:00)  &amp;gt;&amp;gt;CONDIES CLIMTICAS: TEMPO BOM  &amp;gt;&amp;gt;&amp;gt;IMPEDIMENTOS ACUMULADOS LIBERAO PT/PTT: 3:20 = 0,42d CONDIES CLIMTICAS: 0:00 = 0d PETROBRAS: 0:00 = 0d OUTROS: 32:00 = 6d APJ: 0:00 = 0d RO DIRIO E OBRA - SS-32/2025 (UPCGN-2)  SEM ATIVIDADES  &amp;gt;&amp;gt;CONDIES CLIMTICAS: TEMPO BOM  &amp;gt;&amp;gt;&amp;gt;IMPEDIMENTOS ACUMULADOS LIBERAO PT/PTT: 6:51 = 0,86d CONDIES CLIMTICAS: 0:00 = 0d PETROBRAS: 0:00 = 0d OUTROS: 0:00 = 1d APJ: 0:00 = 0d_____________________________________________RO DIRIO E OBRA - SS-27/2025 (GALPO(K-12)SEM ATIVIDADES&amp;gt;&amp;gt;CONDIES CLIMTICAS: TEMPO BOM &amp;gt;&amp;gt;&amp;gt;IMPEDIMENTOS ACUMULADOS LIBERAO PT/PTT: 1:15 = 0,6d CONDIES CLIMTICAS: 0:00 = 0d PETROBRAS: 0:00 = 0d OUTROS: 32:00 = 5d APJ: 0:00 = 0d</t>
  </si>
  <si>
    <t>20/02/2026</t>
  </si>
  <si>
    <t>RO-261/2026</t>
  </si>
  <si>
    <t>RO DIRIO E OBRA - SS-04/2025 (UPGN-2)  &amp;gt;MONTAGEM DE ESTRUTURA METALICA E SOLDA DOS INSERTS - MOD:8 | PEMT:2 | GUINDASTE:1 | MUNCK:1 | PT: (21219304 |HR SOLIC 08:00 | HR LIB 09:00 |ATRASO 00:30|) - (HR ENC 16:30 | ATRASO 00:00)  &amp;gt;IAMENTO E INSTALAO DE TELA DE PROTEO - MOD:4 | GUINDASTE:1 | PT: (21269719 |HR SOLIC 08:00 | HR LIB 09:00 |ATRASO 00:30|) - (HR ENC 16:30 | ATRASO 00:00)  &amp;gt;ADEQUAO DO SISTEMA SPDA DO GALPO - MOD:3 | PT: (21269742 |HR SOLIC 08:00 | HR LIB 09:00 |ATRASO 00:30|) - (HR ENC 16:30 | ATRASO 00:00)&amp;gt;PINTURA DE ESTRUTURA METALICA - MOD:2 |PT: (21206909 |HR SOLIC 08:00 | HR LIB 09:30 |ATRASO 01:00|) - (HR ENC 16:30 | ATRASO 00:00)  &amp;gt;&amp;gt;CONDIES CLIMTICAS: TEMPO BOM  &amp;gt;&amp;gt;&amp;gt;IMPEDIMENTOS ACUMULADOS LIBERAO PT/PTT: 31:11 = 4,59d CONDIES CLIMTICAS: 38:35 = 3,83d PETROBRAS: 8:20 = 1,05d OUTROS: 25:20 = 4,17d APJ: 0:00 = 0d RO DIRIO E OBRA - SS-06/2025 (K-14)  &amp;gt;PINTURA NA ESTRUTURA DE CONCRETO DO GALPO - MOD:2 | PT: (21270044 |HR SOLIC 08:00 | HR LIB 09:30 |ATRASO 01:00|) - (HR ENC 16:30 | ATRASO 00:00)&amp;gt;MONTAGEM DE ESTRUTURA METALICA - MOD:8 | PEMT:1PT: (21270007 |HR SOLIC 08:00 | HR LIB 09:00 |ATRASO 00:30|) - (HR ENC 16:30 | ATRASO 00:00)  &amp;gt;&amp;gt;CONDIES CLIMTICAS: TEMPO BOM  &amp;gt;&amp;gt;&amp;gt;IMPEDIMENTOS ACUMULADOS LIBERAO PT/PTT: 45:27 = 6,31d CONDIES CLIMTICAS: 53:35 = 5,7d PETROBRAS: 1:30 = 0,19d OUTROS: 28:30 = 3,57d APJ: 0:00 = 0d  RO DIRIO E OBRA - SS-08/2025 (K-02)  &amp;gt; MONTAGEM DE ESTRUTURA METALICA - MOD:4 | PT: (21219282 |HR SOLIC 08:00 | HR LIB 08:20 |ATRASO 00:00|) - (HR ENC 16:30 | ATRASO 00:00)  &amp;gt;&amp;gt;CONDIES CLIMTICAS: TEMPO BOM  &amp;gt;&amp;gt;&amp;gt;IMPEDIMENTOS ACUMULADOS LIBERAO PT/PTT: 1:50 = 0,23d CONDIES CLIMTICAS: 0:00 = 0d PETROBRAS: 0:00 = 0d OUTROS: 120:30 = 2,07d APJ: 0:00 = 0d RO DIRIO E OBRA - SS-12/2025 (ESTOQUE)  &amp;gt;CONFECO DE CAIXA DE ALVENARIA PARA REDE PLUVIAL - MOD:4 | PT: (21256024 |HR SOLIC 07:50 | HR LIB 08:00 |ATRASO 00:00|) - (HR ENC 16:30 | ATRASO 00:00)  &amp;gt;&amp;gt;CONDIES CLIMTICAS: TEMPO BOM  &amp;gt;&amp;gt;&amp;gt;IMPEDIMENTOS ACUMULADOS LIBERAO PT/PTT: 0:00 = 0d CONDIES CLIMTICAS: 23:00 = 1,88d PETROBRAS: 0:00 = 0d OUTROS: 0:30 = 0,07d APJ: 0:00 = 0d RO DIRIO E OBRA - SS-18/2025 (SALA CISC)  &amp;gt;INSTALAO DE DIVISORIA E PINTURA DE PAREDE - MOD:3 | PT: (21275704 |HR SOLIC 07:40 | HR LIB 07:50 |ATRASO 00:00|) - (HR ENC 16:30 | ATRASO 00:00)  &amp;gt;INSTALAO DE TOMADAS E IDENTIFICAO DE CIRCUITOS - MOD:2 | PT: (21276295 |HR SOLIC 08:25 | HR LIB 08:26 |ATRASO 00:00|) - (HR ENC 16:30 | ATRASO 00:00)  &amp;gt;&amp;gt;CONDIES CLIMTICAS: TEMPO BOM  &amp;gt;&amp;gt;&amp;gt;IMPEDIMENTOS ACUMULADOS LIBERAO PT/PTT: 0:00 = 0d CONDIES CLIMTICAS: 0:00 = 0d PETROBRAS: 0:00 = 0d OUTROS: 0:30 = 0,07d APJ: 0:00 = 0d  RO DIRIO E OBRA - SS-26/2025 (GALPO(K-23)  &amp;gt;NO HOUVE ATIVIDADE NESTE DIA - MOD: | PT: ( |HR SOLIC 00:00 | HR LIB 00:00 |ATRASO |) - (HR ENC 00:00 | ATRASO )  &amp;gt;&amp;gt;CONDIES CLIMTICAS: TEMPO BOM &amp;gt;&amp;gt;ATIVIDADE NO LIBERDA PELA OPERAO, DEVIDO GALPO NO PODER FICAR DESCOBERTO (07:30 - 16:30)  &amp;gt;&amp;gt;&amp;gt;IMPEDIMENTOS ACUMULADOS LIBERAO PT/PTT: 09:42 = 1,4d CONDIES CLIMTICAS: 0:00 = 0d PETROBRAS: 0:00 = 0d OUTROS: 93:50 = 11,67d APJ: 0:00 = 0d  RO DIRIO E OBRA - SS-28/2025 (GALPO(K-48)  &amp;gt;MONTAGEM DE ANDAIME - MOD:6 | PT: (ATRE |HR SOLIC 08:00 | HR LIB 08:10 |ATRASO 00:00|) - (HR ENC 16:30 | ATRASO 00:00)  &amp;gt;&amp;gt;CONDIES CLIMTICAS: TEMPO BOM  &amp;gt;&amp;gt;&amp;gt;IMPEDIMENTOS ACUMULADOS LIBERAO PT/PTT: 2:35 = 0,33d CONDIES CLIMTICAS: 0:00 = 0d PETROBRAS: 0:00 = 0d OUTROS: 32:00 = 6d APJ: 0:00 = 0d RO DIRIO E OBRA - SS-32/2025 (UPCGN-2)  &amp;gt;REMOO E INSTALAO DE CALHAS E RUFOS - MOD:6 | PEMT:2 | PT: (21269881 |HR SOLIC 08:00 | HR LIB 08:50 |ATRASO 00:20|) - (HR ENC 16:30 | ATRASO 00:00)  &amp;gt;&amp;gt;CONDIES CLIMTICAS: TEMPO BOM &amp;gt;&amp;gt;&amp;gt;IMPEDIMENTOS ACUMULADOS LIBERAO PT/PTT: 6:51 = 0,86d CONDIES CLIMTICAS: 0:00 = 0d PETROBRAS: 0:00 = 0d OUTROS: 0:00 = 1d APJ: 0:00 = 0d__________________________________________________________RO DIRIO E OBRA - SS-01/2026 (CANTEIRO INOVA)  SEM EXPEDIENTE &amp;gt;&amp;gt;CONDIES CLIMTICAS: TEMPO BOM  &amp;gt;&amp;gt;&amp;gt;IMPEDIMENTOS ACUMULADOS LIBERAO PT/PTT: 0:00 = 0d CONDIES CLIMTICAS: 0:00 = 0d PETROBRAS: 0:00 = 0d OUTROS: 0:00 = 0d APJ: 0:00 = 0d _____________________________________________________RO DIRIO E OBRA - SS-27/2025 (GALPO(K-12)SEM ATIVIDADES&amp;gt;&amp;gt;CONDIES CLIMTICAS: TEMPO BOM &amp;gt;&amp;gt;&amp;gt;IMPEDIMENTOS ACUMULADOS LIBERAO PT/PTT: 1:15 = 0,6d CONDIES CLIMTICAS: 0:00 = 0d PETROBRAS: 0:00 = 0d OUTROS: 32:00 = 5d APJ: 0:00 = 0d</t>
  </si>
  <si>
    <t>19/02/2026</t>
  </si>
  <si>
    <t>RO-260/2026</t>
  </si>
  <si>
    <t>Os somatrios desde incio at o prazo final da SS dos acmulos de hora parada e meteorolgicas no final da SS a Petrobras ir analisar se e cabvel o abono revertido em acrscimo de dias no prazo de entrega da demanda.Feriado de carnaval administrativa no atuou nas atividades administrativas de mobilizao geral. Sem atividades.Sem efetivo de mo de obra direta para prosseguir com a execuo.RO aceito pela fiscalizao.</t>
  </si>
  <si>
    <t>RO DIRIO E OBRA - SS-04/2025 (UPGN-2)  SEM EXPEDIENTE  &amp;gt;&amp;gt;CONDIES CLIMTICAS: TEMPO BOM  &amp;gt;&amp;gt;&amp;gt;IMPEDIMENTOS ACUMULADOS LIBERAO PT/PTT: 29:41 = 4,41d CONDIES CLIMTICAS: 38:35 = 3,83d PETROBRAS: 8:20 = 1,05d OUTROS: 25:20 = 4,17d APJ: 0:00 = 0d RO DIRIO E OBRA - SS-06/2025 (K-14)  SEM EXPEDIENTE  &amp;gt;&amp;gt;CONDIES CLIMTICAS: TEMPO BOM  &amp;gt;&amp;gt;&amp;gt;IMPEDIMENTOS ACUMULADOS LIBERAO PT/PTT: 44:27 = 6,18d CONDIES CLIMTICAS: 53:35 = 5,7d PETROBRAS: 1:30 = 0,19d OUTROS: 28:30 = 3,57d APJ: 0:00 = 0d RO DIRIO E OBRA - SS-05/2025 (SECGN)  SEM EXPEDIENTE &amp;gt;&amp;gt;CONDIES CLIMTICAS: TEMPO BOM  &amp;gt;&amp;gt;&amp;gt;IMPEDIMENTOS ACUMULADOS LIBERAO PT/PTT: 43:51 = 5,84d CONDIES CLIMTICAS: 87:20 = 9,92d PETROBRAS: 6:30 = 0,82d OUTROS: 36:30 = 4,57d APJ: 0:00 = 0d RO DIRIO E OBRA - SS-08/2025 (K-02)  SEM EXPEDIENTE  &amp;gt;&amp;gt;CONDIES CLIMTICAS: TEMPO BOM  &amp;gt;&amp;gt;&amp;gt;IMPEDIMENTOS ACUMULADOS LIBERAO PT/PTT: 1:50 = 0,23d CONDIES CLIMTICAS: 0:00 = 0d PETROBRAS: 0:00 = 0d OUTROS: 120:30= 2,07d APJ: 0:00 = 0d  RO DIRIO E OBRA - SS-12/2025 (ESTOQUE)  SEM EXPEDIENTE &amp;gt;&amp;gt;CONDIES CLIMTICAS: TEMPO BOM  &amp;gt;&amp;gt;&amp;gt;IMPEDIMENTOS ACUMULADOS LIBERAO PT/PTT: 0:00 = 0d CONDIES CLIMTICAS: 23:00 = 1,88d PETROBRAS: 0:00 = 0d OUTROS: 0:30 = 0,07d APJ: 0:00 = 0d RO DIRIO E OBRA - SS-18/2025 (SALA CISC)  SEM EXPEDIENTE  &amp;gt;&amp;gt;CONDIES CLIMTICAS: TEMPO BOM  &amp;gt;&amp;gt;&amp;gt;IMPEDIMENTOS ACUMULADOS LIBERAO PT/PTT: 0:00 = 0d CONDIES CLIMTICAS: 0:00 = 0d PETROBRAS: 0:00 = 0d OUTROS: 0:30 = 0,07d APJ: 0:00 = 0d RO DIRIO E OBRA - SS-26/2025 (GALPO(K-23))  SEM EXPEDIENTE  &amp;gt;&amp;gt;CONDIES CLIMTICAS: TEMPO BOM  &amp;gt;&amp;gt;&amp;gt;IMPEDIMENTOS ACUMULADOS LIBERAO PT/PTT: 09:42 = 1,4d CONDIES CLIMTICAS: 0:00 = 0d PETROBRAS: 0:00 = 0d OUTROS: 85:50 = 11,67d APJ: 0:00 = 0d RO DIRIO E OBRA - SS-27/2025 (GALPO(K-12)SEM EXPEDIENTE&amp;gt;&amp;gt;CONDIES CLIMTICAS: TEMPO BOM&amp;gt;&amp;gt;&amp;gt;IMPEDIMENTOS ACUMULADOS LIBERAO PT/PTT: 1:15 = 0,6d CONDIES CLIMTICAS: 0:00 = 0d PETROBRAS: 0:00 = 0d OUTROS: 32:00 = 5d APJ: 0:00 = 0d RO DIRIO E OBRA - SS-28/2025 (GALPO(K-48))  SEM EXPEDIENTE  &amp;gt;&amp;gt;CONDIES CLIMTICAS: TEMPO BOM  &amp;gt;&amp;gt;&amp;gt;IMPEDIMENTOS ACUMULADOS LIBERAO PT/PTT: 2:35 = 0,33d CONDIES CLIMTICAS: 0:00 = 0d PETROBRAS: 0:00 = 0d OUTROS: 32:00 = 6d APJ: 0:00 = 0d  RO DIRIO E OBRA - SS-32/2025 (UPCGN-2)  SEM EXPEDIENTE &amp;gt;&amp;gt;CONDIES CLIMTICAS: TEMPO BOM  &amp;gt;&amp;gt;&amp;gt;IMPEDIMENTOS ACUMULADOS LIBERAO PT/PTT: 6:31 = 0,82d CONDIES CLIMTICAS: 0:00 = 0d PETROBRAS: 0:00 = 0d OUTROS: 0:00 = 0d APJ: 0:00 = 0d RO DIRIO E OBRA - SS-01/2026 (CANTEIRO INOVA)  SEM EXPEDIENTE  &amp;gt;&amp;gt;CONDIES CLIMTICAS: TEMPO BOM  &amp;gt;&amp;gt;&amp;gt;IMPEDIMENTOS ACUMULADOS LIBERAO PT/PTT: 0:00 = 0d CONDIES CLIMTICAS: 0:00 = 0d PETROBRAS: 0:00 = 0d OUTROS: 0:00 = 0d APJ: 0:00 = 0d</t>
  </si>
  <si>
    <t>18/02/2026</t>
  </si>
  <si>
    <t>RO-259/2026</t>
  </si>
  <si>
    <t>17/02/2026</t>
  </si>
  <si>
    <t>RO-258/2026</t>
  </si>
  <si>
    <t>16/02/2026</t>
  </si>
  <si>
    <t>RO-257/2026</t>
  </si>
  <si>
    <t>Os somatrios desde incio at o prazo final da SS dos acmulos de hora parada e meteorolgicas no final da SS a Petrobras ir analisar se e cabvel o abono revertido em acrscimo de dias no prazo de entrega da demanda.Domingo equipe administrativa no atuou nas atividades administrativas de mobilizao geral. Sem atividades.Sem efetivo de mo de obra direta para prosseguir com a execuo.RO aceito pela fiscalizao.</t>
  </si>
  <si>
    <t>15/02/2026</t>
  </si>
  <si>
    <t>RO-256/2026</t>
  </si>
  <si>
    <t>Os somatrios desde incio at o prazo final da SS dos acmulos de hora parada e meteorolgicas no final da SS a Petrobras ir analisar se e cabvel o abono revertido em acrscimo de dias no prazo de entrega da demanda.Sbado equipe administrativa no atuou nas atividades administrativas de mobilizao geral. Sem atividades.Sem efetivo de mo de obra direta para prosseguir com a execuo.RO aceito pela fiscalizao.</t>
  </si>
  <si>
    <t>RO-255/2026</t>
  </si>
  <si>
    <t>Os somatrios desde incio at o prazo final da SS dos acmulos de hora parada e meteorolgicas no final da SS a Petrobras ir analisar se e cabvel o abono revertido em acrscimo de dias no prazo de entrega da demanda.1. SECGN:Equipe atuando em retoques de pintura de estrutura de concreto e estruturas metlicas.2. K-14:Equipe atuando em retoques de pintura de estrutura de concreto.3. UPGN-2:A equipe de caldeiraria atuou na solda dos inserts, montagem das estruturas metlicas no cho.A equipe da Engeval atuou na montagem dos acessos na lateral das interferncias.A equipe atuou na pintura das soldas e tratamento da estrutura metlica dos mdulos montados no cho, lixamento e tratamento com tinta de fundo nas passarelas e na escada marinheiro (fachada da rua).A equipe de eltrica atuando na remoo das luminrias de emergncia do mesmo.Foi programada a PT de iamento, mas no houveram atividades executadas.4. SALA CISC:A equipe de civil atuou na instalao dos rodaps do piso e na pintura das paredes da sala.5. ESTOQUE MI:A equipe de civil atuou no assentamento dos blocos das caixas de passagem da drenagem pluvial e confeco de tampas de concreto.6. K-02:Equipe atuando na montagem dos perfis no cho.7. K-12:Sem atividades executadas, aguardando a chegada do material para iniciar a montagem da estrutura do galpo.8. K-23:A atividade de caldeiraria foi paralisada pela Petrobras, pois os equipamentos no podem ficar expostos ao tempo, com a remoo da cobertura, os compressores iriam ser deteriorados ou sofrer danos em seus componentes.Aguardando a chegada do material para continuar a atividade de desmontagem da estrutura metlica.9. K-48:Atividade de caldeiraria pausada.Equipe da Engeval atuando na montagem de andaimes de acesso do galpo na fachada lateral.10. UPCGN-2:Equipe de iratas atuando na substituio das calhas do galpo.11. CANTEIRO INOVA:Sem atividades.RO aceito pela fiscalizao.</t>
  </si>
  <si>
    <t>RO DIRIO E OBRA - SS-04/2025 (UPGN-2)  &amp;gt;MONTAGEM DE ESTRUTURA METALICA E SOLDA DOS INSERTS - MOD:10 | PEMT:2 | MUNCK:1 | PT: (21219304 |HR SOLIC 08:00 | HR LIB 09:25 |ATRASO 00:55|) - (HR ENC 16:30 | ATRASO 00:00)  &amp;gt;PINTURA DE ESTRUTURA METALICA - MOD:3 | PT: (21206909 |HR SOLIC 08:00 | HR LIB 08:30 |ATRASO 00:00|) - (HR ENC 16:30 | ATRASO 00:00)  &amp;gt;DESMONTAGEM DE INFRA ELETRICA(LUMINARIAS) - MOD:3 | PEMT:1 | PT: (21263846 |HR SOLIC 08:00 | HR LIB 09:00 |ATRASO 00:30|) - (HR ENC 16:30 | ATRASO 00:00)&amp;gt;MONTAGEM DE ANDAIME - MOD:6 |PT: (21206863 |HR SOLIC 08:00 | HR LIB 08:30 |ATRASO 00:00|) - (HR ENC 16:30 | ATRASO 00:00)  &amp;gt;&amp;gt;CONDIES CLIMTICAS: TEMPO BOM  &amp;gt;&amp;gt;&amp;gt;IMPEDIMENTOS ACUMULADOS LIBERAO PT/PTT: 29:41 = 4,41d CONDIES CLIMTICAS: 38:35 = 3,83d PETROBRAS: 8:20 = 1,05d OUTROS: 25:20 = 4,17d APJ: 0:00 = 0d________________________________________________________________RO DIRIO E OBRA - SS-05/2025 (SECGN)  &amp;gt;REALIZANDO PINTURA EM PONTOS DO GALPO - MOD:2 | PT: (21264781 |HR SOLIC 08:00 | HR LIB 08:20 |ATRASO 00:00|) - (HR ENC 16:30 | ATRASO 00:00)  &amp;gt;&amp;gt;CONDIES CLIMTICAS: TEMPO BOM  &amp;gt;&amp;gt;&amp;gt;IMPEDIMENTOS ACUMULADOS LIBERAO PT/PTT: 43:51 = 5,84d CONDIES CLIMTICAS: 87:20 = 9,92d PETROBRAS: 6:30 = 0,82d OUTROS: 36:30 = 4,57d APJ: 0:00 = 0d RO DIRIO E OBRA - SS-06/2025 (K-14)  &amp;gt;PINTURA DE PONTOS DA ESTRUTURA DE CONCRETO - MOD:2 | PT: (21263224 |HR SOLIC 08:00 | HR LIB 09:30 |ATRASO 01:00|) - (HR ENC 16:30 | ATRASO 00:00)  &amp;gt;&amp;gt;CONDIES CLIMTICAS: TEMPO BOM  &amp;gt;&amp;gt;&amp;gt;IMPEDIMENTOS ACUMULADOS LIBERAO PT/PTT: 44:27 = 6,18d CONDIES CLIMTICAS: 53:35 = 5,7d PETROBRAS: 1:30 = 0,19d OUTROS: 28:30 = 3,57d APJ: 0:00 = 0d  RO DIRIO E OBRA - SS-08/2025 (K-02)  &amp;gt;MONTAGEM DE ESTRUTRA METALICA - MOD:4 | MUNCK:1 | PT: (21219282 |HR SOLIC 08:00 | HR LIB 08:30 |ATRASO 00:00|) - (HR ENC 16:30 | ATRASO 00:00)  &amp;gt;&amp;gt;CONDIES CLIMTICAS: TEMPO BOM  &amp;gt;&amp;gt;&amp;gt;IMPEDIMENTOS ACUMULADOS LIBERAO PT/PTT: 1:50 = 0,23d CONDIES CLIMTICAS: 0:00 = 0d PETROBRAS: 0:00 = 0d OUTROS: 120:30= 2,07d APJ: 0:00 = 0d RO DIRIO E OBRA - SS-12/2025 (ESTOQUE)  &amp;gt;CONFECO DE CAIXA PLUVIAL E CONCRETAGEM - MOD:4 | PT: (21256024 |HR SOLIC 08:00 | HR LIB 08:10 |ATRASO 00:00|) - (HR ENC 16:30 | ATRASO 00:00)  &amp;gt;&amp;gt;CONDIES CLIMTICAS: TEMPO BOM  &amp;gt;&amp;gt;&amp;gt;IMPEDIMENTOS ACUMULADOS LIBERAO PT/PTT: 0:00 = 0d CONDIES CLIMTICAS: 23:00 = 1,88d PETROBRAS: 0:00 = 0d OUTROS: 0:30 = 0,07d APJ: 0:00 = 0d RO DIRIO E OBRA - SS-18/2025 (SALA CISC)  &amp;gt;PINTURA DE PAREDE E INSTALAO DE RODAPE - MOD:3 | PT: (21265062 |HR SOLIC 08:22 | HR LIB 08:27 |ATRASO 00:00|) - (HR ENC 16:30 | ATRASO 00:00)  &amp;gt;&amp;gt;CONDIES CLIMTICAS: TEMPO BOM  &amp;gt;&amp;gt;&amp;gt;IMPEDIMENTOS ACUMULADOS LIBERAO PT/PTT: 0:00 = 0d CONDIES CLIMTICAS: 0:00 = 0d PETROBRAS: 0:00 = 0d OUTROS: 0:30 = 0,07d APJ: 0:00 = 0d  RO DIRIO E OBRA - SS-26/2025 (GALPO(K-23))  &amp;gt;NO HOUVE ATIVIDADE NESTE DIA - MOD: | PT: ( |HR SOLIC 00:00 | HR LIB 00:00 |ATRASO |) - (HR ENC 00:00 | ATRASO )  &amp;gt;&amp;gt;CONDIES CLIMTICAS: TEMPO BOM &amp;gt;&amp;gt;ATIVIDADE NO LIBERDA PELA OPERAO, DEVIDO GALPO NO PODER FICAR DESCOBERTO (07:30 - 16:30)  &amp;gt;&amp;gt;&amp;gt;IMPEDIMENTOS ACUMULADOS LIBERAO PT/PTT: 09:42 = 1,4d CONDIES CLIMTICAS: 0:00 = 0d PETROBRAS: 0:00 = 0d OUTROS: 85:50 = 11,67d APJ: 0:00 = 0d  RO DIRIO E OBRA - SS-28/2025 (GALPO(K-48))  &amp;gt;MONTAGEM DE ANDAIME - MOD:6 | PT: (ATRE |HR SOLIC 08:00 | HR LIB 08:00 |ATRASO 00:00|) - (HR ENC 16:30 | ATRASO 00:00)  &amp;gt;&amp;gt;CONDIES CLIMTICAS: TEMPO BOM  &amp;gt;&amp;gt;&amp;gt;IMPEDIMENTOS ACUMULADOS LIBERAO PT/PTT: 2:35 = 0,33d CONDIES CLIMTICAS: 0:00 = 0d PETROBRAS: 0:00 = 0d OUTROS: 32:00 = 6d APJ: 0:00 = 0d RO DIRIO E OBRA - SS-32/2025 (UPCGN-2)  &amp;gt;RETIRADA DE RUFOS E CALHAS - MOD:6 | PEMT:2 | PT: (21263208 |HR SOLIC 08:00 | HR LIB 09:25 |ATRASO 00:55|) - (HR ENC 16:30 | ATRASO 00:00)  &amp;gt;&amp;gt;CONDIES CLIMTICAS: TEMPO BOM  &amp;gt;&amp;gt;&amp;gt;IMPEDIMENTOS ACUMULADOS LIBERAO PT/PTT: 6:31 = 0,82d CONDIES CLIMTICAS: 0:00 = 0d PETROBRAS: 0:00 = 0d OUTROS: 0:00 = 0d APJ: 0:00 = 0d___________________________________________________________________RO DIRIO E OBRA - SS-01/2026 (CANTEIRO INOVA)  SEM ATIVIDADES  &amp;gt;&amp;gt;CONDIES CLIMTICAS: TEMPO BOM  &amp;gt;&amp;gt;&amp;gt;IMPEDIMENTOS ACUMULADOS LIBERAO PT/PTT: 0:00 = 0d CONDIES CLIMTICAS: 0:00 = 0d PETROBRAS: 0:00 = 0d OUTROS: 0:00 = 0d APJ: 0:00 = 0d____________________________________________________________________RO DIRIO E OBRA - SS-27/2025 (GALPO(K-12)SEM ATIVIDADES&amp;gt;&amp;gt;CONDIES CLIMTICAS: TEMPO BOM &amp;gt;&amp;gt;&amp;gt;IMPEDIMENTOS ACUMULADOS LIBERAO PT/PTT: 1:15 = 0,6d CONDIES CLIMTICAS: 0:00 = 0d PETROBRAS: 0:00 = 0d OUTROS: 32:00 = 5d APJ: 0:00 = 0d</t>
  </si>
  <si>
    <t>13/02/2026</t>
  </si>
  <si>
    <t>RO-254/2026</t>
  </si>
  <si>
    <t>Os somatrios desde incio at o prazo final da SS dos acmulos de hora parada e meteorolgicas no final da SS a Petrobras ir analisar se e cabvel o abono revertido em acrscimo de dias no prazo de entrega da demanda.1. SECGN:Foram programadas as PT's de caldeiraria e pintura no SECGN, as equipes atuavam nos retoques de pintura dos perfis e substituio de rufos laterais do galpo.2. K-14:Equipe da Engeval atuando na desmontagem de andaimes do galpo.3. UPGN-2:A equipe de caldeiraria atuou na solda dos inserts, montagem das estruturas metlicas no cho.A equipe da Engeval atuou na montagem dos acessos na lateral das interferncias.A equipe atuou na pintura das soldas e tratamento da estrutura metlica dos mdulos montados no cho, lixamento e tratamento com tinta de fundo nas passarelas e na escada marinheiro (fachada da rua).A equipe de eltrica atuando na remoo das luminrias de emergncia do mesmo.Iamento e instalao de telas com apoio de guindaste e iratas.4. SALA CISC:A equipe de civil atuou na instalao dos rodaps do piso e na pintura das paredes da sala.Equipe de eltrica atuou na substituio de tomadas da sala.5. ESTOQUE MI:A equipe de civil atuou no assentamento dos blocos das caixas de passagem da drenagem pluvial e confeco de tampas de concreto.6. K-02:Sem atividades executadas.Falta de efetivo.7. K-12:Sem atividades executadas, aguardando a chegada do material para iniciar a montagem da estrutura do galpo.8. K-23:A atividade de caldeiraria foi paralisada pela Petrobras, pois os equipamentos no podem ficar expostos ao tempo, com a remoo da cobertura, os compressores iriam ser deteriorados ou sofrer danos em seus componentes.Aguardando a chegada do material para continuar a atividade de desmontagem da estrutura metlica.9. K-48:Atividade de caldeiraria, equipe atuando na desmontagem dos perfis e remoo de telhas do galpo.10. UPCGN-2:Equipe de iratas atuando na substituio das calhas do galpo.11. CANTEIRO INOVA:Equipe do georadar fazendo anlise no solo.RO aceito pela fiscalizao.</t>
  </si>
  <si>
    <t>RO DIRIO E OBRA - SS-04/2025 (UPGN-2)  &amp;gt;TRATAMENTO E PINTURA DE ESTRUTURA METALICA - MOD:2 | PT: (21206909 |HR SOLIC 08:00 | HR LIB 08:30 |ATRASO 00:00|) - (HR ENC 16:30 | ATRASO 00:00)  &amp;gt;MONTAGEM DE ESTRUTURA METALICA E SOLDA DOS INSERTS - MOD:10 | PEMT:2 | MUNCK:1 | PT: (21219304 |HR SOLIC 08:00 | HR LIB 08:30 |ATRASO 00:00|) - (HR ENC 16:30 | ATRASO 00:00)  &amp;gt;DESMONTAGEM DE INFRA ELETRICA( LUMINARIAS) - MOD:3 | PEMT:1 | PT: (21258131 |HR SOLIC 08:00 | HR LIB 08:30 |ATRASO 00:00|) - (HR ENC 16:30 | ATRASO 00:00)&amp;gt;MONTAGEM DE ANDAIME - MOD:6 |PT: (21226863 |HR SOLIC 08:00 | HR LIB 08:20 |ATRASO 00:00|) - (HR ENC 16:30 | ATRASO 00:00)  &amp;gt;&amp;gt;CONDIES CLIMTICAS: TEMPO BOM  &amp;gt;&amp;gt;&amp;gt;IMPEDIMENTOS ACUMULADOS LIBERAO PT/PTT: 28:16 = 4,23d CONDIES CLIMTICAS: 38:35 = 3,83d PETROBRAS: 8:20 = 1,05d OUTROS: 25:20 = 4,17d APJ: 0:00 = 0d RO DIRIO E OBRA - SS-06/2025 (K-14)  &amp;gt;DESMONTAGEM DE ANDAIME - MOD:6 | PT: (21258102 |HR SOLIC 08:00 | HR LIB 08:50 |ATRASO 00:20|) - (HR ENC 16:30 | ATRASO 00:00)  &amp;gt;&amp;gt;CONDIES CLIMTICAS: TEMPO BOM  &amp;gt;&amp;gt;&amp;gt;IMPEDIMENTOS ACUMULADOS LIBERAO PT/PTT: 43:27 = 6,06d CONDIES CLIMTICAS: 53:35 = 5,7d PETROBRAS: 1:30 = 0,19d OUTROS: 28:30 = 3,57d APJ: 0:00 = 0d___________________________________________________RO DIRIO E OBRA - SS-08/2025 (K-02)&amp;gt;NO HOUVE ATIVIDADE NESTE DIA - MOD: | PT: ( |HR SOLIC 00:00 | HR LIB 00:00 |ATRASO |) - (HR ENC 00:00 | ATRASO )&amp;gt;&amp;gt;CONDIES CLIMTICAS: TEMPO BOM&amp;gt;&amp;gt;IMPEDIMENTOS ACUMULADOSLIBERAO PT/PTT: 1:50 = 0,23d CONDIES CLIMTICAS: 0:00 = 0d PETROBRAS: 0:00 = 0d OUTROS: 16:30 = 2,07d APJ: 0:00 = 0d  RO DIRIO E OBRA - SS-12/2025 (ESTOQUE)  &amp;gt;CONFECO DE CAIXA PLUVIAL E CONCRETAGEM - MOD:4 | PT: (21222476 |HR SOLIC 07:30 | HR LIB 07:45 |ATRASO 00:00|) - (HR ENC 16:30 | ATRASO 00:00)  &amp;gt;&amp;gt;CONDIES CLIMTICAS: TEMPO BOM  &amp;gt;&amp;gt;&amp;gt;IMPEDIMENTOS ACUMULADOS LIBERAO PT/PTT: 0:00 = 0d CONDIES CLIMTICAS: 23:00 = 1,88d PETROBRAS: 0:00 = 0d OUTROS: 0:30 = 0,07d APJ: 0:00 = 0d RO DIRIO E OBRA - SS-18/2025 (SALA CISC)  &amp;gt;PINTURA DE PAREDES E INSTALAO DE RODAPE - MOD:4 | PT: (21259823 |HR SOLIC 07:30 | HR LIB 07:45 |ATRASO 00:00|) - (HR ENC 16:30 | ATRASO 00:00)  &amp;gt;ADEQUAO DE INFRA ELETRICA( TROCA DE TOMADAS) - MOD:2 | PT: (21261445 |HR SOLIC 08:00 | HR LIB 08:05 |ATRASO 00:00|) - (HR ENC 16:30 | ATRASO 00:00)  &amp;gt;&amp;gt;CONDIES CLIMTICAS: TEMPO BOM  &amp;gt;&amp;gt;&amp;gt;IMPEDIMENTOS ACUMULADOS LIBERAO PT/PTT: 0:00 = 0d CONDIES CLIMTICAS: 0:00 = 0d PETROBRAS: 0:00 = 0d OUTROS: 0:30 = 0,07d APJ: 0:00 = 0d RO DIRIO E OBRA - SS-26/2025 (GALPO(K-23)  &amp;gt;NO HOUVE ATIVIDADE NESTE DIA - MOD: | PT: ( |HR SOLIC 00:00 | HR LIB 00:00 |ATRASO |) - (HR ENC 00:00 | ATRASO )  &amp;gt;&amp;gt;CONDIES CLIMTICAS: TEMPO BOM &amp;gt;&amp;gt;ATIIVDADE NO LIBERADA PELA OPERAO , DEVIDO GALPO NO PODER FICAR DESCOBERTO (07:30 - 16:30)  &amp;gt;&amp;gt;&amp;gt;IMPEDIMENTOS ACUMULADOS LIBERAO PT/PTT: 09:42 = 1,4d CONDIES CLIMTICAS: 0:00 = 0d PETROBRAS: 0:00 = 0d OUTROS: 77:50 = 10,67d APJ: 0:00 = 0d RO DIRIO E OBRA - SS-28/2025 (GALPO(K-48))  &amp;gt;DESMONTAGEM DE ESTRUTRA METALICA(TELHAS) - MOD:4 | PEMT:1 | PT: (21258168 |HR SOLIC 08:00 | HR LIB 08:55 |ATRASO 00:25|) - (HR ENC 16:30 | ATRASO 00:00)  &amp;gt;&amp;gt;CONDIES CLIMTICAS: TEMPO BOM  &amp;gt;&amp;gt;&amp;gt;IMPEDIMENTOS ACUMULADOS LIBERAO PT/PTT: 2:35 = 0,33d CONDIES CLIMTICAS: 0:00 = 0d PETROBRAS: 0:00 = 0d OUTROS: 32:00 = 6d APJ: 0:00 = 0d  RO DIRIO E OBRA - SS-32/2025 (UPCGN-2)  &amp;gt;DESMONTAGEM DE RUFOS E CALHAS - MOD:6 | PEMT:2 | PT: (21258072 |HR SOLIC 08:00 | HR LIB 08:20 |ATRASO 00:00|) - (HR ENC 16:30 | ATRASO 00:00)  &amp;gt;&amp;gt;CONDIES CLIMTICAS: TEMPO BOM  &amp;gt;&amp;gt;&amp;gt;IMPEDIMENTOS ACUMULADOS LIBERAO PT/PTT: 5:36 = 0,71d CONDIES CLIMTICAS: 0:00 = 0d PETROBRAS: 0:00 = 0d OUTROS: 0:00 = 0d APJ: 0:00 = 0d RO DIRIO E OBRA - SS-01/2026 (CANTEIRO INOVA)  &amp;gt;REALIZANDO SERVIO DE INSPEO COM GEORADAR - MOD:3 | PT: (21264170 |HR SOLIC 14:00 | HR LIB 14:20 |ATRASO 00:00|) - (HR ENC 16:30 | ATRASO 00:00)  &amp;gt;&amp;gt;CONDIES CLIMTICAS: TEMPO BOM  &amp;gt;&amp;gt;&amp;gt;IMPEDIMENTOS ACUMULADOS LIBERAO PT/PTT: 0:00 = 0d CONDIES CLIMTICAS: 0:00 = 0d PETROBRAS: 0:00 = 0d OUTROS: 0:00 = 0d APJ: 0:00 = 0d _____________________________________________________RO DIRIO E OBRA - SS-05/2025 (SECGN)  &amp;gt;REALIZANDO PINTURA EM PONTOS DO GALPO - MOD:2 | PT: (21258094 |HR SOLIC 14:00 | HR LIB 14:20 |ATRASO 00:00|) - (HR ENC 16:30 | ATRASO 00:00)  &amp;gt;REALIZANDO SUBSTITUIO DE RUFOS - MOD:3 | PT: (21258089 |HR SOLIC 08:00 | HR LIB 09:00 |ATRASO 00:30|) - (HR ENC 16:30 | ATRASO 00:00)  &amp;gt;&amp;gt;CONDIES CLIMTICAS: TEMPO BOM  &amp;gt;&amp;gt;&amp;gt;IMPEDIMENTOS ACUMULADOS LIBERAO PT/PTT: 43:51 = 5,84d CONDIES CLIMTICAS: 87:20 = 9,92d PETROBRAS: 6:30 = 0,82d OUTROS: 36:30 = 4,57d APJ: 0:00 = 0d_____________________________________________RO DIRIO E OBRA - SS-27/2025 (GALPO(K-12)SEM ATIVIDADES&amp;gt;&amp;gt;CONDIES CLIMTICAS: TEMPO BOM &amp;gt;&amp;gt;&amp;gt;IMPEDIMENTOS ACUMULADOS LIBERAO PT/PTT: 1:15 = 0,6d CONDIES CLIMTICAS: 0:00 = 0d PETROBRAS: 0:00 = 0d OUTROS: 32:00 = 5d APJ: 0:00 = 0d</t>
  </si>
  <si>
    <t>12/02/2026</t>
  </si>
  <si>
    <t>RO-253/2026</t>
  </si>
  <si>
    <t>Os somatrios desde incio at o prazo final da SS dos acmulos de hora parada e meteorolgicas no final da SS a Petrobras ir analisar se e cabvel o abono revertido em acrscimo de dias no prazo de entrega da demanda.1. SECGN:Foram programadas as PT's de caldeiraria e pintura no SECGN, as equipes atuavam nos retoques de pintura dos perfis e substituio de rufos laterais do galpo.2. K-14:Equipe da Engeval atuando na desmontagem de andaimes do galpo.3. UPGN-2:A equipe de caldeiraria atuou na solda dos inserts, montagem das estruturas metlicas no cho.A equipe da Engeval atuou na montagem dos acessos na lateral das interferncias.A equipe atuou na pintura das soldas e tratamento da estrutura metlica dos mdulos montados no cho, lixamento e tratamento com tinta de fundo nas passarelas e na escada marinheiro (fachada da rua).A equipe de eltrica atuando na remoo das luminrias de emergncia do mesmo.Foi programada a PT de iamento de estruturas, mas a mesma foi cancelada pela operao, sem atividades com guindaste, estava atuando na SS 12.4. SALA CISC:A equipe de civil atuou na instalao dos rodaps do piso e na pintura das paredes da sala.5. ESTOQUE MI:A equipe de civil atuou no assentamento dos blocos de vedao ao redor da estrutura metlica.A equipe de caldeiraria atuou na instalao de estrutura metlica da cobertura, iamento com guindaste.6. K-02:Sem atividades executadas.7. K-12:Sem atividades executadas, aguardando a chegada do material para iniciar a montagem da estrutura do galpo.8. K-23:A atividade de caldeiraria foi paralisada pela Petrobras, pois os equipamentos no podem ficar expostos ao tempo, com a remoo da cobertura, os compressores iriam ser deteriorados ou sofrer danos em seus componentes.Aguardando a chegada do material para continuar a atividade de desmontagem da estrutura metlica.9. K-48:Atividade de caldeiraria, equipe atuando na desmontagem dos perfis e remoo de telhas do galpo.10. UPCGN-2:Equipe de iratas atuando na substituio das calhas do galpo.RO aceito pela fiscalizao.</t>
  </si>
  <si>
    <t>RO DIRIO E OBRA - SS-04/2025 (UPGN-2)  &amp;gt;TRATAMENTO E PINTURA DE ESTRUTURA METALICA - MOD:2 | PT: (21206909 |HR SOLIC 08:00 | HR LIB 08:30 |ATRASO 00:00|) - (HR ENC 16:30 | ATRASO 00:00)  &amp;gt;MONTAGEM DE ESTRUTURA METALICA E SOLDA DOS INSERTS - MOD:10 | PT: (21219304 |HR SOLIC 08:00 | HR LIB 08:30 |ATRASO 00:00|) - (HR ENC 16:30 | ATRASO 00:00)  &amp;gt;DEMONTAGEM DE ESTRUTURA ELETRICA(LUMINARIAS) - MOD:3 | PEMT:1 | PT: (21252736 |HR SOLIC 08:00 | HR LIB 09:02 |ATRASO 00:32|) - (HR ENC 16:30 | ATRASO 00:00)  &amp;gt;&amp;gt;CONDIES CLIMTICAS: TEMPO BOM  &amp;gt;&amp;gt;&amp;gt;IMPEDIMENTOS ACUMULADOS LIBERAO PT/PTT: 28:16 = 4,23d CONDIES CLIMTICAS: 38:35 = 3,83d PETROBRAS: 8:20 = 1,05d OUTROS: 25:20 = 4,17d APJ: 0:00 = 0d RO DIRIO E OBRA - SS-05/2025 (SECGN)  &amp;gt;TRATAMENTO E PINTURA DE PONTOS METALICOS - MOD:2 | PT: (21254101 |HR SOLIC 08:00 | HR LIB 09:02 |ATRASO 00:32|) - (HR ENC 16:30 | ATRASO 00:00)  &amp;gt;SUBSTITUIO DE RUFOS NA LATERAL DO GALPO - MOD:4 | PT: (21254082 |HR SOLIC 08:00 | HR LIB 08:40 |ATRASO 00:10|) - (HR ENC 16:30 | ATRASO 00:00)  &amp;gt;&amp;gt;CONDIES CLIMTICAS: TEMPO BOM  &amp;gt;&amp;gt;&amp;gt;IMPEDIMENTOS ACUMULADOS LIBERAO PT/PTT: 43:21 = 5,78d CONDIES CLIMTICAS: 87:20 = 9,92d PETROBRAS: 6:30 = 0,82d OUTROS: 36:30 = 4,57d APJ: 0:00 = 0d RO DIRIO E OBRA - SS-06/2025 (K-14)  &amp;gt;DESMONTAGEM DE ANDAIME - MOD:6 | PT: (21252823 |HR SOLIC 08:00 | HR LIB 08:40 |ATRASO 00:10|) - (HR ENC 16:30 | ATRASO 00:00)  &amp;gt;&amp;gt;CONDIES CLIMTICAS: TEMPO BOM  &amp;gt;&amp;gt;&amp;gt;IMPEDIMENTOS ACUMULADOS LIBERAO PT/PTT: 43:07 = 6,02d CONDIES CLIMTICAS: 53:35 = 5,7d PETROBRAS: 1:30 = 0,19d OUTROS: 28:30 = 3,57d APJ: 0:00 = 0d______________________________________________________RO DIRIO E OBRA - SS-08/2025 (K-02)&amp;gt;NO HOUVE ATIVIDADE NESTE DIA - MOD: | PT: ( |HR SOLIC 00:00 | HR LIB 00:00 |ATRASO |) - (HR ENC 00:00 | ATRASO )&amp;gt;&amp;gt;CONDIES CLIMTICAS: TEMPO BOM&amp;gt;&amp;gt;&amp;gt;IMPEDIMENTOS ACUMULADOSLIBERAO PT/PTT: 1:50 = 0,23dCONDIES CLIMTICAS: 0:00 = 0dPETROBRAS: 0:00 = 0dOUTROS: 120:30 = 2,07dAPJ: 0:00 = 0d ___________________________________________________________________________RO DIRIO E OBRA - SS-12/2025 (ESTOQUE)  &amp;gt;MONTAGEM E IAMENTO DE ESTRUTURA METALICA - MOD:6 | GUINDASTE:1 | PT: (21256024 |HR SOLIC 07:30 | HR LIB 07:50 |ATRASO 00:00|) - (HR ENC 16:30 | ATRASO 00:00)  &amp;gt;CONFECO DE CAIXA PLUVIAL E CONCRETAGEM - MOD:3 | GUINDASTE:1 | PT: (21222476 |HR SOLIC 07:30 | HR LIB 07:45 |ATRASO 00:00|) - (HR ENC 16:30 | ATRASO 00:00)  &amp;gt;&amp;gt;CONDIES CLIMTICAS: TEMPO BOM  &amp;gt;&amp;gt;&amp;gt;IMPEDIMENTOS ACUMULADOS LIBERAO PT/PTT: 0:00 = 0d CONDIES CLIMTICAS: 23:00 = 1,88d PETROBRAS: 0:00 = 0d OUTROS: 0:30 = 0,07d APJ: 0:00 = 0d RO DIRIO E OBRA - SS-18/2025 (SALA CISC)  &amp;gt;PINTURA DE PAREDES E INSTALAO DE RODAPE DO PISO - MOD:4 | PT: (21256030 |HR SOLIC 07:35 | HR LIB 07:50 |ATRASO 00:00|) - (HR ENC 16:30 | ATRASO 00:00)  &amp;gt;&amp;gt;CONDIES CLIMTICAS: TEMPO BOM  &amp;gt;&amp;gt;&amp;gt;IMPEDIMENTOS ACUMULADOS LIBERAO PT/PTT: 0:00 = 0d CONDIES CLIMTICAS: 0:00 = 0d PETROBRAS: 0:00 = 0d OUTROS: 0:30 = 0,07d APJ: 0:00 = 0d RO DIRIO E OBRA - SS-26/2025 (GALPO(K-23))  &amp;gt;NO HOUVE ATIVIDADE NESTE DIA - MOD: | PT: ( |HR SOLIC 00:00 | HR LIB 00:00 |ATRASO |) - (HR ENC 00:00 | ATRASO )  &amp;gt;&amp;gt;CONDIES CLIMTICAS: TEMPO BOM &amp;gt;&amp;gt;OPEARO PARALISOU A ATIVIDADE DEVIDO GALPO NO PODER FICAR DESCOBERTO. (07:30 - 16:30)  &amp;gt;&amp;gt;&amp;gt;IMPEDIMENTOS ACUMULADOS LIBERAO PT/PTT: 09:42 = 1,4d CONDIES CLIMTICAS: 0:00 = 0d PETROBRAS: 0:00 = 0d OUTROS: 69:50= 9,67d APJ: 0:00 = 0d RO DIRIO E OBRA - SS-28/2025 (GALPO(K-48))  &amp;gt;DESMONTAGEM DE TELHAS - MOD:4 | PEMT:1 | MUNCK:1 | PT: (21252837 |HR SOLIC 12:30 | HR LIB 13:20 |ATRASO 00:20|) - (HR ENC 16:30 | ATRASO 00:00)  &amp;gt;&amp;gt;CONDIES CLIMTICAS: TEMPO BOM  &amp;gt;&amp;gt;&amp;gt;IMPEDIMENTOS ACUMULADOS LIBERAO PT/PTT: 2:10 = 0,28d CONDIES CLIMTICAS: 0:00 = 0d PETROBRAS: 0:00 = 0d OUTROS: 32:00 = 6d APJ: 0:00 = 0d  RO DIRIO E OBRA - SS-32/2025 (UPCGN-2)  &amp;gt;DESMONTAGEM DE RUFOS E CALHAS - MOD:6 | PEMT:2 | PT: (21252773 |HR SOLIC 08:15 | HR LIB 09:55 |ATRASO 01:10|) - (HR ENC 16:30 | ATRASO 00:00)  &amp;gt;&amp;gt;CONDIES CLIMTICAS: TEMPO BOM  &amp;gt;&amp;gt;&amp;gt;IMPEDIMENTOS ACUMULADOS LIBERAO PT/PTT: 5:36 = 0,71d CONDIES CLIMTICAS: 0:00 = 0d PETROBRAS: 0:00 = 0d OUTROS: 0:00 = 0d APJ: 0:00 = 0d__________________________________________________________________RO DIRIO E OBRA - SS-27/2025 (GALPO(K-12)SEM ATIVIDADES&amp;gt;&amp;gt;CONDIES CLIMTICAS: TEMPO BOM &amp;gt;&amp;gt;&amp;gt;IMPEDIMENTOS ACUMULADOS LIBERAO PT/PTT: 1:15 = 0,6d CONDIES CLIMTICAS: 0:00 = 0d PETROBRAS: 0:00 = 0d OUTROS: 32:00 = 5d APJ: 0:00 = 0d</t>
  </si>
  <si>
    <t>11/02/2026</t>
  </si>
  <si>
    <t>RO-252/2026</t>
  </si>
  <si>
    <t>Os somatrios desde incio at o prazo final da SS dos acmulos de hora parada e meteorolgicas no final da SS a Petrobras ir analisar se e cabvel o abono revertido em acrscimo de dias no prazo de entrega da demanda.1. SECGN:Foram programadas as PT's de caldeiraria e pintura no SECGN, as equipes atuavam nos retoques de pintura dos perfis e substituio de rufos laterais do galpo.2. K-14:Equipe da Engeval atuando na desmontagem de andaimes do galpo.3. UPGN-2:A equipe de caldeiraria atuou na solda dos inserts, montagem das estruturas metlicas no cho.A equipe da Engeval atuou na montagem dos acessos na lateral das interferncias.A equipe atuou na pintura das soldas e tratamento da estrutura metlica dos mdulos montados no cho, lixamento e tratamento com tinta de fundo nas passarelas e na escada marinheiro (fachada da rua).A equipe de eltrica retornou ao galpo para atuar na remoo das luminrias de emergncia do mesmo.4. SALA CISC:A equipe de civil atuou na instalao dos rodaps do piso e na pintura das paredes da sala.5. ESTOQUE MI:A equipe de civil atuou no assentamento dos blocos de vedao ao redor da estrutura metlica.Sem atividades de caldeiraria.6. K-02:Sem atividades executadas.7. K-12:Sem atividades executadas, aguardando a chegada do material para iniciar a montagem da estrutura do galpo.8. K-23:A atividade de caldeiraria foi paralisada pela Petrobras, pois os equipamentos no podem ficar expostos ao tempo, com a remoo da cobertura, os compressores iriam ser deteriorados ou sofrer danos em seus componentes.Aguardando a chegada do material para continuar a atividade de desmontagem da estrutura metlica.9. K-48:Atividade de caldeiraria, equipe atuando na desmontagem dos perfis e remoo de telhas do galpo.10. UPCGN-2:Equipe de iratas atuando na substituio das calhas do galpo.RO aceito pela fiscalizao.</t>
  </si>
  <si>
    <t>RO DIRIO E OBRA - SS-04/2025 (UPGN-2)  &amp;gt;TRATAMENTO E PINTURA DAS ESTRTURAS METALICAS - MOD:3 | PT: (21206909 |HR SOLIC 08:00 | HR LIB 08:30 |ATRASO 00:00|) - (HR ENC 16:30 | ATRASO 00:00)  &amp;gt;MONTAGEM DE ESTRUTURA METALICA E SOLDA DOS INSERTS - MOD:10 | PEMT:2 | GUINDASTE:1 | MUNCK:1 | PT: (21247402 |HR SOLIC 08:00 | HR LIB 08:30 |ATRASO 00:00|) - (HR ENC 16:30 | ATRASO 00:00)  &amp;gt;TRATAMENTO E PINTURA DE ESTRUTURA METALICA - MOD:5 | PT: (21206909 |HR SOLIC 08:00 | HR LIB 08:25 |ATRASO 00:00|) - (HR ENC 16:30 | ATRASO 00:00)  &amp;gt;DESMONTAGEM DE INFRA ELETRICA(LUMINARIAS) - MOD:3 | PT: (21247402 |HR SOLIC 08:00 | HR LIB 09:32 |ATRASO 01:02|) - (HR ENC 16:30 | ATRASO 00:00)  &amp;gt;&amp;gt;CONDIES CLIMTICAS: TEMPO BOM  &amp;gt;&amp;gt;&amp;gt;IMPEDIMENTOS ACUMULADOS LIBERAO PT/PTT: 27:44 = 4,16d CONDIES CLIMTICAS: 38:35 = 3,83d PETROBRAS: 8:20 = 1,05d OUTROS: 25:20 = 4,17d APJ: 0:00 = 0d RO DIRIO E OBRA - SS-05/2025 (SECGN)  &amp;gt;PINTURA DE ESTRUTURA METALICA - MOD:3 | PT: (21247731 |HR SOLIC 08:00 | HR LIB 08:30 |ATRASO 00:00|) - (HR ENC 16:30 | ATRASO 00:00)  &amp;gt;ADEQUAO DE ESTRUTURA METALICA(RUFOS) - MOD:2 | PT: (21247752 |HR SOLIC 08:00 | HR LIB 08:30 |ATRASO 00:00|) - (HR ENC 16:30 | ATRASO 00:00)  &amp;gt;&amp;gt;CONDIES CLIMTICAS: TEMPO BOM  &amp;gt;&amp;gt;&amp;gt;IMPEDIMENTOS ACUMULADOS LIBERAO PT/PTT: 42:39 = 5,69d CONDIES CLIMTICAS: 87:20 = 9,92d PETROBRAS: 6:30 = 0,82d OUTROS: 36:30 = 4,57d APJ: 0:00 = 0d  RO DIRIO E OBRA - SS-06/2025 (K-14)  &amp;gt;DESMONTAGEM DE ANDAIME - MOD:6 | PT: (21247791 |HR SOLIC 08:00 | HR LIB 08:48 |ATRASO 00:18|) - (HR ENC 16:30 | ATRASO 00:00)  &amp;gt;&amp;gt;CONDIES CLIMTICAS: TEMPO BOM  &amp;gt;&amp;gt;&amp;gt;IMPEDIMENTOS ACUMULADOS LIBERAO PT/PTT: 42:57 = 6d CONDIES CLIMTICAS: 53:35 = 5,7d PETROBRAS: 1:30 = 0,19d OUTROS: 28:30 = 3,57d APJ: 0:00 = 0d RO DIRIO E OBRA - SS-08/2025 (K-02)  &amp;gt;NO HOUVE ATIVIDADE NESTE DIA - MOD: | PT: ( |HR SOLIC 00:00 | HR LIB 00:00 |ATRASO |) - (HR ENC 00:00 | ATRASO )  &amp;gt;&amp;gt;CONDIES CLIMTICAS: TEMPO BOM &amp;gt;&amp;gt;ATIVIDADE PARALIZADA DEVIDO SMS PETROBRAS NO AUTORIZAR TRANSPORTE DE MATERIAL QUE ULTRAPASSE A CARROCERIA DO VEICULO (08:30 - 16:30)  &amp;gt;&amp;gt;&amp;gt;IMPEDIMENTOS ACUMULADOS LIBERAO PT/PTT: 1:50 = 0,23d CONDIES CLIMTICAS: 0:00 = 0d PETROBRAS: 0:00 = 0d OUTROS: 120:30 = 2,07d APJ: 0:00 = 0d RO DIRIO E OBRA - SS-12/2025 (ESTOQUE)  &amp;gt;CONFECO DE ALVENARIA DE BLOCO DAS CAIXAS PLUVIAIS - MOD:4 | PT: (21222476 |HR SOLIC 08:00 | HR LIB 08:05 |ATRASO 00:00|) - (HR ENC 16:30 | ATRASO 00:00)  &amp;gt;&amp;gt;CONDIES CLIMTICAS: TEMPO BOM  &amp;gt;&amp;gt;&amp;gt;IMPEDIMENTOS ACUMULADOS LIBERAO PT/PTT: 0:00 = 0d CONDIES CLIMTICAS: 23:00 = 1,88d PETROBRAS: 0:00 = 0d OUTROS: 0:30 = 0,07d APJ: 0:00 = 0d RO DIRIO E OBRA - SS-18/2025 (SALA CISC)  &amp;gt;INSTALAO DE RODAPE E PINTURA DE PAREDE - MOD:4 | PT: (21249491 |HR SOLIC 08:00 | HR LIB 08:02 |ATRASO 00:00|) - (HR ENC 16:30 | ATRASO 00:00)  &amp;gt;&amp;gt;CONDIES CLIMTICAS: TEMPO BOM  &amp;gt;&amp;gt;&amp;gt;IMPEDIMENTOS ACUMULADOS LIBERAO PT/PTT: 0:00 = 0d CONDIES CLIMTICAS: 0:00 = 0d PETROBRAS: 0:00 = 0d OUTROS: 0:30 = 0,07d APJ: 0:00 = 0d  RO DIRIO E OBRA - SS-26/2025 (GALPO(K-23))  &amp;gt;NO HOUVE ATIVIDADE NESTE DIA - MOD: | PT: ( |HR SOLIC 00:00 | HR LIB 00:00 |ATRASO |) - (HR ENC 00:00 | ATRASO )  &amp;gt;&amp;gt;CONDIES CLIMTICAS: TEMPO BOM &amp;gt;&amp;gt;ATIVIDADE PARALISADA PELA OPERAO, DEVIDO GALPO NO PODER FICAR DESCOBERTO (07:30 - 16:30)  &amp;gt;&amp;gt;&amp;gt;IMPEDIMENTOS ACUMULADOS LIBERAO PT/PTT: 09:42 = 1,4d CONDIES CLIMTICAS: 0:00 = 0d PETROBRAS: 0:00 = 0d OUTROS: 61:50 = 8,67d APJ: 0:00 = 0d  RO DIRIO E OBRA - SS-28/2025 (GALPO(K-48))  &amp;gt;DESMONTAGEM DE ESTRUTURA METALICA(TELHAS) - MOD:3 | PEMT:1 | PT: (21247866 |HR SOLIC 08:00 | HR LIB 09:00 |ATRASO 00:30|) - (HR ENC 16:30 | ATRASO 00:00)  &amp;gt;&amp;gt;CONDIES CLIMTICAS: TEMPO BOM  &amp;gt;&amp;gt;&amp;gt;IMPEDIMENTOS ACUMULADOS LIBERAO PT/PTT: 1:50 = 0,23d CONDIES CLIMTICAS: 0:00 = 0d PETROBRAS: 0:00 = 0d OUTROS: 32:00 = 6d APJ: 0:00 = 0d___________________________________________________RO DIRIO E OBRA - SS-32/2025 (UPCGN-2)&amp;gt;ADEQUAO DE ESTRUTURA METALICA(CALHAS) - MOD:4 |PEMT:1 |PT: (21252773 |HR SOLIC 08:00 | HR LIB 08:30 |ATRASO 00:00|) - (HR ENC 16:30 | ATRASO 00:00)&amp;gt;&amp;gt;CONDIES CLIMTICAS: TEMPO BOM&amp;gt;&amp;gt;&amp;gt;IMPEDIMENTOS ACUMULADOS LIBERAO PT/PTT: 4:26 = 0,56d CONDIES CLIMTICAS: 0:00 = 0d PETROBRAS: 0:00 = 0d OUTROS: 0:00 = 0d APJ: 0:00 = 0d______________________________________________________RO DIRIO E OBRA - SS-27/2025 (GALPO(K-12)SEM ATIVIDADES&amp;gt;&amp;gt;CONDIES CLIMTICAS: TEMPO BOM&amp;gt;&amp;gt;&amp;gt;IMPEDIMENTOS ACUMULADOS LIBERAO PT/PTT: 1:15 = 0,6d CONDIES CLIMTICAS: 0:00 = 0d PETROBRAS: 0:00 = 0d OUTROS: 32:00 = 5d APJ: 0:00 = 0d</t>
  </si>
  <si>
    <t>10/02/2026</t>
  </si>
  <si>
    <t>RO-251/2026</t>
  </si>
  <si>
    <t>RO se encontra conforme e validado pela fiscalizao.</t>
  </si>
  <si>
    <t>"RO DIRIO E OBRA - SS-17/2025 (LUMINOSIDADE)&amp;gt;SUBSTITUIO DAS LUMINRIAS DOS REBATEDORES DOS POSTES DE 7,0M - ALA SUL - INSTALAO DA NOVA LUMINRIA- MOD:3 |PT: (21338039 |HR SOLIC 06:48 | HR LIB 14:54 |ATRASO 07:36|) - (HR ENC 16:30 | ATRASO 00:00)&amp;gt;&amp;gt;CONDIES CLIMTICAS: TEMPO COM ANOMALIA&amp;gt;&amp;gt;INCIDNCIA DE CHUVA (07:30 - 14:54)&amp;gt;&amp;gt;&amp;gt;IMPEDIMENTOS ACUMULADOSLIBERAO PT/PTT: 46:02 = 5,76dCONDIES CLIMTICAS: 48:24 = 6,05dPETROBRAS: 25:27 = 3,19dOUTROS: 2:20 = 0,3dAPJ: 0:00 = 0d"</t>
  </si>
  <si>
    <t>RO-249/2026</t>
  </si>
  <si>
    <t>"RO DIRIO E OBRA - SS-15/2025 (TORRE RESFR)&amp;gt;TRATAMENTO MECNICO (RETOQUE DE PINTURA), FURAO E PARAFUSAR OS ANIS DOS DIFUSORES PARA ACOPLAR A BASE DA COIFA E SOLDA DAS PARTES METLICAS (CHASSI).- MOD:4 |PT: (21338034 |HR SOLIC 08:00 | HR LIB 09:56 |ATRASO 01:26|) - (HR ENC 16:30 | ATRASO 00:00)&amp;gt;&amp;gt;CONDIES CLIMTICAS: TEMPO COM ANOMALIA&amp;gt;&amp;gt;INCIDNCIA DE CHUVA (08:00 - 12:00)&amp;gt;&amp;gt;&amp;gt;IMPEDIMENTOS ACUMULADOSLIBERAO PT/PTT: 18:51 = 2,36dCONDIES CLIMTICAS: 18:30 = 2,32dPETROBRAS: 6:00 = 0,75dOUTROS: 4:55 = 0,62dAPJ: 0:00 = 0d"________________________________________________________________________________________________________________________________________________________________"RO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</si>
  <si>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RO-248/2026</t>
  </si>
  <si>
    <t>376- Relatório Mensal de SMS -ASS.pdf; 360-EVIDÊNCIA VCP-FEVEREIRO-26.pdf; 358-EVIDÊNCIA -AUDICOMP-FEV-26.pdf; 359-PLANILHA DE RELATOS DO AMIGO DO PEITO -FEV-26.xlsx; 910 - Evidência-Controle DDS APJ - FEV-26.pdf; EVIDÊNCIA RONDA DIARIA- FEV-26.pdf; AUDICOMP FEV 2026 UTGC.pdf; Ronda Diaria de SMS UTGC.pdf; 02 VCP FEVEREIRO UTGC.pdf; 09.02. 2026 Integração + Cuidado com as Mãos.pdf; ASOS FEVEREIRO-26.pdf; 376 - RMS UTGC FEV 2026 assinado.pdf</t>
  </si>
  <si>
    <t>Envio do doc. CDIGO 376-RMS - Relatrio Mensal de SMS (conforme modelo Petrobras) das unidades UTGC e EDIVIT com as evidncias das informaes para avaliao.</t>
  </si>
  <si>
    <t>RO-247/2026</t>
  </si>
  <si>
    <t>381-  REM  FEVEREIRO 2026 (1).xlsx</t>
  </si>
  <si>
    <t>Envio do doc. CDIGO 381 -REM e REMe - Relatrio Estatstico Mensal (conforme modelo Petrobras) FEV 2026 das unidades EDIVIT e UTGC para avaliao.</t>
  </si>
  <si>
    <t>RO-246/2026</t>
  </si>
  <si>
    <t>"RO DIRIO E OBRA - SS-15/2025 (TORRE RESFR)&amp;gt;""TRATAMENTO MECNICO, FURAO E PARAFUSAR OS ANIS DOS DIFUSORES PARA ACOPLAR A BASE DA COIFA E SOLDA DAS PARTES METLICAS (CHASSI).""TRATAMENTO MECNICO, FURAO E PARAFUSAR OS ANIS DOS DIFUSORES PARA ACOPLAR A BASE DA COIFA E SOLDA DAS PARTES METLICAS (CHASSI).- MOD:4 |PT: (21332611 |HR SOLIC 07:12 | HR LIB 08:11 |ATRASO 00:29|) - (HR ENC 16:30 | ATRASO 00:00)&amp;gt;&amp;gt;CONDIES CLIMTICAS: TEMPO BOM&amp;gt;&amp;gt;&amp;gt;IMPEDIMENTOS ACUMULADOSLIBERAO PT/PTT: 17:25 = 2,18dCONDIES CLIMTICAS: 14:30 = 1,82dPETROBRAS: 6:00 = 0,75dOUTROS: 4:55 = 0,62dAPJ: 0:00 = 0d"______________________________________________________________________________________________________________________________________________________"RO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</si>
  <si>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RO-245/2026</t>
  </si>
  <si>
    <t>"RO DIRIO E OBRA - SS-17/2025 (LUMINOSIDADE)&amp;gt;SUBSTITUIO DAS LMPADAS DOS DIFUSORES DOS POSTES DE 7,0M NA ALA SUL - ATRS DO BLOCO CENTRAL- MOD:4 |PT: (21332593 |HR SOLIC 07:08 | HR LIB 08:45 |ATRASO 01:07|) - (HR ENC 16:30 | ATRASO 00:00)&amp;gt;&amp;gt;CONDIES CLIMTICAS: TEMPO BOM&amp;gt;&amp;gt;&amp;gt;IMPEDIMENTOS ACUMULADOSLIBERAO PT/PTT: 38:26 = 4,81dCONDIES CLIMTICAS: 41:00 = 5,13dPETROBRAS: 25:27 = 3,19dOUTROS: 2:20 = 0,3dAPJ: 0:00 = 0d"</t>
  </si>
  <si>
    <t>RO-244/2026</t>
  </si>
  <si>
    <t>"RO DIRIO E OBRA - SS-15/2025 (TORRE RESFR)&amp;gt;TRATAMENTO MECNICO, FURAO E PARAFUSAR OS ANIS DOS DIFUSORES PARA ACOPLAR A BASE DA COIFA E SOLDA DAS PARTES METLICAS (CHASSI).- MOD:4 |PT: (21326681 |HR SOLIC 07:37 | HR LIB 08:15 |ATRASO 00:08|) - (HR ENC 16:30 | ATRASO 00:00)&amp;gt;&amp;gt;CONDIES CLIMTICAS: TEMPO BOM&amp;gt;&amp;gt;&amp;gt;IMPEDIMENTOS ACUMULADOSLIBERAO PT/PTT: 16:56 = 2,12dCONDIES CLIMTICAS: 14:30 = 1,82dPETROBRAS: 6:00 = 0,75dOUTROS: 4:55 = 0,62dAPJ: 0:00 = 0d"_________________________________________________________________________________________________________________________________________________"RO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</si>
  <si>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RO-243/2026</t>
  </si>
  <si>
    <t>"RO DIRIO E OBRA - SS-17/2025 (LUMINOSIDADE)&amp;gt;SUBSTITUIO DAS LMPADAS DOS DIFUSORES DOS POSTES DE 7,0M NA ALA NORTE - ATRS DA CENTRAL DE UTILIDADES- MOD:4 |PT: (21326766 |HR SOLIC 07:47 | HR LIB 08:40 |ATRASO 00:23|) - (HR ENC 16:30 | ATRASO 00:00)&amp;gt;&amp;gt;CONDIES CLIMTICAS: TEMPO BOM&amp;gt;&amp;gt;&amp;gt;IMPEDIMENTOS ACUMULADOSLIBERAO PT/PTT: 37:19 = 4,67dCONDIES CLIMTICAS: 41:00 = 5,13dPETROBRAS: 25:27 = 3,19dOUTROS: 2:20 = 0,3dAPJ: 0:00 = 0d"</t>
  </si>
  <si>
    <t>RO-242/2026</t>
  </si>
  <si>
    <t>HENRIQUE MREMENKAMP.zip; ELIVALDO DE OLIVEIRA.zip; DOUGLIAN TIMBUIBA.zip; LEANDRO OTONI.zip; ENEAS SILVA.zip</t>
  </si>
  <si>
    <t>Prezados, boa tarde.Conforme sinalizado na RAC, encaminho em anexo documentao dos funcionrios abaixo:ELIVALDO DE OLIVEIRA;DOUGLIAN TIMBUIBA;ENEAS SILVA;HENRIQUE BREMENKAMP;LEANDRO OTONI.</t>
  </si>
  <si>
    <t>RO-240/2026</t>
  </si>
  <si>
    <t>ALISON BARBOSA.zip; DONIZETE SILVA.zip; FELIPE KAYAN FAUSTINO FERREIRA.zip; LUCAS BRAGA DE OLIVEIRA.zip; SIZERNANDO SILVA SANTOS.zip</t>
  </si>
  <si>
    <t>Prezados, boa tarde.Conforme sinalizado na RAC, encaminho em anexo documentao dos funcionrios abaixo:ALISON BARBOSA;DONIZETE SILVA;FELIPE KAYAN;LUCAS BRAGASIZERNANDO SANTOS.</t>
  </si>
  <si>
    <t>RO-239/2026</t>
  </si>
  <si>
    <t>"RO DIRIO E OBRA - SS-17/2025 (LUMINOSIDADE)&amp;gt;SUBSTITUIO DAS LMPADAS DOS DIFUSORES DOS POSTES DE 7,0M NA ALA NORTE - ATRS DA CENTRAL DE UTILIDADES- MOD:4 |PT: (21320304 |HR SOLIC 07:02 | HR LIB 09:00 |ATRASO 01:28|) - (HR ENC 16:30 | ATRASO 00:00)&amp;gt;&amp;gt;CONDIES CLIMTICAS: TEMPO BOM&amp;gt;&amp;gt;&amp;gt;IMPEDIMENTOS ACUMULADOSLIBERAO PT/PTT: 36:56 = 4,62dCONDIES CLIMTICAS: 41:00 = 5,13dPETROBRAS: 25:27 = 3,19dOUTROS: 2:20 = 0,3dAPJ: 0:00 = 0d"</t>
  </si>
  <si>
    <t>RO-238/2026</t>
  </si>
  <si>
    <t>"RO DIRIO E OBRA - SS-15/2025 (TORRE RESFR)&amp;gt;TRATAMENTO MECNICO, FURAO E PARAFUSAR OS ANIS DOS DIFUSORES PARA ACOPLAR A BASE DA COIFA E SOLDA DAS PARTES METLICAS (CHASSI).- MOD:4 |PT: (21320311 |HR SOLIC 07:03 | HR LIB 08:20 |ATRASO 00:47|) - (HR ENC 16:30 | ATRASO 00:00)&amp;gt;&amp;gt;CONDIES CLIMTICAS: TEMPO BOM&amp;gt;&amp;gt;&amp;gt;IMPEDIMENTOS ACUMULADOSLIBERAO PT/PTT: 16:48 = 2,11dCONDIES CLIMTICAS: 14:30 = 1,82dPETROBRAS: 6:00 = 0,75dOUTROS: 4:55 = 0,62dAPJ: 0:00 = 0d"______________________________________________________________________________________________________________________________________________________"RO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</si>
  <si>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RO-237/2026</t>
  </si>
  <si>
    <t>DOC . 305 A Programa de Inspeções e Auditoria do Sistema de Gestão de SMS.pdf</t>
  </si>
  <si>
    <t>Envio do doc. CDIGO - 305 A - Programa de Inspees e Auditoria do Sistema de Gesto de SMS para avaliao.</t>
  </si>
  <si>
    <t>RO-236/2026</t>
  </si>
  <si>
    <t>DOC . 306  Plano e Metas de Indicadores .pdf</t>
  </si>
  <si>
    <t>Envio do doc. CDIGO 306 -Plano de Metas e Objetivos de SMS contendo indicadores (PTP, TFCA, TFSA, TG, ASO) para avaliao.</t>
  </si>
  <si>
    <t>RO-235/2026</t>
  </si>
  <si>
    <t>DOC . 320  Plano de Organização e Limpeza.pdf</t>
  </si>
  <si>
    <t>Envio do doc. CDIGO - 320Plano de Organizao e Limpeza NR-18 para avaliao.</t>
  </si>
  <si>
    <t>RO-234/2026</t>
  </si>
  <si>
    <t>F-00928-0175.123 - 04 - F_00928_V04_PLANO DE FISCALIZAÇÃO .pdf; F-01084-0175.160 - 04 - F_01084-0175.160 - Vs 04 - CHECKLIST -ASPECTOS DE SMS.pdf</t>
  </si>
  <si>
    <t>Envio do do. CDIGO - 307 Plano de Fiscalizao para o contrato com aspectos em SMS para avaliao.</t>
  </si>
  <si>
    <t>RO-233/2026</t>
  </si>
  <si>
    <t>DOC . 304  Pograma  de Treinamento e Capacitação em SMS.pdf</t>
  </si>
  <si>
    <t>Envio do doc. CDOGO 304-Programa de treinamento em SMS e sistemtica de controle para avaliao.</t>
  </si>
  <si>
    <t>RO-232/2026</t>
  </si>
  <si>
    <t>Domingo, dia 01/03/26,no houve expediente de trabalho.</t>
  </si>
  <si>
    <t>RO-231/2026</t>
  </si>
  <si>
    <t>Sbado, dia 28/02/26,no houve expediente de trabalho.</t>
  </si>
  <si>
    <t>RO-230/2026</t>
  </si>
  <si>
    <t>RO-229/2026</t>
  </si>
  <si>
    <t>RO-228/2026</t>
  </si>
  <si>
    <t>"RO DIRIO E OBRA - SS-17/2025 (LUMINOSIDADE)&amp;gt;SUBSTITUIO DAS LMPADAS DOS DIFUSORES DOS POSTES DE 7,0M NA RUA 7 - AREA CENTRAL - MOD:4 |PT: (21312033 |HR SOLIC 07:20 | HR LIB 08:55 |ATRASO 01:05|) - (HR ENC 16:00 | ATRASO 00:30)&amp;gt;&amp;gt;CONDIES CLIMTICAS: TEMPO COM ANOMALIA&amp;gt;&amp;gt;INCIDNCIA DE CHUVA (14:00 - 16:00)&amp;gt;&amp;gt;&amp;gt;IMPEDIMENTOS ACUMULADOSLIBERAO PT/PTT: 35:28 = 4,44dCONDIES CLIMTICAS: 41:00 = 5,13dPETROBRAS: 25:27 = 3,19dOUTROS: 2:20 = 0,3dAPJ: 0:00 = 0d"</t>
  </si>
  <si>
    <t>RO-227/2026</t>
  </si>
  <si>
    <t>"RO DIRIO E OBRA - SS-15/2025 (TORRE RESFR)&amp;gt;TRATAMENTO MECNICO, FURAO E PARAFUSAR OS ANIS DOS DIFUSORES PARA ACOPLAR A BASE DA COIFA E SOLDA DAS PARTES METLICAS (CHASSI). - MOD:4 |PT: (21312015 |HR SOLIC 07:15 | HR LIB 08:08 |ATRASO 00:23|) - (HR ENC 16:30 | ATRASO 00:00)&amp;gt;&amp;gt;CONDIES CLIMTICAS: TEMPO COM ANOMALIA&amp;gt;&amp;gt;INCIDNCIA DE CHUVA (14:00 - 16:00)&amp;gt;&amp;gt;&amp;gt;IMPEDIMENTOS ACUMULADOSLIBERAO PT/PTT: 16:01 = 2,01dCONDIES CLIMTICAS: 14:30 = 1,82dPETROBRAS: 6:00 = 0,75dOUTROS: 4:55 = 0,62dAPJ: 0:00 = 0d"_____________________________________________________________________________________________________________________________--"RO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</si>
  <si>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RO-226/2026</t>
  </si>
  <si>
    <t>"RO DIRIO E OBRA - SS-15/2025 (TORRE RESFR)&amp;gt;TRATAMENTO MECNICO, FURAO E PARAFUSAR OS ANIS DOS DIFUSORES PARA ACOPLAR A BASE DA COIFA E SOLDA DAS PARTES METLICAS (CHASSI).- MOD:4 |PT: (21307260 |HR SOLIC 07:54 | HR LIB 08:18 |ATRASO 00:00|) - (HR ENC 16:30 | ATRASO 00:00)&amp;gt;&amp;gt;CONDIES CLIMTICAS: TEMPO BOM&amp;gt;&amp;gt;&amp;gt;IMPEDIMENTOS ACUMULADOSLIBERAO PT/PTT: 15:38 = 1,96dCONDIES CLIMTICAS: 12:30 = 1,57dPETROBRAS: 6:00 = 0,75dOUTROS: 4:55 = 0,62dAPJ: 0:00 = 0d"______________________________________________________________________________________________________________________"RO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</si>
  <si>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RO-224/2026</t>
  </si>
  <si>
    <t>"RO DIRIO E OBRA - SS-17/2025 (LUMINOSIDADE)&amp;gt;SUBSTITUIO DAS LMPADAS DOS DIFUSORES DOS POSTES DE 7,0M NA RETA DA PENHA- MOD:4 |PT: (21307025 |HR SOLIC 00:00 | HR LIB 09:27 |ATRASO 08:57|) - (HR ENC 16:30 | ATRASO 00:00)&amp;gt;SUBSTITUIO DAS LMPADAS DOS DIFUSORES DOS POSTES DE 7,0M NA RETA DA PENHA- MOD:3 |PT: (21309036 |HR SOLIC 11:07 | HR LIB 13:25 |ATRASO 01:48|) - (HR ENC 16:30 | ATRASO 00:00)&amp;gt;&amp;gt;CONDIES CLIMTICAS: TEMPO BOM&amp;gt;&amp;gt;LIBRA (07:30 - 09:27)&amp;gt;&amp;gt;&amp;gt;IMPEDIMENTOS ACUMULADOSLIBERAO PT/PTT: 33:53 = 4,24dCONDIES CLIMTICAS: 39:00 = 4,88dPETROBRAS: 25:27 = 3,19dOUTROS: 2:20 = 0,3dAPJ: 0:00 = 0d"</t>
  </si>
  <si>
    <t>RO-223/2026</t>
  </si>
  <si>
    <t>"RO DIRIO E OBRA - SS-17/2025 (LUMINOSIDADE)&amp;gt;SUBSTITUIO DAS LMPADAS DOS DIFUSORES DOS POSTES DE 7,0M NA RETA DA PENHA - MOD:4 |PT: (21302239 |HR SOLIC 08:25 | HR LIB 09:25 |ATRASO 00:30|) - (HR ENC 16:30 | ATRASO 00:00)&amp;gt;&amp;gt;CONDIES CLIMTICAS: TEMPO BOM&amp;gt;&amp;gt;&amp;gt;IMPEDIMENTOS ACUMULADOSLIBERAO PT/PTT: 32:05 = 4,02dCONDIES CLIMTICAS: 39:00 = 4,88dPETROBRAS: 23:30 = 2,94dOUTROS: 2:20 = 0,3dAPJ: 0:00 = 0d"</t>
  </si>
  <si>
    <t>RO-222/2026</t>
  </si>
  <si>
    <t>Est sendo realizado o tratamento mecnico, a furao e parafusamento dos anis dos difusores ,solicitado ateno ao encarregado Dirceu Carapina ao Nivelamento e correto parafusamento dos anis na estrutura do difusor, ficar atento e sempre inspecionar ainda a qualidade e acabamento nos pontos de solda que esto sendo feitos nos anis.Houve incidncia de chuva no dia de hoje o que de certa forma causa impacto no andamento das atividades.</t>
  </si>
  <si>
    <t>"RO DIRIO E OBRA - SS-15/2025 (TORRE RESFR)&amp;gt;TRATAMENTO MECNICO, FURAO E PARAFUSAR OS ANIS DOS DIFUSORES PARA ACOPLAR A BASE DA COIFA E SOLDA DAS PARTES METLICAS (CHASSI). - MOD:4 |PT: (21302426 |HR SOLIC 08:38 | HR LIB 09:15 |ATRASO 00:07|) - (HR ENC 14:30 | ATRASO 02:00)&amp;gt;&amp;gt;CONDIES CLIMTICAS: TEMPO COM ANOMALIA&amp;gt;&amp;gt;INCIDNCIA DE CHUVA (14:30 - 16:30)&amp;gt;&amp;gt;&amp;gt;IMPEDIMENTOS ACUMULADOSLIBERAO PT/PTT: 15:38 = 1,96dCONDIES CLIMTICAS: 12:30 = 1,57dPETROBRAS: 6:00 = 0,75dOUTROS: 4:55 = 0,62dAPJ: 0:00 = 0d"______________________________________________________________________________________________________________________________________________________________"RO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</si>
  <si>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RO-221/2026</t>
  </si>
  <si>
    <t>"RO DIRIO E OBRA - SS-17/2025 (LUMINOSIDADE)&amp;gt;REALIZAO DE TESTE COM A LUMINRIA EM PISO DE GRANITO, ENTRE OS BLOCOS 1 E 2 - MOD:4 |PT: (21296226 |HR SOLIC 07:47 | HR LIB 10:30 |ATRASO 02:13|) - (HR ENC 16:30 | ATRASO 00:00)&amp;gt;TESTE COM A NOVA LUMINRIA PARA POSTE DE 3,0 NA REGIO DA PRAA DA BANDEIRA - MOD:4 |PT: (21298843 |HR SOLIC 13:12 | HR LIB 14:12 |ATRASO 00:30|) - (HR ENC 16:30 | ATRASO 00:00)&amp;gt;&amp;gt;CONDIES CLIMTICAS: TEMPO BOM&amp;gt;&amp;gt;&amp;gt;IMPEDIMENTOS ACUMULADOSLIBERAO PT/PTT: 31:35 = 3,95dCONDIES CLIMTICAS: 39:00 = 4,88dPETROBRAS: 23:30 = 2,94dOUTROS: 2:20 = 0,3dAPJ: 0:00 = 0d"</t>
  </si>
  <si>
    <t>24/02/2026</t>
  </si>
  <si>
    <t>RO-220/2026</t>
  </si>
  <si>
    <t>Foi realizado a atividade de iamento dos Difusores para acoplamento dos mesmos as coifas das torres, a atividade transcorre normalmente, solicitado ateno ao encarregado Dirceu Carapina ao Nivelamento e correto parafusamento dos anis na estrutura do difusor, ficar atento e sempre inspecionar ainda a qualidade e acabamento nos pontos de Solda que esto sendo feitos nos anis, foram montados na estrutura do chassis da torres os motores dos ventiladores que vieram da manuteno e retifica e complementado com a instalao dos difusores as coifas.</t>
  </si>
  <si>
    <t>"RO DIRIO E OBRA - SS-15/2025 (TORRE RESFR)&amp;gt;IAMENTO E MOVIMENTAO DE BLOCOS DE PROTEO EM CONCRETO NO CANTEIRO DE OBRAS PARA INSTALAO DA GAIOLA DE RESDUOS - MOD:3 |PT: (21299260 |HR SOLIC 14:02 | HR LIB 15:30 |ATRASO 00:58|) - (HR ENC 16:30 | ATRASO 00:00)&amp;gt;IAMENTO DO DIFUSOR (COIFA) PARA ACOPLAMENTO DOS SUPORTES - MOD:5 |PT: (21295991 |HR SOLIC 07:07 | HR LIB 08:18 |ATRASO 00:41|) - (HR ENC 16:30 | ATRASO 00:00)&amp;gt;&amp;gt;CONDIES CLIMTICAS: TEMPO BOM&amp;gt;&amp;gt;&amp;gt;IMPEDIMENTOS ACUMULADOSLIBERAO PT/PTT: 13:31 = 1,69dCONDIES CLIMTICAS: 10:30 = 1,32dPETROBRAS: 6:00 = 0,75dOUTROS: 4:55 = 0,62dAPJ: 0:00 = 0d"________________________________________________________________________________________________________________"RO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</si>
  <si>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RO-219/2026</t>
  </si>
  <si>
    <t>001 - CARTA APJ ENGENHARIA E CONSTRUÇÕES LTDA- REF. GAIOLA DE PRODUTOS QUIMICOS.pdf</t>
  </si>
  <si>
    <t>As demandas com tratativas do Oreste, devem ser tratadas como administrativas.Gentileza enviar por RO Administrativos.</t>
  </si>
  <si>
    <t>Envio da carta de justificativa para a prorrogao de prazo para aquisio da gaiola de produtos qumicos APJ para avaliao.</t>
  </si>
  <si>
    <t>RO-218/2026</t>
  </si>
  <si>
    <t>CERTIFICADO CRONOTACOGRAFO GUINDASTE 100 T (3).pdf; CERTIFICADO TACOGRAFO - RKO5D59 - VENC. 22.03.pdf; INVENTÁRIO DE MAQUINAS SMS  23 02 2026.xlsx; CERTIFICADO TACOGRAFO - VENC 18.11.2027 - SRM4E71.pdf</t>
  </si>
  <si>
    <t>Envio doc. CDIGO 225 -Relao de Equipamentos e Ferramentas (NR-12) FEV 2026 e LAUDOS</t>
  </si>
  <si>
    <t>RO-217/2026</t>
  </si>
  <si>
    <t>Foi realizado a atividade de iamento dos Difusores para acoplamento dos mesmos as coifas das torres, a atividade transcorre normalmente, solicitado ateno ao encarregado Dirceu Carapina ao Nivelamento e correto parafusamento dos anis na estrutura do difusor, ficar atento e sempre inspecionar ainda a qualidade e acabamento nos pontos de Solda que esto sendo feitos nos anis, foram montados na estrutura do chassis da torres os motores dos ventiladores que vieram da manuteno e retifica e complementado com a instalao das coifas.O caminho Munck, que realizou a movimentao chegou a unidade por volta das 10:30 e logo em seguida foi feita a LV em conjunto com a fiscalizao de obra /SMS para liberao do mesmo, sendo assim a PT da atividade foi aberta aps o horrio do almoo as 14:20,aps conferncia de toda a documentao e procedimentos necessrios para a realizao da atividade, no havendo atraso por parte da fiscalizao conforme informado pela contratada neste RO.</t>
  </si>
  <si>
    <t>"RO DIRIO E OBRA - SS-15/2025 (TORRE RESFR)&amp;gt;IAMENTO DO DIFUSOR PARA ACOPLAMENTO DAS ESTRUTURAS, DO ANEL E DOS POSTES METLICOS - MOD:4 |PT: (21290102 |HR SOLIC 07:41 | HR LIB 14:20 |ATRASO 06:09|) - (HR ENC 16:30 | ATRASO 00:00)&amp;gt;&amp;gt;CONDIES CLIMTICAS: TEMPO BOM&amp;gt;&amp;gt;&amp;gt;IMPEDIMENTOS ACUMULADOSLIBERAO PT/PTT: 11:52 = 1,49dCONDIES CLIMTICAS: 10:30 = 1,32dPETROBRAS: 6:00 = 0,75dOUTROS: 4:55 = 0,62dAPJ: 0:00 = 0d"__________________________________________________________________________________________"RO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</si>
  <si>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RO-216/2026</t>
  </si>
  <si>
    <t>"RO DIRIO E OBRA - SS-17/2025 (LUMINOSIDADE)&amp;gt;SUBSTITUIO DA LMPADAS COM BALIZADORES (DIFUSORES) NA REGIO DA RETA DA PENHA - MOD:4 |PT: (21289865 |HR SOLIC 07:02 | HR LIB 08:30 |ATRASO 00:58|) - (HR ENC 16:30 | ATRASO 00:00)&amp;gt;&amp;gt;CONDIES CLIMTICAS: TEMPO BOM&amp;gt;&amp;gt;&amp;gt;IMPEDIMENTOS ACUMULADOSLIBERAO PT/PTT: 28:52 = 3,61dCONDIES CLIMTICAS: 39:00 = 4,88dPETROBRAS: 23:30 = 2,94dOUTROS: 2:20 = 0,3dAPJ: 0:00 = 0d"</t>
  </si>
  <si>
    <t>RO-215/2026</t>
  </si>
  <si>
    <t>Domingo. dia 22/02/26, no houve expediente de trabalho.</t>
  </si>
  <si>
    <t>RO-214/2026</t>
  </si>
  <si>
    <t>RO-213/2026</t>
  </si>
  <si>
    <t>RO-212/2026</t>
  </si>
  <si>
    <t>RO do dia se encontra conforme e validado pela fiscalizao.</t>
  </si>
  <si>
    <t>"RO DIRIO E OBRA - SS-17/2025 (LUMINOSIDADE)&amp;gt;SUBSTITUIO DAS LUMINRIAS DOS POSTES NA REA DO JARDIM DO AUDITRIO E NA PARAA DAS BANDEIRAS.AO REALIZAR O TESTE DA LUMINRIA, A OPERAO INFORMOU QUE O CIRCUITO EST EM CURTO, NO SENDO POSSVEL DEIXAR A LUMINRIA ACESA, PARA QUE O CLIENTE PUDESSE VER. - MOD:4 |PT: (21281664 |HR SOLIC 07:35 | HR LIB 09:00 |ATRASO 00:55|) - (HR ENC 16:30 | ATRASO 00:00)&amp;gt;&amp;gt;CONDIES CLIMTICAS: TEMPO BOM&amp;gt;&amp;gt;&amp;gt;IMPEDIMENTOS ACUMULADOSLIBERAO PT/PTT: 28:49 = 3,61dCONDIES CLIMTICAS: 39:00 = 4,88dPETROBRAS: 23:30 = 2,94dOUTROS: 2:20 = 0,3dAPJ: 0:00 = 0d"</t>
  </si>
  <si>
    <t>RO-210/2026</t>
  </si>
  <si>
    <t>Foi realizado a atividade de instalao e tratamento mecnico dos anis de Difusores, a atividade transcorre normalmente, solicitado ateno ao encarregado Dirceu Carapina ao Nivelamento e correto parafusamento dos anis na estrutura do difusor, ficar atento e sempre inspecionar ainda a qualidade e acabamento nos pontos de Solda que esto sendo feitos nos anis, foram montados na estrutura do chassis da torres os motores dos ventiladores que vieram da manuteno e retifica.</t>
  </si>
  <si>
    <t>"RO DIRIO E OBRA - SS-15/2025 (TORRE RESFR)&amp;gt;TRATAMENTO MECNICO E MONTAGEM DO MOTOR DO DIFUSOR - MOD:2 |PT: (21280455 |HR SOLIC 07:30 | HR LIB 08:14 |ATRASO 00:14|) - (HR ENC 16:30 | ATRASO 00:00)&amp;gt;&amp;gt;CONDIES CLIMTICAS: TEMPO BOM&amp;gt;&amp;gt;&amp;gt;IMPEDIMENTOS ACUMULADOSLIBERAO PT/PTT: 5:57 = 0,75dCONDIES CLIMTICAS: 10:30 = 1,32dPETROBRAS: 6:00 = 0,75dOUTROS: 4:55 = 0,62dAPJ: 0:00 = 0d"_______________________________________________________________________________________________"RO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</si>
  <si>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RO-209/2026</t>
  </si>
  <si>
    <t>Foi realizado a atividade de instalao e tratamento mecnico dos anis de Difusores, a atividade transcorre normalmente, solicitado ateno ao encarregado Dirceu Carapina ao Nivelamento e correto parafusamento dos anis na estrutura do difusor, ficar atento e sempre inspecionar ainda a qualidade e acabamento nos pontos de Solda que esto sendo feitos nos anis, est sendo feita ainda a pintura dos anis dos difusores.</t>
  </si>
  <si>
    <t>"RO DIRIO E OBRA - SS-15/2025 (TORRE RESFR)&amp;gt;TRATAMENTO MECNICA E PINTURA DA ESTRUTURA METLICA INTERNA DO DIFUSOR - MOD:4 |PT: (21275773 |HR SOLIC 07:28 | HR LIB 08:25 |ATRASO 00:27|) - (HR ENC 16:30 | ATRASO 00:00)&amp;gt;&amp;gt;CONDIES CLIMTICAS: TEMPO BOM&amp;gt;&amp;gt;&amp;gt;IMPEDIMENTOS ACUMULADOSLIBERAO PT/PTT: 5:43 = 0,72dCONDIES CLIMTICAS: 10:30 = 1,32dPETROBRAS: 6:00 = 0,75dOUTROS: 4:55 = 0,62dAPJ: 0:00 = 0d"___________________________________________________________________________________________________________"RO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</si>
  <si>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RO-208/2026</t>
  </si>
  <si>
    <t>"RO DIRIO E OBRA - SS-17/2025 (LUMINOSIDADE)&amp;gt;ADEQUAO DAS LUMINRIAS DOS POSTES COM BALIZADORES - MOD:4 |PT: (21275760 |HR SOLIC 07:25 | HR LIB 09:00 |ATRASO 01:05|) - (HR ENC 16:30 | ATRASO 00:00)&amp;gt;SUBSTITUIO DAS LUMINRIAS DOS POSTES NA REA DO JARDIM DO AUDITRIO - BLOCO CENTRAL - MOD:6 |PT: (21279108 |HR SOLIC 13:35 | HR LIB 15:00 |ATRASO 00:55|) - (HR ENC 16:30 | ATRASO 00:00)&amp;gt;&amp;gt;CONDIES CLIMTICAS: TEMPO BOM&amp;gt;&amp;gt;&amp;gt;IMPEDIMENTOS ACUMULADOSLIBERAO PT/PTT: 27:54 = 3,49dCONDIES CLIMTICAS: 39:00 = 4,88dPETROBRAS: 23:30 = 2,94dOUTROS: 2:20 = 0,3dAPJ: 0:00 = 0d"</t>
  </si>
  <si>
    <t>RO-207/2026</t>
  </si>
  <si>
    <t>MEDIÇÃO</t>
  </si>
  <si>
    <t>RT7J</t>
  </si>
  <si>
    <t>ATA DE REUNIÃO APJ - 2026 FEVEREIRO.pdf; BM-06-FEV-2026-UTGC-UNIFICADO-26-01-2026 A 25-02-2026-REV04.pdf; BM-06-FEV-2026-UTGC-UNIFICADO-26-01-2026 A 25-02-2026-REV04.xlsx; MC-06-FEV-2026-UTGC-UNIFICADO-26-01-2026 A 25-02-2026-REV04 - PARTE 01.pdf; MC-06-FEV-2026-UTGC-UNIFICADO-26-01-2026 A 25-02-2026-REV04 - PARTE 01.xlsx; Planilha IDF FEVEREIRO.xlsx; MC-06-FEV-2026-UTGC-UNIFICADO-26-01-2026 A 25-02-2026-REV04 - PARTE 02.pdf; MC-06-FEV-2026-UTGC-UNIFICADO-26-01-2026 A 25-02-2026-REV04 - PARTE 02.xlsx</t>
  </si>
  <si>
    <t>1001535892 10</t>
  </si>
  <si>
    <t>N</t>
  </si>
  <si>
    <t>100,0</t>
  </si>
  <si>
    <t>369,890</t>
  </si>
  <si>
    <t>Medio conferida e aprovada.</t>
  </si>
  <si>
    <t>Segue pleito de medio 006 referente a UTGC</t>
  </si>
  <si>
    <t>Finalizado</t>
  </si>
  <si>
    <t>RO-206/2026</t>
  </si>
  <si>
    <t>1001500847 10</t>
  </si>
  <si>
    <t>25,0</t>
  </si>
  <si>
    <t>952,000</t>
  </si>
  <si>
    <t>1001500853 10</t>
  </si>
  <si>
    <t>1001535889 10</t>
  </si>
  <si>
    <t>1001476613 10</t>
  </si>
  <si>
    <t>1001474574 10</t>
  </si>
  <si>
    <t>151,630</t>
  </si>
  <si>
    <t>1.364,670</t>
  </si>
  <si>
    <t>1.516,300</t>
  </si>
  <si>
    <t>SS-2/2026</t>
  </si>
  <si>
    <t>1001479160 30</t>
  </si>
  <si>
    <t>463,678</t>
  </si>
  <si>
    <t>1001487786 10</t>
  </si>
  <si>
    <t>117,411</t>
  </si>
  <si>
    <t>1.056,695</t>
  </si>
  <si>
    <t>1.174,106</t>
  </si>
  <si>
    <t>SS-4/2026</t>
  </si>
  <si>
    <t>774,986</t>
  </si>
  <si>
    <t>606,950</t>
  </si>
  <si>
    <t>114,217</t>
  </si>
  <si>
    <t>559,898</t>
  </si>
  <si>
    <t>1001459093 10</t>
  </si>
  <si>
    <t>501,040</t>
  </si>
  <si>
    <t>RUBENSALBUQUERQUE</t>
  </si>
  <si>
    <t>Ata Reunião Mensal de Medição-APJ Engenharia - Fevereiro-26 - Assinado 1.pdf; BM-06-FEV-2026-EDIVIT-UNIFICADO-26-01-2026 A 25-02-2026_REV01 - ASSINADA.pdf; MC_BM-06-FEV-2026-EDIVIT-UNIFICADO-26-01-2026 A 25-02-2026_REV01 - ASSINADA.pdf; BM-06-FEV-2026-EDIVIT-UNIFICADO-26-01-2026 A 25-02-2026_REV01.xlsx; Planilha IDF FEV 26 APJ.xlsx</t>
  </si>
  <si>
    <t>1001536044 10</t>
  </si>
  <si>
    <t>13,938</t>
  </si>
  <si>
    <t>125,442</t>
  </si>
  <si>
    <t>139,380</t>
  </si>
  <si>
    <t>Pleito de medio relativo ao perodo de 26/01/26 a 25/02/26, se encontra conforme e validado pela fiscalizao.</t>
  </si>
  <si>
    <t>Segue pleito de medio 006 referente ao EDIVIT.</t>
  </si>
  <si>
    <t>RO-205/2026</t>
  </si>
  <si>
    <t>789,513</t>
  </si>
  <si>
    <t>1001444185 10</t>
  </si>
  <si>
    <t>402,456</t>
  </si>
  <si>
    <t>375,529</t>
  </si>
  <si>
    <t>3.379,761</t>
  </si>
  <si>
    <t>3.755,290</t>
  </si>
  <si>
    <t>1001422797 10</t>
  </si>
  <si>
    <t>415,711</t>
  </si>
  <si>
    <t>392,148</t>
  </si>
  <si>
    <t>Quarta-feira, dia 18/02/26, no houve expediente, feriado de carnaval compensado.</t>
  </si>
  <si>
    <t>SEM EXPEDIENTE - FERIADO DE CARNAVAL - COMPENSADO</t>
  </si>
  <si>
    <t>RO-204/2026</t>
  </si>
  <si>
    <t>Tera-feira, dia 17/02/26, no houve expediente, feriado de carnaval compensado.</t>
  </si>
  <si>
    <t>RO-203/2026</t>
  </si>
  <si>
    <t>Segunda-feira, dia 16/02/26, no houve expediente, feriado de carnaval compensado.</t>
  </si>
  <si>
    <t>RO-202/2026</t>
  </si>
  <si>
    <t>Domingo, dia 15/02/26, no houve expediente.</t>
  </si>
  <si>
    <t>RO-201/2026</t>
  </si>
  <si>
    <t>RO-200/2026</t>
  </si>
  <si>
    <t>RO-199/2026</t>
  </si>
  <si>
    <t>RO-198/2026</t>
  </si>
  <si>
    <t>RO-197/2026</t>
  </si>
  <si>
    <t>RO-196/2026</t>
  </si>
  <si>
    <t>BONUS IDF SMS FEVEREIRO  2026  APJ ENGENHARIA.pdf; BONUS IDF SMS FEVEREIRO  2026  APJ ENGENHARIA rev I.pdf</t>
  </si>
  <si>
    <t>Documento NO atende os requisitos, uma vez que o IDF  avaliao do contrato como todo.E a base enviada foi apenas EDIVIT.</t>
  </si>
  <si>
    <t>Envio do doc. BNUS IDF SMS referencia FEV 2026 para avaliao.20 02 2026 Reenvio do BNUS IDF SMS referencia FEV 2026 com a incluso da unidade UTGC Linhares para avaliao.</t>
  </si>
  <si>
    <t>RO-194/2026</t>
  </si>
  <si>
    <t>"RO DIRIO E OBRA - SS-15/2025 (TORRE RESFR)&amp;gt;TRATAMENTO MECNICO E PINTURA DO ANEL E ESTRUTURA METLICA INTERNA DO DIFUSOR - MOD:2 |PT: (21267081 |HR SOLIC 08:16 | HR LIB 08:40 |ATRASO 00:00|) - (HR ENC 15:00 | ATRASO 01:30)&amp;gt;&amp;gt;CONDIES CLIMTICAS: TEMPO BOM&amp;gt;&amp;gt;&amp;gt;IMPEDIMENTOS ACUMULADOSLIBERAO PT/PTT: 5:16 = 0,66dCONDIES CLIMTICAS: 10:30 = 1,32dPETROBRAS: 6:00 = 0,75dOUTROS: 4:55 = 0,62dAPJ: 0:00 = 0d"__________________________________________________________________________________________________________________________"RO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</si>
  <si>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RO-193/2026</t>
  </si>
  <si>
    <t>"RO DIRIO E OBRA - SS-17/2025 (LUMINOSIDADE)&amp;gt;ADEQUAO DAS LUMINRIAS INTERNAS DOS POSTES - MOD:2 |PT: (21266756 |HR SOLIC 07:30 | HR LIB 09:00 |ATRASO 01:00|) - (HR ENC 15:00 | ATRASO 01:30)&amp;gt;&amp;gt;CONDIES CLIMTICAS: TEMPO BOM&amp;gt;&amp;gt;&amp;gt;IMPEDIMENTOS ACUMULADOSLIBERAO PT/PTT: 25:54 = 3,24dCONDIES CLIMTICAS: 39:00 = 4,88dPETROBRAS: 23:30 = 2,94dOUTROS: 2:20 = 0,3dAPJ: 0:00 = 0d"</t>
  </si>
  <si>
    <t>RO-192/2026</t>
  </si>
  <si>
    <t>Fiscalizao aprova RO.</t>
  </si>
  <si>
    <t>"RO DIRIO E OBRA - SS-17/2025 (LUMINOSIDADE)&amp;gt;ADEAQUAO DAS LUMINRIAS DOS POSTES COM BALIZADORES - MOD:4 |PT: (21260958 |HR SOLIC 08:00 | HR LIB 08:30 |ATRASO 00:00|) - (HR ENC 16:30 | ATRASO 00:00)&amp;gt;SUBSTITUIO DE REBATEDORES DOS POSTES DE 7M, UTILIZANDO ANDAIME - MOD:3 |PT: (21264147 |HR SOLIC 14:01 | HR LIB 14:32 |ATRASO 00:01|) - (HR ENC 15:23 | ATRASO 01:07)&amp;gt;&amp;gt;CONDIES CLIMTICAS: TEMPO BOM&amp;gt;&amp;gt;&amp;gt;IMPEDIMENTOS ACUMULADOSLIBERAO PT/PTT: 23:24 = 2,93dCONDIES CLIMTICAS: 39:00 = 4,88dPETROBRAS: 23:30 = 2,94dOUTROS: 2:20 = 0,3dAPJ: 0:00 = 0d"</t>
  </si>
  <si>
    <t>RO-191/2026</t>
  </si>
  <si>
    <t>Equipe da Torres Brasil, subcontratada da APJ est atuando na manuteno das torres de resfriamento, no foi executada nenhuma atividade hoje, o servio da Torres Brasil, foi concludo nas torres A e B, a equipe dever retornar agora quando for concluda a etapa de restaurao dos anis dos difusores e montagem dos ventiladores das torres A e B.Foi realizado a atividade de instalao e tratamento mecnico dos anis de Difusores, a atividade transcorre normalmente, solicitado ateno ao encarregado Dirceu Carapina ao Nivelamento e correto parafusamento dos anis na estrutura do difusor, ficar atento e sempre inspecionar ainda a qualidade e acabamento nos pontos de Solda que esto sendo feitos nos anis.</t>
  </si>
  <si>
    <t>"RO DIRIO E OBRA - SS-15/2025 (TORRE RESFR)&amp;gt;CORTE E SOLDA, TRATAMENTO MECNICO, E MONTAGEM DO ANEL METLICO DO DIFUSOR - MOD:4 |PT: (21260902 |HR SOLIC 08:00 | HR LIB 08:30 |ATRASO 00:00|) - (HR ENC 16:30 | ATRASO 00:00)&amp;gt;&amp;gt;CONDIES CLIMTICAS: TEMPO BOM&amp;gt;&amp;gt;&amp;gt;IMPEDIMENTOS ACUMULADOSLIBERAO PT/PTT: 5:16 = 0,66dCONDIES CLIMTICAS: 10:30 = 1,32dPETROBRAS: 6:00 = 0,75dOUTROS: 4:55 = 0,62dAPJ: 0:00 = 0d"______________________________________________________________________________________________________________"RO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</si>
  <si>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RO-190/2026</t>
  </si>
  <si>
    <t>"RO DIRIO E OBRA - SS-17/2025 (LUMINOSIDADE)&amp;gt;ADEQUAO DAS LUMINRIAS INTERNAS DOS POSTES - MOD:2 |PT: (21256019 |HR SOLIC 07:50 | HR LIB 09:40 |ATRASO 01:20|) - (HR ENC 16:30 | ATRASO 00:00)&amp;gt;MONTAGEM DE ANDAIMES PARA ACESSO AOS POSTES DE 7M (SUBSTITUIO DOS REBATEDORES POR LUMINRIAS) - MOD:5 |PT: (21256054 |HR SOLIC 07:29 | HR LIB 09:22 |ATRASO 01:23|) - (HR ENC 16:30 | ATRASO 00:00)&amp;gt;&amp;gt;CONDIES CLIMTICAS: TEMPO BOM&amp;gt;&amp;gt;&amp;gt;IMPEDIMENTOS ACUMULADOSLIBERAO PT/PTT: 22:16 = 2,79dCONDIES CLIMTICAS: 39:00 = 4,88dPETROBRAS: 23:30 = 2,94dOUTROS: 2:20 = 0,3dAPJ: 0:00 = 0d"</t>
  </si>
  <si>
    <t>RO-189/2026</t>
  </si>
  <si>
    <t>RO DIRIO E OBRA - SS-04/2025 (UPGN-2)  SEM EXPEDIENTE  &amp;gt;&amp;gt;CONDIES CLIMTICAS: TEMPO BOM  &amp;gt;&amp;gt;&amp;gt;IMPEDIMENTOS ACUMULADOS LIBERAO PT/PTT: 25:42 = 3,91d CONDIES CLIMTICAS: 38:35 = 3,83d PETROBRAS: 15:20 = 1,05d OUTROS: 25:20 = 4,17d APJ: 0:00 = 0d  RO DIRIO E OBRA - SS-05/2025 (SECGN)SEM EXPEDIENTE &amp;gt;&amp;gt;CONDIES CLIMTICAS: TEMPO BOM  &amp;gt;&amp;gt;&amp;gt;IMPEDIMENTOS ACUMULADOS LIBERAO PT/PTT: 42:39 = 5,78d CONDIES CLIMTICAS: 87:20 = 9,92d PETROBRAS: 6:30 = 0,82d OUTROS: 36:30 = 4,57d APJ: 0:00 = 0d  RO DIRIO E OBRA - SS-06/2025 (K-14) SEM EXPEDIENTE &amp;gt;&amp;gt;CONDIES CLIMTICAS: TEMPO BOM  &amp;gt;&amp;gt;&amp;gt;IMPEDIMENTOS ACUMULADOS LIBERAO PT/PTT: 44:03 = 6,02d CONDIES CLIMTICAS: 53:35 = 5,7d PETROBRAS: 1:30 = 0,19d OUTROS: 28:30 = 3,57d APJ: 0:00 = 0d ___________________________________________________________________________  RO DIRIO E OBRA - SS-08/2025 (K-02)  SEM EXPEDIENTE  &amp;gt;&amp;gt;CONDIES CLIMTICAS: TEMPO BOM  &amp;gt;&amp;gt;&amp;gt;IMPEDIMENTOS ACUMULADOS LIBERAO PT/PTT: 1:50 = 0,23d CONDIES CLIMTICAS: 0:00 = 0d PETROBRAS: 0:00 = 0d OUTROS: 104:30= 5,07d APJ: 0:00 = 0d RO DIRIO E OBRA - SS-12/2025 (ESTOQUE)  SEM EXPEDIENTE  &amp;gt;&amp;gt;CONDIES CLIMTICAS: TEMPO BOM  &amp;gt;&amp;gt;&amp;gt;IMPEDIMENTOS ACUMULADOS LIBERAO PT/PTT: 0:00 = 0d CONDIES CLIMTICAS: 23:00 = 1,88d PETROBRAS: 0:00 = 0d OUTROS: 0:30 = 0,07d APJ: 0:00 = 0d RO DIRIO E OBRA - SS-18/2025 (SALA CISC)  SEM EXPEDIENTE  &amp;gt;&amp;gt;CONDIES CLIMTICAS: TEMPO BOM  &amp;gt;&amp;gt;&amp;gt;IMPEDIMENTOS ACUMULADOS LIBERAO PT/PTT: 0:00 = 0d CONDIES CLIMTICAS: 0:00 = 0d PETROBRAS: 0:00 = 0d OUTROS: 0:30 = 0,07d APJ: 0:00 = 0d RO DIRIO E OBRA - SS-26/2025 (GALPO(K-23))  SEM EXPEDIENTE  &amp;gt;&amp;gt;CONDIES CLIMTICAS: TEMPO BOM   &amp;gt;&amp;gt;&amp;gt;IMPEDIMENTOS ACUMULADOS LIBERAO PT/PTT: 09:42 = 1,4d CONDIES CLIMTICAS: 0:00 = 0d PETROBRAS: 0:00 = 0d OUTROS: 45:50 = 7,67d APJ: 0:00 = 0d RO DIRIO E OBRA - SS-27/2025 (GALPO(K-12)  SEM EXPEDIENTE  &amp;gt;&amp;gt;CONDIES CLIMTICAS: TEMPO BOM  &amp;gt;&amp;gt;&amp;gt;IMPEDIMENTOS ACUMULADOS LIBERAO PT/PTT: 1:15 = 0,6d CONDIES CLIMTICAS: 0:00 = 0d PETROBRAS: 0:00 = 0d OUTROS: 32:00 = 5d APJ: 0:00 = 0d    RO DIRIO E OBRA - SS-28/2025 (GALPO(K-48)  SEM EXPEDIENTE  &amp;gt;&amp;gt;CONDIES CLIMTICAS: TEMPO BOM  &amp;gt;&amp;gt;&amp;gt;IMPEDIMENTOS ACUMULADOS LIBERAO PT/PTT: 0:25 = 0,06d CONDIES CLIMTICAS: 0:00 = 0d PETROBRAS: 0:00 = 0d OUTROS: 32:00 = 6d APJ: 0:00 = 0d    RO DIRIO E OBRA - SS-32/2025 (UPCGN-2)  SEM EXPEDIENTE  &amp;gt;&amp;gt;CONDIES CLIMTICAS: TEMPO BOM  &amp;gt;&amp;gt;&amp;gt;IMPEDIMENTOS ACUMULADOS LIBERAO PT/PTT: 4:26 = 0,56d CONDIES CLIMTICAS: 0:00 = 0d PETROBRAS: 0:00 = 0d OUTROS: 0:00 = 0d APJ: 0:00 = 0d</t>
  </si>
  <si>
    <t>RO-188/2026</t>
  </si>
  <si>
    <t>Equipe da Torres Brasil, subcontratada da APJ est atuando na manuteno das torres de resfriamento, no foi executada nenhuma atividade hoje, o servio da Torres Brasil, foi concludo nas torres A e B, a equipe dever retornar agora quando for concluda a etapa de restaurao dos anis dos difusores e montagem dos ventiladores das torres A e B.Foi realizado a atividade de instalao e pintura dos anis de Difusores, a atividade transcorre normalmente, solicitado ateno ao encarregado Dirceu Carapina ao Nivelamento e correto parafusamento dos anis na estrutura do difusor, ficar atento e sempre inspecionar ainda a qualidade e acabamento nos pontos de Solda que esto sendo feitos nos anis.</t>
  </si>
  <si>
    <t>"RO DIRIO E OBRA - SS-15/2025 (TORRE RESFR)&amp;gt;PINTURA DO ANEL DO DIFUSOR - MOD:3 |PT: (21256047 |HR SOLIC 08:00 | HR LIB 08:23 |ATRASO 00:00|) - (HR ENC 16:30 | ATRASO 00:00)&amp;gt;&amp;gt;CONDIES CLIMTICAS: TEMPO BOM&amp;gt;&amp;gt;&amp;gt;IMPEDIMENTOS ACUMULADOSLIBERAO PT/PTT: 5:16 = 0,66dCONDIES CLIMTICAS: 10:30 = 1,32dPETROBRAS: 6:00 = 0,75dOUTROS: 4:55 = 0,62dAPJ: 0:00 = 0d"______________________________________________________________________________________________________________________________________________________"RO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</si>
  <si>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RO-187/2026</t>
  </si>
  <si>
    <t>Os somatrios desde incio at o prazo final da SS dos acmulos de hora parada e meteorolgicas no final da SS a Petrobras ir analisar se e cabvel o abono revertido em acrscimo de dias no prazo de entrega da demanda.1. SECGN:Sbado, sem atividades programadas.2. K-14:Sem atividades programadas.Havia sido programada a atividade de desmontagem de andaimes, mas no foi executada.3. UPGN-2:A equipe de caldeiraria atuou na solda dos inserts, montagem das estruturas metlicas no cho.A equipe da Engeval atuou na montagem dos acessos na lateral das interferncias.A equipe atuou na pintura das soldas e tratamento da estrutura metlica dos mdulos montados no cho, lixamento e tratamento com tinta de fundo nas passarelas e na escada marinheiro (fachada da rua).4. SALA CISC:Sbado, sem atividades programadas.5. ESTOQUE MI:Sem atividades executadas.Foi programada a PTT de caldeiraria, mas a atividade no foi executada.6. K-02:Sem atividades executadas.Foi programada a PTT de caldeiraria, mas a atividade no foi executada.7. K-12:Sem atividades executadas, aguardando a chegada do material para iniciar a montagem da estrutura do galpo.8. K-23:A atividade de caldeiraria foi paralisada pela Petrobras, pois os equipamentos no podem ficar expostos ao tempo, com a remoo da cobertura, os compressores iriam ser deteriorados ou sofrer danos em seus componentes. Sem atividades, aguardando a chegada dos materiais.9. K-48:Sbado, sem atividades programadas.10. UPCGN-2:Desmontagem e remoo de rufos e calhas para substituio.RO aceito pela fiscalizao.</t>
  </si>
  <si>
    <t>RO DIRIO E OBRA - SS-04/2025 (UPGN-2)  &amp;gt;MONTAGEM DE ESTRUTRA METALICA E SOLDA DOS INSERTS - MOD:10 | PEMT:2 | GUINDASTE:1 | MUNCK:1 | PT: (21219304 |HR SOLIC 08:00 | HR LIB 08:10 |ATRASO 00:00|) - (HR ENC 16:30 | ATRASO 00:00)  &amp;gt;TRATAMENTO E PINTURA DE ESTRUTRAS METALICAS - MOD:2 | PT: (21206909 |HR SOLIC 08:00 | HR LIB 08:30 |ATRASO 00:00|) - (HR ENC 16:30 | ATRASO 00:00)&amp;gt;MONTAGEM DE ANDAIME- MOD:6 |PT: (21206863 |HR SOLIC 08:00 | HR LIB 08:30 |ATRASO 00:00|) - (HR ENC 16:30 | ATRASO 00:00)  &amp;gt;&amp;gt;CONDIES CLIMTICAS: TEMPO BOM  &amp;gt;&amp;gt;&amp;gt;IMPEDIMENTOS ACUMULADOS LIBERAO PT/PTT: 25:42= 3,91d CONDIES CLIMTICAS: 38:35 = 3,83d PETROBRAS: 15:20 = 1,05d OUTROS: 25:20 = 4,17d APJ: 0:00 = 0d RO DIRIO E OBRA - SS-05/2025 (SECGN)SEM ATIVIDADES  &amp;gt;&amp;gt;CONDIES CLIMTICAS: TEMPO BOM  &amp;gt;&amp;gt;&amp;gt;IMPEDIMENTOS ACUMULADOS LIBERAO PT/PTT: 42:39 = 5,69d CONDIES CLIMTICAS: 87:20 = 9,92d PETROBRAS: 6:30 = 0,82d OUTROS: 36:30 = 4,57d APJ: 0:00 = 0d RO DIRIO E OBRA - SS-06/2025 (K-14)SEM ATIVIDADES &amp;gt;&amp;gt;CONDIES CLIMTICAS: TEMPO BOM  &amp;gt;&amp;gt;&amp;gt;IMPEDIMENTOS ACUMULADOS LIBERAO PT/PTT: 44:03 = 6,6d CONDIES CLIMTICAS: 53:35 = 6,35d PETROBRAS: 1:30 = 0,19d OUTROS: 28:30 = 3,57d APJ: 0:00 = 0d RO DIRIO E OBRA - SS-08/2025 (K-02)  SEM ATIVIDADE  &amp;gt;&amp;gt;ATIVIDADE PARALIZADA DEVIDO SMS PETROBRAS NO AUTORIZAR TRANSPORTE DE MATERIAL FORA DA CARROCERIA DO VEICULO. OS ATRASOS SO REFERENTE AOS DIA 02;03;04;05;06) TOTAL DE 40HRS  &amp;gt;&amp;gt;CONDIES CLIMTICAS: TEMPO BOM  &amp;gt;&amp;gt;&amp;gt;IMPEDIMENTOS ACUMULADOS LIBERAO PT/PTT: 1:50 = 0,23d CONDIES CLIMTICAS: 0:00 = 0d PETROBRAS: 0:00 = 0d OUTROS: 104:30 = 5,07d APJ: 0:00 = 0d RO DIRIO E OBRA - SS-12/2025 (ESTOQUE) SEM ATIVIDADES  &amp;gt;&amp;gt;CONDIES CLIMTICAS: TEMPO BOM  &amp;gt;&amp;gt;&amp;gt;IMPEDIMENTOS ACUMULADOS LIBERAO PT/PTT: 0:00 = 0d CONDIES CLIMTICAS: 23:00 = 1,88d PETROBRAS: 0:00 = 0d OUTROS: 0:30 = 0,07d APJ: 0:00 = 0d RO DIRIO E OBRA - SS-18/2025 (SALA CISC)  SEM ATIVIDADES  &amp;gt;&amp;gt;CONDIES CLIMTICAS: TEMPO BOM  &amp;gt;&amp;gt;&amp;gt;IMPEDIMENTOS ACUMULADOS LIBERAO PT/PTT: 0:00 = 0d CONDIES CLIMTICAS: 0:00 = 0d PETROBRAS: 0:00 = 0d OUTROS: 0:30 = 0,07d APJ: 0:00 = 0d RO DIRIO E OBRA - SS-26/2025 (GALPO(K-23))  SEM ATIVIDADES  &amp;gt;&amp;gt;CONDIES CLIMTICAS: TEMPO BOM &amp;gt;&amp;gt;&amp;gt;IMPEDIMENTOS ACUMULADOS LIBERAO PT/PTT: 09:42 = 1,4d CONDIES CLIMTICAS: 0:00 = 0d PETROBRAS: 0:00 = 0d OUTROS: 45:50 = 7,67d APJ: 0:00 = 0d RO DIRIO E OBRA - SS-27/2025 (GALPO(K-12)  SEM ATIVIDADES  &amp;gt;&amp;gt;CONDIES CLIMTICAS: TEMPO BOM  &amp;gt;&amp;gt;&amp;gt;IMPEDIMENTOS ACUMULADOS LIBERAO PT/PTT: 1:15 = 0,6d CONDIES CLIMTICAS: 0:00 = 0d PETROBRAS: 0:00 = 0d OUTROS: 32:00 = 5d APJ: 0:00 = 0d RO DIRIO E OBRA - SS-28/2025 (GALPO(K-48)  SEM ATIIVDADES  &amp;gt;&amp;gt;CONDIES CLIMTICAS: TEMPO BOM  &amp;gt;&amp;gt;&amp;gt;IMPEDIMENTOS ACUMULADOS LIBERAO PT/PTT: 0:25 = 0,06d CONDIES CLIMTICAS: 0:00 = 0d PETROBRAS: 0:00 = 0d OUTROS: 32:00 = 6d APJ: 0:00 = 0d  RO DIRIO E OBRA - SS-32/2025 (UPCGN-2)  &amp;gt;DESMONTAGEM DE RUFOS E CALHAS- MOD:6 | PEMT:2 | PT: (21237976 |HR SOLIC 08:00 | HR LIB 08:50 |ATRASO 00:20|) - (HR ENC 16:30 | ATRASO 00:00)  &amp;gt;&amp;gt;CONDIES CLIMTICAS: TEMPO BOM  &amp;gt;&amp;gt;&amp;gt;IMPEDIMENTOS ACUMULADOS LIBERAO PT/PTT: 4:26 = 0,56d CONDIES CLIMTICAS: 0:00 = 0d PETROBRAS: 0:00 = 0d OUTROS: 0:00 = 0d APJ: 0:00 = 0d</t>
  </si>
  <si>
    <t>RO-186/2026</t>
  </si>
  <si>
    <t>Os somatrios desde incio at o prazo final da SS dos acmulos de hora parada e meteorolgicas no final da SS a Petrobras ir analisar se e cabvel o abono revertido em acrscimo de dias no prazo de entrega da demanda.Algumas PT's tiveram atraso na liberao, aguardando a liberao do cotur.1. SECGN:A equipe de caldeiraria deu sequncia na instalao das telhas de fechamento lateral e rufos.2. K-14:Sem atividades programadas.3. UPGN-2:A equipe de caldeiraria atuou na solda dos inserts, montagem das estruturas metlicas no cho.A equipe da Engeval atuou na montagem dos acessos na lateral das interferncias.A equipe atuou na pintura das soldas e tratamento da estrutura metlica dos mdulos montados no cho, lixamento e tratamento com tinta de fundo nas passarelas e na escada marinheiro (fachada da rua).4. SALA CISC:A equipe de civil atuou na instalao do piso vinlico.A eltrica atuou no aterramento do prdio (Cobertura do K-04).5. ESTOQUE MI:A equipe de eltrica atuou na instalao da infra eltrica e passagem dos cabos de aterramento.A equipe de civil atuou no assentamento dos blocos de vedao ao redor da estrutura metlica.6. K-02:Sem atividades executadas.7. K-12:Sem atividades executadas, aguardando a chegada do material para iniciar a montagem da estrutura do galpo.8. K-23:A atividade de caldeiraria foi paralisada pela Petrobras, pois os equipamentos no podem ficar expostos ao tempo, com a remoo da cobertura, os compressores iriam ser deteriorados ou sofrer danos em seus componentes. A PT foi aberta e depois encerrada, sem contabilizao de horas paradas de liberao.9. K-48:Sem atividades programadas.10. UPCGN-2:Desmontagem e remoo de rufos e calhas para substituio.RO aceito pela fiscalizao.</t>
  </si>
  <si>
    <t>RO DIRIO E OBRA - SS-04/2025 (UPGN-2)  &amp;gt;MONTAGEM DE ESTRUTRA METALICA E SOLDA DOS INSERTS - MOD:12 | MUNCK:1 | PT: (21219304 |HR SOLIC 08:00 | HR LIB 08:25 |ATRASO 00:00|) - (HR ENC 16:30 | ATRASO 00:00)  &amp;gt;TRATAMENTO E PINTURA DE ESTRUTRAS METALICAS - MOD:2 | PT: (21206909 |HR SOLIC 08:00 | HR LIB 08:30 |ATRASO 00|) - (HR ENC 16:30 | ATRASO 00:00)  &amp;gt;MONTAGEM DE ANDAIME - MOD:6 | PT: (21206863 |HR SOLIC 08:00 | HR LIB 08:10 |ATRASO 00:00|) - (HR ENC 16:30 | ATRASO 00:00)  &amp;gt;&amp;gt;CONDIES CLIMTICAS: TEMPO BOM  &amp;gt;&amp;gt;&amp;gt;IMPEDIMENTOS ACUMULADOS LIBERAO PT/PTT: 25:42 = 3,91d CONDIES CLIMTICAS: 38:35 = 3,83d PETROBRAS: 15:20 = 1,05d OUTROS: 25:20 = 4,17d APJ: 0:00 = 0d RO DIRIO E OBRA - SS-05/2025 (SECGN)  &amp;gt;MONTAGEM DE ESTRUTURA METALICA - MOD:6 | PT: (21232362 |HR SOLIC 08:00 | HR LIB 08:40 |ATRASO 00:10|) - (HR ENC 16:30 | ATRASO 00:00)  &amp;gt;&amp;gt;CONDIES CLIMTICAS: TEMPO BOM  &amp;gt;&amp;gt;&amp;gt;IMPEDIMENTOS ACUMULADOS LIBERAO PT/PTT: 42:39 = 5,69d CONDIES CLIMTICAS: 87:20 = 9,92d PETROBRAS: 6:30 = 0,82d OUTROS: 36:30 = 4,57d APJ: 0:00 = 0dRO DIRIO E OBRA - SS-06/2025 (K-14) SEM ATIVIDADES  &amp;gt;&amp;gt;CONDIES CLIMTICAS: TEMPO BOM  &amp;gt;&amp;gt;&amp;gt;IMPEDIMENTOS ACUMULADOS LIBERAO PT/PTT: 44:03 = 6,6d CONDIES CLIMTICAS: 53:35 = 6,35d PETROBRAS: 1:30 = 0,19d OUTROS: 28:30 = 3,57d APJ: 0:00 = 0d  RO DIRIO E OBRA - SS-08/2025 (K-02)  SEM ATIVIDADE &amp;gt;&amp;gt;CONDIES CLIMTICAS: TEMPO BOM  &amp;gt;&amp;gt;&amp;gt;IMPEDIMENTOS ACUMULADOS LIBERAO PT/PTT: 1:50 = 0,23d CONDIES CLIMTICAS: 0:00 = 0d PETROBRAS: 0:00 = 0d OUTROS: 64:30 = 5,07d APJ: 0:00 = 0d RO DIRIO E OBRA - SS-12/2025 (ESTOQUE)  &amp;gt;MONTAGEM DE INFRA ESTRUTURA ELETRICA - MOD:4 | PEMT:1 | PT: (21234140 |HR SOLIC 07:43 | HR LIB 08:00 |ATRASO 00:00|) - (HR ENC 16:30 | ATRASO 00:00)  &amp;gt;ASSENTAMENTO DE BLOCOS E LIMPEZA E ORGANIZAO - MOD:3 | PT: (21222476 |HR SOLIC 07:43 | HR LIB 07:55 |ATRASO 00:00|) - (HR ENC 16:30 | ATRASO 00:00)  &amp;gt;&amp;gt;CONDIES CLIMTICAS: TEMPO BOM  &amp;gt;&amp;gt;&amp;gt;IMPEDIMENTOS ACUMULADOS LIBERAO PT/PTT: 0:00 = 0d CONDIES CLIMTICAS: 23:00 = 1,88d PETROBRAS: 0:00 = 0d OUTROS: 0:30 = 0,07d APJ: 0:00 = 0d RO DIRIO E OBRA - SS-18/2025 (SALA CISC)  &amp;gt;INSTALA8O DE RODAPE E PINTURA - MOD:3 | PT: (21235649 |HR SOLIC 07:40 | HR LIB 07:50 |ATRASO 00:00|) - (HR ENC 16:30 | ATRASO 00:00)  &amp;gt;ADEQUAO ELETRICA E ATERRAMENTO - MOD:2 | PT: (21236326 |HR SOLIC 07:40 | HR LIB 07:52 |ATRASO 00:00|) - (HR ENC 16:30 | ATRASO 00:00)  &amp;gt;&amp;gt;CONDIES CLIMTICAS: TEMPO BOM  &amp;gt;&amp;gt;&amp;gt;IMPEDIMENTOS ACUMULADOS LIBERAO PT/PTT: 0:00 = 0d CONDIES CLIMTICAS: 0:00 = 0d PETROBRAS: 0:00 = 0d OUTROS: 0:30 = 0,07d APJ: 0:00 = 0d RO DIRIO E OBRA - SS-26/2025 (GALPO(K-23))  &amp;gt;DESMONTAGEM DE TELHAS LATERAIS - MOD:3 | PEMT:1 | PT: (21232345 |HR SOLIC 08:00 | HR LIB |ATRASO 00:26|) - (HR ENC 16:30 | ATRASO 00:00)  &amp;gt;&amp;gt;CONDIES CLIMTICAS: TEMPO BOM &amp;gt;&amp;gt;ATIVIDADE PARALISADA PELA OPERAO, DEVIDO GALPO NO PODER FICAR DESCOBERTO. (07:30 - 16:30)  &amp;gt;&amp;gt;&amp;gt;IMPEDIMENTOS ACUMULADOS LIBERAO PT/PTT: 09:42 = 1,4d CONDIES CLIMTICAS: 0:00 = 0d PETROBRAS: 0:00 = 0d OUTROS: 45:50 = 7,67d APJ: 0:00 = 0d RO DIRIO E OBRA - SS-27/2025 (GALPO(K-12)  SEM ATIVIDADES  &amp;gt;&amp;gt;CONDIES CLIMTICAS: TEMPO BOM  &amp;gt;&amp;gt;&amp;gt;IMPEDIMENTOS ACUMULADOS LIBERAO PT/PTT: 1:45 = 0,6d CONDIES CLIMTICAS: 0:00 = 0d PETROBRAS: 0:00 = 0d OUTROS: 32:00 = 5d APJ: 0:00 = 0d  RO DIRIO E OBRA - SS-28/2025 (GALPO(K-48)  SEM ATIIVDADES  &amp;gt;&amp;gt;CONDIES CLIMTICAS: TEMPO BOM  &amp;gt;&amp;gt;&amp;gt;IMPEDIMENTOS ACUMULADOS LIBERAO PT/PTT: 0:25 = 0,06d CONDIES CLIMTICAS: 0:00 = 0d PETROBRAS: 0:00 = 0d OUTROS: 32:00 = 6d APJ: 0:00 = 0d RO DIRIO E OBRA - SS-32/2025 (UPCGN-2)  &amp;gt;DESMONTAGEM DE RUFOS E CALHAS - MOD:4 | PEMT:1 | PT: (21232309 |HR SOLIC 08:00 | HR LIB 08:50 |ATRASO 00:20|) - (HR ENC 16:30 | ATRASO 00:00)  &amp;gt;&amp;gt;CONDIES CLIMTICAS: TEMPO BOM  &amp;gt;&amp;gt;&amp;gt;IMPEDIMENTOS ACUMULADOS LIBERAO PT/PTT: 4:06 = 0,52d CONDIES CLIMTICAS: 0:00 = 0d PETROBRAS: 0:00 = 0d OUTROS: 0:00 = 0d APJ: 0:00 = 0d</t>
  </si>
  <si>
    <t>06/02/2026</t>
  </si>
  <si>
    <t>RO-185/2026</t>
  </si>
  <si>
    <t>Os somatrios desde incio at o prazo final da SS dos acmulos de hora parada e meteorolgicas no final da SS a Petrobras ir analisar se e cabvel o abono revertido em acrscimo de dias no prazo de entrega da demanda.Algumas PT's tiveram atraso na liberao, aguardando a liberao do cotur.1. SECGN:A equipe de caldeiraria deu sequncia na instalao das telhas de fechamento lateral e rufos.2. K-14:Sem atividades programadas.3. UPGN-2:A equipe de caldeiraria atuou na solda dos inserts, montagem das estruturas metlicas no cho.A equipe da Engeval atuou na montagem dos acessos na lateral das interferncias.A equipe atuou na pintura das soldas e tratamento da estrutura metlica dos mdulos montados no cho, lixamento e tratamento com tinta de fundo nas passarelas e na escada marinheiro (fachada da rua).4. SALA CISC:A equipe de civil atuou na instalao do piso vinlico e no assentamento de blocos.5. ESTOQUE MI:A equipe de eltrica atuou na instalao da infra eltrica e passagem dos cabos de aterramento.A equipe de civil atuou no assentamento dos blocos de vedao ao redor da estrutura metlica.6. K-02:Sem atividades executadas.7. K-12:Sem atividades executadas, aguardando a chegada do material para iniciar a montagem da estrutura do galpo.8. K-23:Equipe de eltrica atuou na remoo da infra eltrica do galpo.A atividade de caldeiraria foi paralisada pela Petrobras, pois os equipamentos no podem ficar expostos ao tempo, com a remoo da cobertura, os compressores iriam ser deteriorados ou sofrer danos em seus componentes.9. K-48:Sem atividades programadas.10. UPCGN-2:Desmontagem e remoo de rufos e calhas para substituio.RO aceito pela fiscalizao.</t>
  </si>
  <si>
    <t>RO DIRIO E OBRA - SS-04/2025 (UPGN-2)  &amp;gt;MONTAGEM DE ESTRUTRA METALICA E SOLDA DOS INSERTS - MOD:7 | PT: (21219304 |HR SOLIC 08:00 | HR LIB 08:30 |ATRASO 00:00|) - (HR ENC 16:30 | ATRASO 00:00)  &amp;gt;TRATAMENTO E PINTURA DE ESTRUTRAS METALICAS - MOD:1 | PT: (21206909 |HR SOLIC 08:00 | HR LIB 09:47 |ATRASO 01:17|) - (HR ENC 16:30 | ATRASO 00:00)  &amp;gt;MONTAGEM DE ANDAIME - MOD:6 | PT: (21206863 |HR SOLIC 08:00 | HR LIB 08:10 |ATRASO 00:00|) - (HR ENC 16:30 | ATRASO 00:00)  &amp;gt;&amp;gt;CONDIES CLIMTICAS: TEMPO BOM  &amp;gt;&amp;gt;&amp;gt;IMPEDIMENTOS ACUMULADOS LIBERAO PT/PTT: 25:42 = 3,75d CONDIES CLIMTICAS: 38:35 = 3,83d PETROBRAS: 15:20 = 1,05d OUTROS: 25:20 = 4,17d APJ: 0:00 = 0d  RO DIRIO E OBRA - SS-05/2025 (SECGN)  &amp;gt;MONTAGEM DE ESTRUTURA METALICA - MOD:7 | PT: (21227080 |HR SOLIC 08:00 | HR LIB 08:50 |ATRASO 00:20|) - (HR ENC 16:30 | ATRASO 00:00)  &amp;gt;&amp;gt;CONDIES CLIMTICAS: TEMPO COM ANOMALIA &amp;gt;&amp;gt;INCIDNCIA DE VENTOS (10:35 - 16:30)  &amp;gt;&amp;gt;&amp;gt;IMPEDIMENTOS ACUMULADOS LIBERAO PT/PTT: 42:39 = 5,67d CONDIES CLIMTICAS: 87:20 = 9,92d PETROBRAS: 6:30 = 0,82d OUTROS: 36:30 = 4,57d APJ: 0:00 = 0d___________________________________________________________RO DIRIO E OBRA - SS-06/2025 (K-14) SEM ATIVIDADES  &amp;gt;&amp;gt;CONDIES CLIMTICAS: TEMPO BOM  &amp;gt;&amp;gt;&amp;gt;IMPEDIMENTOS ACUMULADOS LIBERAO PT/PTT: 44:03 = 6,6d CONDIES CLIMTICAS: 53:35 = 6,35d PETROBRAS: 1:30 = 0,19d OUTROS: 28:30 = 3,57d APJ: 0:00 = 0d  RO DIRIO E OBRA - SS-08/2025 (K-02)  SEM ATIVIDADE  &amp;gt;&amp;gt;CONDIES CLIMTICAS: TEMPO BOM  &amp;gt;&amp;gt;&amp;gt;IMPEDIMENTOS ACUMULADOS LIBERAO PT/PTT: 1:50 = 0,23d CONDIES CLIMTICAS: 0:00 = 0d PETROBRAS: 0:00 = 0d OUTROS: 64:30 = 5,07d APJ: 0:00 = 0d RO DIRIO E OBRA - SS-12/2025 (ESTOQUE)  &amp;gt;MONTAGEM DE INFRA ELETRICA, PASSAGEM DE CABOS - MOD:4 | PT: (21230564 |HR SOLIC 09:04 | HR LIB 09:10 |ATRASO 00:00|) - (HR ENC 16:30 | ATRASO 00:00)  &amp;gt;ASSENTAMENTO DE BLOCOS E LIMPEZA E ORGANIZAO - MOD:4 | PT: (21222476 |HR SOLIC 07:30 | HR LIB 07:35 |ATRASO 00:00|) - (HR ENC 16:30 | ATRASO 00:00)  &amp;gt;&amp;gt;CONDIES CLIMTICAS: TEMPO BOM  &amp;gt;&amp;gt;&amp;gt;IMPEDIMENTOS ACUMULADOS LIBERAO PT/PTT: 0:00 = 0d CONDIES CLIMTICAS: 23:00 = 1,88d PETROBRAS: 0:00 = 0d OUTROS: 0:30 = 0,07d APJ: 0:00 = 0d RO DIRIO E OBRA - SS-18/2025 (SALA CISC)  &amp;gt;ASSENTAMENTO DE BLOCOS E LIMPEZA E ORGANIZAO - MOD:3 | PT: (21229204 |HR SOLIC 07:30 | HR LIB 07:35 |ATRASO 00:00|) - (HR ENC 16:30 | ATRASO 00:00)  &amp;gt;INSTALAO DE PISO VINILICO, PINTURA- MOD:3 | PT: (21229204 |HR SOLIC 07:30 | HR LIB 07:35 |ATRASO 00:00|) - (HR ENC 16:30 | ATRASO 00:00)  &amp;gt;&amp;gt;CONDIES CLIMTICAS: TEMPO BOM  &amp;gt;&amp;gt;&amp;gt;IMPEDIMENTOS ACUMULADOS LIBERAO PT/PTT: 0:00 = 0d CONDIES CLIMTICAS: 0:00 = 0d PETROBRAS: 0:00 = 0d OUTROS: 0:30 = 0,07d APJ: 0:00 = 0d RO DIRIO E OBRA - SS-26/2025 (GALPO(K-23))  &amp;gt;DESMONTAGEM DE ESTRUTURA METALICA- MOD:3 | PEMT:1 | PT: (21227055 |HR SOLIC 08:00 | HR LIB 08:10 |ATRASO 00:00|) - (HR ENC 16:30 | ATRASO 00:00)  &amp;gt;&amp;gt;CONDIES CLIMTICAS: TEMPO BOM &amp;gt;&amp;gt;ATIVIDADE PARALISADA PELA OPERAO, DEVIDO GALPO NO PODER FICAR DESCOBERTO. (10:40 - 16:30)  &amp;gt;&amp;gt;&amp;gt;IMPEDIMENTOS ACUMULADOS LIBERAO PT/PTT: 09:42 = 1,34d CONDIES CLIMTICAS: 0:00 = 0d PETROBRAS: 0:00 = 0d OUTROS: 37:50 = 6,73d APJ: 0:00 = 0d   RO DIRIO E OBRA - SS-27/2025 (GALPO(K-12)  SEM ATIVIDADES  &amp;gt;&amp;gt;CONDIES CLIMTICAS: TEMPO BOM  &amp;gt;&amp;gt;&amp;gt;IMPEDIMENTOS ACUMULADOS LIBERAO PT/PTT: 1:45 = 0,6d CONDIES CLIMTICAS: 0:00 = 0d PETROBRAS: 0:00 = 0d OUTROS: 32:00 = 5d APJ: 0:00 = 0d    RO DIRIO E OBRA - SS-28/2025 (GALPO(K-48)  SEM ATIIVDADES  &amp;gt;&amp;gt;CONDIES CLIMTICAS: TEMPO BOM  &amp;gt;&amp;gt;&amp;gt;IMPEDIMENTOS ACUMULADOS LIBERAO PT/PTT: 0:25 = 0,06d CONDIES CLIMTICAS: 0:00 = 0d PETROBRAS: 0:00 = 0d OUTROS: 32:00 = 6d APJ: 0:00 = 0d   RO DIRIO E OBRA - SS-32/2025 (UPCGN-2)  &amp;gt;DESMONTAGEM DE RUFOS E CALHAS- MOD:4 | PEMT:1 | PT: (21226968 |HR SOLIC 08:00 | HR LIB 10:00 |ATRASO 01:30|) - (HR ENC 16:30 | ATRASO 00:00)  &amp;gt;&amp;gt;CONDIES CLIMTICAS: TEMPO BOM  &amp;gt;&amp;gt;&amp;gt;IMPEDIMENTOS ACUMULADOS LIBERAO PT/PTT: 3:46 = 0,48d CONDIES CLIMTICAS: 0:00 = 0d PETROBRAS: 0:00 = 0d OUTROS: 0:00 = 0d APJ: 0:00 = 0d</t>
  </si>
  <si>
    <t>05/02/2026</t>
  </si>
  <si>
    <t>RO-184/2026</t>
  </si>
  <si>
    <t>Os somatrios desde incio at o prazo final da SS dos acmulos de hora parada e meteorolgicas no final da SS a Petrobras ir analisar se e cabvel o abono revertido em acrscimo de dias no prazo de entrega da demanda.Algumas PT's tiveram atraso na liberao, aguardando a liberao do cotur.1. SECGN:A equipe de caldeiraria deu sequncia na instalao das telhas de fechamento lateral e rufos.A equipe de pintura (irata) atuou nos retoques de pintura da estrutura metlica.2. K-14:Sem atividades programadas.3. UPGN-2:A equipe de caldeiraria atuou na solda dos inserts, montagem das estruturas metlicas no cho.A equipe da Engeval atuou na montagem dos acessos na lateral das interferncias.A equipe atuou na pintura das soldas e tratamento da estrutura metlica dos mdulos montados no cho, lixamento e tratamento com tinta de fundo nas passarelas e na escada marinheiro (fachada da rua).4. SALA CISC:A equipe de pintura atuou no emassamento e lixamento das paredes, e a civil atuou na instalao do piso vinlico.5. ESTOQUE MI:A equipe de caldeiraria atuou na montagem dos perfis dos vos j instalados.A equipe de civil atuou no assentamento dos blocos de vedao ao redor da estrutura metlica.A Engeval montou os andaimes de acesso s tesouras do galpo.6. K-02:Sem atividades executadas.7. K-12:Sem atividades executadas, aguardando a chegada do material para iniciar a montagem da estrutura do galpo.8. K-23:Equipe de eltrica atuou na remoo da infra eltrica do galpo.Caldeiraria atuou na remoo das telhas e perfis do fechamento frontal do galpo.9. K-48:Desmontagem da infra eltrica do galpo.10. UPCGN-2:Desmontagem e remoo de rufos e calhas para substituio. Atraso na liberao da PT pois estava sem apoio da pemt na mesma.RO aceito pela fiscalizao.</t>
  </si>
  <si>
    <t>RO DIRIO E OBRA - SS-04/2025 (UPGN-2)  &amp;gt;MONTAGEM DE ESTRUTRA METALICA E SOLDA DOS INSERTS - MOD:10 | PEMT:2 | MUNCK:1 | PT: (21219304 |HR SOLIC 08:00 | HR LIB 10:15 |ATRASO 01:45|) - (HR ENC 16:30 | ATRASO 00:00)  &amp;gt;TRATAMENTO E PINTURA ESTRUTURA METALICA - MOD:1 | PT: (21206909 |HR SOLIC 08:00 | HR LIB 09:47 |ATRASO 01:17|) - (HR ENC 16:30 | ATRASO 00:00) &amp;gt;&amp;gt;AS PTs TIVERAM ATRASO NA LIBERAO PELA OPERAO DEVIDO ACIDENTE NA UNIDADE COM OUTRA CONTRATADA&amp;gt;&amp;gt;CONDIES CLIMTICAS: TEMPO BOM  &amp;gt;&amp;gt;&amp;gt;IMPEDIMENTOS ACUMULADOS LIBERAO PT/PTT: 24:25 = 3,59d CONDIES CLIMTICAS: 38:35 = 3,83d PETROBRAS: 1:20 = 1,05d OUTROS: 25:20 = 4,17d APJ: 0:00 = 0d  RO DIRIO E OBRA - SS-05/2025 (SECGN)  &amp;gt;MONTAGEM DE ESTRUTURA METALICA - MOD:5 | PEMT:1 | PT: (21222032 |HR SOLIC 08:00 | HR LIB 09:40 |ATRASO 01:10|) - (HR ENC 16:30 | ATRASO 00:00)  &amp;gt;PINTURA DE ESTRUTURAS - MOD:2 | PT: (21222037 |HR SOLIC 08:00 | HR LIB 09:40 |ATRASO 01:10|) - (HR ENC 16:30 | ATRASO 00:00) &amp;gt;AS PTs TIVERAM ATRASO NA LIBERAO PELA OPERAO DEVIDO ACIDENTE NA UNIDADE COM OUTRA CONTRATADA  &amp;gt;&amp;gt;CONDIES CLIMTICAS: TEMPO BOM  &amp;gt;&amp;gt;&amp;gt;IMPEDIMENTOS ACUMULADOS LIBERAO PT/PTT: 42:19 = 5,63d CONDIES CLIMTICAS: 81:25 = 9,18d PETROBRAS: 6:30 = 0,82d OUTROS: 36:30 = 4,57d APJ: 0:00 = 0dRO DIRIO E OBRA - SS-06/2025 (K-14) SEM ATIVIDADES  &amp;gt;&amp;gt;CONDIES CLIMTICAS: TEMPO BOM  &amp;gt;&amp;gt;&amp;gt;IMPEDIMENTOS ACUMULADOS LIBERAO PT/PTT: 44:03 = 6,6d CONDIES CLIMTICAS: 53:35 = 6,35d PETROBRAS: 1:30 = 0,19d OUTROS: 28:30 = 3,57d APJ: 0:00 = 0d RO DIRIO E OBRA - SS-08/2025 (K-02) SEM ATIVIDADE &amp;gt;&amp;gt;CONDIES CLIMTICAS: TEMPO BOM  &amp;gt;&amp;gt;&amp;gt;IMPEDIMENTOS ACUMULADOS LIBERAO PT/PTT: 1:50 = 0,23d CONDIES CLIMTICAS: 0:00 = 0d PETROBRAS: 0:00 = 0d OUTROS: 64:30 = 5,07d APJ: 0:00 = 0d   RO DIRIO E OBRA - SS-12/2025 (ESTOQUE)  &amp;gt;MONTAEGM DE ESTRUTURAS METALICAS - MOD:3 | PT: (21220306 |HR SOLIC 08:00 | HR LIB 08:10 |ATRASO 00:00|) - (HR ENC 16:30 | ATRASO 00:00)  &amp;gt;ASSENTAMENTO DE BLOCOS E LIMPEZA E ORGANIZAO - MOD:3 | PT: (21222476 |HR SOLIC 07:50 | HR LIB 08:00 |ATRASO 00:00|) - (HR ENC 16:30 | ATRASO 00:00)  &amp;gt;MONTAGEM DE ANDAIME - MOD:6 | PT: (21206863 |HR SOLIC 07:50 | HR LIB 07:58 |ATRASO 00:00|) - (HR ENC 16:30 | ATRASO 00:00)  &amp;gt;&amp;gt;CONDIES CLIMTICAS: TEMPO BOM  &amp;gt;&amp;gt;&amp;gt;IMPEDIMENTOS ACUMULADOS LIBERAO PT/PTT: 0:00 = 0d CONDIES CLIMTICAS: 23:00 = 1,88d PETROBRAS: 0:00 = 0d OUTROS: 0:30 = 0,07d APJ: 0:00 = 0d   RO DIRIO E OBRA - SS-18/2025 (SALA CISC)  &amp;gt;INSTALAO DE PISO VINILICO, PINTURA - MOD:3 | PT: (21223276 |HR SOLIC 07:45 | HR LIB 07:52 |ATRASO 00:00|) - (HR ENC 16:30 | ATRASO 00:00)  &amp;gt;&amp;gt;CONDIES CLIMTICAS: TEMPO BOM  &amp;gt;&amp;gt;&amp;gt;IMPEDIMENTOS ACUMULADOS LIBERAO PT/PTT: 0:00 = 0d CONDIES CLIMTICAS: 0:00 = 0d PETROBRAS: 0:00 = 0d OUTROS: 0:30 = 0,07d APJ: 0:00 = 0d RO DIRIO E OBRA - SS-26/2025 (GALPO(K-23)  &amp;gt;DESMONTAGEM DE INFRA ELETRICA - MOD:3 | PEMT:1 | PT: (21225724 |HR SOLIC 08:00 | HR LIB 09:12 |ATRASO 00:42|) - (HR ENC 16:30 | ATRASO 00:00)  &amp;gt;DESMONTAGEM DE ESTRUTURA METALICA(FACHADAS) - MOD:3 | PEMT:1 | PT: (21222067 |HR SOLIC 08:00 | HR LIB 09:07 |ATRASO 00:37|) - (HR ENC 16:30 | ATRASO 00:00)  &amp;gt;&amp;gt;AS PTs TIVERAM ATRASO NA LIBERAO PELA OPERAO DEVIDO ACIDENTE NA UNIDADE COM OUTRA CONTRATADA  &amp;gt;&amp;gt;CONDIES CLIMTICAS: TEMPO BOM  &amp;gt;&amp;gt;&amp;gt;IMPEDIMENTOS ACUMULADOS LIBERAO PT/PTT: 09:42 = 1,34d CONDIES CLIMTICAS: 0:00 = 0d PETROBRAS: 0:00 = 0d OUTROS: 32:00 = 6d APJ: 0:00 = 0d   RO DIRIO E OBRA - SS-27/2025 (GALPO(K-12) SEM ATIVIDADES  &amp;gt;&amp;gt;CONDIES CLIMTICAS: TEMPO BOM  &amp;gt;&amp;gt;&amp;gt;IMPEDIMENTOS ACUMULADOS LIBERAO PT/PTT: 1:45 = 0,6d CONDIES CLIMTICAS: 0:00 = 0d PETROBRAS: 0:00 = 0d OUTROS: 32:00 = 5d APJ: 0:00 = 0d  RO DIRIO E OBRA - SS-28/2025 (GALPO(K-48)  &amp;gt;DESMONTAGEM DE INFRA ELETRICA - MOD:2 | PEMT:1 | PT: (21222331 |HR SOLIC 08:00 | HR LIB 08:55 |ATRASO 00:25|) - (HR ENC 16:30 | ATRASO 00:00) &amp;gt;&amp;gt;AS PTs TIVERAM ATRASO NA LIBERAO PELA OPERAO DEVIDO ACIDENTE NA UNIDADE COM OUTRA CONTRATADA  &amp;gt;&amp;gt;CONDIES CLIMTICAS: TEMPO BOM  &amp;gt;&amp;gt;&amp;gt;IMPEDIMENTOS ACUMULADOS LIBERAO PT/PTT: 0:25 = 0,06d CONDIES CLIMTICAS: 0:00 = 0d PETROBRAS: 0:00 = 0d OUTROS: 32:00 = 6d APJ: 0:00 = 0d  RO DIRIO E OBRA - SS-32/2025 (UPCGN-2)  &amp;gt;DESMONTAGEM DE RUFOS E CALHAS - MOD:4 | PEMT:1 | PT: (21226118 |HR SOLIC 08:00 | HR LIB 10:46 |ATRASO 02:16|) - (HR ENC 16:30 | ATRASO 00:00)  &amp;gt;&amp;gt;AS PTs TIVERAM ATRASO NA LIBERAO PELA OPERAO DEVIDO ACIDENTE NA UNIDADE COM OUTRA CONTRATADA &amp;gt;&amp;gt;CONDIES CLIMTICAS: TEMPO BOM  &amp;gt;&amp;gt;&amp;gt;IMPEDIMENTOS ACUMULADOS LIBERAO PT/PTT: 2:16 = 0,29d CONDIES CLIMTICAS: 0:00 = 0d PETROBRAS: 0:00 = 0d OUTROS: 0:00 = 0d APJ: 0:00 = 0d</t>
  </si>
  <si>
    <t>04/02/2026</t>
  </si>
  <si>
    <t>RO-183/2026</t>
  </si>
  <si>
    <t>Os somatrios desde incio at o prazo final da SS dos acmulos de hora parada e meteorolgicas no final da SS a Petrobras ir analisar se e cabvel o abono revertido em acrscimo de dias no prazo de entrega da demanda.Algumas PT's tiveram atraso na liberao, aguardando a liberao do cotur.1. SECGN:A equipe de caldeiraria deu sequncia na instalao das telhas de fechamento lateral e rufos.A equipe de pintura (irata) atuou nos retoques de pintura da estrutura metlica.2. K-14:A equipe de andaime da Engeval atuou na desmontagem de andaime interno.3. UPGN-2:A equipe de caldeiraria atuou na solda dos inserts, montagem das estruturas metlicas no cho.A equipe da Engeval atuou na montagem dos acessos na lateral das interferncias.A equipe atuou na pintura das soldas e tratamento da estrutura metlica dos mdulos montados no cho, lixamento e tratamento com tinta de fundo nas passarelas e na escada marinheiro (fachada da rua).4. SALA CISC:A equipe de pintura atuou no emassamento e lixamento das paredes.Equipe de eltrica atuou na instalao da infra das mesas.5. ESTOQUE MI:A equipe de caldeiraria atuou na montagem dos perfis dos vos j instalados.A equipe de civil atuou no assentamento dos blocos de vedao ao redor da estrutura metlica.A Engeval montou os andaimes de acesso s tesouras do galpo.6. K-02:Sem atividades executadas.7. K-12:Equipe de pintura atuou no tratamento e pintura das chapas bases dos pilares.A equipe de civil fez a correo das bases, grauteamento das mesmas (recuperao), PT 21.210.666 (civil, no caldeiraria).8. K-23:Equipe de eltrica atuou na remoo da infra eltrica do galpo.Caldeiraria atuou na remoo das telhas e perfis do fechamento frontal do galpo.9. K-48:Sem atividades programadas.Aguardando equipe de caldeiraria para incio das atividades de desmontagem.RO aceito pela fiscalizao.</t>
  </si>
  <si>
    <t>RO DIRIO E OBRA - SS-04/2025 (UPGN-2)  &amp;gt;MONTAGEM DE ESTRUTRA METALICA E SOLDA DOS INSERTS - MOD:8 | PEMT:2 | GUINDASTE:1 | PT: (21068459 |HR SOLIC 08:00 | HR LIB 08:30 |ATRASO 00:00|) - (HR ENC 16:30 | ATRASO 00:00)  &amp;gt;TRATAMENTO E PINTURA DE ESTRUTURA METALICA - MOD:1 | PT: (21079158 |HR SOLIC 08:00 | HR LIB 08:10 |ATRASO 00:00|) - (HR ENC 16:30 | ATRASO 00:00)  &amp;gt;MONTAGEM DE ANDAIME - MOD:6 | PT: (21071500 |HR SOLIC 08:00 | HR LIB 08:30 |ATRASO 00:00|) - (HR ENC 16:30 | ATRASO 00:00)  &amp;gt;&amp;gt;CONDIES CLIMTICAS: TEMPO BOM  &amp;gt;&amp;gt;&amp;gt;IMPEDIMENTOS ACUMULADOS LIBERAO PT/PTT: 21:23 = 3,21d CONDIES CLIMTICAS: 38:35 = 3,83d PETROBRAS: 15:20 = 1,05d OUTROS: 25:20 = 4,17d APJ: 0:00 = 0d RO DIRIO E OBRA - SS-05/2025 (SECGN)  &amp;gt;MONTAGEM DE ESTRUTURA METALICA(TELHAS) - MOD:5 | PT: (21217047 |HR SOLIC 08:00 | HR LIB 09:50 |ATRASO 01:20|) - (HR ENC 16:30 | ATRASO 00:00)  &amp;gt;TRATAMENTO E PINTURA - MOD:2 | PT: (21217076 |HR SOLIC 08:00 | HR LIB 09:50 |ATRASO 01:20|) - (HR ENC 16:30 | ATRASO 00:00)&amp;gt;&amp;gt;AS PTs TIVERAM ATRASO NA LIBERAO PELA OPERAO DEVIDO ACIDENTE NA UNIDADE COM OUTRA CONTRATADA &amp;gt;&amp;gt;CONDIES CLIMTICAS: TEMPO BOM  &amp;gt;&amp;gt;&amp;gt;IMPEDIMENTOS ACUMULADOS LIBERAO PT/PTT: 39:59 = 5,34d CONDIES CLIMTICAS: 81:25 = 9,18d PETROBRAS: 6:30 = 0,82d OUTROS: 36:30 = 4,57d APJ: 0:00 = 0dRO DIRIO E OBRA - SS-06/2025 (K-14) SEM ATIVIDADES &amp;gt;&amp;gt;CONDIES CLIMTICAS: TEMPO BOM  &amp;gt;&amp;gt;&amp;gt;IMPEDIMENTOS ACUMULADOS LIBERAO PT/PTT: 44:03 = 6,6d CONDIES CLIMTICAS: 53:35 = 6,35d PETROBRAS: 1:30 = 0,19d OUTROS: 28:30 = 3,57d APJ: 0:00 = 0d RO DIRIO E OBRA - SS-08/2025 (K-02)  SEM ATIVIDADE &amp;gt;&amp;gt;CONDIES CLIMTICAS: TEMPO BOM  &amp;gt;&amp;gt;&amp;gt;IMPEDIMENTOS ACUMULADOS LIBERAO PT/PTT: 1:50 = 0,23d CONDIES CLIMTICAS: 0:00 = 0d PETROBRAS: 0:00 = 0d OUTROS: 64:30 = 5,07d APJ: 0:00 = 0d  RO DIRIO E OBRA - SS-12/2025 (ESTOQUE)  &amp;gt;MONTAGEM DE ESTRUTURA METALICA (PERFIS) - MOD:2 | PT: (21219631 |HR SOLIC 08:00 | HR LIB 08:10 |ATRASO 00:00|) - (HR ENC 16:30 | ATRASO 00:00)  &amp;gt;ASSENTAMENTO DE BLOCOS E LIMPEZA E ORGANIZAO - MOD:3 | PT: (21216309 |HR SOLIC 08:00 | HR LIB 08:10 |ATRASO 00:00|) - (HR ENC 16:30 | ATRASO 00:00)&amp;gt;ADEQUAO DE ANDAIME- MOD:3 |PT: (21221999|HR SOLIC 08:00 | HR LIB 08:10 |ATRASO 00:00|) - (HR ENC 16:30 | ATRASO 00:00)  &amp;gt;&amp;gt;CONDIES CLIMTICAS: TEMPO BOM  &amp;gt;&amp;gt;&amp;gt;IMPEDIMENTOS ACUMULADOS LIBERAO PT/PTT: 0:00 = 0d CONDIES CLIMTICAS: 23:00 = 1,88d PETROBRAS: 0:00 = 0d OUTROS: 0:30 = 0,07d APJ: 0:00 = 0d  RO DIRIO E OBRA - SS-18/2025 (SALA CISC)  &amp;gt;EMASSAMENTO ,LIXAMENTO, PINTURA MOD:2 | PT: (21216196 |HR SOLIC 07:40 | HR LIB 07:50 |ATRASO 00:00|) - (HR ENC 16:30 | ATRASO 00:00)  &amp;gt;MONTAGEM DE INFRA ELETRICA - MOD:1 | PT: (21216188 |HR SOLIC 07:53 | HR LIB 08:00 |ATRASO 00:00|) - (HR ENC 16:30 | ATRASO 00:00)  &amp;gt;&amp;gt;CONDIES CLIMTICAS: TEMPO BOM  &amp;gt;&amp;gt;&amp;gt;IMPEDIMENTOS ACUMULADOS LIBERAO PT/PTT: 0:00 = 0d CONDIES CLIMTICAS: 0:00 = 0d PETROBRAS: 0:00 = 0d OUTROS: 0:30 = 0,07d APJ: 0:00 = 0d RO DIRIO E OBRA - SS-26/2025 (GALPO(K-23)  &amp;gt;DESMONTAGEM DE INFRA ELETRICA - MOD:3 | PEMT:1 | PT: (21216915 |HR SOLIC 08:00 | HR LIB 09:56 |ATRASO 01:26|) - (HR ENC 16:30 | ATRASO 00:00)  &amp;gt;DESMONTAGEM DE ESTRUTURA METALICA(FACHADAS) - MOD:3 | PEMT:1 | PT: (21217117 |HR SOLIC 08:00 | HR LIB 09:17 |ATRASO 00:47|) - (HR ENC 16:30 | ATRASO 00:00)&amp;gt;&amp;gt;AS PTs TIVERAM ATRASO NA LIBERAO PELA OPERAO DEVIDO ACIDENTE NA UNIDADE COM OUTRA CONTRATADA&amp;gt;&amp;gt;CONDIES CLIMTICAS: TEMPO BOM  &amp;gt;&amp;gt;&amp;gt;IMPEDIMENTOS ACUMULADOS LIBERAO PT/PTT: 8:23 = 1,18d CONDIES CLIMTICAS: 0:00 = 0d PETROBRAS: 0:00 = 0d OUTROS: 32:00 = 6d APJ: 0:00 = 0d  RO DIRIO E OBRA - SS-27/2025 (GALPO(K-12)  &amp;gt;DESMONTAGEM DE ESTRUTURA METALICA - MOD:3 | PEMT:1 | PT: (21210666 |HR SOLIC 08:00 | HR LIB 09:45 |ATRASO 01:15|) - (HR ENC 16:30 | ATRASO 00:00)&amp;gt;TRATAMENTO E PINTURA DAS BASES - MOD:3 | PEMT:1 |PT: (21216537 |HR SOLIC 08:00 | HR LIB 08:30 |ATRASO 00|) - (HR ENC 16:30 | ATRASO 00:00)  &amp;gt;&amp;gt;CONDIES CLIMTICAS: TEMPO BOM  &amp;gt;&amp;gt;&amp;gt;IMPEDIMENTOS ACUMULADOS LIBERAO PT/PTT: 01:45 = 0,6d CONDIES CLIMTICAS: 0:00 = 0d PETROBRAS: 0:00 = 0d OUTROS: 32:00 = 5d APJ: 0:00 = 0d ________________________________________________________________ RO DIRIO E OBRA - SS-28/2025 (GALPO(K-48) SEM ATIVIDADES  &amp;gt;&amp;gt;CONDIES CLIMTICAS: TEMPO BOM &amp;gt;&amp;gt;&amp;gt;IMPEDIMENTOS ACUMULADOS  LIBERAO PT/PTT: 0:00 = 0d  CONDIES CLIMTICAS: 0:00 = 0d  PETROBRAS: 0:00 = 0d  OUTROS: 32:00 = 4d  APJ: 0:00 = 0d</t>
  </si>
  <si>
    <t>03/02/2026</t>
  </si>
  <si>
    <t>RO-182/2026</t>
  </si>
  <si>
    <t>Os somatrios desde incio at o prazo final da SS dos acmulos de hora parada e meteorolgicas no final da SS a Petrobras ir analisar se e cabvel o abono revertido em acrscimo de dias no prazo de entrega da demanda.1. SECGN:A equipe de caldeiraria deu sequncia na instalao das venezianas, calhas e telhas de fechamento lateral.2. K-14:A equipe de eltrica atuou na montagem da infraestrutura para eltrica, com a montagem dos eletrodutos, caixas de passagem e bornes, instalao das luminrias e SPDA.3. UPGN-2:A equipe de caldeiraria atuou na solda dos inserts, montagem das estruturas metlicas no cho.A equipe da Engeval atuou na montagem dos acessos na lateral das interferncias.A equipe atuou na pintura das soldas e tratamento da estrutura metlica dos mdulos montados no cho, lixamento e tratamento com tinta de fundo nas passarelas e na escada marinheiro (fachada da rua).4. SALA CISC:A equipe de pintura atuou no emassamento e lixamento das paredes.Equipe de eltrica atuou na instalao da infra das mesas.5. ESTOQUE MI:A equipe de caldeiraria atuou na montagem do vo em solo para posterior iamento.6. K-02:Sem atividades executadas.A equipe atuou apenas na movimentao de carga de material e OLA.7. K-12:Equipe de pintura atuou no tratamento e pintura das chapas bases dos pilares.8. K-23:Equipe de eltrica atuou na instalao da iluminao provisria e na remoo da infra eltrica do galpo.Caldeiraria sem atividades.9. K-48:Sem atividades programadas.Aguardando equipe de caldeiraria para incio das atividades de desmontagem.RO aceito pela fiscalizao.</t>
  </si>
  <si>
    <t>RO DIRIO E OBRA - SS-04/2025 (UPGN-2)  &amp;gt;MONTAGEM DE ESTRUTURA METALICA E SOLDA DOS INSERTS - MOD:6 | PEMT:2 | GUINDASTE:1 | PT: (21206530 |HR SOLIC 08:20 | HR LIB 09:00 |ATRASO 00:10|) - (HR ENC 16:30 | ATRASO 00:00)&amp;gt;TRATAMENTO E PINTURA DE ESTRUTURA METALICA - MOD:1 | PT: (21079158 |HR SOLIC 08:00 | HR LIB 08:10 |ATRASO 00:00|) - (HR ENC 16:30 | ATRASO 00:00)&amp;gt;MONTAGEM DE ANDAIME - MOD:6 | PT: (21071500 |HR SOLIC 08:00 | HR LIB 08:30 |ATRASO 00:00|) - (HR ENC 16:30 | ATRASO 00:00) &amp;gt;&amp;gt;CONDIES CLIMTICAS: TEMPO BOM  &amp;gt;&amp;gt;&amp;gt;IMPEDIMENTOS ACUMULADOS LIBERAO PT/PTT: 21:23 = 2,99d CONDIES CLIMTICAS: 38:35 = 3,83d PETROBRAS: 15:20 = 1,05d OUTROS: 25:20 = 4,17d APJ: 0:00 = 0d RO DIRIO E OBRA - SS-06/2025 (K-14)  &amp;gt;MONTAGEM DE INFRA ESTRUTURA ELETRICA - MOD:2 | PEMT:1 | PT: (21212853 |HR SOLIC 08:00 | HR LIB 08:50 |ATRASO 00:20|) - (HR ENC 16:30 | ATRASO 00:00)  &amp;gt;&amp;gt;CONDIES CLIMTICAS: TEMPO BOM  &amp;gt;&amp;gt;&amp;gt;IMPEDIMENTOS ACUMULADOS LIBERAO PT/PTT: 44:03 = 5,81d CONDIES CLIMTICAS: 53:35 = 5,7d PETROBRAS: 1:30 = 0,19d OUTROS: 28:30 = 3,57d APJ: 0:00 = 0d  RO DIRIO E OBRA - SS-12/2025 (ESTOQUE)  &amp;gt;MONTAGEM DE ESTRUTURA METALICA - MOD:5 | PT: (21214317 |HR SOLIC 07:50 | HR LIB 08:00 |ATRASO 00:00|) - (HR ENC 16:30 | ATRASO 00:00)  &amp;gt;&amp;gt;CONDIES CLIMTICAS: TEMPO BOM  &amp;gt;&amp;gt;&amp;gt;IMPEDIMENTOS ACUMULADOS LIBERAO PT/PTT: 0:00 = 0d CONDIES CLIMTICAS: 23:00 = 1,88d PETROBRAS: 0:00 = 0d OUTROS: 0:30 = 0,07d APJ: 0:00 = 0d RO DIRIO E OBRA - SS-08/2025 (K-02)  &amp;gt;TRANSPORTE DE MATERIAL, LIMPEZA E ORGANIZAO - MOD:7 | MUNCK:1 | PT: (21206540 |HR SOLIC 08:30 | HR LIB 08:30|ATRASO 0:00|) - (HR ENC 16:30 | ATRASO 00:00)  &amp;gt;&amp;gt;CONDIES CLIMTICAS: TEMPO BOM  &amp;gt;&amp;gt;&amp;gt;IMPEDIMENTOS ACUMULADOS LIBERAO PT/PTT: 1:50 = 0,23d CONDIES CLIMTICAS: 0:00 = 0d PETROBRAS: 0:00 = 0d OUTROS: 64:30 = 5,07d APJ: 0:00 = 0d  RO DIRIO E OBRA - SS-05/2025 (SECGN) &amp;gt;MONTAGEM DE ESTRUTURA METALICA(TELHAS) - MOD:5 |PT: (21207648 |HR SOLIC 08:00 | HR LIB 08:30 |ATRASO 00|) - (HR ENC 16:30 | ATRASO 00:00 &amp;gt;&amp;gt;CONDIES CLIMTICAS: TEMPO BOM  &amp;gt;&amp;gt;&amp;gt;IMPEDIMENTOS ACUMULADOS LIBERAO PT/PTT: 37:19 = 4,82d CONDIES CLIMTICAS: 81:25 = 9,18d PETROBRAS: 6:30 = 0,82d OUTROS: 36:30 = 4,57d APJ: 0:00 = 0d  RO DIRIO E OBRA - SS-26/2025 (GALPO(K-23) &amp;gt;DESMONTAGEM DE INFRA ELETRICA - MOD:3 | PEMT:1 | PT: (21207611|HR SOLIC 08:00 | HR LIB 08:30 |ATRASO 0|) - (HR ENC 16:30 | ATRASO 00:00)  &amp;gt;&amp;gt;CONDIES CLIMTICAS: TEMPO BOM  &amp;gt;&amp;gt;&amp;gt;IMPEDIMENTOS ACUMULADOS LIBERAO PT/PTT: 06:10 = 0,87d CONDIES CLIMTICAS: 0:00 = 0d PETROBRAS: 0:00 = 0d OUTROS: 32:00 = 6d APJ: 0:00 = 0d RO DIRIO E OBRA - SS-27/2025 (GALPO(K-12) &amp;gt;TRATAMENTO E PINTURA DAS BASES - MOD:2 | PEMT:0 |PT: (21207625|HR SOLIC 08:00 | HR LIB 08:30 |ATRASO 0|) - (HR ENC 16:30 | ATRASO 00:00) &amp;gt;&amp;gt;CONDIES CLIMTICAS: TEMPO BOM  &amp;gt;&amp;gt;&amp;gt;IMPEDIMENTOS ACUMULADOS LIBERAO PT/PTT: 00:30 = 0,25d CONDIES CLIMTICAS: 8:00 = 0d PETROBRAS: 0:00 = 0d OUTROS: 32:00 = 4d APJ: 0:00 = 0d  RO DIRIO E OBRA - SS-28/2025 (GALPO(K-48) SEM ATIVIDADES &amp;gt;&amp;gt;CONDIES CLIMTICAS: TEMPO BOM &amp;gt;&amp;gt;&amp;gt;IMPEDIMENTOS ACUMULADOS LIBERAO PT/PTT: 0:00 = 0d  CONDIES CLIMTICAS: 0:00 = 0d  PETROBRAS: 0:00 = 0d  OUTROS: 32:00 = 4d  APJ: 0:00 = 0d RO DIRIO E OBRA - SS-18/2025 (SALA CISC)&amp;gt;EMASSAMENTO ,LIXAMENTO, PINTURA MOD:2 | PT: (21213581 |HR SOLIC 07:40 | HR LIB 07:50 |ATRASO 00:00|) - (HR ENC 16:30 | ATRASO 00:00) &amp;gt;MONTAGEM DE INFRA ELETRICA - MOD:1 |PT: (21213610 |HR SOLIC 07:53 | HR LIB 08:00 |ATRASO 00:00|) - (HR ENC 16:30 | ATRASO 00:00 &amp;gt;&amp;gt;CONDIES CLIMTICAS: TEMPO BOM  &amp;gt;&amp;gt;&amp;gt;IMPEDIMENTOS ACUMULADOS LIBERAO PT/PTT: 0:00 = 0d CONDIES CLIMTICAS: 0:00 = 0d PETROBRAS: 0:00 = 0d</t>
  </si>
  <si>
    <t>02/02/2026</t>
  </si>
  <si>
    <t>RO-181/2026</t>
  </si>
  <si>
    <t>Equipe da Torres Brasil, subcontratada da APJ est atuando na manuteno das torres de resfriamento, no foi executada nenhuma atividade hoje, o servio da Torres Brasil, foi concludo nas torres A e B, a equipe dever retornar agora quando for concluda a etapa de restaurao dos anis dos difusores e montagem dos ventiladores das torres A e B.Foi realizado a atividade de corte/instalao e solda dos anis de Difusores, a atividade transcorre normalmente, solicitado ateno ao encarregado Dirceu Carapina ao Nivelamento e correto parafusamento dos anis na estrutura do difusor, ficar atento e sempre inspecionar ainda a qualidade e acabamento nos pontos de Solda que esto sendo feitos nos anis.</t>
  </si>
  <si>
    <t>"RO DIRIO E OBRA - SS-15/2025 (TORRE RESFR)&amp;gt;TRATAMENTO MECNICO E PINTURA DE PEAS DO DIFUSOR - MOD:4 |PT: (21250708 |HR SOLIC 08:00 | HR LIB 08:20 |ATRASO 00:00|) - (HR ENC 16:30 | ATRASO 00:00)&amp;gt;&amp;gt;CONDIES CLIMTICAS: TEMPO BOM&amp;gt;&amp;gt;&amp;gt;IMPEDIMENTOS ACUMULADOSLIBERAO PT/PTT: 5:16 = 0,66dCONDIES CLIMTICAS: 10:30 = 1,32dPETROBRAS: 6:00 = 0,75dOUTROS: 4:55 = 0,62dAPJ: 0:00 = 0d"______________________________________________________________________________________________________________________________________________________________"RO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</si>
  <si>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RO-180/2026</t>
  </si>
  <si>
    <t>"RO DIRIO E OBRA - SS-17/2025 (LUMINOSIDADE)&amp;gt;ADEQUAO / SUBSTITUIO DAS LUMINRIAS DOS POSTES BALIZADORES - UTILIDADES - MOD:2 |PT: (21250739 |HR SOLIC 08:00 | HR LIB 09:30 |ATRASO 01:00|) - (HR ENC 16:30 | ATRASO 00:00)&amp;gt;&amp;gt;CONDIES CLIMTICAS: TEMPO BOM&amp;gt;&amp;gt;&amp;gt;IMPEDIMENTOS ACUMULADOSLIBERAO PT/PTT: 19:33 = 2,45dCONDIES CLIMTICAS: 39:00 = 4,88dPETROBRAS: 23:30 = 2,94dOUTROS: 2:20 = 0,3dAPJ: 0:00 = 0d"</t>
  </si>
  <si>
    <t>RO-179/2026</t>
  </si>
  <si>
    <t>"RO DIRIO E OBRA - SS-17/2025 (LUMINOSIDADE)&amp;gt;ADEQUAO DAS LUMINRIAS INTERNAS DOS POSTES - MOD:5 |PT: (21244622 |HR SOLIC 07:14 | HR LIB 07:59 |ATRASO 00:15|) - (HR ENC 16:05 | ATRASO 00:25)&amp;gt;&amp;gt;CONDIES CLIMTICAS: TEMPO BOM&amp;gt;&amp;gt;&amp;gt;IMPEDIMENTOS ACUMULADOSLIBERAO PT/PTT: 18:33 = 2,32dCONDIES CLIMTICAS: 39:00 = 4,88dPETROBRAS: 23:30 = 2,94dOUTROS: 2:20 = 0,3dAPJ: 0:00 = 0d"</t>
  </si>
  <si>
    <t>09/02/2026</t>
  </si>
  <si>
    <t>RO-178/2026</t>
  </si>
  <si>
    <t>"RO DIRIO E OBRA - SS-15/2025 (TORRE RESFR)&amp;gt;INSTALAO DO ANEL COM CORTE E SOLDA, FIXAO DA P DA HELICE DO VENTILADOR E TRATAMENTO E PINTURA DE PEAS DO DIFUSOR - MOD:2 |PT: ( |HR SOLIC 08:00 | HR LIB 08:30 |ATRASO 00:00|) - (HR ENC 16:30 | ATRASO 00:00)&amp;gt;&amp;gt;CONDIES CLIMTICAS: TEMPO BOM&amp;gt;&amp;gt;&amp;gt;IMPEDIMENTOS ACUMULADOSLIBERAO PT/PTT: 5:16 = 0,66dCONDIES CLIMTICAS: 10:30 = 1,32dPETROBRAS: 6:00 = 0,75dOUTROS: 4:55 = 0,62dAPJ: 0:00 = 0d"________________________________________________________________________________________________________________________________________"RO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</si>
  <si>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RO-177/2026</t>
  </si>
  <si>
    <t>Atividade realizada no dia foi a substituio das luminrias de teto no corredor da passarela entre os blocos 3 e 4 do Edivit.Houve a necessidade de utilizao de andaime para a realizao do trabalho em altura, a atividade de instalao foi realizada com pleno xito.</t>
  </si>
  <si>
    <t>"RO DIRIO E OBRA - SS-17/2025 (LUMINOSIDADE)&amp;gt;MONTAGEM E DESMONTAGEM DE ANDAIME - MOD:4 |PT: (21241185 |HR SOLIC 07:50 | HR LIB 08:26 |ATRASO 00:06|) - (HR ENC 15:45 | ATRASO 00:45)&amp;gt;SUBSTITUIO DAS LUMINRIAS DE TETO NO CORREDOR ENTRE OS BLOCOS 3 E 4 - MOD:4 |PT: (21242986 |HR SOLIC 08:00 | HR LIB 08:30 |ATRASO 00:00|) - (HR ENC 16:30 | ATRASO 00:00)&amp;gt;&amp;gt;CONDIES CLIMTICAS: TEMPO BOM&amp;gt;&amp;gt;&amp;gt;IMPEDIMENTOS ACUMULADOSLIBERAO PT/PTT: 17:53 = 2,24dCONDIES CLIMTICAS: 39:00 = 4,88dPETROBRAS: 23:30 = 2,94dOUTROS: 2:20 = 0,3dAPJ: 0:00 = 0d"</t>
  </si>
  <si>
    <t>RO-174/2026</t>
  </si>
  <si>
    <t>RO-173/2026</t>
  </si>
  <si>
    <t>INVENTÁRIO DE MAQUINAS SMS  05 02 2026.xlsx; CERTIFICADO CRONOTACOGRAFO GUINDASTE 100 T (3).pdf; CERTIFICADO TACOGRAFO - RKO5D59 - VENC. 22.03.2026 (3).pdf</t>
  </si>
  <si>
    <t>Envio doc. CDIGO225 -Relao de Equipamentos e Ferramentas (NR-12) JANEIRO 2026 e</t>
  </si>
  <si>
    <t>RO-172/2026</t>
  </si>
  <si>
    <t>RO se encontra de acordo e validado pela fiscalizao.</t>
  </si>
  <si>
    <t>"RO DIRIO E OBRA - SS-17/2025 (LUMINOSIDADE)&amp;gt;SUBSTITUIO/ ADEQUAO/ INSTALAO DOS SUPORTES E BOCAIS CONECTORES DOS BALIZADORES DOS POSTES DE 7M - MOD:4 |PT: (21235785 |HR SOLIC 07:37 | HR LIB 08:20 |ATRASO 00:13|) - (HR ENC 15:05 | ATRASO 01:25)&amp;gt;&amp;gt;CONDIES CLIMTICAS: TEMPO BOM&amp;gt;&amp;gt;&amp;gt;IMPEDIMENTOS ACUMULADOSLIBERAO PT/PTT: 18:40 = 2,34dCONDIES CLIMTICAS: 39:00 = 4,88dPETROBRAS: 23:30 = 2,94dOUTROS: 2:20 = 0,3dAPJ: 0:00 = 0d"</t>
  </si>
  <si>
    <t>RO-171/2026</t>
  </si>
  <si>
    <t>Equipe da Torres Brasil, subcontratada da APJ est atuando na manuteno das torres de resfriamento, no foi executada nenhuma atividade hoje, o servio da Torres Brasil, foi concludo nas torres A e B, a equipe dever retornar agora quando for concluda a etapa de restaurao dos anis dos difusores e montagem dos ventiladores das torres A e B.Foi realizado a atividade de corte de barras chatas e tubos de ao carbono na rea do PIPE-SHOP</t>
  </si>
  <si>
    <t>"RO DIRIO E OBRA - SS-15/2025 (TORRE RESFR)&amp;gt;CORTE DE BARRAS CHATA E TUBOS AO CARBONO, MONTAGEM DAS PS DO REDUTOR DOS MOTORES E FURAO DOS SUPORTES METLICOS - MOD:3 |PT: (21235862 |HR SOLIC 07:50 | HR LIB 08:20 |ATRASO 00:00|) - (HR ENC 15:25 | ATRASO 01:05)&amp;gt;&amp;gt;CONDIES CLIMTICAS: TEMPO BOM&amp;gt;&amp;gt;&amp;gt;IMPEDIMENTOS ACUMULADOSLIBERAO PT/PTT: 4:21 = 0,55dCONDIES CLIMTICAS: 10:30 = 1,32dPETROBRAS: 6:00 = 0,75dOUTROS: 4:55 = 0,62dAPJ: 0:00 = 0d"________________________________________________________________________________________________________________________________________________________"RO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</si>
  <si>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RO-170/2026</t>
  </si>
  <si>
    <t>RO DIRIO E OBRA - SS-04/2025 (UPGN-2)  SEM EXPEDIENTE  &amp;gt;&amp;gt;CONDIES CLIMTICAS: TEMPO BOM  &amp;gt;&amp;gt;&amp;gt;IMPEDIMENTOS ACUMULADOS LIBERAO PT/PTT: 21:13 = 2,99d CONDIES CLIMTICAS: 38:35 = 3,83d PETROBRAS: 15:20 = 1,05d OUTROS: 25:20 = 4,17d APJ: 0:00 = 0d RO DIRIO E OBRA - SS-06/2025 (K-14)  SEM EXPEDIENTE  &amp;gt;&amp;gt;CONDIES CLIMTICAS: TEMPO BOM  &amp;gt;&amp;gt;&amp;gt;IMPEDIMENTOS ACUMULADOS LIBERAO PT/PTT: 43:43 = 5,81d CONDIES CLIMTICAS: 53:35 = 5,7d PETROBRAS: 1:30 = 0,19d OUTROS: 28:30 = 3,57d APJ: 0:00 = 0d  RO DIRIO E OBRA - SS-12/2025 (ESTOQUE)  SEM EXPEDIENTE  &amp;gt;&amp;gt;CONDIES CLIMTICAS: TEMPO BOM  &amp;gt;&amp;gt;&amp;gt;IMPEDIMENTOS ACUMULADOS LIBERAO PT/PTT: 0:00 = 0d CONDIES CLIMTICAS: 23:00 = 1,88d PETROBRAS: 0:00 = 0d OUTROS: 0:30 = 0,07d APJ: 0:00 = 0d RO DIRIO E OBRA - SS-08/2025 (K-02)  SEM EXPEDIENTE  &amp;gt;&amp;gt;CONDIES CLIMTICAS: TEMPO BOM  &amp;gt;&amp;gt;&amp;gt;IMPEDIMENTOS ACUMULADOS LIBERAO PT/PTT: 1:50 = 0,23d CONDIES CLIMTICAS: 0:00 = 0d PETROBRAS: 0:00 = 0d OUTROS: 64:30 = 5,07d APJ: 0:00 = 0d  RO DIRIO E OBRA - SS-05/2025 (SECGN)  SEM EXPEDIENTE  &amp;gt;&amp;gt;CONDIES CLIMTICAS: TEMPO BOM  &amp;gt;&amp;gt;&amp;gt;IMPEDIMENTOS ACUMULADOS LIBERAO PT/PTT: 37:19 = 4,82d CONDIES CLIMTICAS: 81:25 = 9,18d PETROBRAS: 6:30 = 0,82d OUTROS: 36:30 = 4,57d APJ: 0:00 = 0d  RO DIRIO E OBRA - SS-26/2025 (GALPO(K-23)  SEM EXPEDIENTE   &amp;gt;&amp;gt;CONDIES CLIMTICAS: TEMPO BOM  &amp;gt;&amp;gt;&amp;gt;IMPEDIMENTOS ACUMULADOS LIBERAO PT/PTT: 06:10 = 0,87d CONDIES CLIMTICAS: 0:00 = 0d PETROBRAS: 0:00 = 0d OUTROS: 32:00 = 6d APJ: 0:00 = 0d RO DIRIO E OBRA - SS-27/2025 (GALPO(K-12)  SEM EXPEDIENTE  &amp;gt;&amp;gt;CONDIES CLIMTICAS: TEMPO BOM  &amp;gt;&amp;gt;&amp;gt;IMPEDIMENTOS ACUMULADOS LIBERAO PT/PTT: 00:30 = 0,25d CONDIES CLIMTICAS: 8:00 = 0d PETROBRAS: 0:00 = 0d OUTROS: 32:00 = 4d APJ: 0:00 = 0d  RO DIRIO E OBRA - SS-28/2025 (GALPO(K-48)  SEM EXPEDIENTE&amp;gt;&amp;gt;CONDIES CLIMTICAS: TEMPO BOM &amp;gt;&amp;gt;&amp;gt;IMPEDIMENTOS ACUMULADOS LIBERAO PT/PTT: 0:00 = 0d  CONDIES CLIMTICAS: 0:00 = 0d  PETROBRAS: 0:00 = 0d  OUTROS: 32:00 = 4d  APJ: 0:00 = 0d RO DIRIO E OBRA - SS-18/2025 (SALA CISC)  SEM EXPEDIENTE &amp;gt;&amp;gt;CONDIES CLIMTICAS: TEMPO BOM  &amp;gt;&amp;gt;&amp;gt;IMPEDIMENTOS ACUMULADOS LIBERAO PT/PTT: 0:00 = 0d CONDIES CLIMTICAS: 0:00 = 0d PETROBRAS: 0:00 = 0d</t>
  </si>
  <si>
    <t>01/02/2026</t>
  </si>
  <si>
    <t>RO-169/2026</t>
  </si>
  <si>
    <t>Os somatrios desde incio at o prazo final da SS dos acmulos de hora parada e meteorolgicas no final da SS a Petrobras ir analisar se e cabvel o abono revertido em acrscimo de dias no prazo de entrega da demanda.No dia 31/01, parte da equipe disponibilizada atuou na OLA das frentes de servio, destinao de resduos devido  inspeo gerencial.1. SECGN:Sem atividades programadas.2. K-14:A equipe de eltrica atuou na montagem da infraestrutura para eltrica, com a montagem dos eletrodutos, caixas de passagem e bornes, instalao das luminrias e SPDA.3. UPGN-2:A equipe de caldeiraria atuou na solda dos inserts, montagem das estruturas metlicas no cho.A equipe da Engeval atuou na montagem dos acessos na lateral das interferncias.4. SALA CISC:Sem atividades programadas.5. ESTOQUE MI:A equipe de caldeiraria atuou na montagem das estrutura metlica.6. K-02:Sem atividades executadas.A equipe atuou apenas na movimentao de carga com a PT.7. K-12:Sem atividades programadas.8. K-23:Sem atividades programadas.9. K-48:Sem atividades programadas.RO aceito pela fiscalizao.</t>
  </si>
  <si>
    <t>RO DIRIO E OBRA - SS-04/2025 (UPGN-2)  &amp;gt;MONTAGEM DE ESTRUTURA METALICA E SOLDA DOS INSERTS - MOD:6 | PEMT:2 | GUINDASTE:1 | PT: (21206530 |HR SOLIC 08:20 | HR LIB 09:00 |ATRASO 00:10|) - (HR ENC 16:30 | ATRASO 00:00) &amp;gt;MONTAGEM DE ANDAIME- MOD:6 | PEMT: | GUINDASTE: |PT: (21071500 |HR SOLIC 08:20 | HR LIB 08:30 |ATRASO 00:0|) - (HR ENC 16:30 | ATRASO 00:00) &amp;gt;&amp;gt;CONDIES CLIMTICAS: TEMPO BOM  &amp;gt;&amp;gt;&amp;gt;IMPEDIMENTOS ACUMULADOS LIBERAO PT/PTT: 21:13 = 2,99d CONDIES CLIMTICAS: 38:35 = 3,83d PETROBRAS: 15:20 = 1,05d OUTROS: 25:20 = 4,17d APJ: 0:00 = 0d RO DIRIO E OBRA - SS-06/2025 (K-14)  &amp;gt;MONTAGEM DE INFRA ESTRUTURA ELETRICA - MOD:2 | PEMT:1 | PT: (21207589 |HR SOLIC 08:00 | HR LIB 08:50 |ATRASO 00:20|) - (HR ENC 16:30 | ATRASO 00:00)  &amp;gt;&amp;gt;CONDIES CLIMTICAS: TEMPO BOM  &amp;gt;&amp;gt;&amp;gt;IMPEDIMENTOS ACUMULADOS LIBERAO PT/PTT: 43:43 = 5,81d CONDIES CLIMTICAS: 53:35 = 5,7d PETROBRAS: 1:30 = 0,19d OUTROS: 28:30 = 3,57d APJ: 0:00 = 0d  RO DIRIO E OBRA - SS-12/2025 (ESTOQUE)  &amp;gt;MONTAGEM DE ESTRUTURA METALICA - MOD:5 | PT: (21208117 |HR SOLIC 07:50 | HR LIB 08:00 |ATRASO 00:00|) - (HR ENC 16:30 | ATRASO 00:00)  &amp;gt;&amp;gt;CONDIES CLIMTICAS: TEMPO BOM  &amp;gt;&amp;gt;&amp;gt;IMPEDIMENTOS ACUMULADOS LIBERAO PT/PTT: 0:00 = 0d CONDIES CLIMTICAS: 23:00 = 1,88d PETROBRAS: 0:00 = 0d OUTROS: 0:30 = 0,07d APJ: 0:00 = 0d RO DIRIO E OBRA - SS-08/2025 (K-02)  &amp;gt;TRANSPORTE DE MATERIAL, LIMPEZA E ORGANIZAO - MOD:7 | MUNCK:1 | PT: (21206540 |HR SOLIC 08:30 | HR LIB 10:00 |ATRASO 01:00|) - (HR ENC 16:30 | ATRASO 00:00)  &amp;gt;&amp;gt;CONDIES CLIMTICAS: TEMPO BOM  &amp;gt;&amp;gt;&amp;gt;IMPEDIMENTOS ACUMULADOS LIBERAO PT/PTT: 1:50 = 0,23d CONDIES CLIMTICAS: 0:00 = 0d PETROBRAS: 0:00 = 0d OUTROS: 64:30 = 5,07d APJ: 0:00 = 0d  RO DIRIO E OBRA - SS-05/2025 (SECGN)  SEM ATIVIDADES. &amp;gt;&amp;gt;CONDIES CLIMTICAS: TEMPO BOM  &amp;gt;&amp;gt;&amp;gt;IMPEDIMENTOS ACUMULADOS LIBERAO PT/PTT: 37:19 = 4,82d CONDIES CLIMTICAS: 81:25 = 9,18d PETROBRAS: 6:30 = 0,82d OUTROS:36:30 = 4,57d APJ: 0:00 = 0d  RO DIRIO E OBRA - SS-26/2025 (GALPO(K-23)  SEM ATIVIDADES  &amp;gt;&amp;gt;CONDIES CLIMTICAS: TEMPO BOM  &amp;gt;&amp;gt;&amp;gt;IMPEDIMENTOS ACUMULADOS LIBERAO PT/PTT: 06:10 = 0,87d CONDIES CLIMTICAS: 0:00 = 0d PETROBRAS: 0:00 = 0d OUTROS: 32:00 = 6d APJ: 0:00 = 0d RO DIRIO E OBRA - SS-27/2025 (GALPO(K-12)  SEM ATIVIDADES  &amp;gt;&amp;gt;CONDIES CLIMTICAS: TEMPO BOM  &amp;gt;&amp;gt;&amp;gt;IMPEDIMENTOS ACUMULADOS LIBERAO PT/PTT: 00:30 = 0,25d CONDIES CLIMTICAS: 8:00 = 0d PETROBRAS: 0:00 = 0d OUTROS: 32:00 = 4d APJ: 0:00 = 0d  RO DIRIO E OBRA - SS-28/2025 (GALPO(K-48) SEM ATIVIDADES &amp;gt;&amp;gt;CONDIES CLIMTICAS: TEMPO BOM &amp;gt;&amp;gt;&amp;gt;IMPEDIMENTOS ACUMULADOS LIBERAO PT/PTT: 0:00 = 0d  CONDIES CLIMTICAS: 0:00 = 0d  PETROBRAS: 0:00 = 0d  OUTROS: 32:00 = 4d  APJ: 0:00 = 0d RO DIRIO E OBRA - SS-18/2025 (SALA CISC)SEM ATIVIDADES &amp;gt;&amp;gt;CONDIES CLIMTICAS: TEMPO BOM  &amp;gt;&amp;gt;&amp;gt;IMPEDIMENTOS ACUMULADOS LIBERAO PT/PTT: 0:00 = 0d CONDIES CLIMTICAS: 0:00 = 0d PETROBRAS: 0:00 = 0dOUTROS: 00:30</t>
  </si>
  <si>
    <t>31/01/2026</t>
  </si>
  <si>
    <t>RO-168/2026</t>
  </si>
  <si>
    <t>Os somatrios desde incio at o prazo final da SS dos acmulos de hora parada e meteorolgicas no final da SS a Petrobras ir analisar se e cabvel o abono revertido em acrscimo de dias no prazo de entrega da demanda.Algumas PT's tiveram atraso na liberao, devido aos acidentes com outras contratadas nas semanas anteriores, como forma de mitigar a incidncia desses acidentes, os supervisores e o cotur liberaram as atividades aps a "palestra" diria.1. SECGN:A equipe de caldeiraria deu sequncia na instalao das telhas da cobertura, venezianas e calhas e telhas de fechamento lateral.A equipe de pintura atuou na pintura das estruturas de concreto (retoques).2. K-14:A equipe de eltrica atuou na montagem da infraestrutura para eltrica, com a montagem dos eletrodutos, caixas de passagem e bornes, instalao das luminrias e SPDA. tambm foi realizada a atividade de interligao do novo cabeamento no painel eltrico.A equipe de pintura atuou no tratamento das soldas da estrutura metlica.3. UPGN-2:A equipe de caldeiraria atuou na solda dos inserts, montagem das estruturas metlicas no cho.A equipe da Engeval atuou na montagem dos acessos na lateral das interferncias.A equipe atuou na pintura das soldas e tratamento da estrutura metlica dos mdulos montados no cho, lixamento e tratamento com tinta de fundo nas passarelas e na escada marinheiro (fachada da rua).A equipe de civil atuou na recuperao das bases chumbadores demolidas nas vigas de rolamento da ponte.4. SALA CISC:A equipe de pintura atuou no emassamento e lixamento das paredes.5. ESTOQUE MI:A equipe de civil atuou na preparao das demais formas para dar acabamento nas bases dos pilares.No houve atividade de caldeiraria.Equipe de andaimes da Engeval atuaram na adequao do andaime para a equipe de caldeiraria.6. K-02:Sem atividades executadas.A equipe atuou apenas na movimentao de carga com a PT 21.205.166.7. K-12:Equipe de caldeiraria atuou na remoo dos perfis metlicos.8. K-23:Equipe de eltrica atuou na instalao da iluminao provisria e na remoo da infra eltrica do galpo.Caldeiraria sem atividades.9. K-48:Sem atividades programadas.Aguardando equipe de caldeiraria para incio das atividades de desmontagem.RO aceito pela fiscalizao.</t>
  </si>
  <si>
    <t>RO DIRIO E OBRA - SS-04/2025 (UPGN-2)  &amp;gt;TRATAMENTO E PINTURA ESTRUTURA METALICA - MOD:2 | PT: (21079158 |HR SOLIC 08:00 | HR LIB 08:10 |ATRASO 00:00|) - (HR ENC 16:30 | ATRASO 00:00)  &amp;gt;MONTAGEM DE ANDAIME - MOD:3 | PT: (21071500 |HR SOLIC 08:00 | HR LIB 08:20 |ATRASO 00:00|) - (HR ENC 16:30 | ATRASO 00:00)  &amp;gt;MONTAGEM DE ESTRUTURA METALICA E SOLDA DOS INSERTS - MOD:5 | PEMT:1 | GUINDASTE:1 | PT: (21201835 |HR SOLIC 08:00 | HR LIB 09:00 |ATRASO 00:30|) - (HR ENC 16:30 | ATRASO 00:00)  &amp;gt;MONTAGEM DE FORMA E CONCRETAGEM DOS CHUMABADORES - MOD:2 | PEMT:1 | PT: (21201816 |HR SOLIC 12:00 | HR LIB 12:20 |ATRASO 00:00|) - (HR ENC 16:30 | ATRASO 00:00)  &amp;gt;&amp;gt;AS PTs TIVERAM ATRASO NA LIBERAO PELA OPERAO DEVIDO ACIDENTE NA UNIDADE COM OUTRA CONTRATADA &amp;gt;&amp;gt;CONDIES CLIMTICAS: TEMPO BOM  &amp;gt;&amp;gt;&amp;gt;IMPEDIMENTOS ACUMULADOS LIBERAO PT/PTT: 21:03 = 2,97d CONDIES CLIMTICAS: 38:35 = 3,83d PETROBRAS: 15:20 = 1,05d OUTROS: 25:20 = 4,17d APJ: 0:00 = 0d RO DIRIO E OBRA - SS-05/2025 (SECGN)  &amp;gt;TRATAMENTO E PINTURA DE ESTRUTURA DE CONCRETO - MOD:1 | PT: (21201575 |HR SOLIC 08:00 | HR LIB 09:30 |ATRASO 01:00|) - (HR ENC 16:30 | ATRASO 00:00)  &amp;gt;MONTAGEM DE ESTRUTURA METALICA(TELHAS) - MOD:8 | PT: (21201540 |HR SOLIC 08:00 | HR LIB 09:30 |ATRASO 01:00|) - (HR ENC 16:30 | ATRASO 00:00)  &amp;gt;&amp;gt;AS PTs TIVERAM ATRASO NA LIBERAO PELA OPERAO DEVIDO ACIDENTE NA UNIDADE COM OUTRA CONTRATADA &amp;gt;&amp;gt;CONDIES CLIMTICAS: TEMPO BOM  &amp;gt;&amp;gt;&amp;gt;IMPEDIMENTOS ACUMULADOS LIBERAO PT/PTT: 37:19 = 4,82d CONDIES CLIMTICAS: 81:25 = 9,18d PETROBRAS: 6:30 = 0,82d OUTROS: 36:30 = 4,57d APJ: 0:00 = 0d  RO DIRIO E OBRA - SS-06/2025 (K-14)  &amp;gt;PINTURA DE ESTRUTURA METALICA - MOD:2 | PT: (21201619 |HR SOLIC 08:00 | HR LIB 09:00 |ATRASO 00:30|) - (HR ENC 16:30 | ATRASO 00:00)  &amp;gt;MONTAGEM DE INFRA ESTRUTURA ELETRICA - MOD:4 | PEMT:1 | PT: (21201614 |HR SOLIC 08:00 | HR LIB 10:20 |ATRASO 01:50|) - (HR ENC 16:30 | ATRASO 00:00)  &amp;gt;&amp;gt;AS PTs TIVERAM ATRASO NA LIBERAO PELA OPERAO DEVIDO ACIDENTE NA UNIDADE COM OUTRA CONTRATADA  &amp;gt;&amp;gt;CONDIES CLIMTICAS: TEMPO BOM  &amp;gt;&amp;gt;&amp;gt;IMPEDIMENTOS ACUMULADOS LIBERAO PT/PTT: 43:23 = 5,77d CONDIES CLIMTICAS: 53:35 = 5,7d PETROBRAS: 1:30 = 0,19d OUTROS: 28:30 = 3,57d APJ: 0:00 = 0d RO DIRIO E OBRA - SS-08/2025 (K-02)   SEM ATIVIDADES   &amp;gt;&amp;gt;CONDIES CLIMTICAS: TEMPO BOM   &amp;gt;&amp;gt;&amp;gt;IMPEDIMENTOS ACUMULADOS  LIBERAO PT/PTT: 0:50 = 0,11d  CONDIES CLIMTICAS: 0:00 = 0d  PETROBRAS: 0:00 = 0d  OUTROS: 64:30 = 5,07d  APJ: 0:00 = 0d RO DIRIO E OBRA - SS-12/2025 (ESTOQUE)  &amp;gt;ASSENTAMENTO DE BLOCOS E LIMPEZA E ORGANIZAO - MOD:5 | PT: (21203376 |HR SOLIC 08:00 | HR LIB 08:10 |ATRASO 00:00|) - (HR ENC 16:30 | ATRASO 00:00)  &amp;gt;MONTAGEM DE ANDAIME - MOD:4 | PT: (21203503 |HR SOLIC 08:00 | HR LIB 08:10 |ATRASO 00:00|) - (HR ENC 16:30 | ATRASO 00:00)  &amp;gt;&amp;gt;CONDIES CLIMTICAS: TEMPO BOM  &amp;gt;&amp;gt;&amp;gt;IMPEDIMENTOS ACUMULADOS LIBERAO PT/PTT: 0:00 = 0d CONDIES CLIMTICAS: 23:00 = 1,88d PETROBRAS: 0:00 = 0d OUTROS: 0:30 = 0,07d APJ: 0:00 = 0d RO DIRIO E OBRA - SS-18/2025 (SALA CISC)  &amp;gt;EMASSAMENTO DE DRYWALL, LIXAMENTO- MOD:2 | PT: (21203394 |HR SOLIC 08:00 | HR LIB 08:10 |ATRASO 00:00|) - (HR ENC 16:30 | ATRASO 00:00)  &amp;gt;&amp;gt;CONDIES CLIMTICAS: TEMPO BOM  &amp;gt;&amp;gt;&amp;gt;IMPEDIMENTOS ACUMULADOS LIBERAO PT/PTT: 0:00 = 0d CONDIES CLIMTICAS: 0:00 = 0d PETROBRAS: 0:00 = 0d OUTROS: 0:30 = 0,07d APJ: 0:00 = 0d RO DIRIO E OBRA - SS-26/2025 (GALPO(K-23)  &amp;gt;MONTAGEM DE ILUMINAO PROVISORIA E RETIRADA DE INFRA ELETRICA - MOD:2 | PT: (21201856 |HR SOLIC 08:00 | HR LIB 14:00 |ATRASO 05:30|) - (HR ENC 16:30 | ATRASO 00:00)  &amp;gt;&amp;gt;AS PTs TIVERAM ATRASO NA LIBERAO PELA OPERAO DEVIDO ACIDENTE NA UNIDADE COM OUTRA CONTRATADA  &amp;gt;&amp;gt;CONDIES CLIMTICAS: TEMPO BOM  &amp;gt;&amp;gt;&amp;gt;IMPEDIMENTOS ACUMULADOS LIBERAO PT/PTT: 6:10 = 0,87d CONDIES CLIMTICAS: 0:00 = 0d PETROBRAS: 0:00 = 0d OUTROS: 32:00 = 6d APJ: 0:00 = 0d RO DIRIO E OBRA - SS-27/2025 (GALPO(K-12)  &amp;gt;DESMONTAGEM DE ESTRUTURA METALICA - MOD:3 | PEMT:1 | PT: (21201844 |HR SOLIC 07:50 | HR LIB 08:10 |ATRASO 00:00|) - (HR ENC 16:30 | ATRASO 00:00)  &amp;gt;&amp;gt;CONDIES CLIMTICAS: TEMPO BOM  &amp;gt;&amp;gt;&amp;gt;IMPEDIMENTOS ACUMULADOS LIBERAO PT/PTT: 00:30 = 0,25d CONDIES CLIMTICAS: 08:00 = 0d PETROBRAS: 0:00 = 0d OUTROS: 32:00 = 4d APJ: 0:00 = 0d  RO DIRIO E OBRA - SS-28/2025 (GALPO(K-48) SEM ATIVIDADES &amp;gt;&amp;gt;CONDIES CLIMTICAS: TEMPO BOM  &amp;gt;&amp;gt;IMPEDIMENTOS ACUMULADOS LIBERAO PT/PTT: 0:00 = 0d  CONDIES CLIMTICAS: 0:00 = 0d  PETROBRAS: 0:00 = 0d  OUTROS: 32:00 = 4d  APJ: 0:00 = 0d</t>
  </si>
  <si>
    <t>30/01/2026</t>
  </si>
  <si>
    <t>RO-167/2026</t>
  </si>
  <si>
    <t>Os somatrios desde incio at o prazo final da SS dos acmulos de hora parada e meteorolgicas no final da SS a Petrobras ir analisar se e cabvel o abono revertido em acrscimo de dias no prazo de entrega da demanda.Algumas PT's tiveram atraso na liberao, devido aos acidentes com outras contratadas nas semanas anteriores, como forma de mitigar a incidncia desses acidentes, os supervisores e o cotur liberaram as atividades aps a "palestra" diria.1. SECGN:A equipe de caldeiraria deu sequncia na instalao das telhas da cobertura, venezianas e calhas e telhas de fechamento lateral.A equipe de pintura atuou na pintura das estruturas de concreto (retoques).2. K-14:Equipe de andaimes atuou na adequao de andaime para a eltrica.A equipe de eltrica dava continuidade na montagem da infraestrutura para eltrica, com a montagem dos eletrodutos, caixas de passagem e bornes, instalao das luminrias e SPDA. Alm disso, foi feito o teste de continuidade do SPDA.A equipe de pintura atuou no tratamento das soldas da estrutura metlica.3. UPGN-2:A equipe de caldeiraria atuou na solda dos inserts, montagem das estruturas metlicas no cho.A equipe da Engeval atuou na montagem dos acessos na lateral das interferncias.A equipe atuou na pintura das soldas e tratamento da estrutura metlica dos mdulos montados no cho, lixamento e tratamento com tinta de fundo nas passarelas e na escada marinheiro (fachada da rua).A equipe de civil atuou na recuperao das bases chumbadores demolidas nas vigas de rolamento da ponte.4. SALA CISC:A equipe de pintura atuou no emassamento e lixamento das paredes.5. ESTOQUE MI:A equipe de civil atuou na preparao das demais formas para dar acabamento nas bases dos pilares.No houve atividade de caldeiraria.6. K-02:Sem atividades executadas, foi programada a PT de caldeiraria, mas a contratada no disponibilizou efetivo para a execuo.7. K-12:Equipe de caldeiraria atuou na remoo das telhas da cobertura do galpo e perfis metlicos.8. K-23:Equipe de eltrica atuou na instalao da iluminao provisria.Caldeiraria sem atividades.9. K-48:Sem atividades programadas.Aguardando equipe de caldeiraria para incio das atividades de desmontagem.RO aceito pela fiscalizao.</t>
  </si>
  <si>
    <t>RO DIRIO E OBRA - SS-04/2025 (UPGN-2)  &amp;gt;MONTAGEM DE ESTRUTURA METALICA E SOLDA DOS INSERTS - MOD:5 | PEMT:1 | PT: (21068459 |HR SOLIC 08:00 | HR LIB 09:30 |ATRASO 01:00|) - (HR ENC 16:30 | ATRASO 00:00)  &amp;gt;MONTAGEM DE FORMA E CONCRETAGEM DOS CHUMABADORES - MOD:2 | PEMT:1 | PT: (21195837 |HR SOLIC 08:00 | HR LIB 09:36 |ATRASO 01:06|) - (HR ENC 16:30 | ATRASO 00:00)  &amp;gt;TRATAMENTO E PINTURA DE ESTRUTURA METALICA - MOD:2 | PT: (21079158 |HR SOLIC 08:00 | HR LIB 08:10 |ATRASO 00:00|) - (HR ENC 16:30 | ATRASO 00:00)  &amp;gt;MONTAGEM DE ANDAIME - MOD:7 | PT: (21071500 |HR SOLIC 08:00 | HR LIB 08:20 |ATRASO 00:00|) - (HR ENC 16:30 | ATRASO 00:00)  &amp;gt;&amp;gt;AS PTs TIVERAM ATRASO NA LIBERAO PELA OPERAO DEVIDO ACIDENTE NA UNIDADE COM OUTRA CONTRATADA  &amp;gt;&amp;gt;CONDIES CLIMTICAS: TEMPO BOM  &amp;gt;&amp;gt;&amp;gt;IMPEDIMENTOS ACUMULADOS LIBERAO PT/PTT: 20:33 = 3,00d CONDIES CLIMTICAS: 38:35 = 3,83d PETROBRAS: 15:20 = 1,05d OUTROS: 25:20 = 4,17d APJ: 0:00 = 0d RO DIRIO E OBRA - SS-05/2025 (SECGN)  &amp;gt;MONTAGEM DE ESTRUTURA METALICA (TELHAS) - MOD:7 | PEMT:2 | PT: (21195899 |HR SOLIC 08:00 | HR LIB 10:20 |ATRASO 01:50|) - (HR ENC 16:30 | ATRASO 00:00)  &amp;gt;TRATAMENTO E PINTURA DE ESTRUTURA DE CONCRETO - MOD:1 | PT: (21195918 |HR SOLIC 08:00 | HR LIB 10:25 |ATRASO 01:55|) - (HR ENC 16:30 | ATRASO 00:00)  &amp;gt;&amp;gt;AS PTs TIVERAM ATRASO NA LIBERAO PELA OPERAO DEVIDO ACIDENTE NA UNIDADE COM OUTRA CONTRATADA &amp;gt;&amp;gt;CONDIES CLIMTICAS: TEMPO BOM  &amp;gt;&amp;gt;&amp;gt;IMPEDIMENTOS ACUMULADOS LIBERAO PT/PTT: 35:19 = 4,57d CONDIES CLIMTICAS: 81:25 = 9,18d PETROBRAS: 6:30 = 0,82d OUTROS: 36:30 = 4,57d APJ: 0:00 = 0d  RO DIRIO E OBRA - SS-06/2025 (K-14)  &amp;gt;TRATAMENTO E PINTURA - MOD:2 | PT: (21196015 |HR SOLIC 08:00 | HR LIB 10:00 |ATRASO 01:30|) - (HR ENC 16:30 | ATRASO 00:00)  &amp;gt;MONTAGEM DE INFRA ESTRUTURA ELETRICA - MOD:4 | PEMT:1 | PT: (21196028 |HR SOLIC 08:00 | HR LIB 10:25 |ATRASO 01:55|) - (HR ENC 16:30 | ATRASO 00:00)  &amp;gt;TESTE DO SISTEMA DE SPDA - MOD:1 | PT: (21200627 |HR SOLIC 11:00 | HR LIB 11:20 |ATRASO 00:00|) - (HR ENC 16:30 | ATRASO 00:00)&amp;gt;MONTAGEM DE ANDAIMEPT: (2116131 |HR SOLIC 08:00 | HR LIB 08:10 |ATRASO 00:00|) - (HR ENC 16:30 | ATRASO 00:00)  &amp;gt;&amp;gt;AS PTs TIVERAM ATRASO NA LIBERAO PELA OPERAO DEVIDO ACIDENTE NA UNIDADE COM OUTRA CONTRATADA  &amp;gt;&amp;gt;CONDIES CLIMTICAS: TEMPO BOM  &amp;gt;&amp;gt;&amp;gt;IMPEDIMENTOS ACUMULADOS LIBERAO PT/PTT: 41:03 = 5,48d CONDIES CLIMTICAS: 53:35 = 5,7d PETROBRAS: 1:30 = 0,19d OUTROS: 28:30 = 3,57d APJ: 0:00 = 0d RO DIRIO E OBRA - SS-08/2025 (K-02)   SEM ATIVIDADES   &amp;gt;&amp;gt;CONDIES CLIMTICAS: TEMPO BOM   &amp;gt;&amp;gt;&amp;gt;IMPEDIMENTOS ACUMULADOS  LIBERAO PT/PTT: 0:50 = 0,11d  CONDIES CLIMTICAS: 0:00 = 0d  PETROBRAS: 0:00 = 0d  OUTROS: 64:30 = 5,07d  APJ: 0:00 = 0d RO DIRIO E OBRA - SS-12/2025 (ESTOQUE)  &amp;gt;MONTAGEM DE FORMA E CONCRETAGEM DAS BASES DOS PILARES - MOD:2 | PT: (21198591 |HR SOLIC 08:00 | HR LIB 08:10 |ATRASO 00:00|) - (HR ENC 16:30 | ATRASO 00:00)  &amp;gt;&amp;gt;CONDIES CLIMTICAS: TEMPO BOM  &amp;gt;&amp;gt;&amp;gt;IMPEDIMENTOS ACUMULADOS LIBERAO PT/PTT: 0:00 = 0d CONDIES CLIMTICAS: 23:00 = 1,88d PETROBRAS: 0:00 = 0d OUTROS: 0:30 = 0,07d APJ: 0:00 = 0d RO DIRIO E OBRA - SS-18/2025 (SALA CISC)  &amp;gt;EMASSAMENTO DE DRYWALL, LIXAMENTO- MOD:2 | PT: (21198604 |HR SOLIC 08:00 | HR LIB 08:10 |ATRASO 00:00|) - (HR ENC 16:30 | ATRASO 00:00)  &amp;gt;&amp;gt;CONDIES CLIMTICAS: TEMPO BOM  &amp;gt;&amp;gt;&amp;gt;IMPEDIMENTOS ACUMULADOS LIBERAO PT/PTT: 0:00 = 0d CONDIES CLIMTICAS: 0:00 = 0d PETROBRAS: 0:00 = 0d OUTROS: 0:30 = 0,07d APJ: 0:00 = 0d RO DIRIO E OBRA - SS-26/2025 (GALPO(K-23)  &amp;gt;MONTAGEM DE ILUMINAO PROVISORIA - MOD:2 | PT: (21196081 |HR SOLIC 08:00 | HR LIB 09:10 |ATRASO 00:40|) - (HR ENC 16:30 | ATRASO 00:00)  &amp;gt;&amp;gt;AS PTs TIVERAM ATRASO NA LIBERAO PELA OPERAO DEVIDO ACIDENTE NA UNIDADE COM OUTRA CONTRATADA  &amp;gt;&amp;gt;CONDIES CLIMTICAS: TEMPO BOM  &amp;gt;&amp;gt;&amp;gt;IMPEDIMENTOS ACUMULADOS LIBERAO PT/PTT: 0:40 = 0,09d CONDIES CLIMTICAS: 0:00 = 0d PETROBRAS: 0:00 = 0d OUTROS: 32:00 = 6d APJ: 0:00 = 0d RO DIRIO E OBRA - SS-27/2025 (GALPO(K-12)  &amp;gt;DESMONTAGEM DE ESTRUTURA METALICA - MOD:3 | PEMT:1 | PT: (21196060 |HR SOLIC 08:00 | HR LIB 09:00 |ATRASO 00:30|) - (HR ENC 16:30 | ATRASO 00:00)  &amp;gt;&amp;gt;AS PTs TIVERAM ATRASO NA LIBERAO PELA OPERAO DEVIDO ACIDENTE NA UNIDADE COM OUTRA CONTRATADA &amp;gt;&amp;gt;CONDIES CLIMTICAS: TEMPO BOM  &amp;gt;&amp;gt;&amp;gt;IMPEDIMENTOS ACUMULADOS LIBERAO PT/PTT: 00:30 = 0,25d CONDIES CLIMTICAS: 8:00 = 0d PETROBRAS: 0:00 = 0d OUTROS: 32:00 = 4d APJ: 0:00 = 0d   RO DIRIO E OBRA - SS-28/2025 (GALPO(K-48) SEM ATIVIDADES &amp;gt;&amp;gt;CONDIES CLIMTICAS: TEMPO BOM &amp;gt;&amp;gt;&amp;gt;IMPEDIMENTOS ACUMULADOS LIBERAO PT/PTT: 0:00 = 0d  CONDIES CLIMTICAS: 0:00 = 0d  PETROBRAS: 0:00 = 0d  OUTROS: 32:00 = 4d  APJ: 0:00 = 0d</t>
  </si>
  <si>
    <t>29/01/2026</t>
  </si>
  <si>
    <t>RO-166/2026</t>
  </si>
  <si>
    <t>ANEXO 005- _Inventário Produdos Quimicos - APJ.xls; ANEXO 005 - INVETÁRIO PQ JAN 2026 APJ ENGENHARIA.pdf; FDS - 0030 MASSA DRYWALL.pdf; FDS - 00031 ADESIVO EPOXI SIKA DUR.pdf; FDS - 0032 FLUIDO CORTE QUIMATIC.pdf; FDS - 0033 LIMPA PISO.pdf</t>
  </si>
  <si>
    <t>Envio do doc. CDIGO372 FDS e INVENTRIO PRODUTOS QUIMICOS JAN 2026 aquisio no perodo.</t>
  </si>
  <si>
    <t>RO-165/2026</t>
  </si>
  <si>
    <t>Os somatrios desde incio at o prazo final da SS dos acmulos de hora parada e meteorolgicas no final da SS a Petrobras ir analisar se e cabvel o abono revertido em acrscimo de dias no prazo de entrega da demanda.Algumas PT's tiveram atraso na liberao, devido aos acidentes com outras contratadas nas semanas anteriores, como forma de mitigar a incidncia desses acidentes, os supervisores e o cotur liberaram as atividades aps a "palestra" diria.1. SECGN:A equipe de caldeiraria deu sequncia na instalao das telhas da cobertura, venezianas e calhas e telhas de fechamento lateral.Programada a PT de pintura, mas a atividade no foi executada, desconsiderar informao do RDO da contratada sobre o efetivo no SECGN no dia 28/01.2. K-14:Foi programada a PT de caldeiraria, mas a etapa foi concluda no dia 26/01.Equipe de andaimes atuou na adequao de andaime para a eltrica.A equipe de eltrica dava continuidade na montagem da infraestrutura para eltrica, com a montagem dos eletrodutos, caixas de passagem e bornes, instalao das luminrias e SPDA.A equipe de pintura atuou no tratamento das soldas da estrutura metlica.3. UPGN-2:A equipe de caldeiraria atuou na solda dos inserts, montagem das estruturas metlicas no cho.A equipe da Engeval atuou na montagem dos acessos na lateral das interferncias.A equipe atuou na pintura das soldas e tratamento da estrutura metlica dos mdulos montados no cho, lixamento e tratamento com tinta de fundo nas passarelas e na escada marinheiro (fachada da rua).A equipe de civil atuou na demolio das bases dos chumbadores das vigas de rolamento da ponte, para avaliao e inspeo.4. SALA CISC:A equipe de pintura atuou no emassamento e lixamento das paredes.5. ESTOQUE MI:A equipe de civil atuou na preparao das demais formas para dar acabamento nas bases dos pilares.No houve atividade de caldeiraria.6. K-02:Foi realizada a movimentao de alguns materiais com a PT de movimentao da fiscalizao, com co-emitncia da operao, PT 21.194.707.A atividade foi paralisada devido ao novo padro de movimentao de carga (guarda-corpo no caminho munck). Sem o munck, a equipe no conseguia posicionar as estruturas e nem fazer o transporte e descarregamento das mesmas na rea.Munck liberado no dia 28/01 pela tarde.7. K-12:Equipe de caldeiraria atuou na remoo das telhas da cobertura do galpo e perfis metlicos.8. K-23:Sem atividades programadas.9. K-48:Sem atividades programadas.Aguardando equipe de caldeiraria para incio das atividades de desmontagem.10. K-18:Equipe de civil atuou na instalao das persianas.RO aceito pela fiscalizao.</t>
  </si>
  <si>
    <t>RO DIRIO E OBRA - SS-04/2025 (UPGN-2)  &amp;gt;MONTAGEM DE ESTRUTRA METALICA E SOLDA DOS INSERTS - MOD:6 | PEMT:3 | PT: (21068459 |HR SOLIC 08:00 | HR LIB 09:30 |ATRASO 01:00|) - (HR ENC 16:30 | ATRASO 00:00)  &amp;gt;TRATAMENTO E PINTURA DE ESTRUTURA METALICA E CONCRETO - MOD:1 | PT: (21079158 |HR SOLIC 08:00 | HR LIB 08:30 |ATRASO 00:00|) - (HR ENC 16:30 | ATRASO 00:00)  &amp;gt;MONTAGEM DE ANDAIME - MOD:7 | PT: (21071500 |HR SOLIC 08:00 | HR LIB 08:30 |ATRASO 00:00|) - (HR ENC 16:30 | ATRASO 00:00)  &amp;gt;DEMOLIO E TRATAMENTO DAS PORCAS DOS CHUMBADORES DOS PILARES MOD:2 | PEMT:1 | PT: (21190943 |HR SOLIC 12:00 | HR LIB 12:30 |ATRASO 00:00|) - (HR ENC 16:30 | ATRASO 00:00)&amp;gt;&amp;gt;AS PTs TIVERAM ATRASO NA LIBERAO PELA OPERAO DEVIDO ACIDENTE NA UNIDADE COM OUTRA CONTRATADA  &amp;gt;&amp;gt;CONDIES CLIMTICAS: TEMPO BOM  &amp;gt;&amp;gt;&amp;gt;IMPEDIMENTOS ACUMULADOS LIBERAO PT/PTT: 18:27 = 2,64d CONDIES CLIMTICAS: 38:35 = 3,83d PETROBRAS: 15:20 = 1,05d OUTROS: 25:20 = 4,17d APJ: 0:00 = 0d RO DIRIO E OBRA - SS-05/2025 (SECGN)  &amp;gt;MONTAGEM DE ESTRUTURA METALICA ( TELHAS) - MOD:4 | PT: (21190915 |HR SOLIC 08:00 | HR LIB 10:00 |ATRASO 01:30|) - (HR ENC 16:30 | ATRASO 00:00)  &amp;gt;TRATAMENTO E PINTURA DE CONCRETO - MOD:2 | PT: (21191795 |HR SOLIC 08:00 | HR LIB 00:00 |ATRASO |) - (HR ENC 16:30 | ATRASO 00:00)  &amp;gt;&amp;gt;CONDIES CLIMTICAS: TEMPO BOM &amp;gt;&amp;gt;A PT 21191795 FOI SOLICITADA, MAS NO LIBERADA PELA OPERAO, ATIVIDADE DE PINTURA NO EXECUTADA. (08:00 - 16:30) &amp;gt;&amp;gt;AS PTs TIVERAM ATRASO NA LIBERAO PELA OPERAO DEVIDO ACIDENTE NA UNIDADE COM OUTRA CONTRATADA &amp;gt;&amp;gt;&amp;gt;IMPEDIMENTOS ACUMULADOS LIBERAO PT/PTT: 31:34 = 4,1d CONDIES CLIMTICAS: 81:25 = 9,18d PETROBRAS: 6:30 = 0,82d OUTROS: 36:30 = 4,57d APJ: 0:00 = 0d  RO DIRIO E OBRA - SS-06/2025 (K-14)  &amp;gt;MONTAGEM DE INFRA ESTRUTURA ELETRICA - MOD:4 | PEMT:1 | PT: (21191038 |HR SOLIC 08:00 | HR LIB 09:40 |ATRASO 01:10|) - (HR ENC 16:30 | ATRASO 00:00)  &amp;gt;PINTURA DE ESTRUTURA METALICA - MOD:2 | PT: (21191023 |HR SOLIC 08:00 | HR LIB 09:40 |ATRASO 01:10|) - (HR ENC 16:30 | ATRASO 00:00)&amp;gt;MONTAGEM DE ANDAIME - MOD:4 | PEMT:1 |PT: (ATRE |HR SOLIC 08:00 | HR LIB 08:10 |ATRASO 00:00|) - (HR ENC 16:30 | ATRASO 00:00)  &amp;gt;&amp;gt;AS PTs TIVERAM ATRASO NA LIBERAO PELA OPERAO DEVIDO ACIDENTE NA UNIDADE COM OUTRA CONTRATADA &amp;gt;&amp;gt;CONDIES CLIMTICAS: TEMPO BOM  &amp;gt;&amp;gt;&amp;gt;IMPEDIMENTOS ACUMULADOS LIBERAO PT/PTT: 37:38 = 5,05d CONDIES CLIMTICAS: 53:35 = 5,7d PETROBRAS: 1:30 = 0,19d OUTROS: 28:30 = 3,57d APJ: 0:00 = 0d RO DIRIO E OBRA - SS-08/2025 (K-02)   SEM ATIVIDADES   &amp;gt;&amp;gt;CONDIES CLIMTICAS: TEMPO BOM   &amp;gt;&amp;gt;&amp;gt;IMPEDIMENTOS ACUMULADOS  LIBERAO PT/PTT: 0:50 = 0,11d  CONDIES CLIMTICAS: 0:00 = 0d  PETROBRAS: 0:00 = 0d  OUTROS: 64:30 = 5,07d  APJ: 0:00 = 0d RO DIRIO E OBRA - SS-12/2025 (ESTOQUE)  &amp;gt;MONTAGEM DE FORMA E CONCRETAGEM DS BASES DOS PILARES - MOD:2 | PT: (21191968 |HR SOLIC 08:00 | HR LIB 08:30 |ATRASO 00:00|) - (HR ENC 16:30 | ATRASO 00:00)  &amp;gt;&amp;gt;CONDIES CLIMTICAS: TEMPO BOM  &amp;gt;&amp;gt;&amp;gt;IMPEDIMENTOS ACUMULADOS LIBERAO PT/PTT: 0:00 = 0d CONDIES CLIMTICAS: 23:00 = 1,88d PETROBRAS: 0:00 = 0d OUTROS: 0:30 = 0,07d APJ: 0:00 = 0d RO DIRIO E OBRA - SS-18/2025 (SALA CISC)  &amp;gt;EMASSAMENTO DE DRAYWALL, LIXAMENTO - MOD:2 | PT: (211919571 |HR SOLIC 08:00 | HR LIB 08:30 |ATRASO 00:00|) - (HR ENC 16:30 | ATRASO 00:00)  &amp;gt;&amp;gt;CONDIES CLIMTICAS: TEMPO BOM  &amp;gt;&amp;gt;&amp;gt;IMPEDIMENTOS ACUMULADOS LIBERAO PT/PTT: 0:00 = 0d CONDIES CLIMTICAS: 0:00 = 0d PETROBRAS: 0:00 = 0d OUTROS: 0:30 = 0,07d APJ: 0:00 = 0d RO DIRIO E OBRA - SS-26/2025 (GALPO(K-23)  &amp;gt;MONTAGEM DE ILUMINAO PROVISORIA/DESMONTAGEM DE INFRA ELETRICA - MOD:2   &amp;gt;&amp;gt;&amp;gt; PT 21191795 NO LIBERADA PELA OPERAO DEVIDO ERRO NA LIBRA DE BLOQUEIO ELETRICO, ATIVIDADE NO EXECUTADA (07:30-16:30)  &amp;gt;&amp;gt;CONDIES CLIMTICAS: TEMPO BOM  &amp;gt;&amp;gt;&amp;gt;IMPEDIMENTOS ACUMULADOS LIBERAO PT/PTT: 0:00 = 0,00d CONDIES CLIMTICAS: 0:00 = 0d PETROBRAS: 8:00 = 0d OUTROS: 32:00 = 5d APJ: 0:00 = 0d  RO DIRIO E OBRA - SS-27/2025 (GALPO(K-12)  &amp;gt;DESMONTAGEM DE ESTRUTURA METALICA - MOD:3 | PEMT:1 | PT: (21191101 |HR SOLIC 08:00 | HR LIB 08:30 |ATRASO 00:00|) - (HR ENC 16:30 | ATRASO 00:00)  &amp;gt;&amp;gt;CONDIES CLIMTICAS: TEMPO BOM  &amp;gt;&amp;gt;&amp;gt;IMPEDIMENTOS ACUMULADOS LIBERAO PT/PTT: 00:00 = 0,0d CONDIES CLIMTICAS: 8:00 = 0d PETROBRAS: 0:00 = 0d OUTROS: 32:00 = 4d APJ: 0:00 = 0d ____________________________________________________________ RO DIRIO E OBRA - SS-28/2025 (GALPO(K-48) SEM ATIVIDADES  &amp;gt;&amp;gt;CONDIES CLIMTICAS: TEMPO BOM &amp;gt;&amp;gt;&amp;gt;IMPEDIMENTOS ACUMULADOS  LIBERAO PT/PTT: 0:00 = 0d  CONDIES CLIMTICAS: 0:00 = 0d  PETROBRAS: 0:00 = 0d  OUTROS: 32:00 = 4d  APJ: 0:00 = 0d   RO DIRIO E OBRA - SS-31/2025 ((K-18) ADEQUAO DE AREA DA PORTARIA)  &amp;gt;INSTALAAO DE PERSIANAS - MOD:2 | PT: (21194078 |HR SOLIC 08:00 | HR LIB 08:30 |ATRASO 00:00|) - (HR ENC 16:30 | ATRASO 00:00)  &amp;gt;&amp;gt;CONDIES CLIMTICAS: TEMPO BOM  &amp;gt;&amp;gt;&amp;gt;IMPEDIMENTOS ACUMULADOS LIBERAO PT/PTT: 0:00 = 0,01d CONDIES CLIMTICAS: 0:00 = 0d PETROBRAS: 0:00 = 0d OUTROS: 0:00 = 0d APJ: 0:00 = 0d</t>
  </si>
  <si>
    <t>28/01/2026</t>
  </si>
  <si>
    <t>RO-164/2026</t>
  </si>
  <si>
    <t>381A -SIGEA UTGC APJ - JAN.26.xlsx; 381A-SIGEA EDIVIT APJ -JAN-26.xlsx</t>
  </si>
  <si>
    <t>Envio doc. CDIGO381A SIGEA JANEIRO 2026 EDIVIT e UTGC -LINHARES para avaliao.</t>
  </si>
  <si>
    <t>RO-163/2026</t>
  </si>
  <si>
    <t>CDF Nº 310531 REF. MTR 2113738302.pdf; CDF Nº 310531 REF. MTR 2113738306.pdf; CDF Nº 310531 REF. MTR 2113746597.pdf; CDF Nº 310531 REF. MTR 2113756196.pdf; CDF Nº 310531 REF. MTR 2113760879.pdf; CDF Nº 310531 REF. MTR 2113772142.pdf; CDF Nº 310531 REF. MTR 2113772735.pdf; CDF Nº 310982 REF. MTR 2113737820.pdf; CDF Nº 310998 REF. MTR 2113737827.pdf; CDF Nº 310999 REF. MTR 2113753739.pdf; CDF Nº 311053 REF. MTR 2113766328.pdf; CDF Nº 310540 REF. MTR 2113762063 (ANCHIETA).pdf</t>
  </si>
  <si>
    <t>Envio doc. CDIGO 392 -Certificado de Descarte de Resduos (CDR) JANEIRO 2026.</t>
  </si>
  <si>
    <t>RO-162/2026</t>
  </si>
  <si>
    <t>Fiscalizao de acordo com RO apresentado.No houve atividades, equipe aguardando chegada de material</t>
  </si>
  <si>
    <t>"RO DIRIO E OBRA - SS-17/2025 (LUMINOSIDADE)&amp;gt;NO HOUVE ATIVIDADE NESTE DIA - MOD: |PT: ( |HR SOLIC 00:00 | HR LIB 00:00 |ATRASO |) - (HR ENC 00:00 | ATRASO )&amp;gt;&amp;gt;CONDIES CLIMTICAS: TEMPO BOM&amp;gt;&amp;gt;&amp;gt;IMPEDIMENTOS ACUMULADOSLIBERAO PT/PTT: 17:02 = 2,13dCONDIES CLIMTICAS: 39:00 = 4,88dPETROBRAS: 23:30 = 2,94dOUTROS: 2:20 = 0,3dAPJ: 0:00 = 0d"</t>
  </si>
  <si>
    <t>RO-161/2026</t>
  </si>
  <si>
    <t>Equipe da Torres Brasil, subcontratada da APJ est atuando na manuteno das torres de resfriamento, no foi executada nenhuma atividade hoje, o servio da Torres Brasil, foi concludo nas torres A e B, a equipe dever retornar agora quando for concluda a etapa de restaurao dos anis dos difusores e montagem dos ventiladores das torres A e B.Foi realizado a atividade de corte de barras chatas e tubos de ao carbono na rea do PIPE-SHOP.</t>
  </si>
  <si>
    <t>"RO DIRIO E OBRA - SS-15/2025 (TORRE RESFR)&amp;gt;CORTE DE BARRAS CHATA E TUBOS AO E CARBONO - MOD:3 |PT: (21233227 |HR SOLIC 13:45 | HR LIB 14:06 |ATRASO 00:00|) - (HR ENC 16:30 | ATRASO 00:00)&amp;gt;&amp;gt;CONDIES CLIMTICAS: TEMPO BOM&amp;gt;&amp;gt;&amp;gt;IMPEDIMENTOS ACUMULADOSLIBERAO PT/PTT: 4:21 = 0,55dCONDIES CLIMTICAS: 10:30 = 1,32dPETROBRAS: 6:00 = 0,75dOUTROS: 4:55 = 0,62dAPJ: 0:00 = 0d"__________________________________________________________________________________________________________________"RO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</si>
  <si>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RO-160/2026</t>
  </si>
  <si>
    <t>manifesto_2113737820 IOCI.pdf; manifesto_2113737827 IOCI.pdf; manifesto_2113738302 NR IOCI.pdf; manifesto_2113738306 NR IOCI.pdf; manifesto_2113746597 NR IOCI.pdf; manifesto_2113753739 IOCI.pdf; manifesto_2113760879 IOCI.pdf; manifesto_2113766328 IOCI.pdf</t>
  </si>
  <si>
    <t>Envio doc. CDIGO 391 -Manifesto de Transporte de Resduos (MTR) janeiro 2026.</t>
  </si>
  <si>
    <t>RO-159/2026</t>
  </si>
  <si>
    <t>Formulário para saída de resíduos  09 01 2026 APJ Contrato  4600684819.xlsx; Formulário para saída de resíduos  14 01 2026 APJ Contrato  4600684819 REV.xlsx; Formulário para saída de resíduos  19 01 2026 APJ Contrato  4600684819.xlsx; Formulário para saída de resíduos  20 01 2026 APJ Contrato  4600684819.xlsx; Formulário para saída de resíduos  21 01 2026 APJ Contrato  4600684819.xlsx; Formulário para saída de resíduos  23 01 2026 APJ Contrato  4600684819.xlsx; Formulário para saída de resíduos  26 01 2026 APJ Contrato  4600684819.xlsx; Formulário para saída de resíduos  28 01 2026 APJ Contrato  4600684819.xlsx</t>
  </si>
  <si>
    <t>Envio doc. CDIGO 396-Controle de Sada de Resduos de Obras (Modelo Petrobras ou similar) janeiro 2026.</t>
  </si>
  <si>
    <t>RO-158/2026</t>
  </si>
  <si>
    <t>Equipe da Torres Brasil, subcontratada da APJ est atuando na manuteno das torres de resfriamento, no foi executada nenhuma atividade hoje, o servio da Torres Brasil, foi concludo nas torres A e B, a equipe dever retornar agora quando for concluda a etapa de restaurao dos anis dos difusores e montagem dos ventiladores das torres A e B.Foi realizado a atividade de fabricao e adequao de suportes na rea do PIPE-SHOP e ainda a montagem das hlices de um dos ventiladores das torres.</t>
  </si>
  <si>
    <t>"RO DIRIO E OBRA - SS-15/2025 (TORRE RESFR)&amp;gt;SERVIO DE CORTE E FURO EM PERFIL - MOD:2 |PT: (21224840 |HR SOLIC 08:00 | HR LIB 08:30 |ATRASO 00:00|) - (HR ENC 16:30 | ATRASO 00:00)&amp;gt;INSTALAO DA HELICE DO VENTILADOR DO MOTOR - MOD:2 |PT: (21229004 |HR SOLIC 16:00 | HR LIB 16:10 |ATRASO 00:00|) - (HR ENC 16:30 | ATRASO 00:00)&amp;gt;&amp;gt;CONDIES CLIMTICAS: TEMPO BOM&amp;gt;&amp;gt;&amp;gt;IMPEDIMENTOS ACUMULADOSLIBERAO PT/PTT: 4:21 = 0,55dCONDIES CLIMTICAS: 10:30 = 1,32dPETROBRAS: 6:00 = 0,75dOUTROS: 4:55 = 0,62dAPJ: 0:00 = 0d"__________________________________________________________________________________________________________________________________________"RO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</si>
  <si>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RO-157/2026</t>
  </si>
  <si>
    <t>"RO DIRIO E OBRA - SS-17/2025 (LUMINOSIDADE)&amp;gt;ADEQUAO DOS SUPORTES NOS POSTES COM BALIZADORES - MOD:4 |PT: (21226000 |HR SOLIC 09:00 | HR LIB 09:55 |ATRASO 00:25|) - (HR ENC 16:30 | ATRASO 00:00)&amp;gt;&amp;gt;CONDIES CLIMTICAS: TEMPO BOM&amp;gt;&amp;gt;LIBERAO DE LIBRA (07:30 - 10:30)&amp;gt;&amp;gt;&amp;gt;IMPEDIMENTOS ACUMULADOSLIBERAO PT/PTT: 17:02 = 2,13dCONDIES CLIMTICAS: 39:00 = 4,88dPETROBRAS: 23:30 = 2,94dOUTROS: 2:20 = 0,3dAPJ: 0:00 = 0d"</t>
  </si>
  <si>
    <t>RO-156/2026</t>
  </si>
  <si>
    <t>381-  REM  JANEIRO 2026.xlsx</t>
  </si>
  <si>
    <t>Envio doc. CDIGO381 -REM e REMe - Relatrio Estatstico Mensal (conforme modelo Petrobras) JANEIRO 2026, compilados UTGC e EDIVIT.</t>
  </si>
  <si>
    <t>RO-155/2026</t>
  </si>
  <si>
    <t>376-RMS EDVIT JANEIRO 2026.pdf; 376 - RMS - JANEIRO 2026 UTGC.pdf; ASO ADMISSIONAL - GEORGE FALQUETO.pdf; ASO ADMISSIONAL - LUCAS TITO.pdf; ASO ADMISSIONAL - VINICIOS GUILHERME.pdf; ASO ADMISSIONAL - WESLEY SANTANA.pdf; ASO DEMISSIONAL - JOEL SILVA.pdf; DDS - JANEIRO_compressed.pdf; 359-PLANILHA DE RELATOS DO AMIGO DO PEITO -JAN.xlsx; 391-EVIDÊNCIA MANIFESTO DE TRANSPORTE DE RESIDUOS (MTR).pdf; 910 - EVIDÊNCIA DDS APJ - JAN-26.pdf; 359-PLANILHA DE RELATOS DO AMIGO DO PEITO -JAN.xlsx</t>
  </si>
  <si>
    <t>Envio doc. CDIGO 376 -RMS - Relatrio Mensal de SMS (conforme modelo Petrobras) UTGC e EDIVI referncia JAN 2026, com as evidncias das informaes.</t>
  </si>
  <si>
    <t>RO-154/2026</t>
  </si>
  <si>
    <t>Equipe da Torres Brasil, subcontratada da APJ est atuando na manuteno das torres de resfriamento, no foi executada nenhuma atividade hoje, o servio da Torres Brasil, foi concludo nas torres A e B, a equipe dever retornar agora quando for concluda a etapa de restaurao dos anis dos difusores e montagem dos ventiladores das torres A e B.Foi realizado somente a atividade de fabricao e adequao de suportes na rea do PIPE-SHOP, que fica atrs do prdio da utilidades.</t>
  </si>
  <si>
    <t>"RO DIRIO E OBRA - SS-15/2025 (TORRE RESFR)&amp;gt;FABRICAO DE SUPORTES - MOD:2 |PT: (21219172 |HR SOLIC 08:00 | HR LIB 08:30 |ATRASO 00:00|) - (HR ENC 16:30 | ATRASO 00:00)&amp;gt;&amp;gt;CONDIES CLIMTICAS: TEMPO BOM&amp;gt;&amp;gt;&amp;gt;IMPEDIMENTOS ACUMULADOSLIBERAO PT/PTT: 4:21 = 0,55dCONDIES CLIMTICAS: 10:30 = 1,32dPETROBRAS: 6:00 = 0,75dOUTROS: 4:55 = 0,62dAPJ: 0:00 = 0d"______________________________________________________________________________________________________________________________________________________"RO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</si>
  <si>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RO-152/2026</t>
  </si>
  <si>
    <t>"RO DIRIO E OBRA - SS-17/2025 (LUMINOSIDADE)&amp;gt;INSPEO NOS POSTES COM BALIZADORES - MOD:4 |PT: (21219189 |HR SOLIC 08:00 | HR LIB 08:30 |ATRASO 00:00|) - (HR ENC 16:30 | ATRASO 00:00)&amp;gt;&amp;gt;CONDIES CLIMTICAS: TEMPO BOM&amp;gt;&amp;gt;&amp;gt;IMPEDIMENTOS ACUMULADOSLIBERAO PT/PTT: 16:37 = 2,08dCONDIES CLIMTICAS: 39:00 = 4,88dPETROBRAS: 20:30 = 2,57dOUTROS: 2:20 = 0,3dAPJ: 0:00 = 0d"</t>
  </si>
  <si>
    <t>RO-151/2026</t>
  </si>
  <si>
    <t>Domingo, dia 01/02/26, no houve expediente.</t>
  </si>
  <si>
    <t>RO-150/2026</t>
  </si>
  <si>
    <t>RO-149/2026</t>
  </si>
  <si>
    <t>Equipe da Torres Brasil, subcontratada da APJ est atuando na manuteno das torres de resfriamento, no foi executada nenhuma atividade hoje, o servio da Torres Brasil, foi concludo nas torres A e B, a equipe dever retornar agora quando for concluda a etapa de restaurao dos anis dos difusores e montagem dos ventiladores das torres A e B.</t>
  </si>
  <si>
    <t>"RO DIRIO E OBRA - SS-15/2025 (TORRE RESFR)&amp;gt;NO HOUVE ATIVIDADE NESTE DIA - MOD: |PT: ( |HR SOLIC 00:00 | HR LIB 00:00 |ATRASO |) - (HR ENC 00:00 | ATRASO )&amp;gt;&amp;gt;CONDIES CLIMTICAS: TEMPO BOM&amp;gt;&amp;gt;&amp;gt;IMPEDIMENTOS ACUMULADOSLIBERAO PT/PTT: 4:21 = 0,55dCONDIES CLIMTICAS: 10:30 = 1,32dPETROBRAS: 6:00 = 0,75dOUTROS: 4:55 = 0,62dAPJ: 0:00 = 0d"______________________________________________________________________________________________________________________________________"RO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BOM&amp;gt;&amp;gt;&amp;gt;IMPEDIMENTOS ACUMULADOSLIBERAO PT/PTT: 0:00 = 0,01dCONDIES CLIMTICAS: 16:00 = 2dPETROBRAS: 1:40 = 0,21dOUTROS: 0:00 = 0dAPJ: 0:00 = 0d"</t>
  </si>
  <si>
    <t>RO-148/2026</t>
  </si>
  <si>
    <t>"RO DIRIO E OBRA - SS-17/2025 (LUMINOSIDADE)&amp;gt;INSPEO DOS POSTES BALIZADORES - MOD:3 |PT: (21214383 |HR SOLIC 07:30 | HR LIB 09:56 |ATRASO 01:56|) - (HR ENC 16:30 | ATRASO 00:00)&amp;gt;&amp;gt;CONDIES CLIMTICAS: TEMPO BOM&amp;gt;&amp;gt;&amp;gt;IMPEDIMENTOS ACUMULADOSLIBERAO PT/PTT: 16:37 = 2,08dCONDIES CLIMTICAS: 39:00 = 4,88dPETROBRAS: 20:30 = 2,57dOUTROS: 2:20 = 0,3dAPJ: 0:00 = 0d"</t>
  </si>
  <si>
    <t>RO-147/2026</t>
  </si>
  <si>
    <t>"RO DIRIO E OBRA - SS-17/2025 (LUMINOSIDADE)&amp;gt;INSPEO NOS POSTES COM BALIZADORES - RESTAURANTE AT O BLOCO CENTRAL - MOD:2 |PT: (21211042 |HR SOLIC 08:00 | HR LIB 08:30 |ATRASO 00:00|) - (HR ENC 16:30 | ATRASO 00:00)&amp;gt;&amp;gt;CONDIES CLIMTICAS: TEMPO BOM&amp;gt;&amp;gt;&amp;gt;IMPEDIMENTOS ACUMULADOSLIBERAO PT/PTT: 14:41 = 1,84dCONDIES CLIMTICAS: 39:00 = 4,88dPETROBRAS: 20:30 = 2,57dOUTROS: 2:20 = 0,3dAPJ: 0:00 = 0d"</t>
  </si>
  <si>
    <t>RO-146/2026</t>
  </si>
  <si>
    <t>Equipe da Torres Brasil, subcontratada da APJ est atuando na manuteno das torres de resfriamento, Atividades realizadas no dia de hoje: a montagem dos enchimentos (atenuadores) da parte inferior da Torre A foi concluda.Esto sendo realizadas as manutenes em geral da estrutura metlica da coifa do difusor(laminao) e da sustentao das vigas dos ventiladores que ficaram na central do PIPE SHOP para manuteno em geral ,antes de serem montados novamente.</t>
  </si>
  <si>
    <t>"RO DIRIO E OBRA - SS-15/2025 (TORRE RESFR)&amp;gt;NO HOUVE ATIVIDADE NESTE DIA - MOD: |PT: ( |HR SOLIC 00:00 | HR LIB 00:00 |ATRASO |) - (HR ENC 00:00 | ATRASO )&amp;gt;&amp;gt;CONDIES CLIMTICAS: TEMPO BOM&amp;gt;&amp;gt;&amp;gt;IMPEDIMENTOS ACUMULADOSLIBERAO PT/PTT: 4:21 = 0,55dCONDIES CLIMTICAS: 10:30 = 1,32dPETROBRAS: 6:00 = 0,75dOUTROS: 4:55 = 0,62dAPJ: 0:00 = 0d"_____________________________________________________________________________________________________________________________________________"RO DIRIO E OBRA - SS-24/2025 (RUDOS TORRE RESF)&amp;gt;LAMINAO DA COIFA DO DIFUSOR - MOD:4 |PT: (21211006 |HR SOLIC 08:00 | HR LIB 08:30 |ATRASO 00:00|) - (HR ENC 16:30 | ATRASO 00:00)&amp;gt;&amp;gt;CONDIES CLIMTICAS: TEMPO BOM&amp;gt;&amp;gt;&amp;gt;IMPEDIMENTOS ACUMULADOSLIBERAO PT/PTT: 0:00 = 0,01dCONDIES CLIMTICAS: 16:00 = 2dPETROBRAS: 1:40 = 0,21dOUTROS: 0:00 = 0dAPJ: 0:00 = 0d"</t>
  </si>
  <si>
    <t>RO-145/2026</t>
  </si>
  <si>
    <t>RO-144/2026</t>
  </si>
  <si>
    <t>RO-143/2026</t>
  </si>
  <si>
    <t>Equipe da Torres Brasil, subcontratada da APJ est atuando na manuteno das torres de resfriamento, Atividades realizadas no dia de hoje: a montagem dos enchimentos (atenuadores) da parte inferior da Torre A foi concluda, a equipe atuou na execuo da limpeza geral do local para concluir a etapa da atividade.Esto sendo realizadas as manutenes em geral da estrutura metlica da coifa do difusor(laminao) e da sustentao das vigas dos ventiladores que ficaram na central do PIPE SHOP para manuteno em geral ,antes de serem montados novamente.</t>
  </si>
  <si>
    <t>"RO DIRIO E OBRA - SS-15/2025 (TORRE RESFR)&amp;gt;INSTALAO DOS ATENUADORES DE RUIDOS - MOD:4 |PT: (21204585 |HR SOLIC 07:30 | HR LIB 08:00 |ATRASO 00:00|) - (HR ENC 16:30 | ATRASO 00:00)&amp;gt;&amp;gt;CONDIES CLIMTICAS: TEMPO BOM&amp;gt;&amp;gt;&amp;gt;IMPEDIMENTOS ACUMULADOSLIBERAO PT/PTT: 4:21 = 0,55dCONDIES CLIMTICAS: 10:30 = 1,32dPETROBRAS: 6:00 = 0,75dOUTROS: 4:55 = 0,62dAPJ: 0:00 = 0d"________________________________________________________________________________________________________________________________"RO DIRIO E OBRA - SS-24/2025 (RUDOS TORRE RESF)&amp;gt;LAMINAO DA COIFA DO DIFUSOR - MOD:4 |PT: (21204701 |HR SOLIC 08:00 | HR LIB 08:30 |ATRASO 00:00|) - (HR ENC 16:30 | ATRASO 00:00)&amp;gt;&amp;gt;CONDIES CLIMTICAS: TEMPO BOM&amp;gt;&amp;gt;&amp;gt;IMPEDIMENTOS ACUMULADOSLIBERAO PT/PTT: 0:00 = 0,01dCONDIES CLIMTICAS: 16:00 = 2dPETROBRAS: 1:40 = 0,21dOUTROS: 0:00 = 0dAPJ: 0:00 = 0d"</t>
  </si>
  <si>
    <t>RO-142/2026</t>
  </si>
  <si>
    <t>Fiscalizao aprova RO apresentado.Equipe atuando na verificao dos balizadores dos postes de 7 metros EDIVIT.</t>
  </si>
  <si>
    <t>"RO DIRIO E OBRA - SS-17/2025 (LUMINOSIDADE)&amp;gt;POSTES COM BALIZADORES - LATERAIS E FUNDOS DA CENTRA DE UTILIDADES - MOD:4 |PT: (21204573 |HR SOLIC 08:00 | HR LIB 08:30 |ATRASO 00:00|) - (HR ENC 14:25 | ATRASO 02:05)&amp;gt;&amp;gt;CONDIES CLIMTICAS: TEMPO BOM&amp;gt;&amp;gt;&amp;gt;IMPEDIMENTOS ACUMULADOSLIBERAO PT/PTT: 14:41 = 1,84dCONDIES CLIMTICAS: 39:00 = 4,88dPETROBRAS: 20:30 = 2,57dOUTROS: 2:20 = 0,3dAPJ: 0:00 = 0d"</t>
  </si>
  <si>
    <t>RO-141/2026</t>
  </si>
  <si>
    <t>"RO DIRIO E OBRA - SS-17/2025 (LUMINOSIDADE)&amp;gt;POSTES COM BALIZADORES - PORTARIA DE VECULOS ALA OESTE - MOD:4 |PT: (21199517 |HR SOLIC 08:00 | HR LIB 08:25 |ATRASO 00:00|) - (HR ENC 14:30 | ATRASO 02:00)&amp;gt;&amp;gt;CONDIES CLIMTICAS: TEMPO BOM&amp;gt;&amp;gt;&amp;gt;IMPEDIMENTOS ACUMULADOSLIBERAO PT/PTT: 12:36 = 1,58dCONDIES CLIMTICAS: 39:00 = 4,88dPETROBRAS: 20:30 = 2,57dOUTROS: 2:20 = 0,3dAPJ: 0:00 = 0d"</t>
  </si>
  <si>
    <t>RO-140/2026</t>
  </si>
  <si>
    <t>Equipe da Torres Brasil, subcontratada da APJ est atuando na manuteno das torres de resfriamento, Atividades realizadas no dia de hoje: a montagem dos enchimentos (atenuadores) da parte inferior da Torre A foi concluda, agora a equipe ir executar a limpeza geral para concluir a etapa da atividade.Esto sendo realizadas as manutenes em geral da estrutura metlica da coifa do difusor e da sustentao das vigas dos ventiladores que ficaram na central do PIPE SHOP para manuteno em geral ,antes de serem montados novamente.</t>
  </si>
  <si>
    <t>"RO DIRIO E OBRA - SS-15/2025 (TORRE RESFR)&amp;gt;RETIRADA E RECUPERAO DAS ESTRUTURAS DOS DIFUSORES - MOD:4 |PT: (21199509 |HR SOLIC 08:00 | HR LIB 08:30 |ATRASO 00:00|) - (HR ENC 16:30 | ATRASO 00:00)&amp;gt;&amp;gt;CONDIES CLIMTICAS: TEMPO BOM&amp;gt;&amp;gt;&amp;gt;IMPEDIMENTOS ACUMULADOSLIBERAO PT/PTT: 4:21 = 0,55dCONDIES CLIMTICAS: 10:30 = 1,32dPETROBRAS: 6:00 = 0,75dOUTROS: 4:55 = 0,62dAPJ: 0:00 = 0d"_______________________________________________________________________________________________________________________________"RO DIRIO E OBRA - SS-24/2025 (RUDOS TORRE RESF)&amp;gt;INSTALAO DOS ATENUADORES DE RUIDOS - MOD:4 |PT: (21199513 |HR SOLIC 07:30 | HR LIB 08:00 |ATRASO 00:00|) - (HR ENC 16:00 | ATRASO 00:30)&amp;gt;&amp;gt;CONDIES CLIMTICAS: TEMPO BOM&amp;gt;&amp;gt;&amp;gt;IMPEDIMENTOS ACUMULADOSLIBERAO PT/PTT: 0:00 = 0,01dCONDIES CLIMTICAS: 16:00 = 2dPETROBRAS: 1:40 = 0,21dOUTROS: 0:00 = 0dAPJ: 0:00 = 0d"</t>
  </si>
  <si>
    <t>RO-139/2026</t>
  </si>
  <si>
    <t>RO-138/2026</t>
  </si>
  <si>
    <t>LTP - APJ UTGC 05 12 2025.pdf; LTP- APJ EDIVIT 05 12 2025.pdf</t>
  </si>
  <si>
    <t>Envio do doc. CDIGO 313 -Laudo de Insalubridade e Periculosidade para avaliao.</t>
  </si>
  <si>
    <t>RO-137/2026</t>
  </si>
  <si>
    <t>Os somatrios desde incio at o prazo final da SS dos acmulos de hora parada e meteorolgicas no final da SS a Petrobras ir analisar se e cabvel o abono revertido em acrscimo de dias no prazo de entrega da demanda.Algumas PT's tiveram atraso na liberao, devido aos acidentes com outras contratadas nas semanas anteriores, como forma de mitigar a incidncia desses acidentes, os supervisores e o cotur liberaram as atividades aps a "palestra" diria.1. SECGN:A equipe de caldeiraria deu sequncia na instalao das telhas da cobertura, venezianas e calhas e telhas de fechamento lateral.2. K-14:Foi programada a PT de caldeiraria, mas a etapa foi concluda no dia anterior.A equipe de eltrica dava continuidade na montagem da infraestrutura para eltrica, com a montagem dos eletrodutos, caixas de passagem e bornes, instalao das luminrias e SPDA.A equipe de pintura atuou no tratamento das soldas da estrutura metlica.3. UPGN-2:A equipe de caldeiraria atuou na solda dos inserts, montagem das estruturas metlicas no cho.A equipe da Engeval atuou na montagem dos acessos na lateral das interferncias.A equipe atuou na pintura das soldas e tratamento da estrutura metlica dos mdulos montados no cho, lixamento e tratamento com tinta de fundo nas passarelas e na escada marinheiro (fachada da rua).A equipe de civil atuou na demolio das bases dos chumbadores das vigas de rolamento da ponte, para avaliao e inspeo.4. SALA CISC:A equipe de pintura atuou no emassamento e lixamento das paredes, enquanto a equipe de civil atuava tambm na instalao de infra de forro de pvc.5. ESTOQUE MI:A equipe de civil atuou na preparao das demais formas para dar acabamento nas bases dos pilares.No houve atividade de caldeiraria.6. K-02:Sem atividades.A atividade foi paralisada devido ao novo padro de movimentao de carga (guarda-corpo no caminho munck). Sem o munck, a equipe no conseguia posicionar as estruturas e nem fazer o transporte e descarregamento das mesmas na rea.7. K-12:Incio da atividade de caldeiraria. Equipe atuou na remoo das telhas de fechamento lateral do galpo.8. K-23:Continuao da atividade de montagem de andaime para proteo dos equipamentos com ATRE.9. K-48:Continuao da atividade de montagem de andaime para proteo dos equipamentos.10. K-18:Equipe de civil atuou na instalao das persianas.RO aceito pela fiscalizao.</t>
  </si>
  <si>
    <t>RO DIRIO E OBRA - SS-04/2025 (UPGN-2)  &amp;gt;MONTAGEM DE ESTRUTRA METALICA E SOLDA DOS INSERTS - MOD:8 | PEMT:3 | PT: (21068459 |HR SOLIC 08:00 | HR LIB 09:20 |ATRASO 00:50|) - (HR ENC 16:30 | ATRASO 00:00)  &amp;gt;TRATAMENTO E PINTURA DE ESTRUTURA METALICA E CONCRETO - MOD:1 | PT: (21079158 |HR SOLIC 08:00 | HR LIB 08:10 |ATRASO 00:00|) - (HR ENC 16:30 | ATRASO 00:00)  &amp;gt;MONTAGEM DE ANDAIME - MOD:6 | PT: (21071500 |HR SOLIC 08:00 | HR LIB 08:10 |ATRASO 00:00|) - (HR ENC 16:30 | ATRASO 00:00)  &amp;gt;DEMOLIO E TRATAMENTO DOS CHUMBADORES DOS PILARES - MOD:2 | PT: (21185024 |HR SOLIC 08:00 | HR LIB 08:10 |ATRASO 00:00|) - (HR ENC 16:30 | ATRASO 00:00)&amp;gt;&amp;gt;AS PTs TIVERAM ATRASO NA LIBERAO PELA OPERAO DEVIDO ACIDENTE NA UNIDADE COM OUTRA CONTRATADA &amp;gt;&amp;gt;CONDIES CLIMTICAS: TEMPO BOM &amp;gt;&amp;gt;&amp;gt;IMPEDIMENTOS ACUMULADOS LIBERAO PT/PTT: 17:27 = 2,52d CONDIES CLIMTICAS: 38:35 = 3,83d PETROBRAS: 15:20 = 1,05d OUTROS: 25:20 = 4,17d APJ: 0:00 = 0d RO DIRIO E OBRA - SS-05/2025 (SECGN)  &amp;gt;MONTAGEM DE ESTRUTURA METALICA (RUFOS E TELHAS) - MOD:4 | PEMT:1 | PT: (21184950 |HR SOLIC 08:00 | HR LIB 09:20 |ATRASO 00:50|) - (HR ENC 16:30 | ATRASO 00:00) &amp;gt;&amp;gt;AS PTs TIVERAM ATRASO NA LIBERAO PELA OPERAO DEVIDO ACIDENTE NA UNIDADE COM OUTRA CONTRATADA &amp;gt;&amp;gt;CONDIES CLIMTICAS: TEMPO BOM  &amp;gt;&amp;gt;&amp;gt;IMPEDIMENTOS ACUMULADOS LIBERAO PT/PTT: 30:04 = 3,91d CONDIES CLIMTICAS:81:25 = 9,18d PETROBRAS: 6:30 = 0,82d OUTROS: 28:30 = 3,57d APJ: 0:00 = 0d  RO DIRIO E OBRA - SS-06/2025 (K-14)  &amp;gt;MONTAGEM DE INFRA ESTRUTURA ELETRICA - MOD:5 | PEMT:1 | PT: (21185059 |HR SOLIC 08:00 | HR LIB 08:10 |ATRASO 00:00|) - (HR ENC 16:30 | ATRASO 00:00)  &amp;gt;TRATAMENTO E PINTURA DE ESTRUTURA METALICA E CONCRETO - MOD:2 | PT: (21185111 |HR SOLIC 08:00 | HR LIB 08:40 |ATRASO 00:10|) - (HR ENC 16:30 | ATRASO 00:00)  &amp;gt;&amp;gt;CONDIES CLIMTICAS: TEMPO BOM  &amp;gt;&amp;gt;&amp;gt;IMPEDIMENTOS ACUMULADOS LIBERAO PT/PTT: 35:18 = 4,76d CONDIES CLIMTICAS: 53:35 = 5,7d PETROBRAS: 1:30 = 0,19d OUTROS: 28:30 = 3,57d APJ: 0:00 = 0dRO DIRIO E OBRA - SS-08/2025 (K-02) SEM ATIVIDADES &amp;gt;&amp;gt;CONDIES CLIMTICAS: TEMPO BOM &amp;gt;&amp;gt;&amp;gt;IMPEDIMENTOS ACUMULADOS LIBERAO PT/PTT: 0:50 = 0,11d CONDIES CLIMTICAS: 0:00 = 0d PETROBRAS: 0:00 = 0d OUTROS:64:30 = 5,07d APJ: 0:00 = 0d RO DIRIO E OBRA - SS-12/2025 (ESTOQUE)  &amp;gt;MONTAGEM DE FORMA PARA CONCRETAGEM DAS BASES DOS PILARES- MOD:2 | PT: (21186842 |HR SOLIC 08:00 | HR LIB 08:10 |ATRASO 00:00|) - (HR ENC 16:30 | ATRASO 00:00)  &amp;gt;&amp;gt;CONDIES CLIMTICAS: TEMPO BOM  &amp;gt;&amp;gt;&amp;gt;IMPEDIMENTOS ACUMULADOS LIBERAO PT/PTT: 0:00 = 0d CONDIES CLIMTICAS: 23:00 = 1,88d PETROBRAS: 0:00 = 0d OUTROS: 0:30 = 0,07d APJ: 0:00 = 0d RO DIRIO E OBRA - SS-18/2025 (SALA CISC)  &amp;gt;ADEQUAPO DE INFRA DO FORRO, CORTE DE PAREDE, EMASSAMENTO- MOD:3 | PT: (21186856 |HR SOLIC 08:00 | HR LIB 08:10 |ATRASO 00:00|) - (HR ENC 16:30 | ATRASO 00:00)  &amp;gt;&amp;gt;CONDIES CLIMTICAS: TEMPO BOM  &amp;gt;&amp;gt;&amp;gt;IMPEDIMENTOS ACUMULADOS LIBERAO PT/PTT: 0:00 = 0d CONDIES CLIMTICAS: 0:00 = 0d PETROBRAS: 0:00 = 0d OUTROS: 0:30 = 0,07d APJ: 0:00 = 0dRO DIRIO E OBRA - SS-26/2025 (GALPO(K-23) &amp;gt;MONTAGEM DE ANDAIME- MOD:6 |PT: (ATRE |HR SOLIC 08:00 | HR LIB 08:10 |ATRASO 00:00|) - (HR ENC 16:30 | ATRASO 00:00)&amp;gt;&amp;gt;CONDIES CLIMTICAS: TEMPO BOM&amp;gt;&amp;gt;&amp;gt;IMPEDIMENTOS ACUMULADOS LIBERAO PT/PTT: 0:00 = 0d CONDIES CLIMTICAS: 0:00 = 0d PETROBRAS: 0:00 = 0d OUTROS: 32:00 = 5d APJ: 0:00 = 0d RO DIRIO E OBRA - SS-27/2025 (GALPO(K-12)  &amp;gt;DESMONTAGEM DE ESTRUTURA METALICA - MOD:3 | PEMT:1 | PT: (21185126 |HR SOLIC 08:00 | HR LIB 08:20 |ATRASO 00:00|) - (HR ENC 16:30 | ATRASO 00:00)  &amp;gt;&amp;gt;CONDIES CLIMTICAS: TEMPO BOM  &amp;gt;&amp;gt;&amp;gt;IMPEDIMENTOS ACUMULADOS LIBERAO PT/PTT: 00:00 = 0,19d CONDIES CLIMTICAS: 8:00 = 0d PETROBRAS: 0:00 = 0d OUTROS: 32:00 = 4d APJ: 0:00 = 0d______________________________________________________________RO DIRIO E OBRA - SS-28/2025 (GALPO(K-48) &amp;gt;MONTAGEM DE ANDAIME- MOD:6 |PT: (ATRE |HR SOLIC 08:00 | HR LIB 08:10 |ATRASO 00:00|) - (HR ENC 16:30 | ATRASO 00:00)&amp;gt;&amp;gt;CONDIES CLIMTICAS: TEMPO BOM &amp;gt;&amp;gt;&amp;gt;IMPEDIMENTOS ACUMULADOS LIBERAO PT/PTT: 0:00 = 0d CONDIES CLIMTICAS: 0:00 = 0d PETROBRAS: 0:00 = 0d OUTROS: 32:00 = 4d APJ: 0:00 = 0d RO DIRIO E OBRA - SS-31/2025 (K-18)ADEQUAO DE AREA DA PORTARIA) &amp;gt;INSTALAO DE PERSIANAS - MOD:2 | PT: (21187010 |HR SOLIC 08:00 | HR LIB 08:10 |ATRASO 00:00|) - (HR ENC 16:30 | ATRASO 00:00)  &amp;gt;&amp;gt;CONDIES CLIMTICAS: TEMPO BOM  &amp;gt;&amp;gt;&amp;gt;IMPEDIMENTOS ACUMULADOS LIBERAO PT/PTT: 0:00 = 0d CONDIES CLIMTICAS: 0:00 = 0d PETROBRAS: 0:00 = 0d OUTROS: 0:00 = 0d APJ: 0:00 = 0d</t>
  </si>
  <si>
    <t>27/01/2026</t>
  </si>
  <si>
    <t>RO-136/2026</t>
  </si>
  <si>
    <t>RO DIRIO E OBRA - SS-04/2025 (UPGN-2) SEM EXPEDIENTE &amp;gt;&amp;gt;CONDIES CLIMTICAS: TEMPO BOM &amp;gt;&amp;gt;&amp;gt;IMPEDIMENTOS ACUMULADOS LIBERAO PT/PTT: 15:07 = 2,23d CONDIES CLIMTICAS: 38:35 = 3,83d PETROBRAS: 15:20 = 1,85d OUTROS: 25:20 = 3,17d APJ: 0:00 = 0d RO DIRIO E OBRA - SS-05/2025 (SECGN)SEM EXPEDIENTE &amp;gt;&amp;gt;CONDIES CLIMTICAS: TEMPO BOM &amp;gt;&amp;gt;&amp;gt;IMPEDIMENTOS ACUMULADOS LIBERAO PT/PTT: 27:4 = 3,62d CONDIES CLIMTICAS: 81:25 = 9,18d PETROBRAS: 6:30 = 0,82d OUTROS: 28:30 = 3,57d APJ: 0:00 = 0d RO DIRIO E OBRA - SS-06/2025 (K-14) SEM EXPEDIENTE &amp;gt;&amp;gt;CONDIES CLIMTICAS: TEMPO BOM&amp;gt;&amp;gt;&amp;gt;IMPEDIMENTOS ACUMULADOS LIBERAO PT/PTT: 29:18 = 4,01d CONDIES CLIMTICAS: 53:35 = 5,7d PETROBRAS: 1:30 = 0,19d OUTROS: 28:30 = 3,57d APJ: 0:00 = 0d________________________________________________________________RO DIRIO E OBRA - SS-08/2025 (K-02)SEM ATIVIDADES&amp;gt;&amp;gt;CONDIES CLIMTICAS: TEMPO BOM  &amp;gt;&amp;gt;&amp;gt;IMPEDIMENTOS ACUMULADOS LIBERAO PT/PTT: 0:50 = 0,11d CONDIES CLIMTICAS: 0:00 = 0d PETROBRAS: 0:00 = 0d OUTROS: 48:30 = 5,07d APJ: 0:00 = 0d RO DIRIO E OBRA - SS-10/2025 (K-04) SEM EXPEDIENTE  &amp;gt;&amp;gt;CONDIES CLIMTICAS: TEMPO BOM  &amp;gt;&amp;gt;&amp;gt;IMPEDIMENTOS ACUMULADOS LIBERAO PT/PTT: 0:00 = 0d CONDIES CLIMTICAS: 10:15 = 1,29d PETROBRAS: 0:00 = 0d OUTROS: 0:00 = 0d APJ: 0:00 = 0d  RO DIRIO E OBRA - SS-12/2025 (ESTOQUE) SEM EXPEDIENTE  &amp;gt;&amp;gt;CONDIES CLIMTICAS: TEMPO BOM  &amp;gt;&amp;gt;&amp;gt;IMPEDIMENTOS ACUMULADOS LIBERAO PT/PTT: 0:00 = 0d CONDIES CLIMTICAS: 23:00 = 1,88d PETROBRAS: 0:00 = 0d OUTROS: 0:30 = 0,07d APJ: 0:00 = 0d RO DIRIO E OBRA - SS-18/2025 (SALA CISC)SEM EXPEDIENTE &amp;gt;&amp;gt;CONDIES CLIMTICAS: TEMPO BOM  &amp;gt;&amp;gt;&amp;gt;IMPEDIMENTOS ACUMULADOS LIBERAO PT/PTT: 0:00 = 0d CONDIES CLIMTICAS: 0:00 = 0d PETROBRAS: 0:00 = 0d OUTROS: 0:30 = 0,07d APJ: 0:00 = 0d RO DIRIO E OBRA - SS-26/2025 (GALPO(K-23) SEM EXPEDIENTE  &amp;gt;&amp;gt;CONDIES CLIMTICAS: TEMPO BOM &amp;gt;&amp;gt;&amp;gt;IMPEDIMENTOS ACUMULADOS LIBERAO PT/PTT: 0:00 = 0d CONDIES CLIMTICAS: 0:00 = 0d PETROBRAS: 0:00 = 0d OUTROS: 32:00 = 4d APJ: 0:00 = 0d RO DIRIO E OBRA - SS-27/2025 (GALPO(K-12) SEM EXPEDIENTE  &amp;gt;&amp;gt;CONDIES CLIMTICAS: TEMPO BOM  &amp;gt;&amp;gt;&amp;gt;IMPEDIMENTOS ACUMULADOS LIBERAO PT/PTT: 0:00 = 0d CONDIES CLIMTICAS: 8:00 = 1d PETROBRAS: 0:00 = 0d OUTROS: 32:00 = 4d APJ: 0:00 = 0d RO DIRIO E OBRA - SS-28/2025 (GALPO(K-48) SEM EXPEDIENTE  &amp;gt;&amp;gt;CONDIES CLIMTICAS: TEMPO BOM &amp;gt;&amp;gt;&amp;gt;IMPEDIMENTOS ACUMULADOS LIBERAO PT/PTT: 0:00 = 0d CONDIES CLIMTICAS: 0:00 = 0d PETROBRAS: 0:00 = 0d OUTROS: 32:00 = 4d APJ: 0:00 = 0d</t>
  </si>
  <si>
    <t>RO-135/2026</t>
  </si>
  <si>
    <t>Os somatrios desde incio at o prazo final da SS dos acmulos de hora parada e meteorolgicas no final da SS a Petrobras ir analisar se e cabvel o abono revertido em acrscimo de dias no prazo de entrega da demanda.1. SECGN:A equipe de caldeiraria deu sequncia na instalao das telhas da cobertura, venezianas e calhas e telhas de fechamento lateral.2. K-14:A equipe de caldeiraria atuou com a instalao de telhas, calhas e rufos da cobertura do galpo e do fechamento lateral.Enquanto a equipe de eltrica dava sequncia na montagem da infraestrutura para eltrica, com a montagem dos eletrodutos, caixas de passagem e bornes.A equipe de pintura atuou no tratamento das soldas da estrutura metlica.3. UPGN-2:A equipe de caldeiraria atuou na solda dos inserts, montagem das estruturas metlicas no cho, iamento de mdulo.Programada a montagem de andaime no mdulo 02, equipe da Engeval atuou na montagem dos acessos na lateral das interferncias.A equipe atuou na pintura das soldas e tratamento da estrutura metlica dos mdulos montados no cho e pintura das estruturas de concreto (pilares do galpo).A equipe de civil atuou na demolio das bases dos chumbadores das vigas de rolamento da ponte, para avaliao e inspeo.4. SALA CISC:A equipe de civil atuou na pintura das paredes e instalao de infra de forro de pvc.5. ESTOQUE MI:A equipe de civil atuou na preparao das bases dos pilares para lanamento do concreto magro e demolio de valas para instalao da rede pluvial.No houve atividade de caldeiraria.6. K-02:Sem atividades.A atividade foi paralisada devido ao novo padro de movimentao de carga (guarda-corpo no caminho munck). Sem o munck, a equipe no conseguia posicionar as estruturas e nem fazer o transporte e descarregamento das mesmas na rea.7. K-12:Sem atividades, foram programadas as PT's de caldeiraria e eltrica, mas foram removidas durante a reunio de planejamento, pois a equipe estava dando prioridade em outra frente de servio.8. K-23:Atividade de montagem de andaime para proteo dos equipamentos iniciada no dia 23/01 com ATRE.9. K-48:Incio da demanda com ATRE, montagem de andaime para proteo dos equipamentos.10. K-04:Equipe de caldeiraria atuou na correo dos rufos da cobertura do K-04, que estavam mal instalados (foram instalados pela outra contratada).RO aceito pela fiscalizao.</t>
  </si>
  <si>
    <t>RO DIRIO E OBRA - SS-04/2025 (UPGN-2)  &amp;gt;MONTAGEM DE ESTRUTURA METALICA E SOLDA DOS INSERTS - MOD:6 | PEMT:2 | PT: (21068459 |HR SOLIC 08:00 | HR LIB 09:30 |ATRASO 01:00|) - (HR ENC 16:30 | ATRASO 00:00)  &amp;gt;DEMOLIO E TRATAMENTO DOS CHUMBADORES DOS PILARES - MOD:2 | PEMT:1 | PT: (21176193 |HR SOLIC 08:00 | HR LIB 09:00 |ATRASO 00:30|) - (HR ENC 16:30 | ATRASO 00:00)  &amp;gt;TRATAMENTO E PINTURA ESTRUTURA METALICA E CONCRETO - MOD:2 | PT: (21079158 |HR SOLIC 08:00 | HR LIB 08:10 |ATRASO 00:00|) - (HR ENC 16:30 | ATRASO 00:00)  &amp;gt;MONTAGEM DE ANDAIME - MOD:6 | PT: (21071500 |HR SOLIC 08:00 | HR LIB 08:10 |ATRASO 00:00|) - (HR ENC 16:30 | ATRASO 00:00) &amp;gt;&amp;gt;AS PTs TIVERAM ATRASO NA LIBERAO PELA OPERAO DEVIDO ACIDENTE NA UNIDADE COM OUTRA CONTRATADA  &amp;gt;&amp;gt;CONDIES CLIMTICAS: TEMPO BOM  &amp;gt;&amp;gt;&amp;gt;IMPEDIMENTOS ACUMULADOS LIBERAO PT/PTT: 16:37 = 2,42d CONDIES CLIMTICAS: 38:35 = 3,83d PETROBRAS: 15:20 = 1,05d OUTROS: 25:20 = 3,17d APJ: 0:00 = 0d  RO DIRIO E OBRA - SS-05/2025 (SECGN)  &amp;gt;MONTAGEM DE ESTRUTURA METALICA( TELHAS E RUFOS) - MOD:8 | PEMT:1 | PT: (21176253 |HR SOLIC 08:00 | HR LIB 10:00 |ATRASO 01:30|) - (HR ENC 16:30 | ATRASO 00:00)  &amp;gt;&amp;gt;CONDIES CLIMTICAS: TEMPO BOM  &amp;gt;&amp;gt;AS PTs TIVERAM ATRASO NA LIBERAO PELA OPERAO DEVIDO ACIDENTE NA UNIDADE COM OUTRA CONTRATADA &amp;gt;&amp;gt;&amp;gt;IMPEDIMENTOS ACUMULADOS LIBERAO PT/PTT: 29:14 = 3,8d CONDIES CLIMTICAS: 81:25 = 9,18d PETROBRAS: 6:30 = 0,82d OUTROS: 28:30 = 3,57d APJ: 0:00 = 0d  RO DIRIO E OBRA - SS-06/2025 (K-14)  &amp;gt;MONTAGEM DE INFRA ESTRUTURA ELETRICA - MOD:4 | PEMT:1 | PT: (21176217 |HR SOLIC 08:00 | HR LIB 10:30 |ATRASO 02:00|) - (HR ENC 16:30 | ATRASO 00:00)  &amp;gt;TRATAMENTO E PINTURA DE ESTRUTURA METALICA E CONCRETO - MOD:2 | PT: (21176227 |HR SOLIC 08:00 | HR LIB 10:30 |ATRASO 02:00|) - (HR ENC 16:30 | ATRASO 00:00)  &amp;gt;MONTAGEM DE ESTRUTURA METALICAS (TELHAS E RUFOS) - MOD:5 | PEMT:1 | PT: (21176210 |HR SOLIC 08:00 | HR LIB 10:20 |ATRASO 01:50|) - (HR ENC 16:30 | ATRASO 00:00)   &amp;gt;&amp;gt;AS PTs TIVERAM ATRASO NA LIBERAO PELA OPERAO DEVIDO ACIDENTE NA UNIDADE COM OUTRA CONTRATADA &amp;gt;&amp;gt;CONDIES CLIMTICAS: TEMPO BOM  &amp;gt;&amp;gt;&amp;gt;IMPEDIMENTOS ACUMULADOS LIBERAO PT/PTT: 35:08 = 4,74d CONDIES CLIMTICAS: 53:35 = 5,7d PETROBRAS: 1:30 = 0,19d OUTROS: 28:30 = 3,57d APJ: 0:00 = 0d  RO DIRIO E OBRA - SS-08/2025 (K-02) SEM ATIVIDADES  &amp;gt;&amp;gt;CONDIES CLIMTICAS: TEMPO BOM  &amp;gt;&amp;gt;&amp;gt;IMPEDIMENTOS ACUMULADOS LIBERAO PT/PTT: 0:50 = 0,11d CONDIES CLIMTICAS: 0:00 = 0d PETROBRAS: 0:00 = 0d OUTROS: 56:30 = 5,07d APJ: 0:00 = 0d  RO DIRIO E OBRA - SS-10/2025 (K-04)  &amp;gt;MONTAGEM /INSTALAO DE RUFOS NO TELHADO - MOD:3 | PEMT:1 | PT: (21182790 |HR SOLIC 08:00 | HR LIB 08:10 |ATRASO 00:00|) - (HR ENC 16:30 | ATRASO 00:00)  &amp;gt;&amp;gt;CONDIES CLIMTICAS: TEMPO BOM  &amp;gt;&amp;gt;&amp;gt;IMPEDIMENTOS ACUMULADOS LIBERAO PT/PTT: 0:00 = 0d CONDIES CLIMTICAS: 10:15 = 1,29d PETROBRAS: 0:00 = 0d OUTROS: 0:00 = 0d APJ: 0:00 = 0d   RO DIRIO E OBRA - SS-12/2025 (ESTOQUE)  &amp;gt;MONTAGEM DE FORMA PARA CONCRETAGEM DAS BASES DOS PILARES - MOD:2 | PT: (21182746 |HR SOLIC 08:00 | HR LIB 08:10 |ATRASO 00:00|) - (HR ENC 16:30 | ATRASO 00:00)  &amp;gt;&amp;gt;CONDIES CLIMTICAS: TEMPO BOM  &amp;gt;&amp;gt;&amp;gt;IMPEDIMENTOS ACUMULADOS LIBERAO PT/PTT: 0:00 = 0d CONDIES CLIMTICAS: 23:00 = 1,88d PETROBRAS: 0:00 = 0d OUTROS: 0:30 = 0,07d APJ: 0:00 = 0d  RO DIRIO E OBRA - SS-18/2025 (SALA CISC)  &amp;gt;ADEQUAPO DE INFRA DO FORRO, CORTE DE PAREDE, EMASSAMENTO - MOD:2 | PT: (21182743 |HR SOLIC 08:00 | HR LIB 08:10 |ATRASO 00:00|) - (HR ENC 16:30 | ATRASO 00:00)  &amp;gt;&amp;gt;CONDIES CLIMTICAS: TEMPO BOM  &amp;gt;&amp;gt;&amp;gt;IMPEDIMENTOS ACUMULADOS LIBERAO PT/PTT: 0:00 = 0d CONDIES CLIMTICAS: 0:00 = 0d PETROBRAS: 0:00 = 0d OUTROS: 0:30 = 0,07d APJ: 0:00 = 0d_________________________________________________________RO DIRIO E OBRA - SS-26/2025 (GALPO(K-23)SEM ATIVIDADES&amp;gt;&amp;gt;CONDIES CLIMTICAS: TEMPO BOM&amp;gt;&amp;gt;&amp;gt;IMPEDIMENTOS ACUMULADOSLIBERAO PT/PTT: 0:00 = 0d CONDIES CLIMTICAS: 0:00 = 0dPETROBRAS: 0:00 = 0dOUTROS: 32:00 = 4dAPJ: 0:00 = 0d  RO DIRIO E OBRA - SS-27/2025 (GALPO(K-12)  &amp;gt;DESMONTAGEM DE ESTRUTURA METALICA - MOD:3 | PEMT:1 |SEM ATIVIDADES &amp;gt;&amp;gt;CONDIES CLIMTICAS: TEMPO BOM  &amp;gt;&amp;gt;&amp;gt;IMPEDIMENTOS ACUMULADOS LIBERAO PT/PTT: 00:00 = 0,0d CONDIES CLIMTICAS: 8:00 = 0d PETROBRAS: 0:00 = 0d OUTROS: 32:00 = 5d APJ: 0:00 = 0d  RO DIRIO E OBRA - SS-28/2025 (GALPO(K-48) &amp;gt;MONTAGEM DE ANDAIME - MOD:6 | PT: (ATRE |HR SOLIC 14:00 | HR LIB 14:15 |ATRASO 00:00|) - (HR ENC 16:30 | ATRASO 00:00)  &amp;gt;&amp;gt;CONDIES CLIMTICAS: TEMPO BOM  &amp;gt;&amp;gt;&amp;gt;IMPEDIMENTOS ACUMULADOS LIBERAO PT/PTT: 0:00 = 0d CONDIES CLIMTICAS: 0:00 = 0d PETROBRAS: 0:00 = 0d OUTROS: 32:00 = 4d APJ: 0:00 = 0</t>
  </si>
  <si>
    <t>RO-134/2026</t>
  </si>
  <si>
    <t>"RO DIRIO E OBRA - SS-17/2025 (LUMINOSIDADE)&amp;gt;SUBSTITUIO DAS LUMINRIAS DOS POSTES COM BALIZADORES - MOD:2 |PT: (211984018 |HR SOLIC 07:30 | HR LIB 09:00 |ATRASO 01:00|) - (HR ENC 16:30 | ATRASO 00:00)&amp;gt;&amp;gt;CONDIES CLIMTICAS: TEMPO BOM&amp;gt;&amp;gt;PARADA MENSAL DE SEGURANA (07:30 - 09:00)&amp;gt;&amp;gt;&amp;gt;IMPEDIMENTOS ACUMULADOSLIBERAO PT/PTT: 12:36 = 1,58dCONDIES CLIMTICAS: 39:00 = 4,88dPETROBRAS: 20:30 = 2,57dOUTROS: 2:20 = 0,3dAPJ: 0:00 = 0d"</t>
  </si>
  <si>
    <t>RO-133/2026</t>
  </si>
  <si>
    <t>Equipe da Torres Brasil, subcontratada da APJ est atuando na manuteno das torres de resfriamento, Atividades realizadas no dia de hoje: a montagem dos suportes da parte inferior da torre A foi concluda, e est em andamento a montagem dos enchimentos (atenuadores) da parte inferior da Torre A.Esto sendo realizadas as manutenes em geral da estrutura metlica da coifa do difusor e da sustentao das vigas dos ventiladores que ficaram na central do PIPE SHOP para manuteno em geral ,antes de serem montados novamente.</t>
  </si>
  <si>
    <t>"RO DIRIO E OBRA - SS-15/2025 (TORRE RESFR)&amp;gt;REMOO DAS ESTRUTURAS METPALICAS - MOD:2 |PT: (21193994 |HR SOLIC 07:30 | HR LIB 09:18 |ATRASO 01:18|) - (HR ENC 16:30 | ATRASO 00:00)&amp;gt;&amp;gt;CONDIES CLIMTICAS: TEMPO BOM&amp;gt;&amp;gt; (07:30 - 09:00) - PARADA DE SEGURANA&amp;gt;&amp;gt;&amp;gt;IMPEDIMENTOS ACUMULADOSLIBERAO PT/PTT: 4:21 = 0,55dCONDIES CLIMTICAS: 10:30 = 1,32dPETROBRAS: 6:00 = 0,75dOUTROS: 4:55 = 0,62dAPJ: 0:00 = 0d"________________________________________________________________________________________________________________________________"RO DIRIO E OBRA - SS-24/2025 (RUDOS TORRE RESF)&amp;gt;ENCHIMENTO DE GRADE - ATENUADOR DE RUDOS - MOD:2 |PT: (21193981 |HR SOLIC 07:30 | HR LIB 09:10 |ATRASO 01:10|) - (HR ENC 16:30 | ATRASO 00:00)&amp;gt;&amp;gt;CONDIES CLIMTICAS: TEMPO BOM&amp;gt;&amp;gt; (07:30 - 09:10) - PARADA DE SEGURANA&amp;gt;&amp;gt;&amp;gt;IMPEDIMENTOS ACUMULADOSLIBERAO PT/PTT: 0:00 = 0,01dCONDIES CLIMTICAS: 16:00 = 2dPETROBRAS: 1:40 = 0,21dOUTROS: 0:00 = 0dAPJ: 0:00 = 0d"</t>
  </si>
  <si>
    <t>RO-132/2026</t>
  </si>
  <si>
    <t>RO-131/2026</t>
  </si>
  <si>
    <t>RO-130/2026</t>
  </si>
  <si>
    <t>Equipe da Torres Brasil, subcontratada da APJ est atuando na manuteno das torres de resfriamento, Atividades realizadas no dia de hoje: Montagem dos suportes da parte inferior da torre A, a montagem dos enchimentos (atenuadores) da parte inferior da Torre A foi iniciada e continua em andamento.Esto sendo realizadas as manutenes em geral da estrutura metlica da coifa do difusor e da sustentao das vigas dos ventiladores que ficaram na central do PIPE SHOP para manuteno em geral ,antes de serem montados novamente.</t>
  </si>
  <si>
    <t>"RO DIRIO E OBRA - SS-15/2025 (TORRE RESFR)&amp;gt;RECUPERAO DA VIGA DE SUSTENTAO DO DIFUSOR - MOD:2 |PT: (21188548 |HR SOLIC 07:30 | HR LIB 07:47 |ATRASO 00:00|) - (HR ENC 16:30 | ATRASO 00:00)&amp;gt;&amp;gt;CONDIES CLIMTICAS: TEMPO BOM&amp;gt;&amp;gt;&amp;gt;IMPEDIMENTOS ACUMULADOSLIBERAO PT/PTT: 4:21 = 0,55dCONDIES CLIMTICAS: 10:30 = 1,32dPETROBRAS: 4:30 = 0,57dOUTROS: 4:55 = 0,62dAPJ: 0:00 = 0d"_____________________________________________________________________________________________________________________________"RO DIRIO E OBRA - SS-24/2025 (RUDOS TORRE RESF)&amp;gt;CONCLUSO DA SUSTENTAO DO ENCHIMENTO DE GRADE - ATENUADORES DE RUDO - MOD:2 |PT: (21188562 |HR SOLIC 07:30 | HR LIB 00:00 |ATRASO |) - (HR ENC 16:30 | ATRASO 00:00)&amp;gt;&amp;gt;CONDIES CLIMTICAS: TEMPO BOM&amp;gt;&amp;gt;&amp;gt;IMPEDIMENTOS ACUMULADOSLIBERAO PT/PTT: 0:00 = 0,01dCONDIES CLIMTICAS: 16:00 = 2dPETROBRAS: 0:00 = 0dOUTROS: 0:00 = 0dAPJ: 0:00 = 0d"</t>
  </si>
  <si>
    <t>RO-129/2026</t>
  </si>
  <si>
    <t>"RO DIRIO E OBRA - SS-17/2025 (LUMINOSIDADE)&amp;gt;INSPEO E TESTES DAS LUMINRIAS DOS POSTES COM BALIZADORES - ALA SUL E NORTE - MOD:4 |PT: (21191632 |HR SOLIC 13:13 | HR LIB 13:35 |ATRASO 00:00|) - (HR ENC 16:30 | ATRASO 00:00)&amp;gt;&amp;gt;CONDIES CLIMTICAS: TEMPO BOM&amp;gt;&amp;gt;&amp;gt;IMPEDIMENTOS ACUMULADOSLIBERAO PT/PTT: 11:36 = 1,45dCONDIES CLIMTICAS: 39:00 = 4,88dPETROBRAS: 19:00 = 2,38dOUTROS: 2:20 = 0,3dAPJ: 0:00 = 0d"</t>
  </si>
  <si>
    <t>RO-128/2026</t>
  </si>
  <si>
    <t>CONTROLE DE IMPEDIMENTOS &amp; RO'S (UTGC).xlsm; CONTROLE DE IMPEDIMENTOS &amp; RO'S (UTGC).xlsm</t>
  </si>
  <si>
    <t>RO DIRIO E OBRA - SS-04/2025 (UPGN-2) SEM EXPEDIENTE &amp;gt;&amp;gt;CONDIES CLIMTICAS: TEMPO BOM &amp;gt;&amp;gt;&amp;gt;IMPEDIMENTOS ACUMULADOS LIBERAO PT/PTT: 15:07 = 2,23d CONDIES CLIMTICAS: 38:35 = 3,83d PETROBRAS: 15:20 = 1,85d OUTROS: 25:20 = 3,17d APJ: 0:00 = 0d RO DIRIO E OBRA - SS-05/2025 (SECGN)SEM EXPEDIENTE &amp;gt;&amp;gt;CONDIES CLIMTICAS: TEMPO BOM &amp;gt;&amp;gt;&amp;gt;IMPEDIMENTOS ACUMULADOS LIBERAO PT/PTT: 27:44 = 3,62d CONDIES CLIMTICAS: 81:25 = 9,18d PETROBRAS: 6:30 = 0,82d OUTROS: 28:30 = 3,57d APJ: 0:00 = 0d RO DIRIO E OBRA - SS-06/2025 (K-14) SEM EXPEDIENTE &amp;gt;&amp;gt;CONDIES CLIMTICAS: TEMPO BOM&amp;gt;&amp;gt;&amp;gt;IMPEDIMENTOS ACUMULADOS LIBERAO PT/PTT: 29:18 = 4,01d CONDIES CLIMTICAS: 53:35 = 5,7d PETROBRAS: 1:30 = 0,19d OUTROS: 28:30 = 3,57d APJ: 0:00 = 0d________________________________________________________________RO DIRIO E OBRA - SS-08/2025 (K-02)SEM ATIVIDADES&amp;gt;&amp;gt;CONDIES CLIMTICAS: TEMPO BOM  &amp;gt;&amp;gt;&amp;gt;IMPEDIMENTOS ACUMULADOS LIBERAO PT/PTT: 0:50 = 0,11d CONDIES CLIMTICAS: 0:00 = 0d PETROBRAS: 0:00 = 0d OUTROS: 48:30 = 5,07d APJ: 0:00 = 0d RO DIRIO E OBRA - SS-10/2025 (K-04) SEM EXPEDIENTE  &amp;gt;&amp;gt;CONDIES CLIMTICAS: TEMPO BOM  &amp;gt;&amp;gt;&amp;gt;IMPEDIMENTOS ACUMULADOS LIBERAO PT/PTT: 0:00 = 0d CONDIES CLIMTICAS: 10:15 = 1,29d PETROBRAS: 0:00 = 0d OUTROS: 0:00 = 0d APJ: 0:00 = 0d  RO DIRIO E OBRA - SS-12/2025 (ESTOQUE) SEM EXPEDIENTE  &amp;gt;&amp;gt;CONDIES CLIMTICAS: TEMPO BOM  &amp;gt;&amp;gt;&amp;gt;IMPEDIMENTOS ACUMULADOS LIBERAO PT/PTT: 0:00 = 0d CONDIES CLIMTICAS: 23:00 = 1,88d PETROBRAS: 0:00 = 0d OUTROS: 0:30 = 0,07d APJ: 0:00 = 0d RO DIRIO E OBRA - SS-18/2025 (SALA CISC)SEM EXPEDIENTE &amp;gt;&amp;gt;CONDIES CLIMTICAS: TEMPO BOM  &amp;gt;&amp;gt;&amp;gt;IMPEDIMENTOS ACUMULADOS LIBERAO PT/PTT: 0:00 = 0d CONDIES CLIMTICAS: 0:00 = 0d PETROBRAS: 0:00 = 0d OUTROS: 0:30 = 0,07d APJ: 0:00 = 0d RO DIRIO E OBRA - SS-26/2025 (GALPO(K-23) SEM EXPEDIENTE  &amp;gt;&amp;gt;CONDIES CLIMTICAS: TEMPO BOM &amp;gt;&amp;gt;&amp;gt;IMPEDIMENTOS ACUMULADOS LIBERAO PT/PTT: 0:00 = 0d CONDIES CLIMTICAS: 0:00 = 0d PETROBRAS: 0:00 = 0d OUTROS: 32:00 = 5d APJ: 0:00 = 0d RO DIRIO E OBRA - SS-27/2025 (GALPO(K-12) SEM EXPEDIENTE  &amp;gt;&amp;gt;CONDIES CLIMTICAS: TEMPO BOM  &amp;gt;&amp;gt;&amp;gt;IMPEDIMENTOS ACUMULADOS LIBERAO PT/PTT: 0:00 = 0d CONDIES CLIMTICAS: 08:00 = 0d PETROBRAS: 0:00 = 0d OUTROS: 32:00 = 5d APJ: 0:00 = 0d RO DIRIO E OBRA - SS-28/2025 (GALPO(K-48) SEM EXPEDIENTE  &amp;gt;&amp;gt;CONDIES CLIMTICAS: TEMPO BOM &amp;gt;&amp;gt;&amp;gt;IMPEDIMENTOS ACUMULADOS LIBERAO PT/PTT: 0:00 = 0d CONDIES CLIMTICAS: 0:00 = 0d PETROBRAS: 0:00 = 0d OUTROS: 32:00 = 6d APJ: 0:00 = 0d</t>
  </si>
  <si>
    <t>RO-127/2026</t>
  </si>
  <si>
    <t>Os somatrios desde incio at o prazo final da SS dos acmulos de hora parada e meteorolgicas no final da SS a Petrobras ir analisar se e cabvel o abono revertido em acrscimo de dias no prazo de entrega da demanda.1. SECGN:A equipe de caldeiraria deu sequncia na instalao das telhas da cobertura, venezianas e calhas e telhas de fechamento lateral.2. K-14:A equipe de caldeiraria atuou com a instalao de telhas, calhas e rufos da cobertura do galpo e do fechamento lateral.Enquanto a equipe de eltrica dava sequncia na montagem da infraestrutura para eltrica, com a montagem dos eletrodutos, caixas de passagem e bornes.A equipe de pintura atuou no tratamento das soldas da estrutura metlica.3. UPGN-2:A equipe de caldeiraria atuou na solda dos inserts, montagem das estruturas metlicas no cho, iamento de mdulo.Programada a montagem de andaime no mdulo 02, equipe da Engeval atuou na montagem dos acessos na lateral das interferncias.A equipe atuou na pintura das soldas e tratamento da estrutura metlica dos mdulos montados no cho e pintura das estruturas de concreto (pilares do galpo).A equipe de civil atuou na demolio das bases dos chumbadores das vigas de rolamento da ponte, para avaliao e inspeo.4. SALA CISC:A equipe de civil atuou na pintura das paredes e instalao de infra de forro de pvc.5. ESTOQUE MI:A equipe de civil atuou na preparao das bases dos pilares para lanamento do concreto magro e demolio de valas para instalao da rede pluvial.A PT de caldeiraria foi emitida, mas a atividade no foi executada.6. K-02:Sem atividades.A atividade foi paralisada devido ao novo padro de movimentao de carga (guarda-corpo no caminho munck). Sem o munck, a equipe no conseguia posicionar as estruturas e nem fazer o transporte e descarregamento das mesmas na rea.7. K-12:Atividade de montagem de andaime para proteo dos equipamentos e andaime de acesso com ATRE.A atividade foi programada desde o dia 22/01, mas choveu no incio da demanda.8. K-23:Atividade de montagem de andaime para proteo dos equipamentos iniciada no dia 23/01 com ATRE.9. K-48:Sem atividades programadas, falta de efetivo.10. K-04:Equipe de caldeiraria atuou na correo dos rufos da cobertura do K-04, que estavam mal instalados (foram instalados pela outra contratada).RO aceito pela fiscalizao.</t>
  </si>
  <si>
    <t>RO DIRIO E OBRA - SS-04/2025 (UPGN-2)  &amp;gt;REALIZANDO SOLDA DOS INSERTS MONTAGEM DE ESTRUTURA E IAMENTO DE MODULO- MOD:5 | PEMT:2 | PT: (21068459 |HR SOLIC 10:00 | HR LIB 10:30 |ATRASO 00:00|) - (HR ENC 16:30 | ATRASO 00:00)  &amp;gt;MONTAGEM DE ANDAIME- MOD:7 | PT: (21071500 |HR SOLIC 08:00 | HR LIB 08:10 |ATRASO 00:00|) - (HR ENC 16:30 | ATRASO 00:00)  &amp;gt;DEMOLIO E TRATAMENTO DOS PILARES- MOD:3 | PEMT:1 | PT: (21171364 |HR SOLIC 08:00 | HR LIB 09:20 |ATRASO 00:50|) - (HR ENC 16:30 | ATRASO 00:00)  &amp;gt;PINTURA DE ESTRUTURAS METALICAS E CONCRETO- MOD:1 | PT: (21079158 |HR SOLIC 08:00 | HR LIB 08:10 |ATRASO 00:00|) - (HR ENC 16:30 | ATRASO 00:00)  &amp;gt;&amp;gt;CONDIES CLIMTICAS: TEMPO BOM &amp;gt;&amp;gt;EQUIPE ESTAVA EM TREINAMENTO PETROBRAS (08:30 - 10:00)  &amp;gt;&amp;gt;AS PTs TIVERAM ATRASO NA LIBERAO PELA OPERAO DEVIDO ACIDENTE NA UNIDADE COM OUTRA CONTRATADA &amp;gt;&amp;gt;&amp;gt;IMPEDIMENTOS ACUMULADOS LIBERAO PT/PTT: 15:07 = 2,23d CONDIES CLIMTICAS: 38:35 = 3,83d PETROBRAS: 15:20 = 1,85d OUTROS: 25:20 = 3,17d APJ: 0:00 = 0d RO DIRIO E OBRA - SS-05/2025 (SECGN)&amp;gt;MONTAGEM DE ESTRUTURA METALICA DO GALPO(TELHAS,CALHAS)- MOD:8 | PEMT:1 | PT: (21171346 |HR SOLIC 08:00 | HR LIB 09:00 |ATRASO 00:30|) - (HR ENC 16:30 | ATRASO 00:00)  &amp;gt;&amp;gt;CONDIES CLIMTICAS: TEMPO BOM  &amp;gt;&amp;gt;AS PTs TIVERAM ATRASO NA LIBERAO PELA OPERAO DEVIDO ACIDENTE NA UNIDADE COM OUTRA CONTRATADA &amp;gt;&amp;gt;&amp;gt;IMPEDIMENTOS ACUMULADOS LIBERAO PT/PTT: 27:44 = 3,62d CONDIES CLIMTICAS: 81:25 = 9,18d PETROBRAS: 6:30 = 0,82d OUTROS: 28:30 = 3,57d APJ: 0:00 = 0d RO DIRIO E OBRA - SS-06/2025 (K-14)  &amp;gt;MONTAGEM DE ESTRUTURA METALICA DO GALPO(TELHAS,RUFOS)- MOD:6 | PEMT:1  PT: (21171268 |HR SOLIC 10:00 | HR LIB 10:30 |ATRASO 00:00|) - (HR ENC 16:30 | ATRASO 00:00)  &amp;gt;PINTURA DE ESTRUTURAS METALICAS E CONCRETO- MOD:2 | PT: (21171313 |HR SOLIC 08:00 | HR LIB 09:00 |ATRASO 00:30|) - (HR ENC 16:30 | ATRASO 00:00)  &amp;gt;REALIZANDO MONTAGEM DE INFRA ESTRUTURA ELETRICA - MOD:3 | PT: (21171290 |HR SOLIC 08:00 | HR LIB 09:40 |ATRASO 01:10|) - (HR ENC 16:30 | ATRASO 00:00)  &amp;gt;&amp;gt;CONDIES CLIMTICAS: TEMPO BOM &amp;gt;&amp;gt;EQUIPE ESTAVA EM TREINAMENTO PETROBRAS (08:30 - 10:00)  &amp;gt;&amp;gt;AS PTs TIVERAM ATRASO NA LIBERAO PELA OPERAO DEVIDO ACIDENTE NA UNIDADE COM OUTRA CONTRATADA&amp;gt;&amp;gt;&amp;gt;IMPEDIMENTOS ACUMULADOS LIBERAO PT/PTT: 29:18 = 4,01d CONDIES CLIMTICAS: 53:35 = 5,7d PETROBRAS: 1:30 = 0,19d OUTROS: 28:30 = 3,57d APJ: 0:00 = 0d________________________________________________________________RO DIRIO E OBRA - SS-08/2025 (K-02)SEM ATIVIDADESATIVIDADES PARALISADAS PARA ADEQUAO DO CAMINHO (07:30 AS 16:30)&amp;gt;&amp;gt;CONDIES CLIMTICAS: TEMPO BOM  &amp;gt;&amp;gt;&amp;gt;IMPEDIMENTOS ACUMULADOS LIBERAO PT/PTT: 0:50 = 0,11d CONDIES CLIMTICAS: 0:00 = 0d PETROBRAS: 0:00 = 0d OUTROS: 48:30 = 5,07d APJ: 0:00 = 0d RO DIRIO E OBRA - SS-10/2025 (K-04)  &amp;gt;REALIZANDO INSTALAO DE RUFOS. - MOD:3 | PEMT:1 | PT: (21176421 |HR SOLIC 10:00 | HR LIB 10:05 |ATRASO 00:00|) - (HR ENC 16:30 | ATRASO 00:00)  &amp;gt;&amp;gt;CONDIES CLIMTICAS: TEMPO BOM  &amp;gt;&amp;gt;&amp;gt;IMPEDIMENTOS ACUMULADOS LIBERAO PT/PTT: 0:00 = 0d CONDIES CLIMTICAS: 10:15 = 1,29d PETROBRAS: 0:00 = 0d OUTROS: 0:00 = 0d APJ: 0:00 = 0d  RO DIRIO E OBRA - SS-12/2025 (ESTOQUE)  &amp;gt;MONTAGEM DE FORMA PARA CONCRETAGEM DOS PILARES - MOD:2 | PT: (21172873 |HR SOLIC 08:00 | HR LIB 08:10 |ATRASO 00:00|) - (HR ENC 16:30 | ATRASO 00:00)  &amp;gt;&amp;gt;CONDIES CLIMTICAS: TEMPO BOM  &amp;gt;&amp;gt;&amp;gt;IMPEDIMENTOS ACUMULADOS LIBERAO PT/PTT: 0:00 = 0d CONDIES CLIMTICAS: 23:00 = 2,88d PETROBRAS: 0:00 = 0d OUTROS: 0:30 = 0,07d APJ: 0:00 = 0d RO DIRIO E OBRA - SS-18/2025 (SALA CISC)  &amp;gt;TRATAMENTO E PINTURA DAS PAREDES;FURAO DE PAREDE, INSTALAO DE INFRA DE FORRO - MOD:2 | PT: (21172911 |HR SOLIC 08:00 | HR LIB 08:00 |ATRASO 00:00|) - (HR ENC 16:30 | ATRASO 00:00)  &amp;gt;&amp;gt;CONDIES CLIMTICAS: TEMPO BOM  &amp;gt;&amp;gt;&amp;gt;IMPEDIMENTOS ACUMULADOS LIBERAO PT/PTT: 0:00 = 0d CONDIES CLIMTICAS: 0:00 = 0d PETROBRAS: 0:00 = 0d OUTROS: 0:30 = 0,07d APJ: 0:00 = 0d RO DIRIO E OBRA - SS-26/2025 (GALPO(K-23) &amp;gt;MONTAGEM DE ANDAIME- MOD:4 | PT: (ATRE |HR SOLIC 08:00 | HR LIB 08:10 |ATRASO 00:00|) - (HR ENC 16:30 | ATRASO 00:00  &amp;gt;&amp;gt;CONDIES CLIMTICAS: TEMPO BOM Incio da demanda no dia 23/01.4 dias de intercorrncia devido liberao de OM/ATRE. &amp;gt;&amp;gt;&amp;gt;IMPEDIMENTOS ACUMULADOS LIBERAO PT/PTT: 0:00 = 0d CONDIES CLIMTICAS: 0:00 = 0d PETROBRAS: 0:00 = 0d OUTROS: 32:00 = 4d APJ: 0:00 = 0d RO DIRIO E OBRA - SS-27/2025 (GALPO(K-12)  &amp;gt;MONTAGEM DE ANDAIME - MOD:4 | PT: (ATRE |HR SOLIC 08:00 | HR LIB 08:30 |ATRASO 00:00|) - (HR ENC 16:30 | ATRASO 00:00)  OS ATRASOS E DEVIDO FALTA DE LIBERAO DE OM PARA EXECUO DA ATIVIDADE QUE DEVERIA TER INICIADO NO DIA 16/01/2026  &amp;gt;&amp;gt;CONDIES CLIMTICAS: TEMPO BOM  &amp;gt;&amp;gt;&amp;gt;IMPEDIMENTOS ACUMULADOS LIBERAO PT/PTT: 0:00 = 0d CONDIES CLIMTICAS: 8:00 = 0d PETROBRAS: 0:00 = 0d OUTROS: 32:00 = 4d APJ: 0:00 = 0d RO DIRIO E OBRA - SS-28/2025 (GALPO(K-48)  &amp;gt;NO HOUVE ATIVIDADE NESTE DIA - MOD: | PT: ( |HR SOLIC 00:00 | HR LIB 00:00 |ATRASO |) - (HR ENC 00:00 | ATRASO )  &amp;gt;&amp;gt;CONDIES CLIMTICAS: TEMPO BOM  OS ATRASOS E DEVIDO FALTA DE LIBERAO DE OM PARA EXECUO DA ATIVIDADE QUE DEVERIA TER INICIADO NO DIA 16/01/2026  &amp;gt;&amp;gt;&amp;gt;IMPEDIMENTOS ACUMULADOS LIBERAO PT/PTT: 0:00 = 0d CONDIES CLIMTICAS: 0:00 = 0d PETROBRAS: 0:00 = 0d OUTROS: 32:00 = 4d APJ: 0:00 = 0d</t>
  </si>
  <si>
    <t>23/01/2026</t>
  </si>
  <si>
    <t>RO-126/2026</t>
  </si>
  <si>
    <t>Os somatrios desde incio at o prazo final da SS dos acmulos de hora parada e meteorolgicas no final da SS a Petrobras ir analisar se e cabvel o abono revertido em acrscimo de dias no prazo de entrega da demanda.As PT's e PTT's foram programadas normalmente, porm houve chuva durante todo o horrio de expediente e nenhuma atividade foi executada ou liberada em campo.Dia totalmente improdutivo.Houve atividade na sala CISC, na qual a equipe de civil atuou (atividade em ambiente interno), com a instalao da infra do forro e pintura das paredes, nmero da PT 21.168.152.No K-04 a equipe de eltrica atuou com o teste de continuidade de SPDA.RO aceito pela fiscalizao.</t>
  </si>
  <si>
    <t>RO DIRIO E OBRA - SS-04/2025 (UPGN-2)  &amp;gt;REALIZANDO SOLDA DOS INSERTS MONTAGEM DE ESTRUTURA E IAMENTO DE MODULO- MOD:5 | PEMT:3 | PT: (21068459 |HR SOLIC 08:00 | HR LIB 00:00 |ATRASO 00:30|) - (HR ENC 16:30 | ATRASO 00:00)  &amp;gt;MONTAGEM DE ANDAIME- MOD:7 | PT: (21071500 |HR SOLIC 08:00 | HR LIB 08:00 |ATRASO 00:00|) - (HR ENC 16:30 | ATRASO 00:00)  &amp;gt;DEMOLIO E TRATAMENTO DOS PILARES- MOD:4 | PEMT:1 |PT CANCELADA PT: (21165950 |HR SOLIC 08:00 | HR LIB 00:00 |ATRASO 00:30|) - (HR ENC 16:30 | ATRASO 00:00) &amp;gt;PINTURA DE ESTRUTURA METALICA - MOD:2 | PT: (21079158 |HR SOLIC 08:00 | HR LIB 09:00 |ATRASO 00:30|) - (HR ENC 16:30 | ATRASO 00:00)&amp;gt;&amp;gt;AS PTs TIVERAM ATRASO NA LIBERAO PELA OPERAO DEVIDO ACIDENTE NA UNIDADE COM OUTRA CONTRATADA&amp;gt;&amp;gt;CONDIES CLIMTICAS: TEMPO COM ANOMALIA &amp;gt;&amp;gt;INCIDNCIA DE CHUVA (07:30 - 16:30)  &amp;gt;&amp;gt;&amp;gt;IMPEDIMENTOS ACUMULADOS LIBERAO PT/PTT: 14:17 = 2,12d CONDIES CLIMTICAS: 38:35 = 3,83d PETROBRAS: 13:50 = 0,86d OUTROS: 25:20 = 3,17d APJ: 0:00 = 0d RO DIRIO E OBRA - SS-05/2025 (SECGN)  &amp;gt;MONTAGEM DE ESTRUTURA METALICA DO GALPO(TELHAS,CALHAS)- MOD:8 | PEMT:2 | PT: (21170192 |HR SOLIC 08:00 | HR LIB 0 |ATRASO 00|) - (HR ENC 16:30 | ATRASO 00:00)  &amp;gt;&amp;gt;AS PTs TIVERAM ATRASO NA LIBERAO PELA OPERAO DEVIDO ACIDENTE NA UNIDADE COM OUTRA CONTRATADA &amp;gt;&amp;gt;CONDIES CLIMTICAS: TEMPO COM ANOMALIA&amp;gt;&amp;gt;INCIDNCIA DE CHUVA (07:30 - 16:30)  &amp;gt;&amp;gt;&amp;gt;IMPEDIMENTOS ACUMULADOS LIBERAO PT/PTT: 27:14 = 3,55d CONDIES CLIMTICAS: 81:25 = 9,18d PETROBRAS: 6:30 = 0,82d OUTROS: 28:30 = 3,57d APJ: 0:00 = 0d RO DIRIO E OBRA - SS-06/2025 (K-14)  &amp;gt;MONTAGEM DE ESTRUTURA METALICA DO GALPO(TELHAS,RUFOS)- MOD:4 | PEMT:1  PT: (21166020 |HR SOLIC 08:00 | HR LIB 09:10 |ATRASO 00:0|) - (HR ENC 16:30 | ATRASO 00:00)  &amp;gt;REALIZANDO MONTAGEM DE INFRA ESTRUTURA ELETRICA - MOD:4  PT: (21166039 |HR SOLIC 08:00 | HR LIB 09:35 |ATRASO 00) - (HR ENC 16:30 | ATRASO 00:00)  &amp;gt;PINTURA DE ESTRUTURAS METALICAS E CONCRETO- MOD:2  PT: (21166056 |HR SOLIC 08:00 | HR LIB 09:30 |ATRASO 00:00|) - (HR ENC 16:30 | ATRASO 00:00)&amp;gt;&amp;gt;AS PTs TIVERAM ATRASO NA LIBERAO PELA OPERAO DEVIDO ACIDENTE NA UNIDADE COM OUTRA CONTRATADA&amp;gt;&amp;gt;CONDIES CLIMTICAS: TEMPO COM ANOMALIA&amp;gt;&amp;gt;INCIDNCIA DE CHUVA (07:30 - 16:30)  &amp;gt;&amp;gt;&amp;gt;IMPEDIMENTOS ACUMULADOS LIBERAO PT/PTT: 27:38 = 3,8d CONDIES CLIMTICAS: 53:35 = 5,7d PETROBRAS: 0:00 = 0d OUTROS: 28:30 = 3,57d APJ: 0:00 = 0d RO DIRIO E OBRA - SS-12/2025 (ESTOQUE)  &amp;gt;MONTAGEM DE ESTRUTURA METALICA DO GALPO(TELHAS,RUFOS, PERFIS)- MOD:3 | PT: (21169274 |HR SOLIC 08:00 | HR LIB 08:30 |ATRASO 00:00|) - (HR ENC 16:30 | ATRASO 00:00)&amp;gt;MONTAGEM DE FORMA E CONCRETAGEM DAS BASES DOS PILARES - MOD:2 | PT: (21169265 |HR SOLIC 08:00 | HR LIB 08:10 |ATRASO 00:00|) - (HR ENC 16:30 | ATRASO 00:00)   &amp;gt;&amp;gt;CONDIES CLIMTICAS: TEMPO COM ANOMALIA&amp;gt;&amp;gt;INCIDNCIA DE CHUVA (07:30 - 16:30)  &amp;gt;&amp;gt;&amp;gt;IMPEDIMENTOS ACUMULADOS LIBERAO PT/PTT: 0:00 = 0d CONDIES CLIMTICAS: 23:00 = 1,88d PETROBRAS: 0:00 = 0d OUTROS: 0:30 = 0,07d APJ: 0:00 = 0d  RO DIRIO E OBRA - SS-08/2025 (K-02)  SEM ATIVIDADESAS HORAS ACRESCENTADAS FOI DEVIDO AONOVO PADRO DE MOVIMENTAO DE CARGA E LINHA DE VIDADO MUNCK, DESDE O DIA 16/01.5 DIAS DESDE O DIA 16/01, 19/01, 20/01, 21/01 E 22/01= 40H&amp;gt;&amp;gt;CONDIES CLIMTICAS: TEMPO COM ANOMALIA&amp;gt;&amp;gt;INCIDNCIA DE CHUVA  &amp;gt;&amp;gt;&amp;gt;IMPEDIMENTOS ACUMULADOS LIBERAO PT/PTT: 0:50 = 0,11d CONDIES CLIMTICAS: 0:00 = 0d PETROBRAS: 0:00 = 0d OUTROS: 40:30 = 0,07d APJ: 0:00 = 0d _______________________________________________________________________RO DIRIO E OBRA - SS-18/2025 (SALA CISC)  &amp;gt;TRATAMENTO E PINTURA DAS PAREDES;FURAO DE PAREDE, INSTALAO DE INFRA DE FORRO MOD:4 | PT: (21168155 |HR SOLIC 08:00 | HR LIB 08:10 |ATRASO 00:00|) - (HR ENC 16:30 | ATRASO 00:00) &amp;gt;&amp;gt;CONDIES CLIMTICAS: TEMPO COM ANOMALIA&amp;gt;&amp;gt;INCIDNCIA DE CHUVA  &amp;gt;&amp;gt;&amp;gt;IMPEDIMENTOS ACUMULADOS LIBERAO PT/PTT: 0:00 = 0d CONDIES CLIMTICAS: 0:00 = 0d PETROBRAS: 0:00 = 0d OUTROS: 0:30 = 0,07d APJ: 0:00 = 0d RO DIRIO E OBRA - SS-10/2025 (K-04)  &amp;gt;TESTE DO SISTEMA DE SPDA- MOD:1 | PT: (21170234 |HR SOLIC 11:05 | HR LIB 11:15 |ATRASO 00:00|) - (HR ENC 16:30 | ATRASO 00:00)  &amp;gt;&amp;gt;CONDIES CLIMTICAS: TEMPO COM ANOLIA  &amp;gt;&amp;gt;&amp;gt;IMPEDIMENTOS ACUMULADOS LIBERAO PT/PTT: 0:00 = 0d CONDIES CLIMTICAS: 10:15 = 1,29d PETROBRAS: 0:00 = 0d OUTROS: 0:00 = 0d APJ: 0:00 = 0d RO DIRIO E OBRA - SS-27/2025 (GALPO(K-12)  &amp;gt;MONTAGEM DE ANDAIME - MOD:4 | ATRE |HR SOLIC 08:00 | HR LIB 08:30 |ATRASO 00:00|) - (HR ENC 16:30 | ATRASO 00:00)OS ATRASOS E DEVIDO FALTA DE LIBERAO DE OM PARA EXECUO DA ATIVIDADE QUE DEVERIA TER INICIADO NO DIA 16/01/2026 &amp;gt;&amp;gt;CONDIES CLIMTICAS: TEMPO COM ANOMALIA&amp;gt;&amp;gt;INCIDNCIA DE CHUVA (07:30 - 16:30)  &amp;gt;&amp;gt;&amp;gt;IMPEDIMENTOS ACUMULADOS LIBERAO PT/PTT: 0:00 = 0d CONDIES CLIMTICAS: 8:00 = 0d PETROBRAS: 0:00 = 0d OUTROS: 32:00 = 4d APJ: 0:00 = 0d</t>
  </si>
  <si>
    <t>22/01/2026</t>
  </si>
  <si>
    <t>RO-125/2026</t>
  </si>
  <si>
    <t>"RO DIRIO E OBRA - SS-17/2025 (LUMINOSIDADE)&amp;gt;SUBSTITUIO DE 3 LUMINPARIAS NO TALUDE E CONCRETAGEM DE 3 BASES PARA AS LUMINPARIAS DAS ROCHAS - MOD:4 |PT: (21182668 |HR SOLIC 07:50 | HR LIB 08:22 |ATRASO 00:02|) - (HR ENC 16:30 | ATRASO 00:00)&amp;gt;&amp;gt;CONDIES CLIMTICAS: TEMPO BOM&amp;gt;&amp;gt;&amp;gt;IMPEDIMENTOS ACUMULADOSLIBERAO PT/PTT: 11:36 = 1,45dCONDIES CLIMTICAS: 39:00 = 4,88dPETROBRAS: 19:00 = 2,38dOUTROS: 2:20 = 0,3dAPJ: 0:00 = 0d"</t>
  </si>
  <si>
    <t>RO-124/2026</t>
  </si>
  <si>
    <t>Equipe da Torres Brasil, subcontratada da APJ est atuando na manuteno das torres de resfriamento, Atividades realizadas no dia de hoje: Montagem dos suportes da parte inferior da torre A,Foram realizadas ainda os cortes em geral da estrutura metlica da coifa do difusor e a sustentao das vigas dos ventiladores que ficaram na central do PIPE SHOP para manuteno.</t>
  </si>
  <si>
    <t>"RO DIRIO E OBRA - SS-15/2025 (TORRE RESFR)&amp;gt;NO HOUVE ATIVIDADE NESTE DIA - MOD: |PT: ( |HR SOLIC 00:00 | HR LIB 00:00 |ATRASO |) - (HR ENC 00:00 | ATRASO )&amp;gt;&amp;gt;CONDIES CLIMTICAS: TEMPO BOM&amp;gt;&amp;gt;&amp;gt;IMPEDIMENTOS ACUMULADOSLIBERAO PT/PTT: 4:21 = 0,55dCONDIES CLIMTICAS: 10:30 = 1,32dPETROBRAS: 4:30 = 0,57dOUTROS: 4:55 = 0,62dAPJ: 0:00 = 0d"____________________________________________________________________________________________________________________________________"RO DIRIO E OBRA - SS-24/2025 (RUDOS TORRE RESF)&amp;gt;REMOO DE ESTRUTURAS METLICAS DE SUSTENTAO DO DIFUSOR - MOD:2 |PT: (21182694 |HR SOLIC 07:50 | HR LIB 08:16 |ATRASO 00:00|) - (HR ENC 16:30 | ATRASO 00:00)&amp;gt;&amp;gt;CONDIES CLIMTICAS: TEMPO BOM&amp;gt;&amp;gt;&amp;gt;IMPEDIMENTOS ACUMULADOSLIBERAO PT/PTT: 0:00 = 0,01dCONDIES CLIMTICAS: 16:00 = 2dPETROBRAS: 0:00 = 0dOUTROS: 0:00 = 0dAPJ: 0:00 = 0d"</t>
  </si>
  <si>
    <t>RO-123/2026</t>
  </si>
  <si>
    <t>Fiscalizao de acordo com RO apresentado.Concluso da demanda de etapa de obras, da reforma da sala CISC.Desmobilizao e limpeza do local.</t>
  </si>
  <si>
    <t>"RO DIRIO E OBRA - SS-22/2025 (SALA CISC)&amp;gt;ORGANIZAO / LIMPEZA / ARRUMAO - ENTREGA DA OBRA - MOD:4 |PT: (21121249 |HR SOLIC 07:30 | HR LIB 09:00 |ATRASO 01:00|) - (HR ENC 14:30 | ATRASO 02:00)&amp;gt;&amp;gt;CONDIES CLIMTICAS: TEMPO BOM&amp;gt;&amp;gt;&amp;gt;IMPEDIMENTOS ACUMULADOSLIBERAO PT/PTT: 81:06 = 10,14dCONDIES CLIMTICAS: 0:00 = 0dPETROBRAS: 0:00 = 0dOUTROS: 0:00 = 0dAPJ: 0:00 = 0d"</t>
  </si>
  <si>
    <t>RO-121/2026</t>
  </si>
  <si>
    <t>INVENTÁRIO DE MAQUINAS SMS  26 01 2026.xlsx; CERTIFICADO TACOGRAFO - RKO5D59 - VENC. 22.03.2026.pdf; CERTIFICADO CRONOTACOGRAFO GUINDASTE 100 T.pdf</t>
  </si>
  <si>
    <t>Envio do doc. CDIGO 225 - INVENTRIO DE EQUIPAMENTOS E FERRAMENTAS (NR12) e CERTIFICADOS DE CALIBRAO .</t>
  </si>
  <si>
    <t>RO-119/2026</t>
  </si>
  <si>
    <t>BONUS IDF SMS JANEIRO  2026  APJ ENGENHARIA.pdf</t>
  </si>
  <si>
    <t>Envio bnus JANEIRO 2025 para composio do IDF SMS.</t>
  </si>
  <si>
    <t>RO-118/2026</t>
  </si>
  <si>
    <t>Foi concluda a substituio das telas e isolamento acstico da parede Norte nas partes mais altas que comeou a ser executada pelos Iratas no dia 10/01/26, com a atividade realizada no dia de hoje pelos Iratas foi executada a concluso dos servios na parede norte e consequentemente concluso dos servios da SS, somente em dois pontos onde esto as ancoragens de trabalho em altura  que os novos isolantes ainda no foram instalados, os mesmos sero instalados brevemente, pois as ancoragens ainda esto sendo utilizadas para execuo de novas atividades de outras demandas.</t>
  </si>
  <si>
    <t>"RO DIRIO E OBRA - SS-16/2025 (ACSTICO)&amp;gt;SUBSTITUIO DO ISOLMENTO ACSTICO COM UTILIZAO DOS SERVIOS DOS ALPINISTAS - MOD:3 |PT: (21178793 |HR SOLIC 07:30 | HR LIB 08:00 |ATRASO 00:00|) - (HR ENC 16:30 | ATRASO 00:00)&amp;gt;&amp;gt;CONDIES CLIMTICAS: TEMPO BOM&amp;gt;&amp;gt;&amp;gt;IMPEDIMENTOS ACUMULADOSLIBERAO PT/PTT: 23:07 = 2,89dCONDIES CLIMTICAS: 2:30 = 0,32dPETROBRAS: 1:30 = 0,19dOUTROS: 0:00 = 0dAPJ: 0:00 = 0d"</t>
  </si>
  <si>
    <t>RO-112/2026</t>
  </si>
  <si>
    <t>Equipe da Torres Brasil, subcontratada da APJ est atuando na manuteno das torres de resfriamento, Atividades realizadas no dia de hoje: Montagem dos suportes da parte inferior da torre A, a montagem dos enchimentos (atenuadores) da parte superior da Torre A continua em andamento.Foram realizadas ainda a remoo da estrutura metlica da coifa do difusor e a sustentao das vigas dos ventiladores que ficaram na central do PIPE SHOP para manuteno em geral ,antes de serem montados novamente.</t>
  </si>
  <si>
    <t>"RO DIRIO E OBRA - SS-15/2025 (TORRE RESFR)&amp;gt;REMOO DE ESTRUTURA METLICA DE SUSTENTAO DO MOTOR E DO DIFUSOR - MOD:3 |PT: (21179527 |HR SOLIC 07:30 | HR LIB 08:00 |ATRASO 00:00|) - (HR ENC 16:30 | ATRASO 00:00)&amp;gt;MOVIMENTO DE CARGA COM UTILIZAO DE CAMINHO MUCK - MOD:2 | MUNCK:1 |PT: (21178926 |HR SOLIC 08:00 | HR LIB 08:30 |ATRASO 00:00|) - (HR ENC 16:30 | ATRASO 00:00)&amp;gt;&amp;gt;CONDIES CLIMTICAS: TEMPO BOM&amp;gt;&amp;gt;&amp;gt;IMPEDIMENTOS ACUMULADOSLIBERAO PT/PTT: 4:21 = 0,55dCONDIES CLIMTICAS: 10:30 = 1,32dPETROBRAS: 4:30 = 0,57dOUTROS: 4:55 = 0,62dAPJ: 0:00 = 0d"_______________________________________________________________________________________________________________________"RO DIRIO E OBRA - SS-24/2025 (RUDOS TORRE RESF)&amp;gt;INSTALAO DO ENCHIMENTO DE GRADE - MOD:2 |PT: (21180600 |HR SOLIC 07:30 | HR LIB 08:00 |ATRASO 00:00|) - (HR ENC 16:30 | ATRASO 00:00)&amp;gt;&amp;gt;CONDIES CLIMTICAS: TEMPO BOM&amp;gt;&amp;gt;&amp;gt;IMPEDIMENTOS ACUMULADOSLIBERAO PT/PTT: 0:00 = 0,01dCONDIES CLIMTICAS: 16:00 = 2dPETROBRAS: 0:00 = 0dOUTROS: 0:00 = 0dAPJ: 0:00 = 0d"</t>
  </si>
  <si>
    <t>RO-111/2026</t>
  </si>
  <si>
    <t>Os somatrios desde incio at o prazo final da SS dos acmulos de hora parada e meteorolgicas no final da SS a Petrobras ir analisar se e cabvel o abono revertido em acrscimo de dias no prazo de entrega da demanda.As PT's e PTT's foram programadas normalmente, porm houve chuva durante todo o horrio de expediente e nenhuma atividade foi executada ou liberada em campo.Dia totalmente improdutivo.Somente na sala CISC a equipe de civil atuou (atividade em ambiente interno), com a instalao da infra do forro mineral.RO aceito pela fiscalizao.</t>
  </si>
  <si>
    <t>RO DIRIO E OBRA - SS-04/2025 (UPGN-2)  &amp;gt;NO HOUVE ATIVIDADE NESTE DIA - MOD: | PT: ( |HR SOLIC 00:00 | HR LIB 00:00 |ATRASO |) - (HR ENC 00:00 | ATRASO )  &amp;gt;&amp;gt;CONDIES CLIMTICAS: TEMPO COM ANOMALIA &amp;gt;&amp;gt;INCIDNCIA DE CHUVA (07:30 - 16:30)  &amp;gt;&amp;gt;&amp;gt;IMPEDIMENTOS ACUMULADOS LIBERAO PT/PTT: 14:17 = 2d CONDIES CLIMTICAS: 30:35 = 3,83d PETROBRAS: 13:50 = 1,86d OUTROS: 25:20 = 3,17d APJ: 0:00 = 0d  RO DIRIO E OBRA - SS-05/2025 (SECGN)  &amp;gt;NO HOUVE ATIVIDADE NESTE DIA - MOD: | PT: ( |HR SOLIC 00:00 | HR LIB 00:00 |ATRASO |) - (HR ENC 00:00 | ATRASO )  &amp;gt;&amp;gt;CONDIES CLIMTICAS: TEMPO COM ANOMALIA &amp;gt;&amp;gt;INCIDNCIA DE CHUVA (07:30 - 16:30)  &amp;gt;&amp;gt;&amp;gt;IMPEDIMENTOS ACUMULADOS LIBERAO PT/PTT: 27:14 = 3,41d CONDIES CLIMTICAS: 73:25 = 9,18d PETROBRAS: 6:30 = 0,82d OUTROS: 28:30 = 3,57d APJ: 0:00 = 0d   RO DIRIO E OBRA - SS-06/2025 (K-14)  &amp;gt;NO HOUVE ATIVIDADE NESTE DIA - MOD: | PT: ( |HR SOLIC 00:00 | HR LIB 00:00 |ATRASO |) - (HR ENC 00:00 | ATRASO )  &amp;gt;&amp;gt;CONDIES CLIMTICAS: TEMPO COM ANOMALIA &amp;gt;&amp;gt;INCIDNCIA DE CHUVA (07:30 - 16:30)  &amp;gt;&amp;gt;&amp;gt;IMPEDIMENTOS ACUMULADOS LIBERAO PT/PTT: 27:38 = 3,46d CONDIES CLIMTICAS: 45:35 = 5,7d PETROBRAS: 0:00 = 0d OUTROS: 28:30 = 3,57d APJ: 0:00 = 0d RO DIRIO E OBRA - SS-12/2025 (ESTOQUE)  &amp;gt;NO HOUVE ATIVIDADE NESTE DIA - MOD: | PT: ( |HR SOLIC 00:00 | HR LIB 00:00 |ATRASO |) - (HR ENC 00:00 | ATRASO )  &amp;gt;&amp;gt;CONDIES CLIMTICAS: TEMPO COM ANOMALIA &amp;gt;&amp;gt;INCIDNCIA DE CHUVA (07:30 - 16:30)  &amp;gt;&amp;gt;&amp;gt;IMPEDIMENTOS ACUMULADOS LIBERAO PT/PTT: 0:00 = 0,01d CONDIES CLIMTICAS: 15:00 = 1,88d PETROBRAS: 0:00 = 0d OUTROS: 0:30 = 0,07d APJ: 0:00 = 0d  RO DIRIO E OBRA - SS-18/2025 (SALA CISC)  &amp;gt;TRATAMENTO E PINTURA DAS PAREDES;FURAO DE PAREDE, INSTALAO DE INFRA DE FORRO- MOD:6 | PT: (21162826 |HR SOLIC 09:50 | HR LIB 09:55 |ATRASO 00:00|) - (HR ENC 16:30 | ATRASO 00:00)  &amp;gt;&amp;gt;CONDIES CLIMTICAS: TEMPO BOM  &amp;gt;&amp;gt;&amp;gt;IMPEDIMENTOS ACUMULADOS LIBERAO PT/PTT: 0:00 = 0,01d CONDIES CLIMTICAS: 0:00 = 0d PETROBRAS: 0:00 = 0d</t>
  </si>
  <si>
    <t>21/01/2026</t>
  </si>
  <si>
    <t>RO-109/2026</t>
  </si>
  <si>
    <t>Os somatrios desde incio at o prazo final da SS dos acmulos de hora parada e meteorolgicas no final da SS a Petrobras ir analisar se e cabvel o abono revertido em acrscimo de dias no prazo de entrega da demanda.Houve um pequeno intervalo de chuva pela manh, a aps o horrio de almoo, houve chuva durante toda a tarde, sendo que o dia foi 80% improdutivo.1. SECGN:A atividade de pintura foi registrada no RO, mas a equipe de pintura no atuou em campo.A equipe de caldeiraria deu sequncia na instalao das telhas da cobertura, venezianas e calhas e telhas de fechamento lateral.2. K-14:A equipe de caldeiraria atuou com a instalao de telhas, calhas e rufos da cobertura do galpo e do fechamento lateral.Enquanto a equipe de eltrica dava sequncia na montagem da infraestrutura para eltrica, com a montagem dos eletrodutos, caixas de passagem e bornes.A equipe de pintura atuou no tratamento das soldas da estrutura metlica.3. UPGN-2:A equipe de caldeiraria atuou na solda dos inserts e montagem das estruturas metlicas no cho.Programada a montagem de andaime no mdulo 02, equipe da Engeval atuou na montagem dos acessos na lateral das interferncias.A equipe atuou na pintura das soldas e tratamento da estrutura metlica dos mdulos montados no cho e pintura das estruturas de concreto (pilares do galpo).A PT de civil foi programada, mas no houve atividades, a PT foi cancelada pela operao.4. SALA CISC:A equipe de civil atuou na instalao de forro de pvc, tratamento e pintura das paredes.5. ESTOQUE MI:A equipe de civil atuou na demolio de valas para instalao da rede pluvial.A equipe de caldeiraria iniciou a reviso das estruturas metlicas do galpo da MI, reapertos dos parafusos e pr-montagem das estruturas faltantes.6. K-02:Sem atividades.A atividade seguem paralisadas devido  necessidade de adequao ao novo padro de movimentao de carga (guarda-corpo no caminho munck).Sem o munck, a equipe no conseguia posicionar as estruturas e nem fazer o transporte e descarregamento das mesmas na rea.RO aceito pela fiscalizao.</t>
  </si>
  <si>
    <t>RO DIRIO E OBRA - SS-04/2025 (UPGN-2)  &amp;gt;MONTAGEM DE ANDAIME- MOD:7 | PT: (21071500 |HR SOLIC 08:00 | HR LIB 08:10 |ATRASO 00:00|) - (HR ENC 16:30 | ATRASO 00:00)  &amp;gt;REALIZANDO SOLDA DOS INSERTS MONTAGEM DE ESTRUTURA E IAMENTO DE MODULO MOD:5 | PEMT:3 | PT: (21155908 |HR SOLIC 08:00 | HR LIB 08:30 |ATRASO 00:00|) - (HR ENC 16:30 | ATRASO 00:00)&amp;gt;PINTURA DE ESTRUTURAS METALICAS E CONCRETO- MOD:2 |PT: (21079158 |HR SOLIC 08:00 | HR LIB 08:30 |ATRASO 00:00|) - (HR ENC 16:30 | ATRASO 00:00)  &amp;gt;&amp;gt;CONDIES CLIMTICAS: TEMPO COM ANOMALIA &amp;gt;&amp;gt;INCIDNCIA DE CHUVA (12:00 - 16:30)  &amp;gt;&amp;gt;&amp;gt;IMPEDIMENTOS ACUMULADOS LIBERAO PT/PTT: 14:17 = 2d CONDIES CLIMTICAS: 22:35 = 2,83d PETROBRAS: 13:50 = 1,86d OUTROS: 25:20 = 3,17d APJ: 0:00 = 0d RO DIRIO E OBRA - SS-05/2025 (SECGN)  &amp;gt;MONTAGEM DE ESTRUTURA METALICA DO GALPO(TELHAS,CALHAS)- MOD:9 | PEMT:1 | PT: (21155352 |HR SOLIC 08:00 | HR LIB 08:50 |ATRASO 00:20|) - (HR ENC 16:30 | ATRASO 00:00)  &amp;gt;PINTURA DE ESTRUTURAS METALICAS E CONCRETO- MOD:2 | PT: (21155368 |HR SOLIC 08:00 | HR LIB 08:50 |ATRASO 00:20|) - (HR ENC 16:30 | ATRASO 00:00)SEM ATIVIDADES NA PT 21155368 DEVIDO CHUVA  &amp;gt;&amp;gt;CONDIES CLIMTICAS: TEMPO COM ANOMALIA &amp;gt;&amp;gt;INCIDNCIA DE CHUVA (12:00 - 16:30)  &amp;gt;&amp;gt;&amp;gt;IMPEDIMENTOS ACUMULADOS LIBERAO PT/PTT: 27:14 = 3,41d CONDIES CLIMTICAS: 65:25 = 8,18d PETROBRAS: 6:30 = 0,82d OUTROS: 28:30 = 3,57d APJ: 0:00 = 0d  RO DIRIO E OBRA - SS-06/2025 (K-14)  &amp;gt;MONTAGEM DE ESTRUTURA METALICA DO GALPO(TELHAS,RUFOS- MOD:4 | PEMT:1  PT: (21155300 |HR SOLIC 08:00 | HR LIB 08:30 |ATRASO 00:00|) - (HR ENC 16:30 | ATRASO 00:00)  &amp;gt;REALIZANDO MONTAGEM DE INFRA ESTRUTURA ELETRICA  - MOD:4 | PT: (21155260 |HR SOLIC 08:00 | HR LIB 09:00 |ATRASO 00:30|) - (HR ENC 16:30 | ATRASO 00:00)  &amp;gt;PINTURA DE ESTRUTURAS METALICAS E CONCRETO- MOD:2 | PT: (21155292 |HR SOLIC 08:00 | HR LIB 09:00 |ATRASO 00:30|) - (HR ENC 16:30 | ATRASO 00:00)  &amp;gt;&amp;gt;AS PTs TIVERAM ATRASO NA LIBERAO PELA OPERAO DEVIDO ACIDENTE NA UNIDADE COM OUTRA CONTRATADA  &amp;gt;&amp;gt;CONDIES CLIMTICAS: TEMPO COM ANOMALIA &amp;gt;&amp;gt;INCIDNCIA DE CHUVA (12:00 - 16:30)  &amp;gt;&amp;gt;&amp;gt;IMPEDIMENTOS ACUMULADOS LIBERAO PT/PTT: 27:38 = 3,46d CONDIES CLIMTICAS: 37:35 = 4,7d PETROBRAS: 0:00 = 0d OUTROS: 28:30 = 3,57d APJ: 0:00 = 0dRO DIRIO E OBRA - SS-08/2025 (K-02)SEM ATIVIDADES&amp;gt;&amp;gt;CONDIES CLIMTICAS: TEMPO BOM&amp;gt;&amp;gt;&amp;gt;IMPEDIMENTOS ACUMULADOSLIBERAO PT/PTT: 0:50 = 0,11dCONDIES CLIMTICAS: 0:00 = 0dPETROBRAS: 0:00 = 0dOUTROS: 0:30 = 0,07dAPJ: 0:00 = 0d RO DIRIO E OBRA - SS-12/2025 (ESTOQUE)  &amp;gt;MONTAGEM DE ESTRUTURA METALICA DO GALPO(TELHAS,RUFOS, PERFIS) - MOD:3 | PT: (21158767 |HR SOLIC 08:00 | HR LIB 08:30 |ATRASO 00:00|) - (HR ENC 16:30 | ATRASO 00:00)  &amp;gt;DEMOLIO E ESCAVAO DE CONCRETO PARA DESCIDA PLUVIAL- MOD:2 | PT: (21158788 |HR SOLIC 08:00 | HR LIB 08:30 |ATRASO 00:00|) - (HR ENC 16:30 | ATRASO 00:00)  &amp;gt;&amp;gt;CONDIES CLIMTICAS: TEMPO COM ANOMALIA &amp;gt;&amp;gt;INCIDNCIA DE CHUVA (12:00 - 16:30)  &amp;gt;&amp;gt;&amp;gt;IMPEDIMENTOS ACUMULADOS LIBERAO PT/PTT: 0:00 = 0,01d CONDIES CLIMTICAS: 7:00 = 0,88d PETROBRAS: 0:00 = 0d OUTROS: 0:30 = 0,07d APJ: 0:00 = 0d RO DIRIO E OBRA - SS-18/2025 (SALA CISC)  &amp;gt;TRATAMENTO E PINTURA DAS PAREDES;FURAO DE PAREDE, INSTALAO DE INFRA DE FORRO- MOD:5 | PT: (21158755 |HR SOLIC 08:00 | HR LIB 08:30 |ATRASO 00:00|) - (HR ENC 16:30 | ATRASO 00:00)  &amp;gt;&amp;gt;CONDIES CLIMTICAS: TEMPO BOM  &amp;gt;&amp;gt;&amp;gt;IMPEDIMENTOS ACUMULADOS LIBERAO PT/PTT: 0:00 = 0,01d CONDIES CLIMTICAS: 0:00 = 0d PETROBRAS: 0:00 = 0d OUTROS: 0:30 = 0,07d APJ: 0:00 = 0d</t>
  </si>
  <si>
    <t>RO-108/2026</t>
  </si>
  <si>
    <t>Os somatrios desde incio at o prazo final da SS dos acmulos de hora parada e meteorolgicas no final da SS a Petrobras ir analisar se e cabvel o abono revertido em acrscimo de dias no prazo de entrega da demanda.No dia as atividades foram paralisadas na parte da tarde devido ao alerta vermelho com incidncia de raios.1. SECGN:A equipe de pintura atuou no tratamento das estruturas metlicas do galpo (tratamento e pintura nas soldas) e na pintura das estruturas de concreto do galpo.A equipe de caldeiraria deu sequncia na instalao das telhas da cobertura, venezianas e calhas e telhas de fechamento lateral.2. K-14:A equipe de caldeiraria atuou com a instalao de telhas, calhas e rufos da cobertura do galpo e do fechamento lateral.Enquanto a equipe de eltrica dava sequncia na montagem da infraestrutura para eltrica, com a montagem dos eletrodutos, caixas de passagem e bornes.A equipe de pintura atuou no tratamento das soldas da estrutura metlica.3. UPGN-2:A equipe de caldeiraria atuou na solda dos inserts e montagem das estruturas metlicas no cho.Programada a montagem de andaime no mdulo 02, equipe da Engeval atuou na montagem dos acessos na lateral das interferncias.A equipe atuou na pintura das soldas e tratamento da estrutura metlica dos mdulos montados no cho e pintura das estruturas de concreto (pilares do galpo).A PT de caldeiraria foi reemitida devido ao peso da estrutura informado no documento, que no condizia com a estrutura que estava no cho.4. SALA CISC:A equipe de civil deu incio  remoo do carpete da sala e tratamento e pintura das paredes.A equipe de eltrica atuou na instalao da infra eltrica.5. ESTOQUE MI:A equipe de civil atuou na preparao das bases dos pilares para lanamento do concreto magro e demolio de valas para instalao da rede pluvial.A equipe de caldeiraria iniciou a reviso das estruturas metlicas do galpo da MI, reapertos dos parafusos e pr-montagem das estruturas faltantes.6. K-02:Sem atividades.A atividade foi paralisada devido ao novo padro de movimentao de carga (guarda-corpo no caminho munck). Sem o munck, a equipe no conseguia posicionar as estruturas e nem fazer o transporte e descarregamento das mesmas na rea.RO aceito pela fiscalizao.</t>
  </si>
  <si>
    <t>RO DIRIO E OBRA - SS-04/2025 (UPGN-2)  &amp;gt;MONTAGEM DE ANDAIME - MOD:7 | PT: (21071500 |HR SOLIC 08:00 | HR LIB 08:30 |ATRASO 00:00|) - (HR ENC 16:30 | ATRASO 00:00)  &amp;gt;REALIZANDO SOLDA DOS INSERTS E IAMENTO DE MODULO- MOD:4 | PT: (21146426 |HR SOLIC 08:00 | HR LIB 00:00 |ATRASO |) - (HR ENC 16:30 | ATRASO 00:00)  &amp;gt;REALIZANDO SOLDA DOS INSERTS MONTAGEM DE ESTRUTURA E IAMENTO DE MODULO- MOD:4 | PEMT:3 | PT: (2115133 |HR SOLIC 12:55 | HR LIB 13:25 |ATRASO 00:00|) - (HR ENC 16:30 | ATRASO 00:00)&amp;gt;TRATAMENTO E PINTURA DE ESTRUTURA - MOD:2 |PT: (21079158 |HR SOLIC 08:00 | HR LIB 08:30 |ATRASO 00:00|) - (HR ENC 16:30 | ATRASO 00:00)  &amp;gt;&amp;gt;CONDIES CLIMTICAS: TEMPO COM ANOMALIA &amp;gt;&amp;gt;INCIDNCIA DE RAIOS (14:00 - 16:30) &amp;gt;&amp;gt;A PT 21146426 NO FOI LIBERADA PELA OPERAO DEVIDO FALTA DE INFORMAO NA PT, FOI SOLICITADA UMA NOVA PT, E A MESMA FOI LIBERADA APOS ALMOO (08:00 - 12:50)  &amp;gt;&amp;gt;&amp;gt;IMPEDIMENTOS ACUMULADOS LIBERAO PT/PTT: 14:17 = 2d CONDIES CLIMTICAS: 18:05 = 2,27d PETROBRAS: 13:50 = 1,86d OUTROS: 25:20 = 3,17d APJ: 0:00 = 0d RO DIRIO E OBRA - SS-05/2025 (SECGN)  &amp;gt;PINTURA DE ESTRUTURAS METALICAS E CONCRETO- MOD:1 | PT: (21146456 |HR SOLIC 08:00 | HR LIB 09:00 |ATRASO 00:30|) - (HR ENC 16:30 | ATRASO 00:00)  &amp;gt;MONTAGEM DE ESTRUTURA METALICA DO GALPO(TELHAS,CALHAS)- MOD:7 | PEMT:1 | PT: (21146452 |HR SOLIC 08:00 | HR LIB 09:00 |ATRASO 00:30|) - (HR ENC 16:30 | ATRASO 00:00)  &amp;gt;&amp;gt;CONDIES CLIMTICAS: TEMPO COM ANOMALIA &amp;gt;&amp;gt;INCIDNCIA DE RAIOS (14:00 - 16:30)  &amp;gt;&amp;gt;AS PTs TIVERAM ATRASO NA LIBERAO PELA OPERAO DEVIDO ACIDENTE NA UNIDADE COM OUTRA CONTRATADA  &amp;gt;&amp;gt;&amp;gt;IMPEDIMENTOS ACUMULADOS LIBERAO PT/PTT: 26:34 = 3,33d CONDIES CLIMTICAS: 60:55 = 7,62d PETROBRAS: 6:30 = 0,82d OUTROS: 28:30 = 3,57d APJ: 0:00 = 0d   RO DIRIO E OBRA - SS-06/2025 (K-14)  &amp;gt;MONTAGEM DE ESTRUTURA METALICA DO GALPO(TELHAS,RUFOS)- MOD:5 | PEMT:1  PT: (21146381 |HR SOLIC 09:20 | HR LIB 10:05 |ATRASO 00:15|) - (HR ENC 16:30 | ATRASO 00:00)  &amp;gt;REALIZANDO MONTAGEM DE INFRA ESTRUTURA ELETRICA - MOD:4 | PT: (21146853 |HR SOLIC 08:00 | HR LIB 10:02 |ATRASO 01:32|) - (HR ENC 16:30 | ATRASO 00:00)  &amp;gt;PINTURA DE ESTRUTURAS METALICAS E CONCRETO- MOD:2 | PT: (21146402 |HR SOLIC 08:00 | HR LIB 09:00 |ATRASO 00:30|) - (HR ENC 16:30 | ATRASO 00:00)  &amp;gt;&amp;gt;CONDIES CLIMTICAS: TEMPO COM ANOMALIA &amp;gt;&amp;gt;INCIDNCIA DE RAIOS (14:00 - 16:30)  &amp;gt;&amp;gt;AS PTs TIVERAM ATRASO NA LIBERAO PELA OPERAO DEVIDO ACIDENTE NA UNIDADE COM OUTRA CONTRATADA  &amp;gt;&amp;gt;&amp;gt;IMPEDIMENTOS ACUMULADOS LIBERAO PT/PTT: 26:38 = 3,33d CONDIES CLIMTICAS: 33:05 = 4,14d PETROBRAS: 0:00 = 0d OUTROS: 28:30 = 3,57d APJ: 0:00 = 0dRO DIRIO E OBRA - SS-08/2025 (K-02)  SEM ATIVIDADESATIVIDADES PARALISADAS PARA ADEQUAO DO CAMINHO (07:30 AS 16:30  &amp;gt;&amp;gt;CONDIES CLIMTICAS: TEMPO BOM  &amp;gt;&amp;gt;&amp;gt;IMPEDIMENTOS ACUMULADOS LIBERAO PT/PTT: 0:50 = 0,11d CONDIES CLIMTICAS: 0:00 = 0d PETROBRAS: 0:00 = 0d OUTROS: 0:30 = 0,07d APJ: 0:00 = 0d RO DIRIO E OBRA - SS-12/2025 (ESTOQUE)  &amp;gt;MONTAGEM DE ESTRUTURA METALICA DO GALPO(TELHAS,RUFOS)- MOD:3 | PT: (21142799 |HR SOLIC 08:00 | HR LIB 08:30 |ATRASO 00:00|) - (HR ENC 16:30 | ATRASO 00:00)  &amp;gt;DEMOLIO E ESCAVAO DE CONCRETO PARA DESCIDA PLUVIAL- MOD:3 | PT: (21152790 |HR SOLIC 08:00 | HR LIB 08:30 |ATRASO 00:00|) - (HR ENC 16:30 | ATRASO 00:00)  &amp;gt;&amp;gt;CONDIES CLIMTICAS: TEMPO COM ANOMALIA &amp;gt;&amp;gt;INCIDNCIA DE RAIOS (14:00 - 16:30)  &amp;gt;&amp;gt;&amp;gt;IMPEDIMENTOS ACUMULADOS LIBERAO PT/PTT: 0:00 = 0,01d CONDIES CLIMTICAS: 2:30 = 0,32d PETROBRAS: 0:00 = 0d OUTROS: 0:30 = 0,07d APJ: 0:00 = 0d RO DIRIO E OBRA - SS-18/2025 (SALA CISC)  &amp;gt;TRATAMENTO E PINTURA DAS PAREDES;FURAO DE PAREDE, INSTALAO DE INFRA DE FORRO- MOD:3 | PT: (21152806 |HR SOLIC 08:00 | HR LIB 08:30 |ATRASO 00:00|) - (HR ENC 16:30 | ATRASO 00:00)  &amp;gt;&amp;gt;CONDIES CLIMTICAS: TEMPO BOM  &amp;gt;&amp;gt;&amp;gt;IMPEDIMENTOS ACUMULADOS LIBERAO PT/PTT: 0:00 = 0,01d CONDIES CLIMTICAS: 0:00 = 0d PETROBRAS: 0:00 = 0d OUTROS: 0:30 = 0,07d APJ: 0:00 = 0d</t>
  </si>
  <si>
    <t>RO-107/2026</t>
  </si>
  <si>
    <t>"RO DIRIO E OBRA - SS-22/2025 (SALA CISC)&amp;gt;ACABAMENTOS DE PINTURA E INSTALAES ELTRICAS - MOD:5 |PT: (21121249 |HR SOLIC 07:30 | HR LIB 09:00 |ATRASO 01:00|) - (HR ENC 14:30 | ATRASO 02:00)________________________________________________________________________________________________________________________&amp;gt;CARREGAMENTO DE CAAMBA ESTACIONRIA - TRANSPORTE DE RESDUOS - MOD:5 |PT: (21174327 |HR SOLIC 07:30 | HR LIB 09:00 |ATRASO 01:00|) - (HR ENC 14:30 | ATRASO 02:00)&amp;gt;&amp;gt;CONDIES CLIMTICAS: TEMPO BOM&amp;gt;&amp;gt;&amp;gt;IMPEDIMENTOS ACUMULADOSLIBERAO PT/PTT: 78:06 = 9,77dCONDIES CLIMTICAS: 0:00 = 0dPETROBRAS: 0:00 = 0dOUTROS: 0:00 = 0dAPJ: 0:00 = 0d"</t>
  </si>
  <si>
    <t>RO-106/2026</t>
  </si>
  <si>
    <t>Equipe da Torres Brasil, subcontratada da APJ est atuando na manuteno das torres de resfriamento, Atividades realizadas no dia de hoje: Transporte dos enchimentos do local de armazenamento para a frente de servio , a montagem dos enchimentos (atenuadores) da parte superior da Torre A continua em andamento.</t>
  </si>
  <si>
    <t>"RO DIRIO E OBRA - SS-15/2025 (TORRE RESFR)&amp;gt;NO HOUVE ATIVIDADE NESTE DIA - MOD: |PT: ( |HR SOLIC 00:00 | HR LIB 00:00 |ATRASO |) - (HR ENC 00:00 | ATRASO )&amp;gt;&amp;gt;CONDIES CLIMTICAS: TEMPO BOM&amp;gt;&amp;gt;&amp;gt;IMPEDIMENTOS ACUMULADOSLIBERAO PT/PTT: 4:21 = 0,55dCONDIES CLIMTICAS: 10:30 = 1,32dPETROBRAS: 4:30 = 0,57dOUTROS: 4:55 = 0,62dAPJ: 0:00 = 0d"___________________________________________________________________________________________________________________________________"RO DIRIO E OBRA - SS-24/2025 (RUDOS TORRE RESF)&amp;gt;ENCHIMENTO DE GRADE PARA OS ATENUADORES DE RUDO - MOD:5 |PT: (211744255 |HR SOLIC 07:27 | HR LIB 07:55 |ATRASO 00:00|) - (HR ENC 16:00 | ATRASO 00:30)&amp;gt;&amp;gt;CONDIES CLIMTICAS: TEMPO BOM&amp;gt;&amp;gt;&amp;gt;IMPEDIMENTOS ACUMULADOSLIBERAO PT/PTT: 0:00 = 0,01dCONDIES CLIMTICAS: 16:00 = 2dPETROBRAS: 0:00 = 0dOUTROS: 0:00 = 0dAPJ: 0:00 = 0d"</t>
  </si>
  <si>
    <t>RO-105/2026</t>
  </si>
  <si>
    <t>Para concluso dos servios est restando somente a concluso da substituio das telas e isolamento acstico da parede Norte nas partes mais altas que comeou a ser executada pelos Iratas no dia 10/01/26, ser necessrio mais um dia de atividades dos Iratas para a concluso dos servios na parede norte e consequentemente concluso dos servios da SS, est previsto para o dia 24/01/26, a atividade com os Iratas na parede Norte.</t>
  </si>
  <si>
    <t>RO-104/2026</t>
  </si>
  <si>
    <t>SS-17- Adequao da Luminosidade.Atividades executadas: Execuo das base de concreto para instalao dos refletores das pedras, na praa das bandeiras.Houve chuva no perodo da manh, o que impactou o andamento dos servios.</t>
  </si>
  <si>
    <t>"RO DIRIO E OBRA - SS-17/2025 (LUMINOSIDADE)&amp;gt;CONCRETAGEM DA BASE DAS LUMINNRIAS PARA AS PEDRAS DA PRAA NORTE - MOD:4 |PT: (21174974 |HR SOLIC 07:30 | HR LIB 13:30 |ATRASO 05:30|) - (HR ENC 15:30 | ATRASO 01:00)&amp;gt;&amp;gt;CONDIES CLIMTICAS: TEMPO BOM&amp;gt;&amp;gt;&amp;gt;IMPEDIMENTOS ACUMULADOSLIBERAO PT/PTT: 9:04 = 1,14dCONDIES CLIMTICAS: 39:00 = 4,88dPETROBRAS: 19:00 = 2,38dOUTROS: 2:20 = 0,3dAPJ: 0:00 = 0d"</t>
  </si>
  <si>
    <t>RO-103/2026</t>
  </si>
  <si>
    <t>No houve atividade neste dia , tempo Chuvoso durante todo dia.</t>
  </si>
  <si>
    <t>"RO DIRIO E OBRA - SS-17/2025 (LUMINOSIDADE)&amp;gt;NO HOUVE ATIVIDADE NESTE DIA - MOD: |PT: ( |HR SOLIC 00:00 | HR LIB 00:00 |ATRASO |) - (HR ENC 00:00 | ATRASO )&amp;gt;&amp;gt;CONDIES CLIMTICAS: TEMPO COM ANOMALIA&amp;gt;&amp;gt;INCIDNCIA DE CHUVA (07:30 - 16:30)&amp;gt;&amp;gt;&amp;gt;IMPEDIMENTOS ACUMULADOSLIBERAO PT/PTT: 2:34 = 0,33dCONDIES CLIMTICAS: 39:00 = 4,88dPETROBRAS: 19:00 = 2,38dOUTROS: 2:20 = 0,3dAPJ: 0:00 = 0d"</t>
  </si>
  <si>
    <t>RO-101/2026</t>
  </si>
  <si>
    <t>RO-100/2026</t>
  </si>
  <si>
    <t>Equipe da Torres Brasil, subcontratada da APJ est atuando na manuteno das torres de resfriamento, Atividades realizadas no dia de hoje: Transporte dos enchimentos do local de armazenamento para a frente de servio , foi iniciada a montagem dos enchimentos (atenuadores) da parte superior da Torre A.</t>
  </si>
  <si>
    <t>"RO DIRIO E OBRA - SS-15/2025 (TORRE RESFR)&amp;gt;NO HOUVE ATIVIDADE NESTE DIA - MOD: |PT: ( |HR SOLIC 00:00 | HR LIB 00:00 |ATRASO |) - (HR ENC 00:00 | ATRASO )&amp;gt;&amp;gt;CONDIES CLIMTICAS: TEMPO BOM&amp;gt;&amp;gt;&amp;gt;IMPEDIMENTOS ACUMULADOSLIBERAO PT/PTT: 4:21 = 0,55dCONDIES CLIMTICAS: 10:30 = 1,32dPETROBRAS: 4:30 = 0,57dOUTROS: 4:55 = 0,62dAPJ: 0:00 = 0d"_______________________________________________________________________________________________________________________________________"RO DIRIO E OBRA - SS-24/2025 (RUDOS TORRE RESF)&amp;gt;INSTALAO DO ENCHIMENTO DE GRADE - MOD:5 |PT: (21169186 |HR SOLIC 07:45 | HR LIB 08:15 |ATRASO 00:00|) - (HR ENC 16:30 | ATRASO 00:00)&amp;gt;&amp;gt;CONDIES CLIMTICAS: TEMPO BOM&amp;gt;&amp;gt;&amp;gt;IMPEDIMENTOS ACUMULADOSLIBERAO PT/PTT: 0:00 = 0,01dCONDIES CLIMTICAS: 16:00 = 2dPETROBRAS: 0:00 = 0dOUTROS: 0:00 = 0dAPJ: 0:00 = 0d"</t>
  </si>
  <si>
    <t>RO-99/2026</t>
  </si>
  <si>
    <t>"RO DIRIO E OBRA - SS-22/2025 (SALA CISC)&amp;gt;INSTALAES ELTRICAS E ACABAMENTOS DE PINTURA - MOD:5 |PT: (21121249 |HR SOLIC 07:30 | HR LIB 09:00 |ATRASO 01:00|) - (HR ENC 14:30 | ATRASO 02:00)&amp;gt;&amp;gt;CONDIES CLIMTICAS: TEMPO BOM&amp;gt;&amp;gt;&amp;gt;IMPEDIMENTOS ACUMULADOSLIBERAO PT/PTT: 72:06 = 9,02dCONDIES CLIMTICAS: 0:00 = 0dPETROBRAS: 0:00 = 0dOUTROS: 0:00 = 0dAPJ: 0:00 = 0d"</t>
  </si>
  <si>
    <t>RO-98/2026</t>
  </si>
  <si>
    <t>RO DIRIO E OBRA - SS-04/2025 (UPGN-2) SEM EXPEDIENTE  &amp;gt;&amp;gt;CONDIES CLIMTICAS: TEMPO BOM  &amp;gt;&amp;gt;&amp;gt;IMPEDIMENTOS ACUMULADOS LIBERAO PT/PTT: 14:17 = 2d CONDIES CLIMTICAS: 15:35 = 1,95d PETROBRAS: 13:50 = 1,86d OUTROS: 20:30 = 2,57d APJ: 0:00 = 0d RO DIRIO E OBRA - SS-05/2025 (SECGN) SEM EXPEDIENTE  &amp;gt;&amp;gt;CONDIES CLIMTICAS: TEMPO BOM  &amp;gt;&amp;gt;&amp;gt;IMPEDIMENTOS ACUMULADOS LIBERAO PT/PTT: 25:34 = 3,2d CONDIES CLIMTICAS: 58:25 = 7,31d PETROBRAS: 6:30 = 0,82d OUTROS: 28:30 = 3,57d APJ: 0:00 = 0d __________________________________________  RO DIRIO E OBRA - SS-06/2025 (K-14) SEM EXPEDIENTE  &amp;gt;&amp;gt;CONDIES CLIMTICAS: TEMPO BOM  &amp;gt;&amp;gt;&amp;gt;IMPEDIMENTOS ACUMULADOS LIBERAO PT/PTT: 24:21 = 3,05d CONDIES CLIMTICAS: 30:35 = 3,83d PETROBRAS: 0:00 = 0d OUTROS: 28:30 = 3,57d APJ: 0:00 = 0d RO DIRIO E OBRA - SS-08/2025 (K-02) SEM EXPEDIENTE  &amp;gt;&amp;gt;CONDIES CLIMTICAS: TEMPO BOM  &amp;gt;&amp;gt;&amp;gt;IMPEDIMENTOS ACUMULADOS LIBERAO PT/PTT: 0:50 = 0,11d CONDIES CLIMTICAS: 0:00 = 0d PETROBRAS: 0:00 = 0d OUTROS: 0:30 = 0,07d APJ: 0:00 = 0d _____________________________________________________________________ RO DIRIO E OBRA - SS-12/2025 (ESTOQUE) SEM EXPEDIENTE  &amp;gt;&amp;gt;CONDIES CLIMTICAS: TEMPO BOM  &amp;gt;&amp;gt;&amp;gt;IMPEDIMENTOS ACUMULADOS LIBERAO PT/PTT: 0:00 = 0d CONDIES CLIMTICAS: 0:00 = 0d PETROBRAS: 0:00 = 0d OUTROS: 0:30 = 0,07d APJ: 0:00 = 0d  RO DIRIO E OBRA - SS-18/2025 (SALA CISC) SEM EXPEDIENTE  &amp;gt;&amp;gt;CONDIES CLIMTICAS: TEMPO BOM  &amp;gt;&amp;gt;&amp;gt;IMPEDIMENTOS ACUMULADOS LIBERAO PT/PTT: 0:00 = 0d CONDIES CLIMTICAS: 0:00 = 0d PETROBRAS: 0:00 = 0d OUTROS: 0:30 = 0,07d APJ: 0:00 = 0d</t>
  </si>
  <si>
    <t>18/01/2026</t>
  </si>
  <si>
    <t>RO-97/2026</t>
  </si>
  <si>
    <t>17/01/2026</t>
  </si>
  <si>
    <t>RO-96/2026</t>
  </si>
  <si>
    <t>Os somatrios desde incio at o prazo final da SS dos acmulos de hora parada e meteorolgicas no final da SS a Petrobras ir analisar se e cabvel o abono revertido em acrscimo de dias no prazo de entrega da demanda.1. SECGN:A equipe de pintura atuou no tratamento das estruturas metlicas do galpo (tratamento e pintura nas soldas) e na pintura das estruturas de concreto do galpo.A equipe de caldeiraria deu sequncia na instalao das telhas da cobertura, venezianas e calhas e telhas de fechamento lateral.2. K-14:A equipe de caldeiraria atuou com a instalao de telhas, calhas e rufos da cobertura do galpo e do fechamento lateral.Enquanto a equipe de eltrica dava sequncia na montagem da infraestrutura para eltrica, com a montagem dos eletrodutos, caixas de passagem e bornes.A equipe de pintura atuou no tratamento das soldas da estrutura metlica.Foi programada a PT de andaime, mas a mesma no foi executada, a atividade foi concluda no dia anterior.3. UPGN-2:A PT de caldeiraria no foi liberada pela operao, pois constava o apoio do guindaste e o equipamento no seria utilizado. A contratada confirmou que no ia atuar naquele dia na caldeiraria, e ia deslocar o efetivo para outra frente de servio, pois a PT tambm estava com atraso de liberao.Programada a montagem de andaime no mdulo 02, equipe da Engeval atuou na montagem dos acessos na lateral das interferncias.A equipe atuou na pintura das soldas e tratamento da estrutura metlica dos mdulos montados no cho e pintura das estruturas de concreto (pilares do galpo).4. SALA CISC:A equipe de civil deu incio  remoo do carpete da sala e tratamento e pintura das paredes.A equipe de eltrica atuou na instalao da infra eltrica.5. ESTOQUE MI:A equipe de civil atuou na preparao das bases dos pilares para concretagem e demolio de valas para instalao da rede pluvial.A equipe de caldeiraria iniciou a reviso das estruturas metlicas do galpo da MI, reapertos dos parafusos e pr-montagem das estruturas faltantes.A equipe de andaimes atuou na montagem de um abrigo de andaimes para a equipe (PT 21.144.699).6. K-02:Sem atividades, equipe aguardando a chegada da estrutura.7. K-12:Atividades no liberadas, OM aguardando anlise da operao.RO aceito pela fiscalizao.</t>
  </si>
  <si>
    <t>RO DIRIO E OBRA - SS-04/2025 (UPGN-2)  &amp;gt;REALIZANDO SOLDA DOS INSERTS E IAMENTO DE MODULO- MOD:9 | PEMT:4 | GUINDASTE:1 | PT: (21140775 |HR SOLIC 08:00 | HR LIB 08:30 |ATRASO 00:00|) - (HR ENC 16:30 | ATRASO 00:00)  &amp;gt;MONTAGEM DE ANDAIME - MOD:7 | PT: (21071500 |HR SOLIC 08:10 | HR LIB 08:30 |ATRASO 00:00|) - (HR ENC 16:30 | ATRASO 00:00)&amp;gt;TRATAMENTO E PINTURA DE ESTRUTURA METALICA/CONCRETAGEM - MOD:2 | PT: (21079158 |HR SOLIC 08:10 | HR LIB 08:30 |ATRASO 00:00|) - (HR ENC 16:30 | ATRASO 00:00) &amp;gt;&amp;gt;CONDIES CLIMTICAS: TEMPO BOMA OPERAO NO LIBEROU A PT, POIS CONTEMPLAVA GUINDASTE E O MESMO NO IA SER UTILIZADO  &amp;gt;&amp;gt;&amp;gt;IMPEDIMENTOS ACUMULADOS LIBERAO PT/PTT: 14:17 = 2d CONDIES CLIMTICAS: 15:35 = 1,95d PETROBRAS: 13:50 = 1,86d OUTROS: 20:30 = 2,57d APJ: 0:00 = 0d RO DIRIO E OBRA - SS-05/2025 (SECGN)  &amp;gt;MONTAGEM DE ESTRUTURA METALICA DO GALPO(TELHAS,CALHAS)- MOD:6 | PT: (21140809 |HR SOLIC 08:00 | HR LIB 08:30 |ATRASO 00:00|) - (HR ENC 16:30 | ATRASO 00:00)  &amp;gt;PINTURA DE ESTRUTURAS METALICAS E CONCRETO- MOD:1 | PT: (21140824 |HR SOLIC 08:00 | HR LIB 08:30 |ATRASO 00:00|) - (HR ENC 16:30 | ATRASO 00:00)  &amp;gt;&amp;gt;CONDIES CLIMTICAS: TEMPO BOM  &amp;gt;&amp;gt;&amp;gt;IMPEDIMENTOS ACUMULADOS LIBERAO PT/PTT: 25:34 = 3,2d CONDIES CLIMTICAS: 58:25 = 7,31d PETROBRAS: 6:30 = 0,82d OUTROS: 28:30 = 3,57d APJ: 0:00 = 0d  RO DIRIO E OBRA - SS-06/2025 (K-14)  &amp;gt;MONTAGEM DE ESTRUTURA METALICA DO GALPO(TELHAS,RUFOS)- MOD:4 | PEMT:1 | PT: (21140936 |HR SOLIC 08:30 | HR LIB 08:35 |ATRASO 00:00|) - (HR ENC 16:30 | ATRASO 00:00)  &amp;gt;REALIZANDO MONTAGEM DE INFRA ESTRUTURA ELETRICA - MOD:4 | PT: (21140944 |HR SOLIC 08:20 | HR LIB 08:30 |ATRASO 00:00|) - (HR ENC 16:30 | ATRASO 00:00)  &amp;gt;PINTURA DE ESTRUTURAS METALICAS E CONCRETO- MOD:1 | PT: (21140950 |HR SOLIC 08:30 | HR LIB 08:35 |ATRASO 00:00|) - (HR ENC 16:30 | ATRASO 00:00)  &amp;gt;&amp;gt;CONDIES CLIMTICAS: TEMPO BOM  &amp;gt;&amp;gt;&amp;gt;IMPEDIMENTOS ACUMULADOS LIBERAO PT/PTT: 24:21 = 3,05d CONDIES CLIMTICAS: 30:35 = 3,83d PETROBRAS: 0:00 = 0d OUTROS: 28:30 = 3,57d APJ: 0:00 = 0d______________________________________________________________________________________________RO DIRIO E OBRA - SS-08/2025 (K-02)  ATIVIDADE PARALISADAS DEVIDO AO PADRO DE MOVIMENTAO DE CARGA  &amp;gt;&amp;gt;CONDIES CLIMTICAS: TEMPO BOM  &amp;gt;&amp;gt;&amp;gt;IMPEDIMENTOS ACUMULADOS LIBERAO PT/PTT: 0:50 = 0,11d CONDIES CLIMTICAS: 0:00 = 0d PETROBRAS: 0:00 = 0d OUTROS: 8:00 = 0,07d APJ: 0:00 = 0d RO DIRIO E OBRA - SS-12/2025 (ESTOQUE)  &amp;gt;PREPARAO E INSTALAO DE PERFIS LATERAIS- MOD:2 | PT: (21142768 |HR SOLIC 08:00 | HR LIB 08:10 |ATRASO 00:00|) - (HR ENC 16:30 | ATRASO 00:00)  &amp;gt;DEMOLIO E ESCAVAO DE CONCRETO PARA DESCIDA PLUVIAL- MOD:3 | PT: (21142785 |HR SOLIC 08:12 | HR LIB 08:20 |ATRASO 00:00|) - (HR ENC 16:30 | ATRASO 00:00)  &amp;gt;&amp;gt;CONDIES CLIMTICAS: TEMPO BOM  &amp;gt;&amp;gt;&amp;gt;IMPEDIMENTOS ACUMULADOS LIBERAO PT/PTT: 0:00 = 0d CONDIES CLIMTICAS: 0:00 = 0d PETROBRAS: 0:00 = 0d OUTROS: 0:30 = 0,07d APJ: 0:00 = 0d  RO DIRIO E OBRA - SS-18/2025 (SALA CISC)  &amp;gt;TRATAMENTO E PINTURA DAS PAREDES;FURAO DE PAREDE, INSTALAO DE INFRA DE FORRO- MOD:2 | PT: (21142811 |HR SOLIC 08:10 | HR LIB 08:15 |ATRASO 00:00|) - (HR ENC 16:30 | ATRASO 00:00)  &amp;gt;INSTALAO DE INFRA ESTRUTURA ELETRICA- MOD:1 | PT: (21142798 |HR SOLIC 08:15 | HR LIB 08:20 |ATRASO 00:00|) - (HR ENC 16:30 | ATRASO 00:00)  &amp;gt;&amp;gt;CONDIES CLIMTICAS: TEMPO BOM  &amp;gt;&amp;gt;&amp;gt;IMPEDIMENTOS ACUMULADOS LIBERAO PT/PTT: 0:00 = 0d CONDIES CLIMTICAS: 0:00 = 0d PETROBRAS: 0:00 = 0d OUTROS: 0:30 = 0,07d APJ: 0:00 = 0dRO DIRIO E OBRA - SS-27/2025 (K-12)ATIVIDADE NO LIBERADA, OM NO ANALISADA PELA OPERAO&amp;gt;&amp;gt;CONDIES CLIMTICAS: TEMPO BOM&amp;gt;&amp;gt;&amp;gt;IMPEDIMENTOS ACUMULADOSLIBERAO PT/PTT: 0:00 = 0,0dCONDIES CLIMTICAS: 0:00 = 0dPETROBRAS: 0:00 = 0dOUTROS: 8:00 = 1,0dAPJ: 0:00 = 0d</t>
  </si>
  <si>
    <t>16/01/2026</t>
  </si>
  <si>
    <t>RO-95/2026</t>
  </si>
  <si>
    <t>Os somatrios desde incio at o prazo final da SS dos acmulos de hora parada e meteorolgicas no final da SS a Petrobras ir analisar se e cabvel o abono revertido em acrscimo de dias no prazo de entrega da demanda.1. SECGN:A equipe de pintura atuou no tratamento das estruturas metlicas do galpo (tratamento e pintura nas soldas) e na pintura das estruturas de concreto do galpo.A equipe de caldeiraria deu sequncia na instalao das telhas da cobertura, venezianas e calhas e telhas de fechamento lateral.2. K-14:A equipe de caldeiraria atuou com a instalao de telhas, calhas e rufos da cobertura do galpo.Enquanto a equipe de eltrica dava sequncia na montagem da infraestrutura para eltrica, com a montagem dos eletrodutos, caixas de passagem e bornes.A equipe de pintura atuou no tratamento das soldas da estrutura metlica.A Engeval deu apoio na adequao de andaimes para a equipe de eltrica, atividade no pontuada pela contratada no RO (PT 21.135.341).3. UPGN-2:Equipe de caldeiraria atuou no iamento de mais um mdulo montado no cho e do lanternin com apoio de guindaste, travamento da estrutura na cobertura do galpo.Programada a montagem de andaime no mdulo 02, equipe da Engeval atuou na montagem dos acessos na lateral das interferncias.A equipe atuou na pintura das soldas e tratamento da estrutura metlica dos mdulos montados no cho, e tratamento das chapas bases dos inserts fixadas nos pilares do galpo, atividade no pontuada pela contratada no RO (PT 21.079.158).4. SALA CISC:Sem atividades, a equipe de civil estava atendendo outra solicitao.5. ESTOQUE MI:A equipe de civil atuou na preparao das bases dos pilares para concretagem e demolio de valas para instalao da rede pluvial.A equipe de caldeiraria iniciou a reviso das estruturas metlicas do galpo da MI, reapertos dos parafusos e pr-montagem das estruturas faltantes.6. K-02:Sem atividades, equipe aguardando a chegada da estrutura.RO aceito pela fiscalizao.</t>
  </si>
  <si>
    <t>RO DIRIO E OBRA - SS-04/2025 (UPGN-2)  &amp;gt;MONTAGEM DE ANDAIME - MOD:7 | PT: (21071500 |HR SOLIC 08:10 | HR LIB 08:20 |ATRASO 00:00|) - (HR ENC 16:30 | ATRASO 00:00)  &amp;gt;REALIZANDO SOLDA DOS INSERTS E IAMENTO DE MODULO- MOD:9 | PEMT:4 | GUINDASTE:1 | MUNCK:1 | PT: (21135377 |HR SOLIC 08:00 | HR LIB 08:10 |ATRASO 00:00|) - (HR ENC 16:30 | ATRASO 00:00)  &amp;gt;&amp;gt;CONDIES CLIMTICAS: TEMPO BOM  &amp;gt;&amp;gt;&amp;gt;IMPEDIMENTOS ACUMULADOS LIBERAO PT/PTT: 14:17 = 2d CONDIES CLIMTICAS: 15:35 = 1,95d PETROBRAS: 5:50 = 0,86d OUTROS: 20:30 = 2,57d APJ: 0:00 = 0d RO DIRIO E OBRA - SS-05/2025 (SECGN)  &amp;gt;MONTAGEM DE ESTRUTURA METALICA DO GALPO(TELHAS,CALHAS)- MOD:6 | PEMT:1 | PT: (21135313 |HR SOLIC 08:00 | HR LIB 08:30 |ATRASO 00:00|) - (HR ENC 16:30 | ATRASO 00:00)  &amp;gt;PINTURA DE ESTRUTURAS METALICAS E CONCRETO- MOD:1 | PT: (21135317 |HR SOLIC 08:00 | HR LIB 08:30 |ATRASO 00:00|) - (HR ENC 16:30 | ATRASO 00:00)  &amp;gt;&amp;gt;CONDIES CLIMTICAS: TEMPO BOM  &amp;gt;&amp;gt;&amp;gt;IMPEDIMENTOS ACUMULADOS LIBERAO PT/PTT: 25:34 = 3,2d CONDIES CLIMTICAS: 58:25 = 7,31d PETROBRAS: 6:30 = 0,82d OUTROS: 28:30 = 3,57d APJ: 0:00 = 0d  RO DIRIO E OBRA - SS-06/2025 (K-14)  &amp;gt;MONTAGEM DE ESTRUTURA METALICA DO GALPO(TELHAS,RUFOS) - MOD:4 | PEMT:1 | PT: (21135351 |HR SOLIC 08:10 | HR LIB 08:30 |ATRASO 00:00|) - (HR ENC 16:30 | ATRASO 00:00)  &amp;gt;REALIZANDO MONTAGEM DE INFRA ESTRUTURA ELETRICA - MOD:4 | PT: (21135940 |HR SOLIC 08:00 | HR LIB 08:30 |ATRASO 00:00|) - (HR ENC 16:30 | ATRASO 00:00)  &amp;gt;PINTURA DE ESTRUTURAS METALICAS E CONCRETO- MOD:2 | PT: (21135877 |HR SOLIC 08:00 | HR LIB 08:30 |ATRASO 00:00|) - (HR ENC 16:30 | ATRASO 00:00)  &amp;gt;&amp;gt;CONDIES CLIMTICAS: TEMPO BOM  &amp;gt;&amp;gt;&amp;gt;IMPEDIMENTOS ACUMULADOS LIBERAO PT/PTT: 24:21 = 3,05d CONDIES CLIMTICAS: 30:35 = 3,83d PETROBRAS: 0:00 = 0d OUTROS: 28:30 = 3,57d APJ: 0:00 = 0d  RO DIRIO E OBRA - SS-08/2025 (K-02)  SEM ATIVIDADES  &amp;gt;&amp;gt;CONDIES CLIMTICAS: TEMPO BOM  &amp;gt;&amp;gt;&amp;gt;IMPEDIMENTOS ACUMULADOS LIBERAO PT/PTT: 0:50 = 0,11d CONDIES CLIMTICAS: 0:00 = 0d PETROBRAS: 0:00 = 0d OUTROS: 0:30 = 0,07d APJ: 0:00 = 0d   RO DIRIO E OBRA - SS-12/2025 (ESTOQUE)  &amp;gt;PREPARAO E INSTALAO DE PERFIS LATERAIS- MOD:2 | PT: (21137245 |HR SOLIC 07:40 | HR LIB 07:50 |ATRASO 00:00|) - (HR ENC 16:30 | ATRASO 00:00)  &amp;gt;DEMOLIO E ESCAVAO DE CONCRETO PARA DESCIDA PLUVIAL- MOD:3 | PT: (21137227 |HR SOLIC 07:21 | HR LIB 07:25 |ATRASO 00:00|) - (HR ENC 16:30 | ATRASO 00:00)  &amp;gt;&amp;gt;CONDIES CLIMTICAS: TEMPO BOM  &amp;gt;&amp;gt;&amp;gt;IMPEDIMENTOS ACUMULADOS LIBERAO PT/PTT: 0:00 = 0d CONDIES CLIMTICAS: 0:00 = 0d PETROBRAS: 0:00 = 0d OUTROS: 0:30 = 0,07d APJ: 0:00 = 0d RO DIRIO E OBRA - SS-18/2025 (SALA CISC) SEM ATIVIDADES  &amp;gt;&amp;gt;CONDIES CLIMTICAS: TEMPO BOM  &amp;gt;&amp;gt;&amp;gt;IMPEDIMENTOS ACUMULADOS LIBERAO PT/PTT: 0:00 = 0d CONDIES CLIMTICAS: 0:00 = 0d PETROBRAS: 0:00 = 0d OUTROS: 0:30 = 0,07d APJ: 0:00 = 0dEquipe foi deslocada para realizar atividade na Casa do Mel.</t>
  </si>
  <si>
    <t>RO-94/2026</t>
  </si>
  <si>
    <t>SS-22 Sala Cisc - UtgsulAtividade executada: Instalao de rodaps de porcelanato, retoques de pintura em paredes.</t>
  </si>
  <si>
    <t>"RO DIRIO E OBRA - SS-22/2025 (SALA CISC)&amp;gt;FINALIZAO DA PARTE ELTRICA, RETOQUES DE PINTURA E INSTALAO DE RODAP - MOD:5 |PT: (21121249 |HR SOLIC 07:30 | HR LIB 00:00 |ATRASO |) - (HR ENC 14:30 | ATRASO 02:00)&amp;gt;&amp;gt;CONDIES CLIMTICAS: TEMPO BOM&amp;gt;&amp;gt;&amp;gt;IMPEDIMENTOS ACUMULADOSLIBERAO PT/PTT: 69:06 = 8,64dCONDIES CLIMTICAS: 0:00 = 0dPETROBRAS: 0:00 = 0dOUTROS: 0:00 = 0dAPJ: 0:00 = 0d"</t>
  </si>
  <si>
    <t>RO-93/2026</t>
  </si>
  <si>
    <t>Equipe da Torres Brasil, subcontratada da APJ est atuando na manuteno das torres de resfriamento, Atividades realizadas no dia de hoje: devido as chuvas constantes ao longo do dia a atividade foi altamente impactada no seu andamento, no foi executado nenhuma atividade na frente de trabalho.</t>
  </si>
  <si>
    <t>"RO DIRIO E OBRA - SS-15/2025 (TORRE RESFR)&amp;gt;NO HOUVE ATIVIDADE NESTE DIA - MOD: |PT: ( |HR SOLIC 00:00 | HR LIB 00:00 |ATRASO |) - (HR ENC 00:00 | ATRASO )&amp;gt;&amp;gt;CONDIES CLIMTICAS: TEMPO COM ANOMALIA&amp;gt;&amp;gt;INCIDNCIA DE CHUVA (07:30 - 16:30)&amp;gt;&amp;gt;&amp;gt;IMPEDIMENTOS ACUMULADOSLIBERAO PT/PTT: 4:21 = 0,55dCONDIES CLIMTICAS: 10:30 = 1,32dPETROBRAS: 4:30 = 0,57dOUTROS: 4:55 = 0,62dAPJ: 0:00 = 0d"____________________________________________________________________________________________________________________________"RO DIRIO E OBRA - SS-24/2025 (RUDOS TORRE RESF)&amp;gt;NO HOUVE ATIVIDADE NESTE DIA - MOD: |PT: ( |HR SOLIC 00:00 | HR LIB 00:00 |ATRASO |) - (HR ENC 00:00 | ATRASO )&amp;gt;&amp;gt;CONDIES CLIMTICAS: TEMPO COM ANOMALIA&amp;gt;&amp;gt;INCIDNCIA DE CHUVA (07:30 - 16:30)&amp;gt;&amp;gt;&amp;gt;IMPEDIMENTOS ACUMULADOSLIBERAO PT/PTT: 0:00 = 0,01dCONDIES CLIMTICAS: 16:00 = 2dPETROBRAS: 0:00 = 0dOUTROS: 0:00 = 0dAPJ: 0:00 = 0d"</t>
  </si>
  <si>
    <t>RO-92/2026</t>
  </si>
  <si>
    <t>NO HOUVE ATIVIDADE NESTE DIA.TEMPO CHUVOSO.</t>
  </si>
  <si>
    <t>RO-91/2026</t>
  </si>
  <si>
    <t>No houve atividade neste dia, tempo chuvoso durante todo dia.</t>
  </si>
  <si>
    <t>"RO DIRIO E OBRA - SS-17/2025 (LUMINOSIDADE)&amp;gt;NO HOUVE ATIVIDADE NESTE DIA - MOD: |PT: ( |HR SOLIC 00:00 | HR LIB 00:00 |ATRASO |) - (HR ENC 00:00 | ATRASO )&amp;gt;&amp;gt;CONDIES CLIMTICAS: TEMPO COM ANOMALIA&amp;gt;&amp;gt;INCIDNCIA DE CHUVA (07:30 - 16:30)&amp;gt;&amp;gt;&amp;gt;IMPEDIMENTOS ACUMULADOSLIBERAO PT/PTT: 2:34 = 0,33dCONDIES CLIMTICAS: 31:00 = 3,88dPETROBRAS: 19:00 = 2,38dOUTROS: 2:20 = 0,3dAPJ: 0:00 = 0d"</t>
  </si>
  <si>
    <t>RO-90/2026</t>
  </si>
  <si>
    <t>Fiscalizao aprova RO.SS-22 Sala Cisc - UtgsulAtividade executada: Instalao do piso vinlico e rodaps de porcelanato, retoques de pintura no forro.</t>
  </si>
  <si>
    <t>"RO DIRIO E OBRA - SS-22/2025 (SALA CISC)&amp;gt;CONCLUSO DA INSTLAO DO PISO VINLICO E RETOQUE DE PINTURA - MOD:4 |PT: (21121249 |HR SOLIC 07:30 | HR LIB 09:00 |ATRASO 01:00|) - (HR ENC 14:30 | ATRASO 02:00)&amp;gt;&amp;gt;CONDIES CLIMTICAS: TEMPO BOM&amp;gt;&amp;gt;&amp;gt;IMPEDIMENTOS ACUMULADOSLIBERAO PT/PTT: 69:06 = 8,64dCONDIES CLIMTICAS: 0:00 = 0dPETROBRAS: 0:00 = 0dOUTROS: 0:00 = 0dAPJ: 0:00 = 0d"</t>
  </si>
  <si>
    <t>RO-89/2026</t>
  </si>
  <si>
    <t>Equipe da Torres Brasil, subcontratada da APJ est atuando na manuteno das torres de resfriamento, Atividades realizadas no dia de hoje: Montagem dos suportes inferiores das torres de resfriamento A , devido as chuvas constantes no dia de hoje a atividade foi altamente impactada no seu andamento.</t>
  </si>
  <si>
    <t>"RO DIRIO E OBRA - SS-15/2025 (TORRE RESFR)&amp;gt;NO HOUVE ATIVIDADE NESTE DIA - MOD: |PT: ( |HR SOLIC 00:00 | HR LIB 00:00 |ATRASO |) - (HR ENC 00:00 | ATRASO )&amp;gt;&amp;gt;CONDIES CLIMTICAS: TEMPO CHUVOSO&amp;gt;&amp;gt;&amp;gt;IMPEDIMENTOS ACUMULADOSLIBERAO PT/PTT: 4:21 = 0,55dCONDIES CLIMTICAS: 2:30 = 0,32dPETROBRAS: 4:30 = 0,57dOUTROS: 4:55 = 0,62dAPJ: 0:00 = 0d"______________________________________________________________________________________________________________________"RO DIRIO E OBRA - SS-24/2025 (RUDOS TORRE RESF)&amp;gt;TEMPO CHUVOSO - MOD:2 |PT: (21158715 |HR SOLIC 08:00 | HR LIB 08:30 |ATRASO 00:00|) - (HR ENC 16:30 | ATRASO 00:00)&amp;gt;&amp;gt;CONDIES CLIMTICAS: TEMPO COM ANOMALIA&amp;gt;&amp;gt;INCIDNCIA DE CHUVA (07:30 - 16:30)&amp;gt;&amp;gt;&amp;gt;IMPEDIMENTOS ACUMULADOSLIBERAO PT/PTT: 0:00 = 0,01dCONDIES CLIMTICAS: 8:00 = 1dPETROBRAS: 0:00 = 0dOUTROS: 0:00 = 0dAPJ: 0:00 = 0d"</t>
  </si>
  <si>
    <t>RO-88/2026</t>
  </si>
  <si>
    <t>BM-05-DEZ-2025-UTGC-UNIFICADO-26-12-2025 A 25-01-2026-REV01.xlsx; BM-05-DEZ-2025-UTGC-UNIFICADO-26-12-2025 A 25-01-2026-REV01.pdf; MC-05-DEZ-2025-UTGC-UNIFICADO-26-12-2025 A 25-01-2026-REV01.pdf; Planilha IDF JANEIRO 2026.xlsx; ATA DE REUNIÃO APJ - JANEIRO 2026.pdf</t>
  </si>
  <si>
    <t>1001535169 10</t>
  </si>
  <si>
    <t>385,711</t>
  </si>
  <si>
    <t>Medio conferida e aprovada pela equipe de Fiscalizao e Soluo.RO aceito.</t>
  </si>
  <si>
    <t>Segue pleito de medio 005 referente a UTGC</t>
  </si>
  <si>
    <t>26/12/2025</t>
  </si>
  <si>
    <t>RO-87/2026</t>
  </si>
  <si>
    <t>1001504641 10</t>
  </si>
  <si>
    <t>10,871</t>
  </si>
  <si>
    <t>33,324</t>
  </si>
  <si>
    <t>1001500857 10</t>
  </si>
  <si>
    <t>122,808</t>
  </si>
  <si>
    <t>205,494</t>
  </si>
  <si>
    <t>SS-17- Adequao da Luminosidade.No houve atividade.No foi possvel executar a atividade, pois nos deparamos novamente com o problema de curto-circuito no circuito da Praa das Bandeiras. Em razo disso, a equipe de operao no pde garantir que os circuitos estivessem totalmente desenergizados.Aps as 14h, a equipe de eltrica definiu o bloqueio do QTL (Quadro de Iluminao Externa das Utilidades), liberando assim uma libra para que fosse possvel atuar na substituio das luminrias.As 14:30 ocorreu chuvas intensas, impossibilitado a execuo da atividade.</t>
  </si>
  <si>
    <t>"RO DIRIO E OBRA - SS-17/2025 (LUMINOSIDADE)&amp;gt;LUMINRIAS PARA AS PEDRAS - MOD:4 |PT: (21153047 |HR SOLIC 08:05 | HR LIB 08:32 |ATRASO 00:00|) - (HR ENC 16:30 | ATRASO 00:00)&amp;gt;&amp;gt;CONDIES CLIMTICAS: TEMPO BOM&amp;gt;&amp;gt;NO FOI POSSVEL EXECUTAR A LIBRA POR PROBLEMAS OPERACIONAIS (07:30 - 16:30)&amp;gt;&amp;gt;&amp;gt;IMPEDIMENTOS ACUMULADOSLIBERAO PT/PTT: 0:22 = 0,05dCONDIES CLIMTICAS: 12:30 = 1,57dPETROBRAS: 19:00 = 2,38dOUTROS: 2:20 = 0,3dAPJ: 0:00 = 0d"</t>
  </si>
  <si>
    <t>RO-86/2026</t>
  </si>
  <si>
    <t>SS-22 Sala Cisc - UtgsulAtividade executada: pintura das paredes.</t>
  </si>
  <si>
    <t>"RO DIRIO E OBRA - SS-22/2025 (SALA CISC)&amp;gt;RETOQUE DE PINTURA E INSTALAO DE PISO VINLICO - MOD:4 |PT: (21121249 |HR SOLIC 07:30 | HR LIB 09:00 |ATRASO 01:00|) - (HR ENC 14:30 | ATRASO 02:00)&amp;gt;&amp;gt;CONDIES CLIMTICAS: TEMPO BOM&amp;gt;&amp;gt;&amp;gt;IMPEDIMENTOS ACUMULADOSLIBERAO PT/PTT: 66:06 = 8,27dCONDIES CLIMTICAS: 0:00 = 0dPETROBRAS: 0:00 = 0dOUTROS: 0:00 = 0dAPJ: 0:00 = 0d"</t>
  </si>
  <si>
    <t>RO-84/2026</t>
  </si>
  <si>
    <t>Equipe da Torres Brasil, subcontratada da APJ est atuando na manuteno das torres de resfriamento, Atividades realizadas no dia de hoje: Montagem dos suportes inferiores das torres de resfriamento A , a laminao para preparao e solda com resina dos pontaletes dos suportes foi concluda na torre B, foi concluda ainda a montagem dos enchimentos(atenuadores) da parte inferior da torre B.</t>
  </si>
  <si>
    <t>"RO DIRIO E OBRA - SS-15/2025 (TORRE RESFR)&amp;gt;NO HOUVE ATIVIDADE NESTE DIA - MOD: |PT: ( |HR SOLIC 00:00 | HR LIB 00:00 |ATRASO |) - (HR ENC 00:00 | ATRASO )&amp;gt;&amp;gt;CONDIES CLIMTICAS: TEMPO BOM&amp;gt;&amp;gt;&amp;gt;IMPEDIMENTOS ACUMULADOSLIBERAO PT/PTT: 4:21 = 0,55dCONDIES CLIMTICAS: 2:30 = 0,32dPETROBRAS: 4:30 = 0,57dOUTROS: 4:55 = 0,62dAPJ: 0:00 = 0d"_________________________________________________________________________________________________________________________________"RO DIRIO E OBRA - SS-24/2025 (RUDOS TORRE RESF)&amp;gt;INSTALAO DO ENCHIMENTO DE GRADE E SUPORTE - MOD:2 |PT: (21152765 |HR SOLIC 07:55 | HR LIB 08:14 |ATRASO 00:00|) - (HR ENC 16:30 | ATRASO 00:00)&amp;gt;&amp;gt;CONDIES CLIMTICAS: TEMPO BOM&amp;gt;&amp;gt;&amp;gt;IMPEDIMENTOS ACUMULADOSLIBERAO PT/PTT: 0:00 = 0,01dCONDIES CLIMTICAS: 0:00 = 0dPETROBRAS: 0:00 = 0dOUTROS: 0:00 = 0dAPJ: 0:00 = 0d"</t>
  </si>
  <si>
    <t>RO-83/2026</t>
  </si>
  <si>
    <t>Domingo, dia 18/01/26, no houve expediente de trabalho.</t>
  </si>
  <si>
    <t>SEM EXPEDIENTE</t>
  </si>
  <si>
    <t>RO-82/2026</t>
  </si>
  <si>
    <t>Sbado, dia 17/01/26, no houve expediente de trabalho.</t>
  </si>
  <si>
    <t>RO-81/2026</t>
  </si>
  <si>
    <t>Fiscalizao aprova RO.Domingo sem atividades.</t>
  </si>
  <si>
    <t>RO-80/2026</t>
  </si>
  <si>
    <t>Fiscalizao aprova RO.Sbado sem atividades.</t>
  </si>
  <si>
    <t>RO-79/2026</t>
  </si>
  <si>
    <t>Ata Reunião Mensal de Medição-APJ Engenharia - Janeiro-26 - (SS-01-2025) - Assinado.pdf; BM-05-JAN-2026-EDIVIT-UNIFICADO-26-12-2025 A 25-01-2026_REV01 - Assinado.pdf; BM-05-JAN-2026-EDIVIT-UNIFICADO-26-12-2025 A 25-01-2026_REV01.xlsx; MC_BM-05-JAN-2026-EDIVIT-UNIFICADO-26-12-2025 A 25-01-2026_REV01 - Assinado.pdf; Planilha IDF JAN 26 APJ.xlsx</t>
  </si>
  <si>
    <t>347,386</t>
  </si>
  <si>
    <t>Pleito de medio apresentado se encontra conforme e validado pela fiscalizao.</t>
  </si>
  <si>
    <t>Segue pleito de medio 005 referente ao EDIVIT.</t>
  </si>
  <si>
    <t>RO-77/2026</t>
  </si>
  <si>
    <t>Evidências de realização do programa de inspeção NR - 12..pdf</t>
  </si>
  <si>
    <t>Envio doc. CDIGO 371 -Evidncias da realizao do Programa de Inspeo NR-12 para avaliao.</t>
  </si>
  <si>
    <t>12/01/2026</t>
  </si>
  <si>
    <t>RO-75/2026</t>
  </si>
  <si>
    <t>Programa de inspeção NR12.pdf</t>
  </si>
  <si>
    <t>Envio doc. CDIGO 364-Programa de Inspeo de ferramentas e equipamentos NR-12 para avaliao.</t>
  </si>
  <si>
    <t>RO-74/2026</t>
  </si>
  <si>
    <t>Fiscalizao aprova ROSS-17- Adequao da Luminosidade.No houve atividade, no perodo da manh devido chuvas.No foi possvel executar atividade devido necessidade de reviso das documentaes PE e APR, conforme mudanas na execuo.</t>
  </si>
  <si>
    <t>"RO DIRIO E OBRA - SS-17/2025 (LUMINOSIDADE)&amp;gt;NO HOUVE ATIVIDADE NESTE DIA - MOD: |PT: ( |HR SOLIC 00:00 | HR LIB 00:00 |ATRASO |) - (HR ENC 00:00 | ATRASO )&amp;gt;&amp;gt;CONDIES CLIMTICAS: TEMPO BOM&amp;gt;&amp;gt;&amp;gt;IMPEDIMENTOS ACUMULADOSLIBERAO PT/PTT: 0:22 = 0,05dCONDIES CLIMTICAS: 12:30 = 1,57dPETROBRAS: 11:00 = 1,38dOUTROS: 2:20 = 0,3dAPJ: 0:00 = 0d"</t>
  </si>
  <si>
    <t>RO-73/2026</t>
  </si>
  <si>
    <t>"RO DIRIO E OBRA - SS-22/2025 (SALA CISC)&amp;gt;PINTURA DE PAREDES - MOD:4 |PT: (21033342 |HR SOLIC 07:30 | HR LIB 09:00 |ATRASO 01:00|) - (HR ENC 14:00 | ATRASO 02:30)&amp;gt;&amp;gt;CONDIES CLIMTICAS: TEMPO BOM&amp;gt;&amp;gt;&amp;gt;IMPEDIMENTOS ACUMULADOSLIBERAO PT/PTT: 63:06 = 7,89dCONDIES CLIMTICAS: 0:00 = 0dPETROBRAS: 0:00 = 0dOUTROS: 0:00 = 0dAPJ: 0:00 = 0d"</t>
  </si>
  <si>
    <t>RO-72/2026</t>
  </si>
  <si>
    <t>Equipe da Torres Brasil, subcontratada da APJ est atuando na manuteno das torres de resfriamento, Atividades realizadas no dia de hoje: Montagem dos suportes inferiores das torres de resfriamento A e B, a laminao para preparao e solda com resina dos pontaletes dos suportes foi concluda na torre B, foi iniciada a montagem dos enchimentos(atenuadores) da parte inferior da torre B.</t>
  </si>
  <si>
    <t>"RO DIRIO E OBRA - SS-15/2025 (TORRE RESFR)&amp;gt;NO HOUVE ATIVIDADE NESTE DIA - MOD: |PT: ( |HR SOLIC 00:00 | HR LIB 00:00 |ATRASO |) - (HR ENC 00:00 | ATRASO )&amp;gt;&amp;gt;CONDIES CLIMTICAS: TEMPO BOM&amp;gt;&amp;gt;&amp;gt;IMPEDIMENTOS ACUMULADOSLIBERAO PT/PTT: 4:21 = 0,55dCONDIES CLIMTICAS: 2:30 = 0,32dPETROBRAS: 4:30 = 0,57dOUTROS: 4:55 = 0,62dAPJ: 0:00 = 0d"______________________________________________________________________________________________________________"RO DIRIO E OBRA - SS-24/2025 (RUDOS TORRE RESF)&amp;gt;INSTALAO DOS ATENUADORES DE RUDO - MOD:3 |PT: (21144117 |HR SOLIC 08:00 | HR LIB 08:30 |ATRASO 00:00|) - (HR ENC 16:30 | ATRASO 00:00)&amp;gt;&amp;gt;CONDIES CLIMTICAS: TEMPO BOM&amp;gt;&amp;gt;&amp;gt;IMPEDIMENTOS ACUMULADOSLIBERAO PT/PTT: 0:00 = 0,01dCONDIES CLIMTICAS: 0:00 = 0dPETROBRAS: 0:00 = 0dOUTROS: 0:00 = 0dAPJ: 0:00 = 0d"</t>
  </si>
  <si>
    <t>RO-71/2026</t>
  </si>
  <si>
    <t>RO-70/2026</t>
  </si>
  <si>
    <t>"RO DIRIO E OBRA - SS-24/2025 (RUDOS TORRE RESF)&amp;gt;LAMINAO DOS SUPORTES DOS ATENUADORES DE RUDO E ENCHIMENTO DE GRADE - MOD:2 |PT: (21138805 |HR SOLIC 07:45 | HR LIB 00:00 |ATRASO |) - (HR ENC 16:30 | ATRASO 00:00)&amp;gt;&amp;gt;CONDIES CLIMTICAS: TEMPO BOM&amp;gt;&amp;gt;&amp;gt;IMPEDIMENTOS ACUMULADOSLIBERAO PT/PTT: 0:00 = 0,01dCONDIES CLIMTICAS: 0:00 = 0dPETROBRAS: 0:00 = 0dOUTROS: 0:00 = 0dAPJ: 0:00 = 0d"</t>
  </si>
  <si>
    <t>RO-68/2026</t>
  </si>
  <si>
    <t>RO-67/2026</t>
  </si>
  <si>
    <t>"RO DIRIO E OBRA - SS-22/2025 (SALA CISC)&amp;gt;CONCLUSO DA PARTE ELTRICA E PINTURA DE PAREDES - MOD:5 |PT: (21033342 |HR SOLIC 07:30 | HR LIB 09:00 |ATRASO 01:00|) - (HR ENC 14:30 | ATRASO 02:00)&amp;gt;&amp;gt;CONDIES CLIMTICAS: TEMPO BOM&amp;gt;&amp;gt;&amp;gt;IMPEDIMENTOS ACUMULADOSLIBERAO PT/PTT: 59:36 = 7,45dCONDIES CLIMTICAS: 0:00 = 0dPETROBRAS: 0:00 = 0dOUTROS: 0:00 = 0dAPJ: 0:00 = 0d"</t>
  </si>
  <si>
    <t>RO-65/2026</t>
  </si>
  <si>
    <t>RO-64/2026</t>
  </si>
  <si>
    <t>Os somatrios desde incio at o prazo final da SS dos acmulos de hora parada e meteorolgicas no final da SS a Petrobras ir analisar se e cabvel o abono revertido em acrscimo de dias no prazo de entrega da demanda.1. SECGN:A equipe de pintura atuou no tratamento das estruturas metlicas do galpo (tratamento e pintura nas soldas) e na pintura das estruturas de concreto do galpo.A equipe de caldeiraria deu sequncia na instalao das telhas da cobertura, venezianas e calhas.2. K-14:A equipe de caldeiraria atuou com a instalao de telhas, calhas e rufos da cobertura do galpo.Enquanto a equipe de eltrica dava sequncia na montagem da infraestrutura para eltrica, com a montagem dos eletrodutos, caixas de passagem e bornes.A equipe de pintura atuou no tratamento das soldas da estrutura metlica.A Engeval deu apoio na adequao de andaimes para a equipe de eltrica.3. UPGN-2:Equipe de caldeiraria atuou no iamento do mdulo montado no cho e do lanternin com apoio de guindaste, travamento da estrutura na cobertura do galpo.Programada a montagem de andaime no mdulo 02, equipe da Engeval atuou na montagem dos acessos na lateral das interferncias.A equipe atuou na pintura das soldas e tratamento da estrutura metlica dos mdulos montados no cho, e tratamento das chapas bases dos inserts fixadas nos pilares do galpo.4. SALA CISC:Equipe de eltrica atuou na instalao da infra eltrica e caixas de passagem eltrica.5. ESTOQUE MI:A equipe de civil atuou na preparao das bases dos pilares para concretagem e demolio de valas para instalao da rede pluvial.A equipe de caldeiraria iniciou a reviso das estruturas metlicas do galpo da MI, reapertos dos parafusos e pr-montagem das estruturas faltantes.6. K-02:Atividade de tratamento e pintura das bases de apoio da estrutura metlica.RO aceito pela fiscalizao.</t>
  </si>
  <si>
    <t>RO DIRIO E OBRA - SS-04/2025 (UPGN-2)  &amp;gt;REALIZANDO SOLDA DOS INSERTS E IAMENTO DE MODULO - MOD:9 | PEMT:4 | GUINDASTE:1 | PT: (21129563 |HR SOLIC 08:00 | HR LIB 08:30 |ATRASO 00:00|) - (HR ENC 16:30 | ATRASO 00:00)  &amp;gt;PINTURA DE ESTRUTURAS METALICAS E CONCRETO- MOD:2 | PT: (21079158 |HR SOLIC 08:00 | HR LIB 08:30 |ATRASO 00:00|) - (HR ENC 16:30 | ATRASO 00:00)  &amp;gt;MONTAGEM DE ANDAIME - MOD:7 | PT: (21071500 |HR SOLIC 08:10 | HR LIB 08:30 |ATRASO 00:00|) - (HR ENC 16:30 | ATRASO 00:00)  &amp;gt;&amp;gt;CONDIES CLIMTICAS: TEMPO BOM  &amp;gt;&amp;gt;&amp;gt;IMPEDIMENTOS ACUMULADOS LIBERAO PT/PTT: 14:17 = 2d CONDIES CLIMTICAS: 15:35 = 1,95d PETROBRAS: 5:50 = 0,86d OUTROS: 20:30 = 2,57d APJ: 0:00 = 0d RO DIRIO E OBRA - SS-05/2025 (SECGN)  &amp;gt;PINTURA DE ESTRUTURAS METALICAS E CONCRETO- MOD:1 | PT: (21129472 |HR SOLIC 08:00 | HR LIB 08:30 |ATRASO 00:00|) - (HR ENC 16:30 | ATRASO 00:00)  &amp;gt;MONTAGEM DE ESTRUTURA METALICA DO GALPO(TELHAS,CALHAS)- MOD:6 | PT: (21129413 |HR SOLIC 08:00 | HR LIB 08:30 |ATRASO 00:00|) - (HR ENC 16:30 | ATRASO 00:00)  &amp;gt;&amp;gt;CONDIES CLIMTICAS: TEMPO BOM  &amp;gt;&amp;gt;&amp;gt;IMPEDIMENTOS ACUMULADOS LIBERAO PT/PTT: 25:34 = 3,2d CONDIES CLIMTICAS: 58:25 = 7,31d PETROBRAS: 6:30 = 0,82d OUTROS: 28:30 = 3,57d APJ: 0:00 = 0d  RO DIRIO E OBRA - SS-06/2025 (K-14)  &amp;gt;MONTAGEM DE ESTRUTURA METALICA DO GALPO(TELHAS,RUFOS)- MOD:4 | PEMT:1  PT: (21129198 |HR SOLIC 08:00 | HR LIB 08:30 |ATRASO 00:00|) - (HR ENC 16:30 | ATRASO 00:00)  &amp;gt;PINTURA DE ESTRUTURAS METALICAS E CONCRETO- MOD:2 | PT: (21077785 |HR SOLIC 08:00 | HR LIB 08:30 |ATRASO 00:00|) - (HR ENC 16:30 | ATRASO 00:00)  &amp;gt;REALIZANDO MONTAGEM DE INFRA ESTRUTURA ELETRICA - MOD:4 | PT: (21071478 |HR SOLIC 08:00 | HR LIB 08:30 |ATRASO 00:00|) - (HR ENC 16:30 | ATRASO 00:00)&amp;gt;MONTAGEM DE ANDAIME - MOD:7 |PT: (21129252 |HR SOLIC 08:10 | HR LIB 08:30 |ATRASO 00:00|) - (HR ENC 16:30 | ATRASO 00:00)  &amp;gt;&amp;gt;CONDIES CLIMTICAS: TEMPO BOM  &amp;gt;&amp;gt;&amp;gt;IMPEDIMENTOS ACUMULADOS LIBERAO PT/PTT: 24:21 = 3,05d CONDIES CLIMTICAS: 30:35 = 3,83d PETROBRAS: 0:00 = 0d OUTROS: 28:30 = 3,57d APJ: 0:00 = 0d RO DIRIO E OBRA - SS-08/2025 (K-02)  &amp;gt;TRATAMENTO E PINTURA DE ESTRUTURA METALICA/CONCRETAGEM - MOD:2 | PT: (21133165 |HR SOLIC 08:10 | HR LIB 08:30 |ATRASO 00:00|) - (HR ENC 16:30 | ATRASO 00:00)  &amp;gt;&amp;gt;CONDIES CLIMTICAS: TEMPO BOM  &amp;gt;&amp;gt;&amp;gt;IMPEDIMENTOS ACUMULADOS LIBERAO PT/PTT: 0:50 = 0,11d CONDIES CLIMTICAS: 0:00 = 0d PETROBRAS: 0:00 = 0d OUTROS: 0:30 = 0,07d APJ: 0:00 = 0d RO DIRIO E OBRA - SS-12/2025 (ESTOQUE)  &amp;gt;PREPARAO E INSTALAO DE PERFIS LATERAIS- MOD:2 | PT: (21129848 |HR SOLIC 07:18 | HR LIB 07:40 |ATRASO 00:00|) - (HR ENC 16:30 | ATRASO 00:00)  &amp;gt;DEMOLIO DE CONCRETO PARA DESCIDA PLUVIAL- MOD:4 | PT: (21129836 |HR SOLIC 07:15 | HR LIB 07:20 |ATRASO 00:00|) - (HR ENC 16:30 | ATRASO 00:00)  &amp;gt;&amp;gt;CONDIES CLIMTICAS: TEMPO BOM  &amp;gt;&amp;gt;&amp;gt;IMPEDIMENTOS ACUMULADOS LIBERAO PT/PTT: 0:00 = 0d CONDIES CLIMTICAS: 0:00 = 0d PETROBRAS: 0:00 = 0d OUTROS: 0:30 = 0,07d APJ: 0:00 = 0d RO DIRIO E OBRA - SS-18/2025 (SALA CISC)  &amp;gt;INSTALAO DE INFRA ESTRUTURA ELETRICA- MOD:2 | PT: (21129817 |HR SOLIC 07:25 | HR LIB 07:31 |ATRASO 00:00|) - (HR ENC 16:30 | ATRASO 00:00)  &amp;gt;&amp;gt;CONDIES CLIMTICAS: TEMPO BOM  &amp;gt;&amp;gt;&amp;gt;IMPEDIMENTOS ACUMULADOS LIBERAO PT/PTT: 0:00 = 0d CONDIES CLIMTICAS: 0:00 = 0d PETROBRAS: 0:00 = 0d OUTROS: 0:30 = 0,07d APJ: 0:00 = 0d</t>
  </si>
  <si>
    <t>14/01/2026</t>
  </si>
  <si>
    <t>RO-63/2026</t>
  </si>
  <si>
    <t>Fiscalizao de acordo com RO apresentado.SS17- Adequao da luminosidade.Atividades executadas: Substituio de luminrias na praa das bandeiras.</t>
  </si>
  <si>
    <t>"RO DIRIO E OBRA - SS-22/2025 (SALA CISC)&amp;gt;INSTALAES ELTRICAS E PINTURA - MOD:4 |PT: (21133342 |HR SOLIC 07:30 | HR LIB 09:00 |ATRASO 01:00|) - (HR ENC 14:30 | ATRASO 02:00)&amp;gt;&amp;gt;CONDIES CLIMTICAS: TEMPO BOM&amp;gt;&amp;gt;&amp;gt;IMPEDIMENTOS ACUMULADOSLIBERAO PT/PTT: 59:36 = 7,45dCONDIES CLIMTICAS: 0:00 = 0dPETROBRAS: 0:00 = 0dOUTROS: 0:00 = 0dAPJ: 0:00 = 0d"</t>
  </si>
  <si>
    <t>RO-62/2026</t>
  </si>
  <si>
    <t>Fiscalizao aprova RO apresentado.SS-17- Adequao da Luminosidade.Atividades executadas:Substituio de luminrias na regio da praa das bandeiras.</t>
  </si>
  <si>
    <t>"RO DIRIO E OBRA - SS-17/2025 (LUMINOSIDADE)&amp;gt;SEGREGAO DE MATERIAIS E SUBSTIUIO DE 2 (DUAS) LUMINRIAS NA PRAA LADO NORTE - MOD:4 |PT: (21136312 |HR SOLIC 14:45 | HR LIB 14:57 |ATRASO 00:00|) - (HR ENC 16:30 | ATRASO 00:00)&amp;gt;&amp;gt;CONDIES CLIMTICAS: TEMPO BOM&amp;gt;&amp;gt;&amp;gt;IMPEDIMENTOS ACUMULADOSLIBERAO PT/PTT: 0:22 = 0,05dCONDIES CLIMTICAS: 12:30 = 1,57dPETROBRAS: 11:00 = 1,38dOUTROS: 2:20 = 0,3dAPJ: 0:00 = 0d"</t>
  </si>
  <si>
    <t>RO-61/2026</t>
  </si>
  <si>
    <t>"RO DIRIO E OBRA - SS-15/2025 (TORRE RESFR)&amp;gt;NO HOUVE ATIVIDADE NESTE DIA - MOD: |PT: ( |HR SOLIC 00:00 | HR LIB 00:00 |ATRASO |) - (HR ENC 00:00 | ATRASO )&amp;gt;&amp;gt;CONDIES CLIMTICAS: TEMPO BOM&amp;gt;&amp;gt;&amp;gt;IMPEDIMENTOS ACUMULADOSLIBERAO PT/PTT: 4:21 = 0,55dCONDIES CLIMTICAS: 2:30 = 0,32dPETROBRAS: 4:30 = 0,57dOUTROS: 4:55 = 0,62dAPJ: 0:00 = 0d"_______________________________________________________________________________________________________________"RO DIRIO E OBRA - SS-24/2025 (RUDOS TORRE RESF)&amp;gt;LAMINAO EM PRFV, DOS SUPORTES DOS ATENUADORES DE RUDO - MOD:3 |PT: (21133088 |HR SOLIC 07:30 | HR LIB 07:50 |ATRASO 00:00|) - (HR ENC 16:30 | ATRASO 00:00)&amp;gt;&amp;gt;CONDIES CLIMTICAS: TEMPO BOM&amp;gt;&amp;gt;&amp;gt;IMPEDIMENTOS ACUMULADOSLIBERAO PT/PTT: 0:00 = 0,01dCONDIES CLIMTICAS: 0:00 = 0dPETROBRAS: 0:00 = 0dOUTROS: 0:00 = 0dAPJ: 0:00 = 0d"</t>
  </si>
  <si>
    <t>RO-60/2026</t>
  </si>
  <si>
    <t>Para concluso dos servios est restando somente a concluso da substituio das telas e isolamento acstico da parede Norte nas partes mais altas que comeou a ser executada pelos Iratas no dia 10/01/26, ser necessrio mais um dia de atividades dos Iratas para a concluso dos servios na parede norte.</t>
  </si>
  <si>
    <t>RO-59/2026</t>
  </si>
  <si>
    <t>Equipe est atuando na substituio das telas que se encontram mais amassadas conforme alinhado em visita em campo da contratada e fiscalizao, a substituio das telas e isolamento acstico da parede Norte nas partes mais altas comeou a ser executada pelos Iratas, no dia 10/01/26, ser necessrio mais um dia de atividades dos Iratas para a concluso dos servios na parede norte</t>
  </si>
  <si>
    <t>"RO DIRIO E OBRA - SS-16/2025 (ACSTICO)&amp;gt;INSTALAO E REVISO DA L DE PET E TELAS NA REA NORTE PARTE INFERIOR - MOD:4 |PT: (21127361 |HR SOLIC 07:50 | HR LIB 08:10 |ATRASO 00:00|) - (HR ENC 16:30 | ATRASO 00:00)&amp;gt;&amp;gt;CONDIES CLIMTICAS: TEMPO BOM&amp;gt;&amp;gt;&amp;gt;IMPEDIMENTOS ACUMULADOSLIBERAO PT/PTT: 23:07 = 2,89dCONDIES CLIMTICAS: 2:30 = 0,32dPETROBRAS: 1:30 = 0,19dOUTROS: 0:00 = 0dAPJ: 0:00 = 0d"</t>
  </si>
  <si>
    <t>RO-58/2026</t>
  </si>
  <si>
    <t>"RO DIRIO E OBRA - SS-24/2025 (RUDOS TORRE RESF)&amp;gt;MONTAGEM DAS ESTRUTURA DE SUSTENTAO DO ENCHIMENTO DE GRADE - MOD:4 |PT: (21127386 |HR SOLIC 07:45 | HR LIB 08:11 |ATRASO 00:00|) - (HR ENC 16:30 | ATRASO 00:00)&amp;gt;&amp;gt;CONDIES CLIMTICAS: TEMPO BOM&amp;gt;&amp;gt;&amp;gt;IMPEDIMENTOS ACUMULADOSLIBERAO PT/PTT: 0:00 = 0,01dCONDIES CLIMTICAS: 0:00 = 0dPETROBRAS: 0:00 = 0dOUTROS: 0:00 = 0dAPJ: 0:00 = 0d"___________________________________________________________________________________________________________________"RO DIRIO E OBRA - SS-15/2025 (TORRE RESFR)&amp;gt;NO HOUVE ATIVIDADE NESTE DIA - MOD: |PT: ( |HR SOLIC 00:00 | HR LIB 00:00 |ATRASO |) - (HR ENC 00:00 | ATRASO )&amp;gt;&amp;gt;CONDIES CLIMTICAS: TEMPO BOM&amp;gt;&amp;gt;&amp;gt;IMPEDIMENTOS ACUMULADOSLIBERAO PT/PTT: 4:21 = 0,55dCONDIES CLIMTICAS: 2:30 = 0,32dPETROBRAS: 4:30 = 0,57dOUTROS: 4:55 = 0,62dAPJ: 0:00 = 0d"</t>
  </si>
  <si>
    <t>RO-57/2026</t>
  </si>
  <si>
    <t>Os somatrios desde incio at o prazo final da SS dos acmulos de hora parada e meteorolgicas no final da SS a Petrobras ir analisar se e cabvel o abono revertido em acrscimo de dias no prazo de entrega da demanda.No dia 13/01 as PT's e PTT's da rea operacional sofreram atraso na liberao, devido a um acidente ocorrido no dia 06/01 com outra contratada. Novamente a coordenao e superviso estavam passando na frente dos servios para avaliar as atividades antes da liberao.1. SECGN:A equipe de pintura atuou no tratamento das estruturas metlicas do galpo (tratamento e pintura nas soldas) e na pintura das estruturas de concreto do galpo.A equipe de caldeiraria deu sequncia na instalao das telhas da cobertura e calhas, pela parte da manh.Foi programada a atividade de eltrica, mas o efetivo estava dando prioridade no K-14.2. K-04:Sem atividades.3. K-14:A equipe de caldeiraria atuou com a instalao de telhas, calhas e rufos da cobertura do galpo.Enquanto a equipe de eltrica dava sequncia na montagem da infraestrutura para eltrica, com a montagem dos eletrodutos, caixas de passagem e bornes.A equipe de pintura atuou no tratamento das soldas da estrutura metlica.4. UPGN-2:Equipe de caldeiraria atuou no tratamento das bases dos inserts do fechamento lateral.Programada a montagem de andaime no mdulo 02, equipe da Engeval atuou na montagem dos acessos na lateral das interferncias.A equipe atuou na pintura das soldas e tratamento da estrutura metlica dos mdulos montados no cho, e tratamento das chapas bases dos inserts fixadas nos pilares do galpo.As atividades de caldeiraria na UPGN-2 sofreram impacto, pois pela parte da manh foi questionado sobre o peso da estrutura a ser iada, o qual deveria ser alterado na OM e na PT. Alm disso, haveria no dia um teste no mdulo, para isso, era necessria a paralisao das atividades. Devido a esses atrasos, a equipe de caldeiraria adiou os servios de iamento e montagem de mdulo, pois no havia tempo suficiente para concluso.5. SALA CISC:A equipe de civil atuou na pintura das paredes da sala.Equipe de eltrica atuou na instalao da infra eltrica e caixas de passagem eltrica.6. K-18:Sem atividades.7. ESTOQUE MI:A equipe de civil atuou na preparao das bases dos pilares para concretagem e demolio de valas para instalao da rede pluvial.A equipe de caldeiraria iniciou a reviso das estruturas metlicas do galpo da MI, reapertos dos parafusos e pr-montagem das estruturas faltantes.8. K-02:Atividade de tratamento e pintura das bases de apoio da estrutura metlica.A SS no foi includa no RO.RO aceito pela fiscalizao.</t>
  </si>
  <si>
    <t>RO DIRIO E OBRA - SS-04/2025 (UPGN-2)  &amp;gt;PINTURA DE ESTRUTURAS METALICAS E CONCRETO- MOD:3 | PT: (21079158 |HR SOLIC 08:00 | HR LIB 09:00 |ATRASO 00:30|) - (HR ENC 16:30 | ATRASO 00:00)  &amp;gt;MONTAGEM DE ANDAIME - MOD:7 | PT: (21071500 |HR SOLIC 08:00 | HR LIB 08:10 |ATRASO 00:00|) - (HR ENC 16:30 | ATRASO 00:00)  &amp;gt;MONTAGEM DE ESTRUTURA METALICA DO GALPO/MONTAGEM DE TELA- MOD:9 | PEMT:4 | GUINDASTE:1 | PT: (21123838 |HR SOLIC 08:00 | HR LIB 09:30 |ATRASO 01:00|) - (HR ENC 16:30 | ATRASO 00:00)  &amp;gt;&amp;gt;CONDIES CLIMTICAS: TEMPO BOM &amp;gt;&amp;gt;ATIVIDADE NO LIBERADA PELA OPERAO PARA REALIZAR IAMENTO DE CARGA , E ATIVIDADE DE CALDEIRAIRA (09:40 - 16:30)&amp;gt;&amp;gt;AS PTs TIVERAM ATRASO NA LIBERAO PELA OPERAO DEVIDO ACIDENTE NA UNIDADE COM OUTRA CONTRATADA &amp;gt;&amp;gt;&amp;gt;IMPEDIMENTOS ACUMULADOS LIBERAO PT/PTT: 14:17 = 2d CONDIES CLIMTICAS: 15:35 = 1,95d PETROBRAS: 5:50 = 0,86d OUTROS: 20:30 = 2,57d APJ: 0:00 = 0d RO DIRIO E OBRA - SS-05/2025 (SECGN)  &amp;gt;MONTAGEM DE ESTRUTURA METALICA DO GALPO(TELHAS,CALHAS)- MOD:6 | PT: (21123674 |HR SOLIC 08:00 | HR LIB 09:00 |ATRASO 00:30|) - (HR ENC 16:30 | ATRASO 00:00)  &amp;gt;PINTURA DE ESTRUTURAS METALICAS E CONCRETO- MOD:2 | PT: (12123752 |HR SOLIC 08:00 | HR LIB 09:00 |ATRASO 00:30|) - (HR ENC 16:30 | ATRASO 00:00)  &amp;gt;&amp;gt;CONDIES CLIMTICAS: TEMPO BOM &amp;gt;&amp;gt;AS PTs TIVERAM ATRASO NA LIBERAO PELA OPERAO DEVIDO ACIDENTE NA UNIDADE COM OUTRA CONTRATADA &amp;gt;&amp;gt;&amp;gt;IMPEDIMENTOS ACUMULADOS LIBERAO PT/PTT: 25:34 = 3,2d CONDIES CLIMTICAS: 58:25 = 7,31d PETROBRAS: 6:30 = 0,82d OUTROS: 28:30 = 3,57d APJ: 0:00 = 0d RO DIRIO E OBRA - SS-06/2025 (K-14)  &amp;gt;PINTURA DE ESTRUTURAS METALICAS E CONCRETO- MOD:2 | PT: (21077785 |HR SOLIC 08:00 | HR LIB 08:30 |ATRASO 00:00|) - (HR ENC 16:30 | ATRASO 00:00)  &amp;gt;REALIZANDO MONTAGEM DE INFRA ESTRUTURA ELETRICA - MOD:4 | PT: (21071478 |HR SOLIC 08:00 | HR LIB 08:30 |ATRASO 00:00|) - (HR ENC 16:30 | ATRASO 00:00)  &amp;gt;MONTAGEM DE ESTRUTURA METALICA DO GALPO(TELHAS,RUFOS)- MOD:3 | PEMT:1  PT: (21123548 |HR SOLIC 08:10 | HR LIB 08:35 |ATRASO 00:00|) - (HR ENC 16:30 | ATRASO 00:00)  &amp;gt;&amp;gt;CONDIES CLIMTICAS: TEMPO BOM&amp;gt;&amp;gt;AS PTs TIVERAM ATRASO NA LIBERAO PELA OPERAO DEVIDO ACIDENTE NA UNIDADE COM OUTRA CONTRATADA &amp;gt;&amp;gt;&amp;gt;IMPEDIMENTOS ACUMULADOS LIBERAO PT/PTT: 24:21 = 3,05d CONDIES CLIMTICAS: 30:35 = 3,83d PETROBRAS: 0:00 = 0d OUTROS: 28:30 = 3,57d APJ: 0:00 = 0d RO DIRIO E OBRA - SS-08/2025 (K-02)  &amp;gt;TRATAMENTO E PINTURA DE ESTRUTURA METALICA - MOD:2 | PT: (21124827 |HR SOLIC 08:50 | HR LIB 08:50 |ATRASO 00:00|) - (HR ENC 16:30 | ATRASO 00:00)  &amp;gt;&amp;gt;CONDIES CLIMTICAS: TEMPO BOM  &amp;gt;&amp;gt;&amp;gt;IMPEDIMENTOS ACUMULADOS LIBERAO PT/PTT: 0:50 = 0,11d CONDIES CLIMTICAS: 0:00 = 0d PETROBRAS: 0:00 = 0d OUTROS: 0:30 = 0,07d APJ: 0:00 = 0d RO DIRIO E OBRA - SS-10/2025 (K-04)  SEM ATIVIDADES  &amp;gt;&amp;gt;CONDIES CLIMTICAS: TEMPO BOM  &amp;gt;&amp;gt;&amp;gt;IMPEDIMENTOS ACUMULADOS LIBERAO PT/PTT: 0:00 = 0d CONDIES CLIMTICAS: 10:15 = 1,29d PETROBRAS: 0:00 = 0d OUTROS: 0:00 = 0d APJ: 0:00 = 0d  RO DIRIO E OBRA - SS-12/2025 (ESTOQUE)  &amp;gt;PREPARAO E INSTALAO DE PERFIS LATERAIS- MOD:4 | PT: (21126359 |HR SOLIC 07:10 | HR LIB 07:30 |ATRASO 00:00|) - (HR ENC 16:30 | ATRASO 00:00)  &amp;gt;DEMOLIO DE CONCRETO PARA DESCIDA PLUVIAL- MOD:3 | PT: (21126314 |HR SOLIC 07:15 | HR LIB 07:20 |ATRASO 00:00|) - (HR ENC 16:30 | ATRASO 00:00)  &amp;gt;&amp;gt;CONDIES CLIMTICAS: TEMPO BOM  &amp;gt;&amp;gt;&amp;gt;IMPEDIMENTOS ACUMULADOS LIBERAO PT/PTT: 0:00= 0,0d CONDIES CLIMTICAS: 0:00 = 0d PETROBRAS: 0:00 = 0d OUTROS: 0:30 = 0,07d APJ: 0:00 = 0d RO DIRIO E OBRA - SS-18/2025 (SALA CISC)  &amp;gt;TRATAMENTO E PINTURA DAS PAREDES;FURAO DE PAREDE, INSTALAO DE CAIXA ELETRICA- MOD:2 | PT: (21126302 |HR SOLIC 07:25 | HR LIB 07:30 |ATRASO 00:00|) - (HR ENC 16:30 | ATRASO 00:00)  &amp;gt;INSTALAO DE INFRA ESTRUTURA ELETRICA- MOD:1 | PT: (21126285 |HR SOLIC 07:25 | HR LIB 07:30 |ATRASO 00:00|) - (HR ENC 16:30 | ATRASO 00:00)  &amp;gt;&amp;gt;CONDIES CLIMTICAS: TEMPO BOM  &amp;gt;&amp;gt;&amp;gt;IMPEDIMENTOS ACUMULADOS LIBERAO PT/PTT: 0:00 = 0d CONDIES CLIMTICAS: 0:00 = 0d PETROBRAS: 0:00 = 0d OUTROS: 0:30 = 0,07d APJ: 0:00 = 0d  RO DIRIO E OBRA - SS-31/2025 (K-18) ADEQUAO DE AREA DA PORTARIA)  SEM ATIVIDADES  &amp;gt;&amp;gt;CONDIES CLIMTICAS: TEMPO BOM  &amp;gt;&amp;gt;&amp;gt;IMPEDIMENTOS ACUMULADOS LIBERAO PT/PTT: 0:00 = 0d CONDIES CLIMTICAS: 0:00 = 0d PETROBRAS: 0:00 = 0d OUTROS: 0:00 = 0d APJ: 0:00 = 0d</t>
  </si>
  <si>
    <t>RO-56/2026</t>
  </si>
  <si>
    <t>277,182</t>
  </si>
  <si>
    <t>Os somatrios desde incio at o prazo final da SS dos acmulos de hora parada e meteorolgicas no final da SS a Petrobras ir analisar se e cabvel o abono revertido em acrscimo de dias no prazo de entrega da demanda.No dia 12/01 as PT's e PTT's da rea operacional sofreram atraso na liberao, devido a um acidente ocorrido no dia 06/01 com outra contratada. Novamente a coordenao e superviso estavam passando na frente dos servios para avaliar as atividades antes da liberao.No dia, as frentes de servio tambm tiveram uma pausa de cerca de 30 min solicitada pela fiscalizao para realizao da parada de segurana, com DSMS no canteiro.1. SECGN:A equipe de pintura atuou no tratamento das estruturas metlicas do galpo (tratamento e pintura nas soldas) e na pintura das estruturas de concreto do galpo.A equipe de caldeiraria deu sequncia na instalao das telhas da cobertura e calhas, pela parte da manh.Foi programada a atividade de eltrica, mas o efetivo estava dando prioridade no K-14.2. K-04:Sem atividades.3. K-14:A equipe de caldeiraria atuou com a instalao de telhas, calhas e rufos da cobertura do galpo.Enquanto a equipe de eltrica dava sequncia na montagem da infraestrutura para eltrica, com a montagem dos eletrodutos, caixas de passagem e bornes.A equipe de pintura atuou no tratamento das soldas da estrutura metlica.4. UPGN-2:Equipe de caldeiraria atuou no tratamento das bases dos inserts do fechamento lateral.Programada a montagem de andaime no mdulo 02, equipe da Engeval atuou na montagem dos acessos na lateral das interferncias.A equipe atuou na pintura das soldas e tratamento da estrutura metlica dos mdulos montados no cho, e tratamento das chapas bases dos inserts fixadas nos pilares do galpo.5. SALA CISC:A equipe de civil atuou na pintura das paredes da sala.Equipe de eltrica atuou na instalao da infra eltrica.6. K-18:A equipe de civil atuou na remoo da porta e emassamento da porta no canteiro, para posterior pintura.Correo de servio.7. ESTOQUE MI:A equipe de civil atuou na preparao das bases dos pilares para concretagem.A equipe de caldeiraria iniciou a reviso das estruturas metlicas do galpo da MI, reapertos dos parafusos e pr-montagem das estruturas faltantes.8. K-02:Atividade de tratamento e pintura das bases de apoio da estrutura metlica.A SS no foi includa no RO.RO aceito pela fiscalizao.</t>
  </si>
  <si>
    <t>RO DIRIO E OBRA - SS-04/2025 (UPGN-2)  &amp;gt;MONTAGEM DE ESTRUTURA METALICA DO GALPO/MONTAGEM DE TELA- MOD:6 | PEMT:1 | PT: (21115500 |HR SOLIC 08:00 | HR LIB 09:20 |ATRASO 00:50|) - (HR ENC 16:30 | ATRASO 00:00)  &amp;gt;PINTURA DE ESTRUTURAS METALICAS E CONCRETO- MOD:3 | PT: (21079158 |HR SOLIC 08:00 | HR LIB 08:30 |ATRASO 00:00|) - (HR ENC 16:30 | ATRASO 00:00)  &amp;gt;MONTAGEM DE ANDAIME - MOD:7 | PT: (21071500 |HR SOLIC 08:00 | HR LIB 08:30 |ATRASO 00:00|) - (HR ENC 16:30 | ATRASO 00:00)  &amp;gt;&amp;gt;CONDIES CLIMTICAS: TEMPO BOM &amp;gt;&amp;gt;FISCALIZAO SOLICITOU PARALIZAO DAS ATIVIDADES PARA REALIZAO DE DDSMS COM TODA FORA DE TRABALHO NO CANTEIRO (10:45 - 11:15) &amp;gt;&amp;gt;AS PTs TIVERAM ATRASO NA LIBERAO PELA OPERAO DEVIDO ACIDENTE NA UNIDADE COM OUTRA CONTRATADA &amp;gt;&amp;gt;&amp;gt;IMPEDIMENTOS ACUMULADOS LIBERAO PT/PTT: 12:47 = 1,81d CONDIES CLIMTICAS: 15:35 = 1,95d PETROBRAS: 0:00 = 0d OUTROS: 20:30 = 2,57d APJ: 0:00 = 0d  RO DIRIO E OBRA - SS-05/2025 (SECGN)  &amp;gt;MONTAGEM DE ESTRUTURA METALICA DO GALPO(TELHAS,CALHAS)- MOD:7 | PEMT:1 | GUINDASTE:1 | MUNCK:1 | PT: (21115704 |HR SOLIC 08:00 | HR LIB 09:00 |ATRASO 00:30|) - (HR ENC 16:30 | ATRASO 00:00)  &amp;gt;PINTURA DE ESTRUTURAS METALICAS E CONCRETO- MOD:2 | PT: (21115716 |HR SOLIC 08:00 | HR LIB 09:00 |ATRASO 00:30|) - (HR ENC 16:30 | ATRASO 00:00)  &amp;gt;&amp;gt;CONDIES CLIMTICAS: TEMPO BOM &amp;gt;&amp;gt;FISCALIZAO SOLICITOU PARALIZAO DAS ATIVIDADES PARA REALIZAO DE DDSMS COM TODA FORA DE TRABALHO NO CANTEIRO (10:45 - 11:15)  &amp;gt;&amp;gt;AS PTs TIVERAM ATRASO NA LIBERAO PELA OPERAO DEVIDO ACIDENTE NA UNIDADE COM OUTRA CONTRATADA &amp;gt;&amp;gt;&amp;gt;IMPEDIMENTOS ACUMULADOS LIBERAO PT/PTT: 24:34 = 3,08d CONDIES CLIMTICAS: 58:25 = 7,31d PETROBRAS: 6:30 = 0,82d OUTROS: 28:30 = 3,57d APJ: 0:00 = 0d  RO DIRIO E OBRA - SS-06/2025 (K-14)  &amp;gt;PINTURA DE ESTRUTURAS METALICAS E CONCRETO- MOD:2 | PT: (21077785 |HR SOLIC 08:00 | HR LIB 08:30 |ATRASO 00:00|) - (HR ENC 16:30 | ATRASO 00:00)  &amp;gt;REALIZANDO MONTAGEM DE INFRA ESTRUTURA ELETRICA - MOD:3 | PT: (21071478 |HR SOLIC 08:00 | HR LIB 08:30 |ATRASO 00:00|) - (HR ENC 16:30 | ATRASO 00:00)  &amp;gt;MONTAGEM DE ESTRUTURA METALICA DO GALPO(TELHAS,RUFOS)- MOD:6 | PEMT:2  PT: (21115636 |HR SOLIC 08:00 | HR LIB 09:12 |ATRASO 00:42|) - (HR ENC 16:30 | ATRASO 00:00)  &amp;gt;&amp;gt;CONDIES CLIMTICAS: TEMPO BOM &amp;gt;&amp;gt;FISCALIZAO SOLICITOU PARALIZAO DAS ATIVIDADES PARA REALIZAO DE DDSMS COM TODA FORA DE TRABALHO NO CANTEIRO (10:45 - 11:15)   &amp;gt;&amp;gt;AS PTs TIVERAM ATRASO NA LIBERAO PELA OPERAO DEVIDO ACIDENTE NA UNIDADE COM OUTRA CONTRATADA &amp;gt;&amp;gt;&amp;gt;IMPEDIMENTOS ACUMULADOS LIBERAO PT/PTT: 24:21 = 3,05d CONDIES CLIMTICAS: 30:35 = 3,83d PETROBRAS: 0:00 = 0d OUTROS: 28:30 = 3,57d APJ: 0:00 = 0d  RO DIRIO E OBRA - SS-08/2025 (K-02)  &amp;gt;TRATAMENTO E PINTURA DAS BASES DOS PILARES - MOD:2 | PT: (21116008 |HR SOLIC 08:00 | HR LIB 09:20 |ATRASO 00:50|) - (HR ENC 16:30 | ATRASO 00:00)  &amp;gt;&amp;gt;CONDIES CLIMTICAS: TEMPO BOM &amp;gt;&amp;gt;FISCALIZAO SOLICITOU PARALIZAO DAS ATIVIDADES PARA REALIZAO DE DDSMS COM TODA FORA DE TRABALHO NO CANTEIRO (10:45 - 11:15) &amp;gt;&amp;gt;AS PTs TIVERAM ATRASO NA LIBERAO PELA OPERAO DEVIDO ACIDENTE NA UNIDADE COM OUTRA CONTRATADA &amp;gt;&amp;gt;&amp;gt;IMPEDIMENTOS ACUMULADOS LIBERAO PT/PTT: 0:50 = 0,11d CONDIES CLIMTICAS: 0:00 = 0d PETROBRAS: 0:00 = 0d OUTROS: 0:30 = 0,07d APJ: 0:00 = 0d  RO DIRIO E OBRA - SS-10/2025 (K-04) SEM ATIVIDADES  &amp;gt;&amp;gt;CONDIES CLIMTICAS: TEMPO BOM  &amp;gt;&amp;gt;&amp;gt;IMPEDIMENTOS ACUMULADOS LIBERAO PT/PTT: 0:00 = 0d CONDIES CLIMTICAS: 10:15 = 1,29d PETROBRAS: 0:00 = 0d OUTROS: 0:00 = 0d APJ: 0:00 = 0d    RO DIRIO E OBRA - SS-12/2025 (ESTOQUE)  &amp;gt;REVISO DE BASES E FOMAS DOS PILARES - MOD:6 | PT: (21116734 |HR SOLIC 07:20 | HR LIB 07:25 |ATRASO 00:00|) - (HR ENC 16:30 | ATRASO 00:00)  &amp;gt;PREPARAO E INSTALAO DE PERFIS LATERAIS - MOD:2 | PT: (21124293 |HR SOLIC 14:00 | HR LIB 14:11 |ATRASO 00:00|) - (HR ENC 16:30 | ATRASO 00:00)  &amp;gt;&amp;gt;CONDIES CLIMTICAS: TEMPO BOM &amp;gt;&amp;gt;FISCALIZAO SOLICITOU PARALIZAO DAS ATIVIDADES PARA REALIZAO DE DDSMS COM TODA FORA DE TRABALHO NO CANTEIRO (10:45 - 11:15)  &amp;gt;&amp;gt;&amp;gt;IMPEDIMENTOS ACUMULADOS LIBERAO PT/PTT: 00:0 = 0d CONDIES CLIMTICAS: 0:00 = 0d PETROBRAS: 0:00 = 0d OUTROS: 0:30 = 0,07d APJ: 0:00 = 0d   RO DIRIO E OBRA - SS-18/2025 (SALA CISC)  &amp;gt;TRATAMENTO E PINTURA DAS PAREDES- MOD:3 | PT: (21122034 |HR SOLIC 08:45 | HR LIB 08:50 |ATRASO 00:00|) - (HR ENC 16:30 | ATRASO 00:00)  &amp;gt;INSTALAO DE INFRA ESTRUTURA ELETRICA - MOD:2 | PT: (21117206 |HR SOLIC 07:13 | HR LIB 07:16 |ATRASO 00:00|) - (HR ENC 16:30 | ATRASO 00:00)  &amp;gt;&amp;gt;CONDIES CLIMTICAS: TEMPO BOM &amp;gt;&amp;gt;FISCALIZAO SOLICITOU PARALIZAO DAS ATIVIDADES PARA REALIZAO DE DDSMS COM TODA FORA DE TRABALHO NO CANTEIRO (10:45 - 11:15)  &amp;gt;&amp;gt;&amp;gt;IMPEDIMENTOS ACUMULADOS LIBERAO PT/PTT: 0:00 = 0d CONDIES CLIMTICAS: 0:00 = 0d PETROBRAS: 0:00 = 0d OUTROS: 0:30 = 0,07d APJ: 0:00 = 0d  RO DIRIO E OBRA - SS-31/2025 (K-18) ADEQUAO DE AREA DA PORTARIA)  SEM ATIVIDADES  &amp;gt;&amp;gt;CONDIES CLIMTICAS: TEMPO BOM  &amp;gt;&amp;gt;&amp;gt;IMPEDIMENTOS ACUMULADOS LIBERAO PT/PTT: 0:00 = 0d CONDIES CLIMTICAS: 0:00 = 0d PETROBRAS: 0:00 = 0d OUTROS: 0:00 = 0d APJ: 0:00 = 0d</t>
  </si>
  <si>
    <t>RO-55/2026</t>
  </si>
  <si>
    <t>Sbado, dia 10/01/26, no houve equipe atuando na SS.</t>
  </si>
  <si>
    <t>10/01/2026</t>
  </si>
  <si>
    <t>RO-54/2026</t>
  </si>
  <si>
    <t>Equipe da Torres Brasil, subcontratada da APJ est atuando na manuteno das torres de resfriamento, Atividades realizadas no dia de hoje: Montagem dos suportes inferiores das torres de resfriamento A e B.</t>
  </si>
  <si>
    <t>"RO DIRIO E OBRA - SS-24/2025 (RUDOS TORRE RESF)&amp;gt;INSTALAO DOS SUPORTES, ENCHIMENTO DE GRADE E ACABAMENTOS - MOD:4 |PT: (21121115 |HR SOLIC 07:40 | HR LIB 07:56 |ATRASO 00:00|) - (HR ENC 16:30 | ATRASO 00:00)&amp;gt;&amp;gt;CONDIES CLIMTICAS: TEMPO BOM&amp;gt;&amp;gt;&amp;gt;IMPEDIMENTOS ACUMULADOSLIBERAO PT/PTT: 0:00 = 0,01dCONDIES CLIMTICAS: 0:00 = 0dPETROBRAS: 0:00 = 0dOUTROS: 0:00 = 0dAPJ: 0:00 = 0d"_______________________________________________________________________________________________________________"RO DIRIO E OBRA - SS-15/2025 (TORRE RESFR)&amp;gt;NO HOUVE ATIVIDADE NESTE DIA - MOD: |PT: ( |HR SOLIC 00:00 | HR LIB 00:00 |ATRASO |) - (HR ENC 00:00 | ATRASO )&amp;gt;&amp;gt;CONDIES CLIMTICAS: TEMPO BOM&amp;gt;&amp;gt;&amp;gt;IMPEDIMENTOS ACUMULADOSLIBERAO PT/PTT: 4:21 = 0,55dCONDIES CLIMTICAS: 2:30 = 0,32dPETROBRAS: 4:30 = 0,57dOUTROS: 4:55 = 0,62dAPJ: 0:00 = 0d"</t>
  </si>
  <si>
    <t>RO-53/2026</t>
  </si>
  <si>
    <t>SS-22 Sala Cisc - UtgsulAtividade executada: Pintura de forro e lixamento das paredes.</t>
  </si>
  <si>
    <t>"RO DIRIO E OBRA - SS-22/2025 (SALA CISC)&amp;gt;EMASSAMENTO E LIXAMENTO DE PAREDES - MOD:4 |PT: (21033342 |HR SOLIC 07:30 | HR LIB 09:00 |ATRASO 01:00|) - (HR ENC 14:30 | ATRASO 02:00)&amp;gt;&amp;gt;CONDIES CLIMTICAS: TEMPO BOM&amp;gt;&amp;gt;&amp;gt;IMPEDIMENTOS ACUMULADOSLIBERAO PT/PTT: 53:36 = 6,7dCONDIES CLIMTICAS: 0:00 = 0dPETROBRAS: 0:00 = 0dOUTROS: 0:00 = 0dAPJ: 0:00 = 0d"</t>
  </si>
  <si>
    <t>RO-52/2026</t>
  </si>
  <si>
    <t>Equipe est atuando na substituio das telas que se encontram mais amassadas conforme alinhado em visita em campo da contratada e fiscalizao, a substituio das telas e isolamento acstico da parede Norte nas partes mais altas comeou a ser executada pelos Iratas, no dia 10/01/26, ser necessrio mais um dia de atividades dos Iratas para a concluso dos servios na parede norte.</t>
  </si>
  <si>
    <t>"RO DIRIO E OBRA - SS-16/2025 (ACSTICO)&amp;gt;ACABAMENTOS E PENTE FINO - MOD:4 |PT: (21121138 |HR SOLIC 07:35 | HR LIB 08:05 |ATRASO 00:00|) - (HR ENC 16:30 | ATRASO 00:00)&amp;gt;&amp;gt;CONDIES CLIMTICAS: TEMPO BOM&amp;gt;&amp;gt;&amp;gt;IMPEDIMENTOS ACUMULADOSLIBERAO PT/PTT: 23:07 = 2,89dCONDIES CLIMTICAS: 2:30 = 0,32dPETROBRAS: 1:30 = 0,19dOUTROS: 0:00 = 0dAPJ: 0:00 = 0d"</t>
  </si>
  <si>
    <t>RO-51/2026</t>
  </si>
  <si>
    <t>Fiscalizao aprova RO apresentadoAtividade executada:Programada uma vistoria nas luminrias do balizador de poste, com a finalidade de retirar a pea e encaminhar para fabricao,Atividade no executada devido no ter no estoque a lmpada do balizador, com isso foi observado q  preciso revisitar as programaes das atividades e dos suprimentos, para essa demanda.</t>
  </si>
  <si>
    <t>RO-50/2026</t>
  </si>
  <si>
    <t>Fiscalizao aprova RO apresentado.Substituio de luminrias na regio da praa das bandeiras.Solicitada a libra as 8:00 - libra liberada aps as 10:48.Atividade iniciada as 11:00</t>
  </si>
  <si>
    <t>"RO DIRIO E OBRA - SS-17/2025 (LUMINOSIDADE)&amp;gt;TROCA DE 9 (NOVE) LUMINRIAS NA REA DA PRAA DA BANDEIRA - MOD:4 |PT: (21129560 |HR SOLIC 10:50 | HR LIB 11:07 |ATRASO 00:00|) - (HR ENC 16:30 | ATRASO 00:00)&amp;gt;&amp;gt;CONDIES CLIMTICAS: TEMPO BOM&amp;gt;&amp;gt;&amp;gt;IMPEDIMENTOS ACUMULADOSLIBERAO PT/PTT: 0:22 = 0,05dCONDIES CLIMTICAS: 12:30 = 1,57dPETROBRAS: 11:00 = 1,38dOUTROS: 2:20 = 0,3dAPJ: 0:00 = 0d"</t>
  </si>
  <si>
    <t>RO-49/2026</t>
  </si>
  <si>
    <t>Domingo, dia 11/01/26, no houve expediente.</t>
  </si>
  <si>
    <t>11/01/2026</t>
  </si>
  <si>
    <t>RO-48/2026</t>
  </si>
  <si>
    <t>RO-47/2026</t>
  </si>
  <si>
    <t>Sbado, dia 10/01/26, no teve nenhuma equipe atuando na execuo da SS.</t>
  </si>
  <si>
    <t>RO-46/2026</t>
  </si>
  <si>
    <t>RO-44/2026</t>
  </si>
  <si>
    <t>RO-43/2026</t>
  </si>
  <si>
    <t>Equipe est atuando na substituio das telas que se encontram mais amassadas conforme alinhado em visita em campo da contratada e fiscalizao, a substituio das telas e isolamento acstico da parede Norte nas partes mais altas ser executada pelos Iratas que se encontram presentes realizando a atividade no dia de hoje 10/01/26.</t>
  </si>
  <si>
    <t>"RO DIRIO E OBRA - SS-16/2025 (ACSTICO)&amp;gt;SUBSTITUIO DO ISOLAMENTO ACSTICO LADO NORTE - ATIVIDADE COM ALPINISTAS - MOD:6 |PT: (21118620 |HR SOLIC 08:30 | HR LIB 08:50 |ATRASO 00:00|) - (HR ENC 16:30 | ATRASO 00:00)&amp;gt;&amp;gt;CONDIES CLIMTICAS: TEMPO BOM&amp;gt;&amp;gt;&amp;gt;IMPEDIMENTOS ACUMULADOSLIBERAO PT/PTT: 23:07 = 2,89dCONDIES CLIMTICAS: 2:30 = 0,32dPETROBRAS: 1:30 = 0,19dOUTROS: 0:00 = 0dAPJ: 0:00 = 0d"</t>
  </si>
  <si>
    <t>RO-42/2026</t>
  </si>
  <si>
    <t>Os somatrios desde incio at o prazo final da SS dos acmulos de hora parada e meteorolgicas no final da SS a Petrobras ir analisar se e cabvel o abono revertido em acrscimo de dias no prazo de entrega da demanda.Sbado equipe administrativa no atuou nas atividades administrativas de mobilizao geral. Sem atividades.Sem efetivo de mo de obra direta para prosseguir com a execuo.Atividade apenas na UPGN-2 com montagem de andaime na lateral das interferncias.RO aceito pela fiscalizao.</t>
  </si>
  <si>
    <t>RO DIRIO E OBRA - SS-04/2025 (UPGN-2)  &amp;gt;MONTGEM DE ANDAIME - MOD:8 | PT: (21071500 |HR SOLIC 08:00 | HR LIB 08:30 |ATRASO 00:00|) - (HR ENC 16:30 | ATRASO 00:00)  &amp;gt;&amp;gt;CONDIES CLIMTICAS: TEMPO BOM  &amp;gt;&amp;gt;&amp;gt;IMPEDIMENTOS ACUMULADOS LIBERAO PT/PTT: 11:57 = 1,71d CONDIES CLIMTICAS: 15:35 = 1,95d PETROBRAS: 0:00 = 0d OUTROS: 20:00 = 2,5d APJ: 0:00 = 0d RO DIRIO E OBRA - SS-05/2025 (SECGN)  SEM ATIVIDADES &amp;gt;&amp;gt;CONDIES CLIMTICAS: TEMPO BOM  &amp;gt;&amp;gt;&amp;gt;IMPEDIMENTOS ACUMULADOS LIBERAO PT/PTT: 23:34 = 2,95d CONDIES CLIMTICAS: 58:25 = 7,31d PETROBRAS: 6:30 = 0,82d OUTROS: 28:00 = 3,5d APJ: 0:00 = 0d  _______________________________________________________________ RO DIRIO E OBRA - SS-06/2025 (K-14)  SEM ATIVIDADES  &amp;gt;&amp;gt;CONDIES CLIMTICAS: TEMPO BOM  &amp;gt;&amp;gt;&amp;gt;IMPEDIMENTOS ACUMULADOS LIBERAO PT/PTT: 23:39 = 2,96d CONDIES CLIMTICAS: 30:35 = 3,83d PETROBRAS: 0:00 = 0d OUTROS: 28:00 = 3,5d APJ: 0:00 = 0d _______________________________________________________________ RO DIRIO E OBRA - SS-08/2025 (K-02)  SEM ATIVIDADES  &amp;gt;&amp;gt;CONDIES CLIMTICAS: TEMPO BOM  &amp;gt;&amp;gt;&amp;gt;IMPEDIMENTOS ACUMULADOS LIBERAO PT/PTT: 0:00 = 0,01d CONDIES CLIMTICAS: 0:00 = 0d PETROBRAS: 0:00 = 0d OUTROS: 0:00 = 0d APJ: 0:00 = 0d  RO DIRIO E OBRA - SS-10/2025 (K-04)  SEM ATIVIDADES  &amp;gt;&amp;gt;CONDIES CLIMTICAS: TEMPO BOM  &amp;gt;&amp;gt;&amp;gt;IMPEDIMENTOS ACUMULADOS LIBERAO PT/PTT: 0:00 = 0d CONDIES CLIMTICAS: 10:15 = 1,29d PETROBRAS: 0:00 = 0d OUTROS: 0:00 = 0d APJ: 0:00 = 0d   RO DIRIO E OBRA - SS-12/2025 (ESTOQUE)  SEM ATIVIDADES  &amp;gt;&amp;gt;CONDIES CLIMTICAS: TEMPO BOM  &amp;gt;&amp;gt;&amp;gt;IMPEDIMENTOS ACUMULADOS LIBERAO PT/PTT: 0:00 = 0d CONDIES CLIMTICAS: 0:00 = 0d PETROBRAS: 0:00 = 0d OUTROS: 0:00 = 0d APJ: 0:00 = 0d  RO DIRIO E OBRA - SS-18/2025 (SALA CISC)  SEM ATIVIDADES  &amp;gt;&amp;gt;CONDIES CLIMTICAS: TEMPO BOM  &amp;gt;&amp;gt;&amp;gt;IMPEDIMENTOS ACUMULADOS LIBERAO PT/PTT: 0:00 = 0d CONDIES CLIMTICAS: 0:00 = 0d PETROBRAS: 0:00 = 0d OUTROS: 0:00 = 0d APJ: 0:00 = 0d RO DIRIO E OBRA - SS-31/2025 (K-18) ADEQUAO DE AREA DA PORTARIA)  SEM ATIVIDADES  &amp;gt;&amp;gt;CONDIES CLIMTICAS: TEMPO BOM  &amp;gt;&amp;gt;&amp;gt;IMPEDIMENTOS ACUMULADOS LIBERAO PT/PTT: 0:00 = 0d CONDIES CLIMTICAS: 0:00 = 0d PETROBRAS: 0:00 = 0d OUTROS: 0:00 = 0d APJ: 0:00 = 0d</t>
  </si>
  <si>
    <t>RO-41/2026</t>
  </si>
  <si>
    <t>Os somatrios desde incio at o prazo final da SS dos acmulos de hora parada e meteorolgicas no final da SS a Petrobras ir analisar se e cabvel o abono revertido em acrscimo de dias no prazo de entrega da demanda.Domingo, equipe administrativa no atuou nas atividades administrativas de mobilizao geral. Sem atividades.Sem efetivo de mo de obra direta para prosseguir com a execuo.RO aceito pela fiscalizao.</t>
  </si>
  <si>
    <t>RO DIRIO E OBRA - SS-04/2025 (UPGN-2)  SEM ATIVIDADES &amp;gt;&amp;gt;CONDIES CLIMTICAS: TEMPO BOM  &amp;gt;&amp;gt;&amp;gt;IMPEDIMENTOS ACUMULADOS LIBERAO PT/PTT: 11:57 = 1,71d CONDIES CLIMTICAS: 15:35 = 1,95d PETROBRAS: 0:00 = 0d OUTROS: 20:00 = 2,5d APJ: 0:00 = 0d RO DIRIO E OBRA - SS-05/2025 (SECGN)  SEM ATIVIDADES &amp;gt;&amp;gt;CONDIES CLIMTICAS: TEMPO BOM  &amp;gt;&amp;gt;&amp;gt;IMPEDIMENTOS ACUMULADOS LIBERAO PT/PTT: 23:34 = 2,95d CONDIES CLIMTICAS: 58:25 = 7,31d PETROBRAS: 6:30 = 0,82d OUTROS: 28:00 = 3,5d APJ: 0:00 = 0d ______________________________________________________________ RO DIRIO E OBRA - SS-06/2025 (K-14) SEM ATIVIDADES &amp;gt;&amp;gt;CONDIES CLIMTICAS: TEMPO BOM  &amp;gt;&amp;gt;&amp;gt;IMPEDIMENTOS ACUMULADOS LIBERAO PT/PTT: 23:39 = 2,96d CONDIES CLIMTICAS: 30:35 = 3,83d PETROBRAS: 0:00 = 0d OUTROS: 28:00 = 3,5d APJ: 0:00 = 0d______________________________________________________________ RO DIRIO E OBRA - SS-08/2025 (K-02)  SEM ATIVIDADES  &amp;gt;&amp;gt;CONDIES CLIMTICAS: TEMPO BOM  &amp;gt;&amp;gt;&amp;gt;IMPEDIMENTOS ACUMULADOS LIBERAO PT/PTT: 0:00 = 0,01d CONDIES CLIMTICAS: 0:00 = 0d PETROBRAS: 0:00 = 0d OUTROS: 0:00 = 0d APJ: 0:00 = 0d RO DIRIO E OBRA - SS-10/2025 (K-04)  SEM ATIVIDADES  &amp;gt;&amp;gt;CONDIES CLIMTICAS: TEMPO BOM  &amp;gt;&amp;gt;&amp;gt;IMPEDIMENTOS ACUMULADOS LIBERAO PT/PTT: 0:00 = 0d CONDIES CLIMTICAS: 10:15 = 1,29d PETROBRAS: 0:00 = 0d OUTROS: 0:00 = 0d APJ: 0:00 = 0d   RO DIRIO E OBRA - SS-12/2025 (ESTOQUE)  SEM ATIVIDADES  &amp;gt;&amp;gt;CONDIES CLIMTICAS: TEMPO BOM  &amp;gt;&amp;gt;&amp;gt;IMPEDIMENTOS ACUMULADOS LIBERAO PT/PTT: 0:00 = 0d CONDIES CLIMTICAS: 0:00 = 0d PETROBRAS: 0:00 = 0d OUTROS: 0:00 = 0d APJ: 0:00 = 0d RO DIRIO E OBRA - SS-18/2025 (SALA CISC) SEM ATIVIDADES  &amp;gt;&amp;gt;CONDIES CLIMTICAS: TEMPO BOM  &amp;gt;&amp;gt;&amp;gt;IMPEDIMENTOS ACUMULADOS LIBERAO PT/PTT: 0:00 = 0d CONDIES CLIMTICAS: 0:00 = 0d PETROBRAS: 0:00 = 0d OUTROS: 0:00 = 0d APJ: 0:00 = 0d  RO DIRIO E OBRA - SS-31/2025 (K-18) ADEQUAO DE AREA DA PORTARIA)  SEM ATIVIDADES  &amp;gt;&amp;gt;CONDIES CLIMTICAS: TEMPO BOM  &amp;gt;&amp;gt;&amp;gt;IMPEDIMENTOS ACUMULADOS LIBERAO PT/PTT: 0:00 = 0d CONDIES CLIMTICAS: 0:00 = 0d PETROBRAS: 0:00 = 0d OUTROS: 0:00 = 0d APJ: 0:00 = 0d</t>
  </si>
  <si>
    <t>RO-40/2026</t>
  </si>
  <si>
    <t>Os somatrios desde incio at o prazo final da SS dos acmulos de hora parada e meteorolgicas no final da SS a Petrobras ir analisar se e cabvel o abono revertido em acrscimo de dias no prazo de entrega da demanda.No dia 09/01 as PT's e PTT's da rea operacional sofreram atraso na liberao, devido a um acidente ocorrido no dia 06/01 com outra contratada. Novamente a coordenao e superviso estavam passando na frente dos servios para avaliar as atividades antes da liberao.1. SECGN:A equipe atuou na atividade de eltrica com montagem dos eletrodutos para cabeamento.A equipe de caldeiraria deu sequncia na instalao das telhas da cobertura e calhas do galpo.A equipe de pintura atuou no tratamento da estrutura metlica e pintura das soldas.2. K-04:Sem atividades.3. K-14:A equipe de caldeiraria atuou com a instalao de telhas, calhas e rufos da cobertura do galpo.Enquanto a equipe de eltrica dava sequncia na montagem da infraestrutura para eltrica, com a montagem dos eletrodutos, caixas de passagem e bornes.A equipe de pintura atuou no tratamento das soldas da estrutura metlica.4. UPGN-2:Equipe de caldeiraria atuou no tratamento das bases dos inserts do fechamento lateral.Programada a montagem de andaime no mdulo 02, equipe da Engeval atuou na montagem dos acessos na lateral das interferncias.A equipe atuou na pintura das soldas e tratamento da estrutura metlica dos mdulos montados no cho, e tratamento das chapas bases dos inserts fixadas nos pilares do galpo.5. SALA CISC:A equipe de civil atuou na pintura das paredes da sala e instalao da nova porta de vidro.6. K-18:A equipe de civil atuou na instalao das portas.7. ESTOQUE MI:A equipe de civil atuou na demolio da rampa antiga de concreto e regularizao do terreno.8. K-02:Atividade de montagem de andaime para proteo dos geradores.A SS no foi includa no RO.RO aceito pela fiscalizao.</t>
  </si>
  <si>
    <t>RO DIRIO E OBRA - SS-04/2025 (UPGN-2)  &amp;gt;MONTAGEM DE ESTRUTURA METALICA DO GALPO/MONTAGEM DE TELA- MOD:6 | PEMT:1 | PT: (21109529 |HR SOLIC 08:00 | HR LIB 08:50 |ATRASO 00:20|) - (HR ENC 16:30 | ATRASO 00:00)  &amp;gt;PINTURA DE ESTRUTURAS METALICAS E CONCRETO- MOD:3 | PT: (21079158 |HR SOLIC 08:00 | HR LIB 08:50 |ATRASO 00:20|) - (HR ENC 16:30 | ATRASO 00:00)  &amp;gt;MONTAGEM DE ANDAIME - MOD:7 | PT: (21071500 |HR SOLIC 09:35 | HR LIB 09:35 |ATRASO 00:00|) - (HR ENC 16:30 | ATRASO 00:00)  AS PTs TIVERAM ATRASO NA LIBERAO PELA OPERAO DEVIDO ACIDENTE NA UNIDADE COM OUTRA CONTRATADA &amp;gt;&amp;gt;CONDIES CLIMTICAS: TEMPO BOM  &amp;gt;&amp;gt;&amp;gt;IMPEDIMENTOS ACUMULADOS LIBERAO PT/PTT: 11:57 = 1,71d CONDIES CLIMTICAS: 15:35 = 1,95d PETROBRAS: 0:00 = 0d OUTROS: 20:00 = 2,5d APJ: 0:00 = 0d  RO DIRIO E OBRA - SS-05/2025 (SECGN)  &amp;gt;REALIZANDO MONTAGEM DE INFRA ESTRUTURA ELETRICA - MOD:3 | PT: (21056624 |HR SOLIC 08:00 | HR LIB 08:30 |ATRASO 00:00|) - (HR ENC 16:30 | ATRASO 00:00)  &amp;gt;MONTAGEM DE ESTRUTURA METALICA DO GALPO(TELHAS,CALHAS)- MOD:8 | PEMT:2 | PT: (21109411 |HR SOLIC 08:00 | HR LIB 08:30 |ATRASO 00:00|) - (HR ENC 16:30 | ATRASO 00:00)  &amp;gt;PINTURA DE ESTRUTURAS METALICAS E CONCRETO - MOD:2 | PT: (21109454 |HR SOLIC 08:00 | HR LIB 09:10 |ATRASO 00:40|) - (HR ENC 16:30 | ATRASO 00:00)AS PTs TIVERAM ATRASO NA LIBERAO PELA OPERAO DEVIDO ACIDENTE NA UNIDADE COM OUTRA CONTRATADA  &amp;gt;&amp;gt;CONDIES CLIMTICAS: TEMPO BOM  &amp;gt;&amp;gt;&amp;gt;IMPEDIMENTOS ACUMULADOS LIBERAO PT/PTT: 23:34 = 2,95d CONDIES CLIMTICAS: 58:25 = 7,31d PETROBRAS: 6:30 = 0,82d OUTROS: 28:00 = 3,5d APJ: 0:00 = 0 ____________________________________________________RO DIRIO E OBRA - SS-06/2025 (K-14)&amp;gt;PINTURA DE ESTRUTURAS METALICAS E CONCRETO - MOD:2 | PT: (21077785 |HR SOLIC 08:00 | HR LIB 08:40 |ATRASO 00:10|) - (HR ENC 16:30 | ATRASO 00:00)  &amp;gt;REALIZANDO MONTAGEM DE INFRA ESTRUTURA ELETRICA - MOD:4 | PT: (21071478 |HR SOLIC 08:00 | HR LIB 08:40 |ATRASO 00:10|) - (HR ENC 16:30 | ATRASO 00:00)  &amp;gt;MONTAGEM DE ESTRUTURA METALICA DO GALPO(TELHAS,RUFOS)- MOD:5 | PEMT:2 | PT: (21109566 |HR SOLIC 08:00 | HR LIB 08:45 |ATRASO 00:15|) - (HR ENC 16:30 | ATRASO 00:00)  AS PTs TIVERAM ATRASO NA LIBERAO PELA OPERAO DEVIDO ACIDENTE NA UNIDADE COM OUTRA CONTRATADA  &amp;gt;&amp;gt;CONDIES CLIMTICAS: TEMPO BOM  &amp;gt;&amp;gt;&amp;gt;IMPEDIMENTOS ACUMULADOS LIBERAO PT/PTT: 23:39 = 2,96d CONDIES CLIMTICAS: 30:35 = 3,83d PETROBRAS: 0:00 = 0d OUTROS: 28:00 = 3,5d APJ: 0:00 = 0d  RO DIRIO E OBRA - SS-08/2025 (K-02)  &amp;gt;MONTAGEM DE ANDAIME - MOD:7 | PT: (21110931 |HR SOLIC 08:00 | HR LIB 08:30 |ATRASO 00:00|) - (HR ENC 16:30 | ATRASO 00:00)  &amp;gt;&amp;gt;CONDIES CLIMTICAS: TEMPO BOM  &amp;gt;&amp;gt;&amp;gt;IMPEDIMENTOS ACUMULADOS LIBERAO PT/PTT: 0:00 = 0,01d CONDIES CLIMTICAS: 0:00 = 0d PETROBRAS: 0:00 = 0d OUTROS: 0:00 = 0d APJ: 0:00 = 0d RO DIRIO E OBRA - SS-10/2025 (K-04)  SEM ATIVIDADES  &amp;gt;&amp;gt;CONDIES CLIMTICAS: TEMPO BOM  &amp;gt;&amp;gt;&amp;gt;IMPEDIMENTOS ACUMULADOS LIBERAO PT/PTT: 0:00 = 0d CONDIES CLIMTICAS: 10:15 = 1,29d PETROBRAS: 0:00 = 0d OUTROS: 0:00 = 0d APJ: 0:00 = 0d RO DIRIO E OBRA - SS-12/2025 (ESTOQUE)  &amp;gt;DEMOLIO DE RAMPA DE CONCRETO; ESCAVAO E REGULARIZAO DE TERRENO; LIMPEZA E ORGANIZAO DE REA. - MOD:4 | PT: (21100425 |HR SOLIC 07:50 | HR LIB 07:55 |ATRASO 00:00|) - (HR ENC 16:30 | ATRASO 00:00)  &amp;gt;&amp;gt;CONDIES CLIMTICAS: TEMPO BOM  &amp;gt;&amp;gt;&amp;gt;IMPEDIMENTOS ACUMULADOS LIBERAO PT/PTT: 0:00 = 0d CONDIES CLIMTICAS: 0:00 = 0d PETROBRAS: 0:00 = 0d OUTROS: 0:00 = 0d APJ: 0:00 = 0d  RO DIRIO E OBRA - SS-18/2025 (SALA CISC)  &amp;gt;INSTALAO DE PORTA DE VIDRO; TRATAMENTO E PINTURA DAS PAREDES - MOD:3 | PT: (21112304 |HR SOLIC 07:45 | HR LIB 07:50 |ATRASO 00:00|) - (HR ENC 16:30 | ATRASO 00:00)  &amp;gt;&amp;gt;CONDIES CLIMTICAS: TEMPO BOM  &amp;gt;&amp;gt;&amp;gt;IMPEDIMENTOS ACUMULADOS LIBERAO PT/PTT: 0:00 = 0d CONDIES CLIMTICAS: 0:00 = 0d PETROBRAS: 0:00 = 0d OUTROS: 0:00 = 0d APJ: 0:00 = 0d RO DIRIO E OBRA - SS-31/2025 (K-18)ADEQUAO DE AREA DA PORTARIA)  &amp;gt;INSTALAO DE PORTA DA COPA E BANHEIRO - MOD:2 | PT: (21112701 |HR SOLIC 07:30 | HR LIB 07:30 |ATRASO 00:00|) - (HR ENC 16:30 | ATRASO 00:00)  &amp;gt;&amp;gt;CONDIES CLIMTICAS: TEMPO BOM  &amp;gt;&amp;gt;&amp;gt;IMPEDIMENTOS ACUMULADOS LIBERAO PT/PTT: 0:00 = 0d CONDIES CLIMTICAS: 0:00 = 0d PETROBRAS: 0:00 = 0d OUTROS: 0:00 = 0d APJ: 0:00 = 0d</t>
  </si>
  <si>
    <t>09/01/2026</t>
  </si>
  <si>
    <t>RO-39/2026</t>
  </si>
  <si>
    <t>Os somatrios desde incio at o prazo final da SS dos acmulos de hora parada e meteorolgicas no final da SS a Petrobras ir analisar se e cabvel o abono revertido em acrscimo de dias no prazo de entrega da demanda.No dia 08/01 as PT's e PTT's da rea operacional sofreram atraso na liberao, devido a um acidente ocorrido no dia 06/01 com outra contratada. Novamente a coordenao e superviso estavam passando na frente dos servios para avaliar as atividades antes da liberao.1. SECGN:A equipe atuou na atividade de eltrica com montagem dos eletrodutos para cabeamento.A equipe de caldeiraria deu sequncia na instalao das telhas da cobertura e calhas do galpo.2. K-04:Sem atividades.3. K-14:A equipe de caldeiraria atuou com a instalao de telhas, calhas e rufos da cobertura do galpo.Enquanto a equipe de eltrica dava sequncia na montagem da infraestrutura para eltrica, com a montagem dos eletrodutos, caixas de passagem e bornes.A equipe de pintura atuou no tratamento das soldas da estrutura metlica.4. UPGN-2:Equipe de caldeiraria atuou no tratamento das bases dos inserts do fechamento lateral.Programada a montagem de andaime no mdulo 02, equipe da Engeval atuou na montagem dos acessos na lateral das interferncias.A equipe atuou na pintura das soldas e tratamento da estrutura metlica dos mdulos montados no cho, e tratamento das chapas bases dos inserts fixadas nos pilares do galpo.5. SALA CISC:A equipe de civil atuou na pintura das paredes da sala.6. K-18:A equipe de civil atuou na remoo da porta e emassamento da porta no canteiro, para posterior pintura.Correo de servio.7. ESTOQUE MI:A equipe de civil atuou na demolio da rampa antiga de concreto e adequao de tapume do local.8. K-02:Atividade de montagem de andaime para proteo dos geradores.A SS no foi includa no RO.RO aceito pela fiscalizao.</t>
  </si>
  <si>
    <t>RO DIRIO E OBRA - SS-04/2025 (UPGN-2)  &amp;gt;MONTAGEM DE ESTRUTURA METALICA DO GALPO/MONTAGEM DE TELA- MOD:6 | PEMT:1 | PT: (21103982 |HR SOLIC 08:00 | HR LIB 09:42 |ATRASO 01:12|) - (HR ENC 16:30 | ATRASO 00:00)  &amp;gt;PINTURA DE ESTRUTURAS METALICAS E CONCRETO- MOD:3 | PT: (21079158|HR SOLIC 08:00 | HR LIB 09:45 |ATRASO 01:15|) - (HR ENC 16:30 | ATRASO 00:00)  &amp;gt;MONTAGEM DE ANDAIME - MOD:7 | PT: (21071500 |HR SOLIC 11:00 | HR LIB 11:20 |ATRASO 00:00|) - (HR ENC 16:30 | ATRASO 00:00)  AS PTs TIVERAM ATRASO NA LIBERAO PELA OPERAO DEVIDO ACIDENTE NA UNIDADE COM OUTRA CONTRATADA &amp;gt;&amp;gt;CONDIES CLIMTICAS: TEMPO BOM  &amp;gt;&amp;gt;&amp;gt;IMPEDIMENTOS ACUMULADOS LIBERAO PT/PTT: 11:17 = 1,62d CONDIES CLIMTICAS: 15:35 = 1,95d PETROBRAS: 0:00 = 0d OUTROS: 20:00 = 2,5d APJ: 0:00 = 0d    RO DIRIO E OBRA - SS-05/2025 (SECGN)  &amp;gt;REALIZANDO MONTAGEM DE INFRA ESTRUTURA ELETRICA - MOD:3 | PT: (21056624 |HR SOLIC 08:00 | HR LIB 09:50 |ATRASO 01:20|) - (HR ENC 16:30 | ATRASO 00:00)  &amp;gt;MONTAGEM DE ESTRUTURA METALICA DO GALPO(TELHAS,CALHAS) - MOD:8 | PEMT:2 | PT: (21098547 |HR SOLIC 08:00 | HR LIB 09:56 |ATRASO 01:26|) - (HR ENC 16:30 | ATRASO 00:00)  AS PTs TIVERAM ATRASO NA LIBERAO PELA OPERAO DEVIDO ACIDENTE NA UNIDADE COM OUTRA CONTRATADA  &amp;gt;&amp;gt;CONDIES CLIMTICAS: TEMPO BOM  &amp;gt;&amp;gt;&amp;gt;IMPEDIMENTOS ACUMULADOS LIBERAO PT/PTT: 22:54 = 2,87d CONDIES CLIMTICAS: 58:25 = 7,31d PETROBRAS: 6:30 = 0,82d OUTROS: 28:00 = 3,5d APJ: 0:00 = 0d   RO DIRIO E OBRA - SS-06/2025 (K-14)  &amp;gt;REALIZANDO MONTAGEM DE INFRA ESTRUTURA ELETRICA - MOD:2 | PT: (21071478 |HR SOLIC 08:00 | HR LIB 10:00 |ATRASO 01:30|) - (HR ENC 16:30 | ATRASO 00:00)  &amp;gt;PINTURA DE ESTRUTURA METALICA - MOD:1 | PEMT:1 | PT: (21077785 |HR SOLIC 08:00 | HR LIB 10:03 |ATRASO 01:33|) - (HR ENC 16:30 | ATRASO 00:00)  &amp;gt;MONTAGEM DE ESTRUTURA METALICA DO GALPO( TELHAS, CALHAS)- MOD:5 | PEMT:2 | PT: (21103951 |HR SOLIC 08:00 | HR LIB 08:20 |ATRASO 00:00|) - (HR ENC 16:30 | ATRASO 00:00)  AS PTs TIVERAM ATRASO NA LIBERAO PELA OPERAO DEVIDO ACIDENTE NA UNIDADE COM OUTRA CONTRATADA &amp;gt;&amp;gt;CONDIES CLIMTICAS: TEMPO BOM  &amp;gt;&amp;gt;&amp;gt;IMPEDIMENTOS ACUMULADOS LIBERAO PT/PTT: 23:04 = 2,89d CONDIES CLIMTICAS: 30:35 = 3,83d PETROBRAS: 0:00 = 0d OUTROS: 28:00 = 3,5d APJ: 0:00 = 0d __________________________________________________   RO DIRIO E OBRA - SS-08/2025 (K-02)  &amp;gt;MONTAGEM DE ANDAIME - MOD:7 | PT: (21103902 |HR SOLIC 09:35 | HR LIB 09:35 |ATRASO 00:00|) - (HR ENC 16:30 | ATRASO 00:00)  &amp;gt;&amp;gt;CONDIES CLIMTICAS: TEMPO BOM  &amp;gt;&amp;gt;&amp;gt;IMPEDIMENTOS ACUMULADOS LIBERAO PT/PTT: 0:00 = 0d CONDIES CLIMTICAS: 0:00 = 0d PETROBRAS: 0:00 = 0d OUTROS: 0:00 = 0d APJ: 0:00 = 0d  RO DIRIO E OBRA - SS-10/2025 (K-04)  SEM ATIVIDADES  &amp;gt;&amp;gt;CONDIES CLIMTICAS: TEMPO BOM  &amp;gt;&amp;gt;&amp;gt;IMPEDIMENTOS ACUMULADOS LIBERAO PT/PTT: 0:00 = 0d CONDIES CLIMTICAS: 10:15 = 1,29d PETROBRAS: 0:00 = 0d OUTROS: 0:00 = 0d APJ: 0:00 = 0d RO DIRIO E OBRA - SS-12/2025 (ESTOQUE)  &amp;gt;ISOLAMENTO DE AREA COM TAPUME, DEMOLIO DE RAMPA - MOD:5 | PT: (21106331 |HR SOLIC 07:50 | HR LIB 07:55 |ATRASO 00:00|) - (HR ENC 16:30 | ATRASO 00:00)  &amp;gt;&amp;gt;CONDIES CLIMTICAS: TEMPO BOM  &amp;gt;&amp;gt;&amp;gt;IMPEDIMENTOS ACUMULADOS LIBERAO PT/PTT: 0:00 = 0d CONDIES CLIMTICAS: 0:00 = 0d PETROBRAS: 0:00 = 0d OUTROS: 0:00 = 0d APJ: 0:00 = 0d RO DIRIO E OBRA - SS-18/2025 (SALA CISC)  &amp;gt;TRATAEMNTO E PINTURA DAS PAREDES - MOD:3 | PT: (21106319 |HR SOLIC 07:45 | HR LIB 07:49 |ATRASO 00:00|) - (HR ENC 16:30 | ATRASO 00:00)  &amp;gt;&amp;gt;CONDIES CLIMTICAS: TEMPO BOM  &amp;gt;&amp;gt;&amp;gt;IMPEDIMENTOS ACUMULADOS LIBERAO PT/PTT: 0:00 = 0d CONDIES CLIMTICAS: 0:00 = 0d PETROBRAS: 0:00 = 0d OUTROS: 0:00 = 0d APJ: 0:00 = 0d  RO DIRIO E OBRA - SS-31/2025 (K-18)ADEQUAO DE AREA DA PORTARIA)  &amp;gt;PINTURA E EMASSAMENTO DE PORTA NO CANTEIRO- MOD:1 | PT: (21079556|HR SOLIC 07:30 | HR LIB 07:31 |ATRASO 00:00|) - (HR ENC 16:30 | ATRASO 00:00)  &amp;gt;&amp;gt;CONDIES CLIMTICAS: TEMPO BOM  &amp;gt;&amp;gt;&amp;gt;IMPEDIMENTOS ACUMULADOS LIBERAO PT/PTT: 0:00 = 0d CONDIES CLIMTICAS: 0:00 = 0d PETROBRAS: 0:00 = 0d OUTROS: 0:00 = 0d APJ: 0:00 = 0d</t>
  </si>
  <si>
    <t>08/01/2026</t>
  </si>
  <si>
    <t>RO-38/2026</t>
  </si>
  <si>
    <t>Fiscalizao aprova RO apresentado!PTT liberada, lixamento de paredes.</t>
  </si>
  <si>
    <t>"RO DIRIO E OBRA - SS-22/2025 (SALA CISC)&amp;gt;EMASSAMENTO E LIXAMENTO DE PAREDES - MOD:4 |PT: (21033342 |HR SOLIC 07:30 | HR LIB 09:00 |ATRASO 01:00|) - (HR ENC 00:00 | ATRASO )&amp;gt;&amp;gt;CONDIES CLIMTICAS: TEMPO BOM&amp;gt;&amp;gt;&amp;gt;IMPEDIMENTOS ACUMULADOSLIBERAO PT/PTT: 50:36 = 6,33dCONDIES CLIMTICAS: 0:00 = 0dPETROBRAS: 0:00 = 0dOUTROS: 0:00 = 0dAPJ: 0:00 = 0d"</t>
  </si>
  <si>
    <t>RO-37/2026</t>
  </si>
  <si>
    <t>Fiscalizao aprova RO apresentadoInicio das atividade s 11:05, devido atraso no bloqueio do circuito (Solicitao da libra feita para operao da libra s 8:00).Efetuado o teste do prottipo.</t>
  </si>
  <si>
    <t>"RO DIRIO E OBRA - SS-17/2025 (LUMINOSIDADE)&amp;gt;TESTE COM O PROTTIPO DO ADAPTADOR PARA A LUMINRIA DOS POSTES DE 3M - MOD:4 |PT: (21112307 |HR SOLIC 07:38 | HR LIB 08:06 |ATRASO 00:00|) - (HR ENC 16:30 | ATRASO 00:00)&amp;gt;&amp;gt;CONDIES CLIMTICAS: TEMPO BOM&amp;gt;&amp;gt;&amp;gt;IMPEDIMENTOS ACUMULADOSLIBERAO PT/PTT: 0:22 = 0,05dCONDIES CLIMTICAS: 12:30 = 1,57dPETROBRAS: 11:00 = 1,38dOUTROS: 2:20 = 0,3dAPJ: 0:00 = 0d"</t>
  </si>
  <si>
    <t>RO-36/2026</t>
  </si>
  <si>
    <t>Os somatrios desde incio at o prazo final da SS dos acmulos de hora parada e meteorolgicas no final da SS a Petrobras ir analisar se e cabvel o abono revertido em acrscimo de dias no prazo de entrega da demanda.No dia 07/01 as PT's e PTT's da rea operacional sofreram atraso na liberao, devido a um acidente ocorrido no dia anterior com outra contratada. Novamente a coordenao e superviso estavam passando na frente dos servios para avaliar as atividades antes da liberao.1. SECGN:A equipe atuou na atividade de eltrica com montagem dos eletrodutos para cabeamento.A equipe de caldeiraria deu sequncia na instalao das telhas da cobertura e calhas do galpo.2. K-04:Sem atividades.3. K-14:A equipe de caldeiraria atuou com a instalao de telhas, calhas e rufos da cobertura do galpo.Enquanto a equipe de eltrica dava sequncia na montagem da infraestrutura para eltrica, com a montagem dos eletrodutos, caixas de passagem e bornes.A equipe de pintura atuou no tratamento das soldas da estrutura metlica.4. UPGN-2:Equipe de caldeiraria atuou no tratamento das bases dos inserts do fechamento lateral.Programada a montagem de andaime no mdulo 02, equipe da Engeval atuou na montagem dos acessos na lateral das interferncias.A equipe atuou na pintura das soldas e tratamento da estrutura metlica dos mdulos montados no cho, e tratamento das chapas bases dos inserts fixadas nos pilares do galpo.5. SALA CISC:A equipe de civil atuou na instalao de soleiras e pintura das paredes da sala.6. K-18:A equipe de civil atuou na remoo da porta e emassamento da porta no canteiro, para posterior pintura.Correo de servio.7. ESTOQUE MI:A equipe de civil atuou na demolio da rampa antiga de concreto e destinao dos resduos demolidos.8. K-02:Foi solicitado pela fiscalizao a atividade de montagem de andaime para proteo dos geradores, mas a atividade no foi executada.A PT foi cancelada pela operao.A SS no foi includa no RO.RO aceito pela fiscalizao.</t>
  </si>
  <si>
    <t>RO DIRIO E OBRA - SS-04/2025 (UPGN-2)  &amp;gt;MONTAGEM DE ESTRUTURA METALICA DO GALPO/MONTAGEM DE TELA - MOD:6 | PEMT:1 | PT: (21098521 |HR SOLIC 08:00 | HR LIB 10:30 |ATRASO 02:00) - (HR ENC 16:30 | ATRASO 00:00)  &amp;gt;PINTURA DE ESTRUTURAS METALICAS E CONCRETO- MOD:3  PT: (21079158 |HR SOLIC 08:00 | HR LIB 10:30 |ATRASO 02:00) - (HR ENC 16:30 | ATRASO 00:00)  &amp;gt;MONTAGEM DE ANDAIME - MOD:7 | PT: (21071500 |HR SOLIC 08:00 | HR LIB 09:35 |ATRASO 01:05) - (HR ENC 16:30 | ATRASO 00:00)  AS PTs TIVERAM ATRASO NA LIBERAO PELA OPERAO DEVIDO ACIDENTE NA UNIDADE COM OUTRA CONTRATADA   &amp;gt;&amp;gt;CONDIES CLIMTICAS: TEMPO BOM  &amp;gt;&amp;gt;&amp;gt;IMPEDIMENTOS ACUMULADOS LIBERAO PT/PTT: 08:50 = 1,32d CONDIES CLIMTICAS: 15:35 = 1,95d PETROBRAS: 0:00 = 0d OUTROS: 20:00 = 2,5d APJ: 0:00 = 0d RO DIRIO E OBRA - SS-05/2025 (SECGN)  &amp;gt;REALIZANDO MONTAGEM DE INFRA ESTRUTURA ELETRICA - MOD:3 | PT: (21056624 |HR SOLIC 08:00 | HR LIB 10:40 |ATRASO 02:10|) - (HR ENC 16:30 | ATRASO 00:00)  &amp;gt;MONTAGEM DE ESTRUTURA METALICA DO GALPO(TELHAS,CALHAS) - MOD:8 | PEMT:1 | PT: (21098547 |HR SOLIC 08:00 | HR LIB 10:40 |ATRASO 02:10|) - (HR ENC 16:30 | ATRASO 00:00)  AS PTs TIVERAM ATRASO NA LIBERAO PELA OPERAO DEVIDO ACIDENTE NA UNIDADE COM OUTRA CONTRATADA  &amp;gt;&amp;gt;CONDIES CLIMTICAS: TEMPO BOM  &amp;gt;&amp;gt;&amp;gt;IMPEDIMENTOS ACUMULADOS LIBERAO PT/PTT: 20:08 = 2,52d CONDIES CLIMTICAS: 58:25 = 7,31d PETROBRAS: 6:30 = 0,82d OUTROS: 28:00 = 3,5d APJ: 0:00 = 0d RO DIRIO E OBRA - SS-06/2025 (K-14)  &amp;gt;REALIZANDO MONTAGEM DE INFRA ESTRUTURA ELETRICA - MOD:3 | PT: (21071478 |HR SOLIC 08:00 | HR LIB 10:30 |ATRASO 02:00|) - (HR ENC 16:30 | ATRASO 00:00)  &amp;gt;PINTURA DE ESTRUTURA METALICA- MOD:1 | PEMT:1 | PT: (21077785 |HR SOLIC 08:00 | HR LIB 00:00 |ATRASO |) - (HR ENC 16:30 | ATRASO 00:00)  &amp;gt;MONTAGEM DE ESTRUTURA METALICA DO GALPO( TELHAS, CALHAS)- MOD:6 | PEMT:1 | PT: (21098480 |HR SOLIC 08:00 | HR LIB 10:30 |ATRASO 02:00|) - (HR ENC 16:30 | ATRASO 00:00)AS PTs TIVERAM ATRASO NA LIBERAO PELA OPERAO DEVIDO ACIDENTE NA UNIDADE COM OUTRA CONTRATADA &amp;gt;&amp;gt;CONDIES CLIMTICAS: TEMPO BOM  &amp;gt;&amp;gt;&amp;gt;IMPEDIMENTOS ACUMULADOS LIBERAO PT/PTT: 20:01 = 2,51d CONDIES CLIMTICAS: 30:35 = 3,83d PETROBRAS: 0:00 = 0d OUTROS: 28:00 = 3,5d APJ: 0:00 = 0d____________________________________________________________________________________ RO DIRIO E OBRA - SS-10/2025 (K-04) SEM ATIVIDADES &amp;gt;&amp;gt;CONDIES CLIMTICAS: TEMPO BOM  &amp;gt;&amp;gt;&amp;gt;IMPEDIMENTOS ACUMULADOS LIBERAO PT/PTT: 0:00 = 0d CONDIES CLIMTICAS: 10:15 = 1,29d PETROBRAS: 0:00 = 0d OUTROS: 0:00 = 0d APJ: 0:00 = 0d RO DIRIO E OBRA - SS-12/2025 (ESTOQUE)  &amp;gt;DEMOLIO DE RAMPA DE CONCRETO - MOD:5 | PT: (21100425 |HR SOLIC 07:51 | HR LIB 07:55 |ATRASO 00:00|) - (HR ENC 16:30 | ATRASO 00:00)  &amp;gt;&amp;gt;CONDIES CLIMTICAS: TEMPO BOM  &amp;gt;&amp;gt;&amp;gt;IMPEDIMENTOS ACUMULADOS LIBERAO PT/PTT: 0:00 = 0d CONDIES CLIMTICAS: 0:00 = 0d PETROBRAS: 0:00 = 0d OUTROS: 0:00 = 0d APJ: 0:00 = 0d  RO DIRIO E OBRA - SS-18/2025 (SALA CISC)  &amp;gt;INSTALAO DE SOLEIRA DE PORTA; TRATAMENTO E PINTURA PAREDES - MOD:3 | PT: (21099676 |HR SOLIC 07:45 | HR LIB 07:48 |ATRASO 00:00|) - (HR ENC 16:30 | ATRASO 00:00)  &amp;gt;&amp;gt;CONDIES CLIMTICAS: TEMPO BOM  &amp;gt;&amp;gt;&amp;gt;IMPEDIMENTOS ACUMULADOS LIBERAO PT/PTT: 0:00 = 0d CONDIES CLIMTICAS: 0:00 = 0d PETROBRAS: 0:00 = 0d OUTROS: 0:00 = 0d APJ: 0:00 = 0d RO DIRIO E OBRA - SS-31/2025 ((K-18)ADEQUAO DE AREA DA PORTARIA)  &amp;gt;PINTURA E EMASSAMENTO DE PORTA NO CANTEIRO MOD:1 | PT: (21079556 |HR SOLIC 07:30 | HR LIB 07:30 |ATRASO 00:00|) - (HR ENC 16:30 | ATRASO 00:00)  &amp;gt;&amp;gt;CONDIES CLIMTICAS: TEMPO BOM  &amp;gt;&amp;gt;&amp;gt;IMPEDIMENTOS ACUMULADOS LIBERAO PT/PTT: 0:00 = 0d CONDIES CLIMTICAS: 0:00 = 0d PETROBRAS: 0:00 = 0d OUTROS: 0:00 = 0d APJ: 0:00 = 0d</t>
  </si>
  <si>
    <t>07/01/2026</t>
  </si>
  <si>
    <t>RO-35/2026</t>
  </si>
  <si>
    <t>Equipe da Torres Brasil, subcontratada da APJ est atuando na manuteno das torres de resfriamento, Atividades realizadas no dia de hoje: Remoo e transporte para ponto de coleta/ descarte do material de enchimento de grade das torres de resfriamento A e B e instalao do novo enchimento/eliminadores de gotas.</t>
  </si>
  <si>
    <t>"RO DIRIO E OBRA - SS-15/2025 (TORRE RESFR)&amp;gt;INSTALAO DO ELIMINADOR DE GOTAS - MOD:3 |PT: (21107238 |HR SOLIC 07:03 | HR LIB 08:05 |ATRASO 00:32|) - (HR ENC 16:30 | ATRASO 00:00)&amp;gt;&amp;gt;CONDIES CLIMTICAS: TEMPO BOM&amp;gt;&amp;gt;&amp;gt;IMPEDIMENTOS ACUMULADOSLIBERAO PT/PTT: 4:21 = 0,55dCONDIES CLIMTICAS: 2:30 = 0,32dPETROBRAS: 4:30 = 0,57dOUTROS: 4:55 = 0,62dAPJ: 0:00 = 0d"</t>
  </si>
  <si>
    <t>RO-34/2026</t>
  </si>
  <si>
    <t>Fiscalizao aprova RO apresentado.Executado substituio de 09 luminrias no canteiro principal, prximo a guarita ACESSO EDIVIT RETA DA PENHA.Libra solicitada as 07:50h, sendo executada as 08:20h.</t>
  </si>
  <si>
    <t>"RO DIRIO E OBRA - SS-17/2025 (LUMINOSIDADE)&amp;gt;SUBSTITUIO DE 10 LUMINRIAS DE PISO NO ACESSO  PORTRIA DE VECULOS LADO OESTE - MOD:4 |PT: (21108955 |HR SOLIC 08:00 | HR LIB 08:25 |ATRASO 00:00|) - (HR ENC 16:30 | ATRASO 00:00)&amp;gt;&amp;gt;CONDIES CLIMTICAS: TEMPO BOM&amp;gt;&amp;gt;&amp;gt;IMPEDIMENTOS ACUMULADOSLIBERAO PT/PTT: 0:22 = 0,05dCONDIES CLIMTICAS: 12:30 = 1,57dPETROBRAS: 11:00 = 1,38dOUTROS: 2:20 = 0,3dAPJ: 0:00 = 0d"</t>
  </si>
  <si>
    <t>RO-33/2026</t>
  </si>
  <si>
    <t>Fiscalizao aprova RO apresentado!PTT liberada, emassamento e pintura do forro, instalao da aduela</t>
  </si>
  <si>
    <t>"RO DIRIO E OBRA - SS-22/2025 (SALA CISC)&amp;gt;EMASSAMENTO DE SANCA, LIXAMENTO DE PAREDES, E PINTURA DE PLACAS DE DRY WALL PARA O AR CONDICIONADO - MOD:4 |PT: (21033342 |HR SOLIC 07:30 | HR LIB 09:00 |ATRASO 01:00|) - (HR ENC 14:30 | ATRASO 02:00)&amp;gt;&amp;gt;CONDIES CLIMTICAS: TEMPO BOM&amp;gt;&amp;gt;&amp;gt;IMPEDIMENTOS ACUMULADOSLIBERAO PT/PTT: 49:36 = 6,2dCONDIES CLIMTICAS: 0:00 = 0dPETROBRAS: 0:00 = 0dOUTROS: 0:00 = 0dAPJ: 0:00 = 0d"</t>
  </si>
  <si>
    <t>RO-32/2026</t>
  </si>
  <si>
    <t>Equipe est atuando na substituio das telas que se encontram mais amassadas conforme alinhado em visita em campo da contratada e fiscalizao, a substituio das telas e isolamento acstico da parede Norte nas partes mais altas sero executadas pelos Iratas, na parte baixa que no exige acesso est sendo efetuada pela equipe em atuao da atividade.Atividade no dia de hoje no foi iniciada devido est faltando as telas restantes chegarem, o efetivo da equipe foi deslocado para o servio da retirada dos enchimentos das torres (SS-15).</t>
  </si>
  <si>
    <t>RO-31/2026</t>
  </si>
  <si>
    <t>Equipe da Torres Brasil, subcontratada da APJ est atuando na manuteno das torres de resfriamento, Atividades realizadas no dia de hoje: Remoo e transporte para ponto de coleta/ descarte do material de enchimento de grade das torres de resfriamento A e B, aps a limpeza geral nas torres A e B ,foi iniciada a montagem dos enchimentos novos.</t>
  </si>
  <si>
    <t>"RO DIRIO E OBRA - SS-15/2025 (TORRE RESFR)&amp;gt;CONCLUSO DA INSTALAO DO ENCHIMENTO DE GRADE - MOD:2 |PT: (21112360 |HR SOLIC 07:23 | HR LIB 07:50 |ATRASO 00:00|) - (HR ENC 16:30 | ATRASO 00:00)&amp;gt;&amp;gt;CONDIES CLIMTICAS: TEMPO BOM&amp;gt;&amp;gt;&amp;gt;IMPEDIMENTOS ACUMULADOSLIBERAO PT/PTT: 4:21 = 0,55dCONDIES CLIMTICAS: 2:30 = 0,32dPETROBRAS: 4:30 = 0,57dOUTROS: 4:55 = 0,62dAPJ: 0:00 = 0d"</t>
  </si>
  <si>
    <t>RO-30/2026</t>
  </si>
  <si>
    <t>Equipe est atuando na substituio das telas que se encontram mais amassadas conforme alinhado em visita em campo da contratada e fiscalizao, a substituio das telas e isolamento acstico da parede Norte nas partes mais altas sero executadas pelos Iratas, na parte baixa que no exige acesso est sendo efetuada pela equipe em atuao da atividade.</t>
  </si>
  <si>
    <t>"RO DIRIO E OBRA - SS-16/2025 (ACSTICO)&amp;gt;SUBSTITUIO DE TELA DE PROTEO / ACABAMENTOS - MOD:4 |PT: (21112325 |HR SOLIC 07:37 | HR LIB 08:05 |ATRASO 00:00|) - (HR ENC 16:30 | ATRASO 00:00)&amp;gt;&amp;gt;CONDIES CLIMTICAS: TEMPO BOM&amp;gt;&amp;gt;&amp;gt;IMPEDIMENTOS ACUMULADOSLIBERAO PT/PTT: 23:07 = 2,89dCONDIES CLIMTICAS: 2:30 = 0,32dPETROBRAS: 1:30 = 0,19dOUTROS: 0:00 = 0dAPJ: 0:00 = 0d"</t>
  </si>
  <si>
    <t>RO-29/2026</t>
  </si>
  <si>
    <t>Os somatrios desde incio at o prazo final da SS dos acmulos de hora parada e meteorolgicas no final da SS a Petrobras ir analisar se e cabvel o abono revertido em acrscimo de dias no prazo de entrega da demanda.Houve uma alterao no padro de movimentao de carga da operao devido a um acidente ocorrido na rea, o qual estava aguardando anlise e desdobramento. A situao s foi informada no momento da liberao das atividades. Com isso, todas as atividades com movimentao de carga sofreram impactos (as atividades de caldeiraria do SECGN, K-14 e UPGN-2), foi solicitado pela superviso a emisso de PT para tais atividades, sem o PBS 08 e sem apoio de equipamento de movimentao (munck/guindaste). Atividades foram liberadas aps a reemisso da PT e liberao.1. SECGN:A equipe atuou na atividade de eltrica com montagem dos eletrodutos para cabeamento.Foi reprogramada a PTT de caldeiraria (emisso de PT), mas a equipe no atuou, foi dar prioridade na UPGN-2.2. K-04:No K-04 foi realizada a limpeza do local e a retirada dos materiais remanescentes, reboco e retoques no suporte da calha.Equipe de andaime atuou na desmontagem dos andaimes de acesso ao prdio, atividade foi finalizada no mesmo dia.3. K-14:A equipe de caldeiraria atuou com a instalao de perfis da cobertura no galpo maior, e instalao de telhas e calhas do galpo menor e no maior.Enquanto a equipe de eltrica dava sequncia na montagem da infraestrutura para eltrica, com a montagem dos eletrodutos, caixas de passagem e bornes.A equipe de pintura atuou no tratamento das soldas da estrutura metlica.4. UPGN-2:Equipe de caldeiraria atuou no tratamento das bases dos inserts do fechamento lateral.Programada a montagem de andaime no mdulo 02, mas a atividade no foi executada.A equipe atuou na pintura das soldas e tratamento da estrutura metlica dos mdulos montados no cho, e tratamento das chapas bases dos inserts fixadas nos pilares do galpo.5. SALA CISC:A equipe de civil atuou na remoo da porta de vidro e instalao de soleira.6. K-18:A equipe de civil atuou na remoo da porta e emassamento da porta no canteiro, para posterior pintura.Correo de servio.RO aceito pela fiscalizao.</t>
  </si>
  <si>
    <t>RO DIRIO E OBRA - SS-04/2025 (UPGN-2)  &amp;gt;MONTAGEM DE ESTRUTURA METALICA DO GALPO/MONTAGEM DE TELA MOD:12 | PEMT:1 | PT: (21097812 |HR SOLIC 08:00 | HR LIB 10:30 |ATRASO 02:00|) - (HR ENC 16:30 | ATRASO 00:00)  &amp;gt;PINTURA DE ESTRUTURAS METALICAS E CONCRETO - MOD:3 | PT: (21079158 |HR SOLIC 08:00 | HR LIB 08:05 |ATRASO 00:00|) - (HR ENC 16:30 | ATRASO 00:00)  &amp;gt;&amp;gt;CONDIES CLIMTICAS: TEMPO BOM  &amp;gt;&amp;gt;&amp;gt;IMPEDIMENTOS ACUMULADOS LIBERAO PT/PTT: 3:45 = 0,68d CONDIES CLIMTICAS: 15:45 = 1,55d PETROBRAS: 0:00 = 0d OUTROS: 20:00 = 2,5d APJ: 0:00 = 0d RO DIRIO E OBRA - SS-05/2025 (SECGN)  &amp;gt;REALIZANDO MONTAGEM DE INFRA ESTRUTURA ELETRICA - MOD:2 | PEMT:1 | PT: (21056624 |HR SOLIC 08:00 | HR LIB 08:05 |ATRASO 00:00|) - (HR ENC 16:30 | ATRASO 00:00)  &amp;gt;&amp;gt;CONDIES CLIMTICAS: TEMPO BOM  &amp;gt;&amp;gt;&amp;gt;IMPEDIMENTOS ACUMULADOS LIBERAO PT/PTT: 15:48 = 1,98d CONDIES CLIMTICAS: 58:25 = 7,31d PETROBRAS: 6:30 = 0,82d OUTROS: 28:00 = 3,5d APJ: 0:00 = 0d  RO DIRIO E OBRA - SS-06/2025 (K-14)  &amp;gt;REALIZANDO MONTAGEM DE INFRA ESTRUTURA ELETRICA - MOD:2 | PEMT:1 | PT: (21071478 |HR SOLIC 08:00 | HR LIB 08:05 |ATRASO 00:00|) - (HR ENC 16:30 | ATRASO 00:00)  &amp;gt;PINTURA DE ESTRUTURA METALICA - MOD:1 | PT: (21077785 |HR SOLIC 08:00 | HR LIB 08:10 |ATRASO 00:00|) - (HR ENC 16:30 | ATRASO 00:00)  &amp;gt;MONTAGEM DE ESTRUTURA METALICA DO GALPO( TELHAS, CALHAS) - MOD:6 | PEMT:1 | PT: (21097791 |HR SOLIC 08:00 | HR LIB 10:10 |ATRASO 01:40|) - (HR ENC 16:30 | ATRASO 00:00)  &amp;gt;&amp;gt;CONDIES CLIMTICAS: TEMPO BOM  &amp;gt;&amp;gt;&amp;gt;IMPEDIMENTOS ACUMULADOS LIBERAO PT/PTT: 16:01 = 2,01d CONDIES CLIMTICAS: 30:35 = 3,83d PETROBRAS: 0:00 = 0d OUTROS: 28:00 = 3,5d APJ: 0:00 = 0d RO DIRIO E OBRA - SS-10/2025 (K-04)  &amp;gt;DESMONTAGEM DE ANDAIME - MOD:6 | PT: (21094958 |HR SOLIC 07:45 | HR LIB 08:06 |ATRASO 00:00|) - (HR ENC 16:30 | ATRASO 00:00)  &amp;gt;REBOCO DE PAREDE EM TORNO DA MO FRANCESA DA CALHA - MOD:3 | PEMT:1 | PT: (21097503 |HR SOLIC 10:10 | HR LIB 10:12 |ATRASO 00:00|) - (HR ENC 16:30 | ATRASO 00:00)  &amp;gt;&amp;gt;CONDIES CLIMTICAS: TEMPO BOM  &amp;gt;&amp;gt;&amp;gt;IMPEDIMENTOS ACUMULADOS LIBERAO PT/PTT: 0:00 = 0d CONDIES CLIMTICAS: 10:15 = 1,29d PETROBRAS: 0:00 = 0d OUTROS: 0:00 = 0d APJ: 0:00 = 0d RO DIRIO E OBRA - SS-18/2025 (SALA CISC)  &amp;gt;RETIRADA E INSTALAO DE SOLEIRA DE PORTA - MOD:2 | PT: (21096521 |HR SOLIC 07:51 | HR LIB 07:55 |ATRASO 00:00|) - (HR ENC 16:30 | ATRASO 00:00)  &amp;gt;&amp;gt;CONDIES CLIMTICAS: TEMPO BOM  &amp;gt;&amp;gt;&amp;gt;IMPEDIMENTOS ACUMULADOS LIBERAO PT/PTT: 0:00 = 0d CONDIES CLIMTICAS: 0:00 = 0d PETROBRAS: 0:00 = 0d OUTROS: 0:00 = 0d APJ: 0:00 = 0d RO DIRIO E OBRA - SS-31/2025 (K-18) ADEQUAO DE AREA DA PORTARIA)  &amp;gt;RETIRADA DE PORTA PARA EMASSAMENTO NO CANTEIRO - MOD:3 | PT: (21097814 |HR SOLIC 10:03 | HR LIB 10:05 |ATRASO 00:00|) - (HR ENC 16:30 | ATRASO 00:00)  &amp;gt;&amp;gt;CONDIES CLIMTICAS: TEMPO BOM  &amp;gt;&amp;gt;&amp;gt;IMPEDIMENTOS ACUMULADOS LIBERAO PT/PTT: 0:00 = 0d CONDIES CLIMTICAS: 0:00 = 0d PETROBRAS: 0:00 = 0d OUTROS: 0:00 = 0d APJ: 0:00 = 0d</t>
  </si>
  <si>
    <t>06/01/2026</t>
  </si>
  <si>
    <t>RO-27/2026</t>
  </si>
  <si>
    <t>Os somatrios desde incio at o prazo final da SS dos acmulos de hora parada e meteorolgicas no final da SS a Petrobras ir analisar se e cabvel o abono revertido em acrscimo de dias no prazo de entrega da demanda.Houve chuva na parte da manh, as atividades sofreram impacto de meio dia de servio.1. SECGN:A equipe atuou na atividade de eltrica com montagem dos eletrodutos para cabeamento.Programada a PTT de caldeiraria, mas a equipe no atuou.2. K-04:No K-04 foi realizada a limpeza do local e a retirada dos materiais remanescentes, correo de rufos e calhas.3. K-14:A equipe de caldeiraria atuou com a instalao de perfis da cobertura no galpo maior, e instalao de telhas e calhas do galpo menor e no maior.Enquanto a equipe de eltrica dava sequncia na montagem da infraestrutura para eltrica, com a montagem dos eletrodutos, caixas de passagem e bornes.Foi programada a PTT de pintura, mas a atividade no foi executada.4. UPGN-2:Equipe de caldeiraria atuou no tratamento das bases dos inserts do fechamento lateral.Programada a montagem de andaime no mdulo 02, mas a atividade no foi executada.5. SALA CISC:A equipe de civil atuou na remoo da porta de vidro e instalao de soleira.RO aceito pela fiscalizao.</t>
  </si>
  <si>
    <t>RO DIRIO E OBRA - SS-04/2025 (UPGN-2)  &amp;gt;MONTAGEM DE ESTRUTURA METALICA DO GALPO/MONTAGEM DE TELA- MOD:3 | PEMT:1 | PT: (21068459 |HR SOLIC 08:00 | HR LIB 08:05 |ATRASO 00:00|) - (HR ENC 16:30 | ATRASO 00:00)  &amp;gt;&amp;gt;CONDIES CLIMTICAS: TEMPO COM ANOMALIA &amp;gt;&amp;gt;INCIDNCIA DE CHUVA (08:00 - 11:15)  &amp;gt;&amp;gt;&amp;gt;IMPEDIMENTOS ACUMULADOS LIBERAO PT/PTT: 1:45 = 0,43d CONDIES CLIMTICAS: 15:35 = 1,95d PETROBRAS: 0:00 = 0d OUTROS: 20:00 = 2,5d APJ: 0:00 = 0d  RO DIRIO E OBRA - SS-05/2025 (SECGN)  &amp;gt;REALIZANDO MONTAGEM DE INFRA ESTRUTURA ELETRICA - MOD:3 | PEMT:1 | PT: (21056624 |HR SOLIC 08:00 | HR LIB 08:05 |ATRASO 00:00|) - (HR ENC 16:30 | ATRASO 00:00)  &amp;gt;&amp;gt;CONDIES CLIMTICAS: TEMPO COM ANOMALIA &amp;gt;&amp;gt;INCIDNCIA DE CHUVA (08:00 - 11:15)  &amp;gt;&amp;gt;&amp;gt;IMPEDIMENTOS ACUMULADOS LIBERAO PT/PTT: 15:48 = 1,98d CONDIES CLIMTICAS: 58:25 = 7,31d PETROBRAS: 6:30 = 0,82d OUTROS: 28:00 = 3,5d APJ: 0:00 = 0d   RO DIRIO E OBRA - SS-06/2025 (K-14)  &amp;gt;MONTAGEM DE ESTRUTURA METALICA DO GALPO( TELHAS, CALHAS)- MOD:10 | PEMT:2 | PT: (21071512 |HR SOLIC 08:00 | HR LIB 08:05 |ATRASO 00:00|) - (HR ENC 16:30 | ATRASO 00:00)  &amp;gt;REALIZANDO MONTAGEM DE INFRA ESTRUTURA ELETRICA - MOD:3 | PEMT:1 | PT: (21071478 |HR SOLIC 08:00 | HR LIB 08:05 |ATRASO 00:00|) - (HR ENC 16:30 | ATRASO 00:00)  &amp;gt;&amp;gt;CONDIES CLIMTICAS: TEMPO COM ANOMALIA &amp;gt;&amp;gt;INCIDNCIA DE CHUVA (08:00 - 11:15)  &amp;gt;&amp;gt;&amp;gt;IMPEDIMENTOS ACUMULADOS LIBERAO PT/PTT: 14:21 = 1,8d CONDIES CLIMTICAS: 30:35 = 3,83d PETROBRAS: 0:00 = 0d OUTROS: 28:00 = 3,5d APJ: 0:00 = 0d RO DIRIO E OBRA - SS-10/2025 (K-04)  &amp;gt;REALIZANDO INSTALAO DE CALHAS,RUFOS, RETIRADA DE MATERIAL - MOD:4 | PEMT:1 | PT: (21091485 |HR SOLIC 09:29 | HR LIB 09:31 |ATRASO 00:00|) - (HR ENC 16:30 | ATRASO 00:00)  &amp;gt;&amp;gt;CONDIES CLIMTICAS: TEMPO COM ANOMALIA &amp;gt;&amp;gt;INCIDNCIA DE CHUVA (08:00 - 11:15)  &amp;gt;&amp;gt;&amp;gt;IMPEDIMENTOS ACUMULADOS LIBERAO PT/PTT: 0:00 = 0d CONDIES CLIMTICAS: 10:15 = 1,29d PETROBRAS: 0:00 = 0d OUTROS: 0:00 = 0d APJ: 0:00 = 0d  RO DIRIO E OBRA - SS-18/2025 (SALA CISC)  &amp;gt;REMOO DE PORTA, INSTALAO DE SOLEIRA- MOD:5 | PT: (21091593 |HR SOLIC 09:42 | HR LIB 09:45 |ATRASO 00:00|) - (HR ENC 16:30 | ATRASO 00:00)  &amp;gt;TRANSPORTE E ORGANIZAO DE MATERIAL - MOD:4 | PT: (21079556 |HR SOLIC 08:38 | HR LIB 08:40 |ATRASO 00:00|) - (HR ENC 16:30 | ATRASO 00:00)  &amp;gt;&amp;gt;CONDIES CLIMTICAS: TEMPO BOM  &amp;gt;&amp;gt;&amp;gt;IMPEDIMENTOS ACUMULADOS LIBERAO PT/PTT: 0:00 = 0d CONDIES CLIMTICAS: 0:00 = 0d PETROBRAS: 0:00 = 0d OUTROS: 0:00 = 0d APJ: 0:00 = 0d</t>
  </si>
  <si>
    <t>05/01/2026</t>
  </si>
  <si>
    <t>RO-26/2026</t>
  </si>
  <si>
    <t>Os somatrios desde incio at o prazo final da SS dos acmulos de hora parada e meteorolgicas no final da SS a Petrobras ir analisar se e cabvel o abono revertido em acrscimo de dias no prazo de entrega da demanda.Recesso fim de ano, equipe administrativa no atuou nas atividades administrativas de mobilizao geral. Sem atividades.Sem efetivo de mo de obra direta para prosseguir com a execuo.RO aceito pela fiscalizao.</t>
  </si>
  <si>
    <t>RO DIRIO E OBRA - SS-04/2025 (UPGN-2)  SEM EXPEDIENTE &amp;gt;&amp;gt;CONDIES CLIMTICAS: TEMPO BOM  &amp;gt;&amp;gt;&amp;gt;IMPEDIMENTOS ACUMULADOS LIBERAO PT/PTT: 1:45 = 0,43d CONDIES CLIMTICAS: 12:20 = 1,55d PETROBRAS: 0:00 = 0d OUTROS: 20:00 = 2,5d APJ: 0:00 = 0d   RO DIRIO E OBRA - SS-05/2025 (SECGN)SEM EXPEDIENTE &amp;gt;&amp;gt;CONDIES CLIMTICAS: TEMPO BOM  &amp;gt;&amp;gt;&amp;gt;IMPEDIMENTOS ACUMULADOS LIBERAO PT/PTT: 15:48 = 1,98d CONDIES CLIMTICAS: 55:10 = 6,9d PETROBRAS: 6:30 = 0,82d OUTROS: 28:00 = 3,5d APJ: 0:00 = 0d   RO DIRIO E OBRA - SS-06/2025 (K-14)  SEM EXPEDIENTE  &amp;gt;&amp;gt;CONDIES CLIMTICAS: TEMPO BOM  &amp;gt;&amp;gt;&amp;gt;IMPEDIMENTOS ACUMULADOS LIBERAO PT/PTT: 14:21 = 1,8d CONDIES CLIMTICAS: 27:20 = 3,42d PETROBRAS: 0:00 = 0d OUTROS: 28:00 = 3,5d APJ: 0:00 = 0d RO DIRIO E OBRA - SS-10/2025 (K-04)  SEM EXPEDIENTE  &amp;gt;&amp;gt;CONDIES CLIMTICAS: TEMPO BOM  &amp;gt;&amp;gt;&amp;gt;IMPEDIMENTOS ACUMULADOS LIBERAO PT/PTT: 0:00 = 0d CONDIES CLIMTICAS: 7:00 = 0,88d PETROBRAS: 0:00 = 0d OUTROS: 0:00 = 0d APJ: 0:00 = 0 RO DIRIO E OBRA - SS-18/2025 (SALA CISC)  SEM EXPEDIENTE  &amp;gt;&amp;gt;CONDIES CLIMTICAS: TEMPO BOM  &amp;gt;&amp;gt;&amp;gt;IMPEDIMENTOS ACUMULADOS LIBERAO PT/PTT: 0:00 = 0d CONDIES CLIMTICAS: 0:00 = 0d PETROBRAS: 0:00 = 0d OUTROS: 0:00 = 0d APJ: 0:00 = 0d  RO DIRIO E OBRA - SS-31/2025 (K-18) ADEQUAO DE AREA DA PORTARIA)  SEM EXPEDIENTE &amp;gt;&amp;gt;CONDIES CLIMTICAS: TEMPO BOM  &amp;gt;&amp;gt;&amp;gt;IMPEDIMENTOS ACUMULADOS LIBERAO PT/PTT: 0:00 = 0d CONDIES CLIMTICAS: 0:00 = 0d PETROBRAS: 0:00 = 0d OUTROS: 0:00 = 0d APJ: 0:00 = 0d</t>
  </si>
  <si>
    <t>RO-25/2026</t>
  </si>
  <si>
    <t>03/01/2026</t>
  </si>
  <si>
    <t>RO-24/2026</t>
  </si>
  <si>
    <t>02/01/2026</t>
  </si>
  <si>
    <t>RO-23/2026</t>
  </si>
  <si>
    <t>Fiscalizao aprova RO apresentado!PTT liberada, execuo de forros e emassamento de paredes, adequao da aduela p instalao.</t>
  </si>
  <si>
    <t>"RO DIRIO E OBRA - SS-22/2025 (SALA CISC)&amp;gt;LIXAMENTO DE PAREDES, CORTE DE ADUELA E CONCLUSO DO FORRO MINERAL - MOD:4 |PT: (21033342 |HR SOLIC 09:00 | HR LIB 09:30 |ATRASO 00:00|) - (HR ENC 14:30 | ATRASO 02:00)&amp;gt;&amp;gt;CONDIES CLIMTICAS: TEMPO BOM&amp;gt;&amp;gt;&amp;gt;IMPEDIMENTOS ACUMULADOSLIBERAO PT/PTT: 46:36 = 5,83dCONDIES CLIMTICAS: 0:00 = 0dPETROBRAS: 0:00 = 0dOUTROS: 0:00 = 0dAPJ: 0:00 = 0d"</t>
  </si>
  <si>
    <t>RO-22/2026</t>
  </si>
  <si>
    <t>Fiscalizao aprova RO apresentado.Executado substituio de 12 luminrias entre o DATA CENTER e COMPLEXO DE CONTINGENCIA.Libra solicitada as 08:05h, sendo executada as 10:02h.</t>
  </si>
  <si>
    <t>"RO DIRIO E OBRA - SS-17/2025 (LUMINOSIDADE)&amp;gt;TROCA DAS LUMINRIAS NAS REAS DOS JARDINS DO DATA CENTER E DO COMPLEXO DE CONTINGNCIAS - MOD:5 |PT: (21102545 |HR SOLIC 08:32 | HR LIB 08:58 |ATRASO 00:00|) - (HR ENC 16:30 | ATRASO 00:00)&amp;gt;&amp;gt;CONDIES CLIMTICAS: TEMPO BOM&amp;gt;&amp;gt;&amp;gt;IMPEDIMENTOS ACUMULADOSLIBERAO PT/PTT: 0:22 = 0,05dCONDIES CLIMTICAS: 12:30 = 1,57dPETROBRAS: 11:00 = 1,38dOUTROS: 2:20 = 0,3dAPJ: 0:00 = 0d"</t>
  </si>
  <si>
    <t>RO-21/2026</t>
  </si>
  <si>
    <t>Equipe da Torres Brasil, subcontratada da APJ est atuando na manuteno das torres de resfriamento, Atividades realizadas no dia de hoje: Remoo e transporte para ponto de coleta/ descarte do material de enchimento de grade das torres de resfriamento A e B.Houve nesse dia a visita tcnica da empresa que ser responsvel pela aferio de rudos das torres, aps a concluso dos trabalhos e comissionamento das mesmas.</t>
  </si>
  <si>
    <t>"RO DIRIO E OBRA - SS-15/2025 (TORRE RESFR)&amp;gt;REMOO DO ENCHIMENTO DE GRADE DAS TORRES DE RESFRIAMENTO - MOD:3 |PT: (21102110 |HR SOLIC 07:57 | HR LIB 08:16 |ATRASO 00:00|) - (HR ENC 16:30 | ATRASO 00:00)&amp;gt;&amp;gt;CONDIES CLIMTICAS: TEMPO BOM&amp;gt;&amp;gt;&amp;gt;IMPEDIMENTOS ACUMULADOSLIBERAO PT/PTT: 3:49 = 0,48dCONDIES CLIMTICAS: 2:30 = 0,32dPETROBRAS: 4:30 = 0,57dOUTROS: 4:55 = 0,62dAPJ: 0:00 = 0d"</t>
  </si>
  <si>
    <t>RO-20/2026</t>
  </si>
  <si>
    <t>Equipe est atuando na substituio das telas que se encontram mais amassadas conforme alinhado em visita em campo da contratada e fiscalizao, a substituio das telas e isolamento acstico da parede Norte nas partes mais altas sero executadas pelos Iratas, na parte baixa que no exige acesso est sendo efetuada pela equipe em atuao da atividade.Atividade no dia de hoje foi iniciada mas devido est restando telas faltantes a chegarem, o efetivo da equipe foi deslocado para o servio da retirada dos enchimentos das torres (SS-15).</t>
  </si>
  <si>
    <t>"RO DIRIO E OBRA - SS-16/2025 (ACSTICO)&amp;gt;ACABAMENTOS E PENTE FINO - PARTE INFERIOR ALA NORTE - MOD:4 |PT: (21101713 |HR SOLIC 07:15 | HR LIB 07:50 |ATRASO 00:05|) - (HR ENC 16:30 | ATRASO 00:00)&amp;gt;&amp;gt;CONDIES CLIMTICAS: TEMPO BOM&amp;gt;&amp;gt;&amp;gt;IMPEDIMENTOS ACUMULADOSLIBERAO PT/PTT: 23:07 = 2,89dCONDIES CLIMTICAS: 2:30 = 0,32dPETROBRAS: 1:30 = 0,19dOUTROS: 0:00 = 0dAPJ: 0:00 = 0d"</t>
  </si>
  <si>
    <t>RO-19/2026</t>
  </si>
  <si>
    <t>Equipe est atuando na substituio das telas que se encontram mais amassadas conforme alinhado em visita em campo da contratada e fiscalizao, a substituio das telas e isolamento acstico da parede Norte nas partes mais altas sero executadas pelos Iratas, na parte baixa que no exige acesso est sendo efetuada pela equipe em atuao da atividade.Devido as chuvas que ocorreram durante o dia, a atividade sofreu impactos no seu rendimento e produo.</t>
  </si>
  <si>
    <t>"RO DIRIO E OBRA - SS-16/2025 (ACSTICO)&amp;gt;ACABAMENTOS NA ALA SUL - PARTE INFERIOR - MOD:4 |PT: (21096264 |HR SOLIC 07:40 | HR LIB 08:10 |ATRASO 00:00|) - (HR ENC 16:30 | ATRASO 00:00)&amp;gt;&amp;gt;CONDIES CLIMTICAS: TEMPO BOM&amp;gt;&amp;gt;&amp;gt;IMPEDIMENTOS ACUMULADOSLIBERAO PT/PTT: 23:02 = 2,88dCONDIES CLIMTICAS: 2:30 = 0,32dPETROBRAS: 1:30 = 0,19dOUTROS: 0:00 = 0dAPJ: 0:00 = 0d"</t>
  </si>
  <si>
    <t>RO-18/2026</t>
  </si>
  <si>
    <t>Fiscalizao aprova RO apresentado!PTT liberada, execuo de forros e emassamento de paredes.</t>
  </si>
  <si>
    <t>"RO DIRIO E OBRA - SS-22/2025 (SALA CISC)&amp;gt;LIXAMENTO DE PAREDES, INSTALAO DE FORROS E REGULARIZAO DE RODAPS. - MOD:4 |PT: (21033342 |HR SOLIC 07:30 | HR LIB 09:00 |ATRASO 01:00|) - (HR ENC 14:30 | ATRASO 02:00)&amp;gt;&amp;gt;CONDIES CLIMTICAS: TEMPO BOM&amp;gt;&amp;gt;&amp;gt;IMPEDIMENTOS ACUMULADOSLIBERAO PT/PTT: 46:36 = 5,83dCONDIES CLIMTICAS: 0:00 = 0dPETROBRAS: 0:00 = 0dOUTROS: 0:00 = 0dAPJ: 0:00 = 0d"</t>
  </si>
  <si>
    <t>RO-17/2026</t>
  </si>
  <si>
    <t>A atividade foi iniciada no perodo da tarde, pois na parte da manh o tempo se encontrava instvel e chuvoso, no foi possvel executar a LIBRA nos circuitos do local , devido a infra de cabos no estar ligada ou inexistente nos locais dos pontos das luminrias de cho.A situao foi reportada a equipe de soluo atuante na demanda e ser informada ao cliente para darmos sequncia nas atividades e termos referncia para proceder diante das situaes que esto sendo encontradas em campo.</t>
  </si>
  <si>
    <t>"RO DIRIO E OBRA - SS-17/2025 (LUMINOSIDADE)&amp;gt;SUBSTITUIO DE LUMINRIAS - ACESSO DE VEICULOS - LADO OESTE - MOD:4 |PT: (21099419 |HR SOLIC 13:48 | HR LIB 14:30 |ATRASO 00:12|) - (HR ENC 16:30 | ATRASO 00:00)&amp;gt;&amp;gt;CONDIES CLIMTICAS: TEMPO COM ANOMALIA&amp;gt;&amp;gt;INCIDNCIA DE CHUVA (07:30 - 12:00)&amp;gt;&amp;gt;OS CIRCUITOS NO FORAM INDENTIFICADOS, IMPOSSIBILITANDO A LIBRA E A EXECUO DAS ATIVIDADES. (13:00 - 16:30)&amp;gt;&amp;gt;&amp;gt;IMPEDIMENTOS ACUMULADOSLIBERAO PT/PTT: 0:22 = 0,05dCONDIES CLIMTICAS: 12:30 = 1,57dPETROBRAS: 11:00 = 1,38dOUTROS: 2:20 = 0,3dAPJ: 0:00 = 0d"</t>
  </si>
  <si>
    <t>RO-16/2026</t>
  </si>
  <si>
    <t>Equipe da Torres Brasil, subcontratada da APJ est atuando na manuteno das torres de resfriamento, Atividades realizadas no dia de hoje: Furao dos perfis de fixao dos suportes tipo cantoneira. (Bancada de Apoio)Devido as chuvas no foi possvel o trabalho interno nas torres que esto bloqueadas para manuteno.</t>
  </si>
  <si>
    <t>"RO DIRIO E OBRA - SS-15/2025 (TORRE RESFR)&amp;gt;FURAO NOS PERFIS DE FIXAO DOS SUPORTES TIPO CANTONEIRA - MOD:2 |PT: (21096255 |HR SOLIC 07:45 | HR LIB 08:11 |ATRASO 00:00|) - (HR ENC 16:30 | ATRASO 00:00)&amp;gt;&amp;gt;CONDIES CLIMTICAS: TEMPO BOM&amp;gt;&amp;gt;&amp;gt;IMPEDIMENTOS ACUMULADOSLIBERAO PT/PTT: 3:49 = 0,48dCONDIES CLIMTICAS: 2:30 = 0,32dPETROBRAS: 4:30 = 0,57dOUTROS: 4:55 = 0,62dAPJ: 0:00 = 0d"</t>
  </si>
  <si>
    <t>RO-15/2026</t>
  </si>
  <si>
    <t>INVENTARIO PRODUTOS QUIMICOS 12 2025.pdf; FDS - 0030 MASSA DRYWALL.pdf; FDS - 0031 CHAPA DE GESSO.pdf; ANEXO 005- _Inventário Produdos Quimicos - APJ.xls</t>
  </si>
  <si>
    <t>Envio do doc. CDIGO 372- FDS juntamente com o inventrio dos produtos qumicos para avaliao.</t>
  </si>
  <si>
    <t>RO-14/2026</t>
  </si>
  <si>
    <t>No houve atividade no dia, tempo foi de incidncia de chuva durante o dia todo, impedindo a realizao da atividade.Alm disso a equipe da Torres Brasil subcontratada da APJ se encontrava em viajem de retorno do recesso de final de ano.</t>
  </si>
  <si>
    <t>RO-13/2026</t>
  </si>
  <si>
    <t>No houve atividade no dia, tempo foi de incidncia de chuva durante o dia todo, impedindo a realizao da atividade.</t>
  </si>
  <si>
    <t>"RO DIRIO E OBRA - SS-17/2025 (LUMINOSIDADE)&amp;gt;NO HOUVE ATIVIDADE NESTE DIA - MOD: |PT: ( |HR SOLIC 00:00 | HR LIB 00:00 |ATRASO |) - (HR ENC 00:00 | ATRASO )&amp;gt;&amp;gt;CONDIES CLIMTICAS: TEMPO COM ANOMALIA&amp;gt;&amp;gt;INCIDNCIA DE CHUVA (07:30 - 16:30)&amp;gt;&amp;gt;&amp;gt;IMPEDIMENTOS ACUMULADOSLIBERAO PT/PTT: 0:10 = 0,03dCONDIES CLIMTICAS: 8:00 = 1dPETROBRAS: 7:30 = 0,94dOUTROS: 2:20 = 0,3dAPJ: 0:00 = 0d"</t>
  </si>
  <si>
    <t>RO-12/2026</t>
  </si>
  <si>
    <t>"RO DIRIO E OBRA - SS-22/2025 (SALA CISC)&amp;gt;EMASSAMENTO E LIXAMENTO DE PAREDES - MOD:4 |PT: (21033342 |HR SOLIC 09:00 | HR LIB 09:30 |ATRASO 00:00|) - (HR ENC 16:30 | ATRASO 00:00)&amp;gt;&amp;gt;CONDIES CLIMTICAS: TEMPO BOM&amp;gt;&amp;gt;&amp;gt;IMPEDIMENTOS ACUMULADOSLIBERAO PT/PTT: 43:36 = 5,45dCONDIES CLIMTICAS: 0:00 = 0dPETROBRAS: 0:00 = 0dOUTROS: 0:00 = 0dAPJ: 0:00 = 0d"</t>
  </si>
  <si>
    <t>RO-11/2026</t>
  </si>
  <si>
    <t>"RO DIRIO E OBRA - SS-16/2025 (ACSTICO)&amp;gt;ISOLAMENTO ACSTICO - MOD:4 |PT: (21090673 |HR SOLIC 07:47 | HR LIB 08:15 |ATRASO 00:00|) - (HR ENC 16:30 | ATRASO 00:00)&amp;gt;&amp;gt;CONDIES CLIMTICAS: TEMPO BOM&amp;gt;&amp;gt;&amp;gt;IMPEDIMENTOS ACUMULADOSLIBERAO PT/PTT: 23:02 = 2,88dCONDIES CLIMTICAS: 2:30 = 0,32dPETROBRAS: 1:30 = 0,19dOUTROS: 0:00 = 0dAPJ: 0:00 = 0d"</t>
  </si>
  <si>
    <t>RO-10/2026</t>
  </si>
  <si>
    <t>381-  REM DEZEMBRO 2025 APJ rev II.xlsx; 376 -RMS UTGC DEZEMBRO 25.pdf; 376- RMS EDIVIT DEZEMBRO 2025.pdf</t>
  </si>
  <si>
    <t>Envio dos doc: CDIGO376 -RMS - Relatrio Mensal de SMS das unidades UTGC e EDVITI, CDIGO381 -REM e REMe - Relatrio Estatstico Mensal unificado UTGC e EDIVIT.</t>
  </si>
  <si>
    <t>RO-8/2026</t>
  </si>
  <si>
    <t>Os somatrios desde incio at o prazo final da SS dos acmulos de hora parada e meteorolgicas no final da SS a Petrobras ir analisar se e cabvel o abono revertido em acrscimo de dias no prazo de entrega da demanda.Feriado e recesso fim de ano, equipe administrativa no atuou nas atividades administrativas de mobilizao geral. Sem atividades.Sem efetivo de mo de obra direta para prosseguir com a execuo.RO aceito pela fiscalizao.</t>
  </si>
  <si>
    <t>01/01/2026</t>
  </si>
  <si>
    <t>RO-7/2026</t>
  </si>
  <si>
    <t>31/12/2025</t>
  </si>
  <si>
    <t>RO-6/2026</t>
  </si>
  <si>
    <t>30/12/2025</t>
  </si>
  <si>
    <t>RO-5/2026</t>
  </si>
  <si>
    <t>29/12/2025</t>
  </si>
  <si>
    <t>RO-4/2026</t>
  </si>
  <si>
    <t>Os somatrios desde incio at o prazo final da SS dos acmulos de hora parada e meteorolgicas no final da SS a Petrobras ir analisar se e cabvel o abono revertido em acrscimo de dias no prazo de entrega da demanda.Domingo e recesso, equipe administrativa no atuou nas atividades administrativas de mobilizao geral. Sem atividades.Sem efetivo de mo de obra direta para prosseguir com a execuo.RO aceito pela fiscalizao.</t>
  </si>
  <si>
    <t>28/12/2025</t>
  </si>
  <si>
    <t>RO-3/2026</t>
  </si>
  <si>
    <t>Os somatrios desde incio at o prazo final da SS dos acmulos de hora parada e meteorolgicas no final da SS a Petrobras ir analisar se e cabvel o abono revertido em acrscimo de dias no prazo de entrega da demanda.Sbado e recesso, equipe administrativa no atuou nas atividades administrativas de mobilizao geral. Sem atividades.Sem efetivo de mo de obra direta para prosseguir com a execuo.RO aceito pela fiscalizao.</t>
  </si>
  <si>
    <t>27/12/2025</t>
  </si>
  <si>
    <t>RO-2/2026</t>
  </si>
  <si>
    <t>Os somatrios desde incio at o prazo final da SS dos acmulos de hora parada e meteorolgicas no final da SS a Petrobras ir analisar se e cabvel o abono revertido em acrscimo de dias no prazo de entrega da demanda.K-04:Equipe emergencial para atuar na entrega da demanda.No K-04 foi realizada a instalao das novas telhas e das calhas.A equipe de eltrica atuou na instalao de grampos e conectores do sistema SPDA.As demais demandas no havia mo de obra para execuo, pois a equipe estava em recesso de fim de ano.RO aceito pela fiscalizao.</t>
  </si>
  <si>
    <t>RO DIRIO E OBRA - SS-04/2025 (UPGN-2)  SEM ATIVIDADES &amp;gt;&amp;gt;CONDIES CLIMTICAS: TEMPO BOM &amp;gt;&amp;gt;&amp;gt;IMPEDIMENTOS ACUMULADOS LIBERAO PT/PTT: 1:45 = 0,43d CONDIES CLIMTICAS: 12:20 = 1,55d PETROBRAS: 0:00 = 0d OUTROS: 20:00 = 2,5d APJ: 0:00 = 0d   RO DIRIO E OBRA - SS-05/2025 (SECGN)SEM ATIVIDADES &amp;gt;&amp;gt;CONDIES CLIMTICAS: TEMPO BOM  &amp;gt;&amp;gt;&amp;gt;IMPEDIMENTOS ACUMULADOS LIBERAO PT/PTT: 15:48 = 1,98d CONDIES CLIMTICAS: 55:10 = 6,9d PETROBRAS: 6:30 = 0,82d OUTROS: 28:00 = 3,5d APJ: 0:00 = 0d   RO DIRIO E OBRA - SS-06/2025 (K-14)  SEM ATIVIDADES  &amp;gt;&amp;gt;CONDIES CLIMTICAS: TEMPO BOM  &amp;gt;&amp;gt;&amp;gt;IMPEDIMENTOS ACUMULADOS LIBERAO PT/PTT: 14:21 = 1,8d CONDIES CLIMTICAS: 27:20 = 3,42d PETROBRAS: 0:00 = 0d OUTROS: 28:00 = 3,5d APJ: 0:00 = 0d RO DIRIO E OBRA - SS-10/2025 (K-04)  &amp;gt; INSTALAO DE TELHAS E CALHAS- MOD:6 | PEMT:1 | PT: (21073773 |HR SOLIC 08:00 | HR LIB 08:05 |ATRASO 00:00|) - (HR ENC 16:30 | ATRASO 00:00)  &amp;gt;REALIZANDO MONTAGEM DE INFRA ESTRUTURA SPDA - MOD:2 | PT: (21073840 |HR SOLIC 07:50 | HR LIB 07:56 |ATRASO 00:00|) - (HR ENC 16:30 | ATRASO 00:00)  &amp;gt;&amp;gt;CONDIES CLIMTICAS: TEMPO BOM  &amp;gt;&amp;gt;&amp;gt;IMPEDIMENTOS ACUMULADOS LIBERAO PT/PTT: 0:00 = 0d CONDIES CLIMTICAS: 7:00 = 0,88d PETROBRAS: 0:00 = 0d OUTROS: 0:00 = 0d APJ: 0:00 = 0 RO DIRIO E OBRA - SS-18/2025 (SALA CISC)  SEM ATIVIDADES  &amp;gt;&amp;gt;CONDIES CLIMTICAS: TEMPO BOM  &amp;gt;&amp;gt;&amp;gt;IMPEDIMENTOS ACUMULADOS LIBERAO PT/PTT: 0:00 = 0d CONDIES CLIMTICAS: 0:00 = 0d PETROBRAS: 0:00 = 0d OUTROS: 0:00 = 0d APJ: 0:00 = 0d  RO DIRIO E OBRA - SS-31/2025 (K-18) ADEQUAO DE AREA DA PORTARIA)SEM ATIVIDADES &amp;gt;&amp;gt;CONDIES CLIMTICAS: TEMPO BOM  &amp;gt;&amp;gt;&amp;gt;IMPEDIMENTOS ACUMULADOS LIBERAO PT/PTT: 0:00 = 0d CONDIES CLIMTICAS: 0:00 = 0d PETROBRAS: 0:00 = 0d OUTROS: 0:00 = 0d APJ: 0:00 = 0d</t>
  </si>
  <si>
    <t>RO-1/2026</t>
  </si>
  <si>
    <t>911 - Controle CHECKLIST APJ- DEZ -25.xlsx; 910-Resumo DDSMS (1).xlsx; 910 - Controle DDS APJ - DEZ-25.xlsx; 911 - Controle CHECKLIST APJ- DEZ -25.xlsx</t>
  </si>
  <si>
    <t>Envio do doc. CDIGO 911 -Evidncia da realizao de Check List para avalio.Envio do doc. CDIGO 910 -Evidncia da realizao de DDSMSpara avalio.</t>
  </si>
  <si>
    <t>RO-441/2025</t>
  </si>
  <si>
    <t>Os somatrios desde incio at o prazo final da SS dos acmulos de hora parada e meteorolgicas no final da SS a Petrobras ir analisar se e cabvel o abono revertido em acrscimo de dias no prazo de entrega da demanda.Feriado, equipe administrativa no atuou nas atividades administrativas de mobilizao geral. Sem atividades.Sem efetivo de mo de obra direta para prosseguir com a execuo.RO aceito pela fiscalizao.</t>
  </si>
  <si>
    <t>RO DIRIO E OBRA - SS-04/2025 (UPGN-2)  SEM EXPEDIENTE &amp;gt;&amp;gt;CONDIES CLIMTICAS: TEMPO BOM  &amp;gt;&amp;gt;&amp;gt;IMPEDIMENTOS ACUMULADOS LIBERAO PT/PTT: 1:45 = 0,43d CONDIES CLIMTICAS: 12:20 = 1,55d PETROBRAS: 0:00 = 0d OUTROS: 20:00 = 2,5d APJ: 0:00 = 0d   RO DIRIO E OBRA - SS-05/2025 (SECGN)SEM EXPEDIENTE &amp;gt;&amp;gt;CONDIES CLIMTICAS: TEMPO BOM  &amp;gt;&amp;gt;&amp;gt;IMPEDIMENTOS ACUMULADOS LIBERAO PT/PTT: 15:48 = 1,98d CONDIES CLIMTICAS: 55:10 = 6,9d PETROBRAS: 6:30 = 0,82d OUTROS: 28:00 = 3,5d APJ: 0:00 = 0d   RO DIRIO E OBRA - SS-06/2025 (K-14) SEM EXPEDINETE &amp;gt;&amp;gt;CONDIES CLIMTICAS: TEMPO BOM  &amp;gt;&amp;gt;&amp;gt;IMPEDIMENTOS ACUMULADOS LIBERAO PT/PTT: 14:21 = 1,8d CONDIES CLIMTICAS: 27:20 = 3,42d PETROBRAS: 0:00 = 0d OUTROS: 28:00 = 3,5d APJ: 0:00 = 0d RO DIRIO E OBRA - SS-07/2025 (K-15) SEM EXPEDIENTE &amp;gt;&amp;gt;CONDIES CLIMTICAS: TEMPO BOM  &amp;gt;&amp;gt;&amp;gt;IMPEDIMENTOS ACUMULADOS LIBERAO PT/PTT: 17:13 = 2,16d CONDIES CLIMTICAS: 41:10 = 5,15d PETROBRAS: 0:00 = 0d OUTROS: 28:00 = 3,5d APJ: 0:00 = 0d  RO DIRIO E OBRA - SS-09/2025 (UPGN-3)  CONCLUIDO &amp;gt;&amp;gt;CONDIES CLIMTICAS: TEMPO BOM  &amp;gt;&amp;gt;&amp;gt;IMPEDIMENTOS ACUMULADOS LIBERAO PT/PTT: 21:57 = 2,75d CONDIES CLIMTICAS: 55:50 = 6,98d PETROBRAS: 0:00 = 0d OUTROS: 28:00 = 3,5d APJ: 0:00 = 0d   RO DIRIO E OBRA - SS-10/2025 (K-04) SEM EXPEDIENTE &amp;gt;&amp;gt;CONDIES CLIMTICAS: TEMPO BOM  &amp;gt;&amp;gt;&amp;gt;IMPEDIMENTOS ACUMULADOS LIBERAO PT/PTT: 0:00 = 0d CONDIES CLIMTICAS: 7:00 = 0,88d PETROBRAS: 0:00 = 0d OUTROS: 0:00 = 0d APJ: 0:00 = 0   RO DIRIO E OBRA - SS-31/2025 ((K-18)ADEQUAO DE AREA DA PORTARIA) SEM EXPEDIENTE  &amp;gt;&amp;gt;CONDIES CLIMTICAS: TEMPO BOM  &amp;gt;&amp;gt;&amp;gt;IMPEDIMENTOS ACUMULADOS LIBERAO PT/PTT: 0:00 = 0d CONDIES CLIMTICAS: 0:00 = 0d PETROBRAS: 0:00 = 0d OUTROS: 0:00 = 0d APJ: 0:00 = 0d</t>
  </si>
  <si>
    <t>25/12/2025</t>
  </si>
  <si>
    <t>RO-440/2025</t>
  </si>
  <si>
    <t>Os somatrios desde incio at o prazo final da SS dos acmulos de hora parada e meteorolgicas no final da SS a Petrobras ir analisar se e cabvel o abono revertido em acrscimo de dias no prazo de entrega da demanda.Vspera de feriado, equipe administrativa no atuou nas atividades administrativas de mobilizao geral. Sem atividades.Sem efetivo de mo de obra direta para prosseguir com a execuo.RO aceito pela fiscalizao.</t>
  </si>
  <si>
    <t>RO DIRIO E OBRA - SS-04/2025 (UPGN-2)  SEM EXPEDIENTE  &amp;gt;&amp;gt;CONDIES CLIMTICAS: TEMPO BOM  &amp;gt;&amp;gt;&amp;gt;IMPEDIMENTOS ACUMULADOS LIBERAO PT/PTT: 1:45 = 0,43d CONDIES CLIMTICAS: 12:20 = 1,55d PETROBRAS: 0:00 = 0d OUTROS: 20:00 = 2,5d APJ: 0:00 = 0d   RO DIRIO E OBRA - SS-05/2025 (SECGN)  SEM EXPEDIENTE  &amp;gt;&amp;gt;CONDIES CLIMTICAS: TEMPO BOM  &amp;gt;&amp;gt;&amp;gt;IMPEDIMENTOS ACUMULADOS LIBERAO PT/PTT: 15:48 = 1,98d CONDIES CLIMTICAS: 55:10 = 6,9d PETROBRAS: 6:30 = 0,82d OUTROS: 28:00 = 3,5d APJ: 0:00 = 0d   RO DIRIO E OBRA - SS-06/2025 (K-14) SEM EXPEDINETE &amp;gt;&amp;gt;CONDIES CLIMTICAS: TEMPO BOM  &amp;gt;&amp;gt;&amp;gt;IMPEDIMENTOS ACUMULADOS LIBERAO PT/PTT: 14:21 = 1,8d CONDIES CLIMTICAS: 27:20 = 3,42d PETROBRAS: 0:00 = 0d OUTROS: 28:00 = 3,5d APJ: 0:00 = 0d RO DIRIO E OBRA - SS-07/2025 (K-15) SEM EXPEDIENTE &amp;gt;&amp;gt;CONDIES CLIMTICAS: TEMPO BOM  &amp;gt;&amp;gt;&amp;gt;IMPEDIMENTOS ACUMULADOS LIBERAO PT/PTT: 17:13 = 2,16d CONDIES CLIMTICAS: 41:10 = 5,15d PETROBRAS: 0:00 = 0d OUTROS: 28:00 = 3,5d APJ: 0:00 = 0d  RO DIRIO E OBRA - SS-09/2025 (UPGN-3)  CONCLUIDO  &amp;gt;&amp;gt;CONDIES CLIMTICAS: TEMPO BOM  &amp;gt;&amp;gt;&amp;gt;IMPEDIMENTOS ACUMULADOS LIBERAO PT/PTT: 21:57 = 2,75d CONDIES CLIMTICAS: 55:50 = 6,98d PETROBRAS: 0:00 = 0d OUTROS: 28:00 = 3,5d APJ: 0:00 = 0d   RO DIRIO E OBRA - SS-10/2025 (K-04) SEM EXPEDIENTE &amp;gt;&amp;gt;CONDIES CLIMTICAS: TEMPO BOM  &amp;gt;&amp;gt;&amp;gt;IMPEDIMENTOS ACUMULADOS LIBERAO PT/PTT: 0:00 = 0d CONDIES CLIMTICAS: 7:00 = 0,88d PETROBRAS: 0:00 = 0d OUTROS: 0:00 = 0d APJ: 0:00 = 0   RO DIRIO E OBRA - SS-31/2025 ((K-18)ADEQUAO DE AREA DA PORTARIA) SEM EXPEDIENTE  &amp;gt;&amp;gt;CONDIES CLIMTICAS: TEMPO BOM  &amp;gt;&amp;gt;&amp;gt;IMPEDIMENTOS ACUMULADOS LIBERAO PT/PTT: 0:00 = 0d CONDIES CLIMTICAS: 0:00 = 0d PETROBRAS: 0:00 = 0d OUTROS: 0:00 = 0d APJ: 0:00 = 0d</t>
  </si>
  <si>
    <t>RO-439/2025</t>
  </si>
  <si>
    <t>Os somatrios desde incio at o prazo final da SS dos acmulos de hora parada e meteorolgicas no final da SS a Petrobras ir analisar se e cabvel o abono revertido em acrscimo de dias no prazo de entrega da demanda.1. SECGN:Sem atividades programadas. Equipe dando prioridade nas demandas que precisavam finalizar.2. K-15:Equipe de eltrica realizou os testes da eltrica e comissionamento do galpo.A equipe de pintura atuou nos retoques de pintura da estrutura metlica e da estrutura de concreto (vigas e pilares), enquanto a equipe de caldeiraria atuou na correo da estrutura metlica.3. K-04:No K-04 foi realizada a remoo das telhas da cobertura do prdio mais alto e a instalao das novas telhas.4. K-14:A equipe de caldeiraria atuou com a instalao de perfis da cobertura no galpo maior, e instalao de telhas e calhas do galpo menor.Equipe de eltrica dando sequncia na atividade de instalao da infra eltrica.5. UPGN-2:Foram programadas as atividades de caldeiraria e montagem de andaime, mas a equipe deu prioridade nas demandas6. SALA CISC:Sem atividades.7. ADEQUAO DO K-18:A equipe de civil atuou na instalao de janela e rodaps do piso, instalao de porta e pintura das paredes internas (retoques).RO aceito pela fiscalizao.</t>
  </si>
  <si>
    <t>RO DIRIO E OBRA - SS-04/2025 (UPGN-2) PT DE ANDAIME E CALDEIRARIA PROGRAMADAS,MAS SEM ATIVIDADES  &amp;gt;&amp;gt;CONDIES CLIMTICAS: TEMPO BOM  &amp;gt;&amp;gt;&amp;gt;IMPEDIMENTOS ACUMULADOS LIBERAO PT/PTT: 1:45 = 0,43d CONDIES CLIMTICAS: 12:20 = 1,55d PETROBRAS: 0:00 = 0d OUTROS: 20:00 = 2,5d APJ: 0:00 = 0d   RO DIRIO E OBRA - SS-05/2025 (SECGN)  SEM ATIVIDADES  &amp;gt;&amp;gt;CONDIES CLIMTICAS: TEMPO BOM  &amp;gt;&amp;gt;&amp;gt;IMPEDIMENTOS ACUMULADOS LIBERAO PT/PTT: 15:48 = 1,98d CONDIES CLIMTICAS: 55:10 = 6,9d PETROBRAS: 6:30 = 0,82d OUTROS: 28:00 = 3,5d APJ: 0:00 = 0d   RO DIRIO E OBRA - SS-06/2025 (K-14)  &amp;gt;MONTAGEM DE ESTRUTURA METALICA DO GALPO( TELHAS, CALHAS)- MOD:10 | PEMT:2 | PT: (21068357 |HR SOLIC 08:10 | HR LIB 08:35 |ATRASO 00:00|) - (HR ENC 16:30 | ATRASO 00:00)  &amp;gt;REALIZANDO MONTAGEM DE INFRA ESTRUTURA ELETRICA - MOD:3 | PT: (21068382 |HR SOLIC 09:00 | HR LIB 10:20 |ATRASO 00:50|) - (HR ENC 16:30 | ATRASO 00:00)  &amp;gt;&amp;gt;CONDIES CLIMTICAS: TEMPO BOM  &amp;gt;&amp;gt;&amp;gt;IMPEDIMENTOS ACUMULADOS LIBERAO PT/PTT: 14:21 = 1,8d CONDIES CLIMTICAS: 27:20 = 3,42d PETROBRAS: 0:00 = 0d OUTROS: 28:00 = 3,5d APJ: 0:00 = 0d RO DIRIO E OBRA - SS-07/2025 (K-15)  &amp;gt;REALIZANDO MONTAGEM DE INFRA ESTRUTURA ELETRICA - MOD:2 | PEMT:1 | PT: (21068524 |HR SOLIC 08:00 | HR LIB 08:29 |ATRASO 00:00|) - (HR ENC 16:30 | ATRASO 00:00)  &amp;gt;PINTURA DE PONTOS DA ESTRUTURA METALICA- MOD:2 | PEMT:1 | PT: (21068552 |HR SOLIC 08:07 | HR LIB 08:35 |ATRASO 00:00|) - (HR ENC 16:30 | ATRASO 00:00)  &amp;gt;ADEQUAO DE ESTRUTURA METALICA DA ESTRUTURA METALICA- MOD:3 | PEMT:1 | PT: (21068514 |HR SOLIC 08:10 | HR LIB 08:40 |ATRASO 00:00|) - (HR ENC 16:30 | ATRASO 00:00)  &amp;gt;&amp;gt;CONDIES CLIMTICAS: TEMPO BOM  &amp;gt;&amp;gt;&amp;gt;IMPEDIMENTOS ACUMULADOS LIBERAO PT/PTT: 17:13 = 2,16d CONDIES CLIMTICAS: 41:10 = 5,15d PETROBRAS: 0:00 = 0d OUTROS: 28:00 = 3,5d APJ: 0:00 = 0d   RO DIRIO E OBRA - SS-10/2025 (K-04)  &amp;gt;REMOO/INSTALAO DE TELHAS E PERFIS- MOD:6 | PEMT:1 | PT: (21069606 |HR SOLIC 07:52 | HR LIB 07:54 |ATRASO 00:00|) - (HR ENC 16:30 | ATRASO 00:00)  &amp;gt;&amp;gt;CONDIES CLIMTICAS: TEMPO BOM  &amp;gt;&amp;gt;&amp;gt;IMPEDIMENTOS ACUMULADOS LIBERAO PT/PTT: 0:00 = 0d CONDIES CLIMTICAS: 7:00 = 0,88d PETROBRAS: 0:00 = 0d OUTROS: 0:00 = 0d APJ: 0:00 = 0 RO DIRIO E OBRA - SS-18/2025 (SALA CISC)  SEM ATIVIDADES  &amp;gt;&amp;gt;CONDIES CLIMTICAS: TEMPO BOM  &amp;gt;&amp;gt;&amp;gt;IMPEDIMENTOS ACUMULADOS LIBERAO PT/PTT: 0:00 = 0d CONDIES CLIMTICAS: 0:00 = 0d PETROBRAS: 0:00 = 0d OUTROS: 0:00 = 0d APJ: 0:00 = 0d    RO DIRIO E OBRA - SS-31/2025 ((K-18)ADEQUAO DE AREA DA PORTARIA)  &amp;gt;RETIRADA/INSTALAO JANELA, INSTALAO DE PISO, INSTALAO DE PORTA, PINTURA.- MOD:7 | PEMT:1 | PT: (21070432 |HR SOLIC 07:46 | HR LIB 08:00 |ATRASO 00:00|) - (HR ENC 16:30 | ATRASO 00:00)  &amp;gt;&amp;gt;CONDIES CLIMTICAS: TEMPO BOM  &amp;gt;&amp;gt;&amp;gt;IMPEDIMENTOS ACUMULADOS LIBERAO PT/PTT: 0:00 = 0d CONDIES CLIMTICAS: 0:00 = 0d PETROBRAS: 0:00 = 0d OUTROS: 0:00 = 0d APJ: 0:00 = 0d</t>
  </si>
  <si>
    <t>23/12/2025</t>
  </si>
  <si>
    <t>RO-438/2025</t>
  </si>
  <si>
    <t>Sea Master Maritima - Licenças de transporte ES Unificadas.pdf; Sea Master Maritima - LMAR Nº 171.2024 - Armaz. Temp, triagem e beneficiamento de resíduos classe I e II + Condicionantes.pdf; LA UREMADEIRAS_removed (1).pdf</t>
  </si>
  <si>
    <t>Envio do doc. CDIGO 395-Licena Ambiental para Transporte e Descarte de Resduos (LA) para avaliao.</t>
  </si>
  <si>
    <t>RO-437/2025</t>
  </si>
  <si>
    <t>Formulário para saída de resíduos  12 12 2025 APJ Contrato  4600684819.xlsx; Formulário para saída de resíduos  15 12 2025 APJ Contrato  4600684819.xlsx; Formulário para saída de resíduos  19 12 2025 APJ Contrato  4600684819.xlsx</t>
  </si>
  <si>
    <t>Envio do doc. CDIGO 396 -Controle de Sada de Resduos de Obras (Modelo Petrobras ou similar) para avaliao.</t>
  </si>
  <si>
    <t>RO-436/2025</t>
  </si>
  <si>
    <t>certificado_destinacao_final_   MTR 2113713027.pdf</t>
  </si>
  <si>
    <t>Envio do doc. CDIGO 392 -Certificado de Descarte de Resduos (CDR) MTR 2113713027 para avaliao.</t>
  </si>
  <si>
    <t>RO-435/2025</t>
  </si>
  <si>
    <t>GEISONBEZERRA</t>
  </si>
  <si>
    <t>Ata Reunião Mensal de Medição-APJ Engenharia - Janeiro-26 - SALA CISC-UTG-SUL - Assinado.pdf; BM-02.2-DEZ-2025-UTGSUL-UNIFICADO-26-11-2025 A 25-12-2025_REV01 - Assinado.pdf; BM-02.2-DEZ-2025-UTGSUL-UNIFICADO-26-11-2025 A 25-12-2025_REV01.xlsx; MC_BM-02.2-DEZ-2025-UTGSUL-UNIFICADO-26-11-2025 A 25-12-2025_REV01 - Assinado.pdf; Planilha IDF JAN 26 APJ.xlsx</t>
  </si>
  <si>
    <t>1001479160 40</t>
  </si>
  <si>
    <t>99,161</t>
  </si>
  <si>
    <t>Segue pleito de medio 02.2 referente ao UTGSUL.</t>
  </si>
  <si>
    <t>26/11/2025</t>
  </si>
  <si>
    <t>RO-434/2025</t>
  </si>
  <si>
    <t>Ata Reunião Mensal de Medição-APJ Engenharia - Janeiro-26 - Assinado.pdf; BM-04.2-DEZ-2025-EDIVIT-UNIFICADO-26-11-2025 A 25-12-2025_REV01 - Assinado.pdf; BM-04.2-DEZ-2025-EDIVIT-UNIFICADO-26-11-2025 A 25-12-2025_REV01.xlsx; MC_BM-04.2-DEZ-2025-EDIVIT-UNIFICADO-26-11-2025 A 25-12-2025_REV01 - Assinado.pdf; Planilha IDF JAN 26 APJ.xlsx</t>
  </si>
  <si>
    <t>269,436</t>
  </si>
  <si>
    <t>Segue pleito de medio 004 referente ao EDIVIT.</t>
  </si>
  <si>
    <t>RO-433/2025</t>
  </si>
  <si>
    <t>448,169</t>
  </si>
  <si>
    <t>394,756</t>
  </si>
  <si>
    <t>200,208</t>
  </si>
  <si>
    <t>MTR 15 12 2025 EDIVIT.pdf; MTR 19 12 2025 EDIVIT.pdf; MTR 12 12 2025 II EDIVIT.pdf; MTR 15 12 2025 II EDIVIT.pdf; MTR 12 12 2025 EDIVIT.pdf</t>
  </si>
  <si>
    <t>Envio doc. CDIGO391Manifesto de Transporte de Resduos (MTR) para avaliao.</t>
  </si>
  <si>
    <t>RO-432/2025</t>
  </si>
  <si>
    <t>BM-4.2-DEZ-2025-UTGC-UNIFICADO-26-11-2025 A 26-12-2025-REV02.xlsx; MC-4.2-DEZ-2025-UTGC-UNIFICADO-26-11-2025 A 26-12-2025-REV02.pdf; ATA DE REUNIÃO APJ - PROVISIONAMENTO 2026.pdf; BM-4.2-DEZ-2025-UTGC-UNIFICADO-26-11-2025 A 26-12-2025-REV02.pdf</t>
  </si>
  <si>
    <t>1001500843 10</t>
  </si>
  <si>
    <t>1.264,199</t>
  </si>
  <si>
    <t>Segue pleito de medio 4.2 referente a UTGC</t>
  </si>
  <si>
    <t>RO-431/2025</t>
  </si>
  <si>
    <t>821,977</t>
  </si>
  <si>
    <t>1001533192 10</t>
  </si>
  <si>
    <t>94,329</t>
  </si>
  <si>
    <t>1001500851 10</t>
  </si>
  <si>
    <t>452,126</t>
  </si>
  <si>
    <t>279,949</t>
  </si>
  <si>
    <t>758,687</t>
  </si>
  <si>
    <t>2.789,948</t>
  </si>
  <si>
    <t>1001500849 10</t>
  </si>
  <si>
    <t>192,888</t>
  </si>
  <si>
    <t>20,0</t>
  </si>
  <si>
    <t>40,0</t>
  </si>
  <si>
    <t>183,450</t>
  </si>
  <si>
    <t>ATA DE REUNIÃO APJ DEZEMBRO - 2025.pdf; Planilha IDF Dezembro 2025.xlsx; BM-04-DEZ-2025-UTGC-UNIFICADO-26-11-2025 A 25-12-2025-REV004.xlsx; MC-04-DEZ-2025-UTGC-UNIFICADO-26-11-2025 A 25-12-2025-PARTE01-REV004.xlsx; MC-04-DEZ-2025-UTGC-UNIFICADO-26-11-2025 A 25-12-2025-PARTE02-REV004.xlsx; MC-04-DEZ-2025-UTGC-UNIFICADO-26-11-2025 A 25-12-2025-PARTE04-REV004.xlsx; MC-04-DEZ-2025-UTGC-UNIFICADO-26-11-2025 A 25-12-2025-REV004.pdf; BM-04-DEZ-2025-UTGC-UNIFICADO-26-11-2025 A 25-12-2025-REV004.pdf; MC-04-DEZ-2025-UTGC-UNIFICADO-26-11-2025 A 25-12-2025-PARTE03-REV004.xlsx</t>
  </si>
  <si>
    <t>Segue pleito de medio 004 referente a UTGC</t>
  </si>
  <si>
    <t>RO-430/2025</t>
  </si>
  <si>
    <t>31,655</t>
  </si>
  <si>
    <t>381A-SIGEA EDIVIT APJ -DEZ- 25.xlsx</t>
  </si>
  <si>
    <t>Envio do doc. CODIGO - 381 A SIGEA dezembro 2025 para avaliao</t>
  </si>
  <si>
    <t>RO-429/2025</t>
  </si>
  <si>
    <t>VCP-04-11-25.pdf; VCP NOVEMBRO Reporte.pdf</t>
  </si>
  <si>
    <t>Envio do doc. 361 -Evidncias de realizao e plano de ao para desvios encontrados no VCP para avaliao</t>
  </si>
  <si>
    <t>RO-428/2025</t>
  </si>
  <si>
    <t>359-PLANILHA DE RELATOS DO AMIGO DO PEITO -DEZ.xlsx</t>
  </si>
  <si>
    <t>Envio do doc. 359 -Programa de Amigo do Peito para avaliao</t>
  </si>
  <si>
    <t>RO-427/2025</t>
  </si>
  <si>
    <t>Os somatrios desde incio at o prazo final da SS dos acmulos de hora parada e meteorolgicas no final da SS a Petrobras ir analisar se e cabvel o abono revertido em acrscimo de dias no prazo de entrega da demanda.1. SECGN:Sem atividades. Equipe dando prioridade nas demandas que precisavam finalizar.Programada a PT de caldeiraria, mas cancelada pela operao, no havia efetivo.2. K-15:Equipe de caldeiraria finalizou a atividade no sbado, dia 20, foi programada a PT para caso de necessidade, mas no houve atividade.A equipe de eltrica atuou no interior do galpo com a interligao do cabeamento no painel e teste do sistema.3. K-04:No K-04 foi realizada a remoo das telhas da cobertura do prdio mais alto e a instalao das novas telhas.A equipe de pintura atuou no tratamento e pintura dos perfis metlicos.4. K-14:A equipe de caldeiraria atuou com a instalao de perfis da cobertura no galpo maior, e instalao de telhas e calhas do galpo menor.Foram programadas as PT's de eltrica e pintura, mas as atividades no foram executadas.5. UPGN-2:Foi realizada a atividade de montagem de andaime no mdulo 02.Equipe de caldeiraria atuou no tratamento das bases dos inserts do fechamento lateral.6. SALA CISC:Sem atividades.7. ADEQUAO DO K-18:A equipe de civil iniciou a demanda com a remoo das janelas e instalao de rodaps no piso.A equipe de pintura atuou na correo da pintura externa (retoques) e pintura de porta.RO aceito pela fiscalizao.</t>
  </si>
  <si>
    <t>RO DIRIO E OBRA - SS-04/2025 (UPGN-2)  &amp;gt;MONTAGEM DE ANDAIME- MOD:4 | PT: (21065702 |HR SOLIC 08:20 | HR LIB 08:20 |ATRASO 00:00|) - (HR ENC 16:30 | ATRASO 00:00)  &amp;gt;REALIZANDO PREPARAO DE ESTRUTURA METALICA PARA SOLDA DOS INSERT- MOD:4 | PEMT:1 | PT: (21065691 |HR SOLIC 08:40 | HR LIB 08:40 |ATRASO 00:00|) - (HR ENC 16:30 | ATRASO 00:00)  &amp;gt;&amp;gt;CONDIES CLIMTICAS: TEMPO BOM  &amp;gt;&amp;gt;&amp;gt;IMPEDIMENTOS ACUMULADOS LIBERAO PT/PTT: 1:45 = 0,43d CONDIES CLIMTICAS: 12:20 = 1,55d PETROBRAS: 0:00 = 0d OUTROS: 20:00 = 2,5d APJ: 0:00 = 0d  RO DIRIO E OBRA - SS-05/2025 (SECGN)  PT PROGRAMADA MAS SEM ATIVIDADES  &amp;gt;&amp;gt;CONDIES CLIMTICAS: TEMPO BOM  &amp;gt;&amp;gt;&amp;gt;IMPEDIMENTOS ACUMULADOS LIBERAO PT/PTT: 15:48 = 1,98d CONDIES CLIMTICAS: 55:10 = 6,9d PETROBRAS: 6:30 = 0,82d OUTROS: 28:00 = 3,5d APJ: 0:00 = 0d  RO DIRIO E OBRA - SS-06/2025 (K-14)  &amp;gt;MONTAGEM DE ESTRUTURA METALICA DO GALPO( TELHAS, CALHAS) - MOD:10 | PEMT:2 | PT: (21065707 |HR SOLIC 08:10 | HR LIB 08:30 |ATRASO 00:00|) - (HR ENC 16:30 | ATRASO 00:00) PT DE PINTURA E ELTRICA PROGRMADA ,MAS NO EXECUTADA. &amp;gt;&amp;gt;CONDIES CLIMTICAS: TEMPO BOM  &amp;gt;&amp;gt;&amp;gt;IMPEDIMENTOS ACUMULADOS LIBERAO PT/PTT: 13:31 = 1,69d CONDIES CLIMTICAS: 27:20 = 3,42d PETROBRAS: 0:00 = 0d OUTROS: 28:00 = 3,5d APJ: 0:00 = 0d RO DIRIO E OBRA - SS-07/2025 (K-15)  &amp;gt;REALIZANDO MONTAGEM DE INFRA ESTRUTURA ELETRICA - MOD:5 | PEMT:1 | PT: (21064043 |HR SOLIC 08:00 | HR LIB 08:10 |ATRASO 00:00|) - (HR ENC 16:30 | ATRASO 00:00)ATIVIDADE DE CALDEIRARIA PROGRAMA, MAS FOI FINALIZADA NO DIA ANTERIOR.  &amp;gt;&amp;gt;CONDIES CLIMTICAS: TEMPO BOM  &amp;gt;&amp;gt;&amp;gt;IMPEDIMENTOS ACUMULADOS LIBERAO PT/PTT: 17:13 = 2,16d CONDIES CLIMTICAS: 41:10 = 5,15d PETROBRAS: 0:00 = 0d OUTROS: 28:00 = 3,5d APJ: 0:00 = 0d  RO DIRIO E OBRA - SS-10/2025 (K-04)  &amp;gt;REMOO/INSTALAO DE TELHAS E PERFIS- MOD:4 | PEMT:1 | PT: (21066554 |HR SOLIC 08:44 | HR LIB 08:45 |ATRASO 00:00|) - (HR ENC 16:30 | ATRASO 00:00)  &amp;gt;TRATAMENTO E PINTURA DE PERFIS METALICOS- MOD:2 | PT: (21066572 |HR SOLIC 08:50 | HR LIB 08:51 |ATRASO 00:00|) - (HR ENC 16:30 | ATRASO 00:00)  &amp;gt;&amp;gt;CONDIES CLIMTICAS: TEMPO BOM  &amp;gt;&amp;gt;&amp;gt;IMPEDIMENTOS ACUMULADOS LIBERAO PT/PTT: 0:00 = 0d CONDIES CLIMTICAS: 7:00 = 0,88d PETROBRAS: 0:00 = 0d OUTROS: 0:00 = 0d APJ: 0:00 = 0d RO DIRIO E OBRA - SS-18/2025 (SALA CISC)  SEM ATIVIDADES  &amp;gt;&amp;gt;CONDIES CLIMTICAS: TEMPO BOM  &amp;gt;&amp;gt;&amp;gt;IMPEDIMENTOS ACUMULADOS LIBERAO PT/PTT: 0:00 = 0d CONDIES CLIMTICAS: 0:00 = 0d PETROBRAS: 0:00 = 0d OUTROS: 0:00 = 0d APJ: 0:00 = 0d RO DIRIO E OBRA - SS-31/2025 ((K-18)ADEQUAO DE AREA DA PORTARIA)  &amp;gt;RETIRADA/INSTALAO JANELA,INSTALAO DE PISO.- MOD:9 | PEMT:1 | PT: (21066580 |HR SOLIC 08:00 | HR LIB 08:20 |ATRASO 00:00|) - (HR ENC 16:30 | ATRASO 00:00)  &amp;gt;TRATAMENTO E PINTURA DAS ESTRUTURAS DE CONCRETO E PINTURA DE PORTA- MOD:2 | PT: (21067238 |HR SOLIC 08:05 | HR LIB 08:10 |ATRASO 00:00|) - (HR ENC 16:30 | ATRASO 00:00)  &amp;gt;&amp;gt;CONDIES CLIMTICAS: TEMPO BOM  &amp;gt;&amp;gt;&amp;gt;IMPEDIMENTOS ACUMULADOS LIBERAO PT/PTT: 0:00 = 0d CONDIES CLIMTICAS: 0:00 = 0d PETROBRAS: 0:00 = 0d OUTROS: 0:00 = 0d APJ: 0:00 = 0d</t>
  </si>
  <si>
    <t>22/12/2025</t>
  </si>
  <si>
    <t>RO-426/2025</t>
  </si>
  <si>
    <t>Os somatrios desde incio at o prazo final da SS dos acmulos de hora parada e meteorolgicas no final da SS a Petrobras ir analisar se e cabvel o abono revertido em acrscimo de dias no prazo de entrega da demanda.Todas as demandas da rea operacional foram programadas no sistema e no GPI, mas a equipe deu prioridade somente nas demandas prioritrias.1. SECGN:Sem atividades. Equipe dando prioridade nas demandas que precisavam finalizar.2. K-15:A equipe de eltrica atuou no interior do galpo com a instalao dos eletrodutos para passagem de cabeamento e finalizao da atividade de eltrica, faltando fazer os testes do sistema e a interligao dos paineis.3. K-04:No K-04 foi realizada a remoo das telhas da cobertura do prdio mais alto.A equipe de pintura atuou no tratamento e pintura dos perfis.4. K-14:Sem atividades, a equipe deu prioridade nas demandas com necessidade de entrega.5. UPGN-2:Sem atividades, a equipe deu prioridade nas demandas com necessidade de entrega.6. SALA CISC:Sem atividades.7. ADEQUAO DO K-18:Sem atividades.RO aceito pela fiscalizao.</t>
  </si>
  <si>
    <t>RO DIRIO E OBRA - SS-04/2025 (UPGN-2)  SEM ATIVIDADE &amp;gt;&amp;gt;CONDIES CLIMTICAS: TEMPO BOM  &amp;gt;&amp;gt;&amp;gt;IMPEDIMENTOS ACUMULADOS LIBERAO PT/PTT: 1:45 = 0,43d CONDIES CLIMTICAS: 12:20 = 1,55d PETROBRAS: 0:00 = 0d OUTROS: 20:00 = 2,5d APJ: 0:00 = 0d  RO DIRIO E OBRA - SS-05/2025 (SECGN)SEM ATIVIDADES &amp;gt;&amp;gt;CONDIES CLIMTICAS: TEMPO BOM  &amp;gt;&amp;gt;&amp;gt;IMPEDIMENTOS ACUMULADOS LIBERAO PT/PTT: 15:48 = 1,98d CONDIES CLIMTICAS: 55:10 = 6,9d PETROBRAS: 6:30 = 0,82d OUTROS: 28:00 = 3,5d APJ: 0:00 = 0d ____________________________________________________________________ RO DIRIO E OBRA - SS-06/2025 (K-14)  SEM ATIVIDADES  &amp;gt;&amp;gt;CONDIES CLIMTICAS: TEMPO BOM  &amp;gt;&amp;gt;&amp;gt;IMPEDIMENTOS ACUMULADOS LIBERAO PT/PTT: 13:31 = 1,69d CONDIES CLIMTICAS: 27:20 = 3,42d PETROBRAS: 0:00 = 0d OUTROS: 28:00 = 3,5d APJ: 0:00 = 0d  RO DIRIO E OBRA - SS-07/2025 (K-15)  &amp;gt;REALIZANDO MONTAGEM DE INFRA ESTRUTURA ELETRICA   - MOD:4 | PEMT:1 | PT: (21065715 |HR SOLIC 08:00 | HR LIB 08:26 |ATRASO 00:00|) - (HR ENC 16:30 | ATRASO 00:00)  &amp;gt;&amp;gt;CONDIES CLIMTICAS: TEMPO BOM  &amp;gt;&amp;gt;&amp;gt;IMPEDIMENTOS ACUMULADOS LIBERAO PT/PTT: 17:13 = 2,16d CONDIES CLIMTICAS: 41:10 = 5,15d PETROBRAS: 0:00 = 0d OUTROS: 28:00 = 3,5d APJ: 0:00 = 0d RO DIRIO E OBRA - SS-10/2025 (K-04)  &amp;gt;TRATAMENTO E PINTURA DE PERFIS METALICOS- MOD:2 | PT: (21066006 |HR SOLIC 07:50 | HR LIB 08:00 |ATRASO 00:00|) - (HR ENC 16:30 | ATRASO 00:00)  &amp;gt;REMOO DE TELHAS E PERFIS- MOD:4 | PEMT:1 | PT: (21066016 |HR SOLIC 07:55 | HR LIB 08:12 |ATRASO 00:00|) - (HR ENC 16:30 | ATRASO 00:00)  &amp;gt;&amp;gt;CONDIES CLIMTICAS: TEMPO BOM  &amp;gt;&amp;gt;&amp;gt;IMPEDIMENTOS ACUMULADOS LIBERAO PT/PTT: 0:00 = 0d CONDIES CLIMTICAS: 7:00 = 0,88d PETROBRAS: 0:00 = 0d OUTROS: 0:00 = 0d APJ: 0:00 = 0d RO DIRIO E OBRA - SS-18/2025 (SALA CISC) SEM ATIVIDADES  &amp;gt;&amp;gt;CONDIES CLIMTICAS: TEMPO BOM  &amp;gt;&amp;gt;&amp;gt;IMPEDIMENTOS ACUMULADOS LIBERAO PT/PTT: 0:00 = 0d CONDIES CLIMTICAS: 0:00 = 0d PETROBRAS: 0:00 = 0d OUTROS: 0:00 = 0d APJ: 0:00 = 0d RO DIRIO E OBRA - SS-31/2025 ((K-18)ADEQUAO DE AREA DA PORTARIA) SEM ATIVIDADES  &amp;gt;&amp;gt;CONDIES CLIMTICAS: TEMPO BOM  &amp;gt;&amp;gt;&amp;gt;IMPEDIMENTOS ACUMULADOS LIBERAO PT/PTT: 0:00 = 0d CONDIES CLIMTICAS: 0:00 = 0d PETROBRAS: 0:00 = 0d OUTROS: 0:00 = 0d APJ: 0:00 = 0d</t>
  </si>
  <si>
    <t>21/12/2025</t>
  </si>
  <si>
    <t>RO-425/2025</t>
  </si>
  <si>
    <t>"RO DIRIO E OBRA - SS-22/2025 (SALA CISC)&amp;gt;""&amp;gt;ADEQUAO DA SALA CISC - UTGSUL&amp;gt;&amp;gt;REGULARIZAO DO PISO COM ARGAMASSA AUTO NIVELANTE - MOD:4 |PT: (21033342 |HR SOLIC 07:30 | HR LIB 09:00 |ATRASO 01:00|) - (HR ENC 14:30 | ATRASO 02:00)&amp;gt;&amp;gt;CONDIES CLIMTICAS: TEMPO BOM&amp;gt;&amp;gt;&amp;gt;IMPEDIMENTOS ACUMULADOSLIBERAO PT/PTT: 43:36 = 5,45dCONDIES CLIMTICAS: 0:00 = 0dPETROBRAS: 0:00 = 0dOUTROS: 0:00 = 0dAPJ: 0:00 = 0d"</t>
  </si>
  <si>
    <t>RO-424/2025</t>
  </si>
  <si>
    <t>"RO DIRIO E OBRA - SS-16/2025 (ACSTICO)&amp;gt;&amp;gt;ISOLAMENTO ACSTICO - INSTALAO DE TELAS NA ALA NORTE - REA INFERIOR&amp;gt;&amp;gt;ARRUMAO E ACABAMENTO DAS TELAS" - MOD:2 |PT: (21070412 |HR SOLIC 08:00 | HR LIB 08:25 |ATRASO 00:00|) - (HR ENC 16:30 | ATRASO 00:00)&amp;gt;&amp;gt;CONDIES CLIMTICAS: TEMPO BOM&amp;gt;&amp;gt;&amp;gt;IMPEDIMENTOS ACUMULADOSLIBERAO PT/PTT: 23:02 = 2,88dCONDIES CLIMTICAS: 2:30 = 0,32dPETROBRAS: 1:30 = 0,19dOUTROS: 0:00 = 0dAPJ: 0:00 = 0d"</t>
  </si>
  <si>
    <t>RO-423/2025</t>
  </si>
  <si>
    <t>Fiscalizao de acordo com RO apresentado.Equipe atuou na substituio de 4 luminrias na praa norte. No jardim lado direito na chegada da praa.Equipe da operao foi acionada s 08:20 desta tera feira, esta atuou investigado os circuitos para executar a LIBRA, porm foi observado que no est chegando energia nas luminrias existente, na regio do talude (atrs do auditrio) local mapeado pra trabalhar, com isso a equipe da operao empregou muito tempo para encontrar os circuitos, a LIBRA foi efetuada de fato s 15:30, sendo possvel executar a substituio de 4 luminrias na praa norte.</t>
  </si>
  <si>
    <t>"RO DIRIO E OBRA - SS-17/2025 (LUMINOSIDADE)&amp;gt;""&amp;gt;ADEQUAO DA LUMINOSIDADE EXTERNA DO EDIVIT&amp;gt;&amp;gt;TROCA DAS LUMINRIAS DA PRAA DA BANDEIRA LADO SUL""- MOD:4 |PT: (21070400 |HR SOLIC 07:55 | HR LIB 08:28 |ATRASO 00:03|) - (HR ENC 16:30 | ATRASO 00:00)&amp;gt;&amp;gt;CONDIES CLIMTICAS: TEMPO BOM&amp;gt;&amp;gt;ATRASO NA LIBERAO DA LIBRA (08:00 - 15:30)&amp;gt;&amp;gt;&amp;gt;IMPEDIMENTOS ACUMULADOSLIBERAO PT/PTT: 0:10 = 0,03dCONDIES CLIMTICAS: 0:00 = 0dPETROBRAS: 7:30 = 0,94dOUTROS: 2:20 = 0,3dAPJ: 0:00 = 0d"</t>
  </si>
  <si>
    <t>RO-422/2025</t>
  </si>
  <si>
    <t>Equipe prpria da APJ, est atuando na pintura das vigas no Pipe Shopp, a equipe da Torres Brasil subcontratada da APJ, j foi embora para o recesso de Natal/Ano Novo, retornando dia 05/01/26, juntamente com a equipe da APJ .</t>
  </si>
  <si>
    <t>"RO DIRIO E OBRA - SS-15/2025 (TORRE RESFR)&amp;gt;""&amp;gt;MANUTENO DAS TORRES DE RESFRIAMENTO:&amp;gt;&amp;gt;REINSTALAO DE VIGAS COM CORTE E SOLDA&amp;gt;&amp;gt;&amp;gt;PINTURA E RETOQUES- MOD:4 |PT: (21070391 |HR SOLIC 07:45 | HR LIB 08:10 |ATRASO 00:00|) - (HR ENC 16:30 | ATRASO 00:00)&amp;gt;&amp;gt;CONDIES CLIMTICAS: TEMPO BOM&amp;gt;&amp;gt;&amp;gt;IMPEDIMENTOS ACUMULADOSLIBERAO PT/PTT: 3:49 = 0,48dCONDIES CLIMTICAS: 2:30 = 0,32dPETROBRAS: 4:30 = 0,57dOUTROS: 4:55 = 0,62dAPJ: 0:00 = 0d"</t>
  </si>
  <si>
    <t>RO-421/2025</t>
  </si>
  <si>
    <t>Equipe da Torres Brasil, subcontratada da APJ est atuando na manuteno das torres de resfriamento, Atividades: Retirada dos atenuadores, tubos, perfis metlicos degradados e eliminadores de gota, laminao das paredes e fundos da torres, a manuteno est sendo feita nas Torres A e B.Est sendo executado ainda na rea do pipe shop o corte e tratamento de perfis metlicos.Est em andamento a troca dos perfis que se encontravam deteriorados dentro das coifas atenuadoras, esses perfis so parte da estrutura do suporte e fixao dos eixos dos motores dos ventiladores das torres.</t>
  </si>
  <si>
    <t>"RO DIRIO E OBRA - SS-15/2025 (TORRE RESFR)&amp;gt;&amp;gt;SERVIO NO CANTEIRO DE OBRAS&amp;gt;&amp;gt;CORTE ARRUMAO E DESCARTE DAS PEA DA GAIOLA DE RESDUOS - MOD:2 |PT: (21067556 |HR SOLIC 08:43 | HR LIB 09:04 |ATRASO 00:00|) - (HR ENC 16:30 | ATRASO 00:00)&amp;gt;&amp;gt;MANUTENO DAS TORRES DE RESFRIAMENTO:&amp;gt;&amp;gt;LAMINAO E INSTALAO DE TUBOS - MOD:3 |PT: (21068103 |HR SOLIC 09:55 | HR LIB 10:30 |ATRASO 00:05|) - (HR ENC 16:30 | ATRASO 00:00)&amp;gt;&amp;gt;MANUTENO DAS TORRES DE RESFRIAMENTO:&amp;gt;&amp;gt;REINSTALAO DE VIGAS COM CORTE E SOLDA - MOD:3 |PT: (21066895 |HR SOLIC 07:45 | HR LIB 08:16 |ATRASO 00:01|) - (HR ENC 16:30 | ATRASO 00:00)&amp;gt;&amp;gt;CONDIES CLIMTICAS: TEMPO BOM&amp;gt;&amp;gt;PROBLEMA ELTRICO DETECTADO, COM NECESSIDADE DE INTERVEN DA MANUTENO PREDIAL, PARA O FORNECIMENTO DE PONTO DE ENERGIA ELTRICA PARA A MANUTENO DAS TORRES DE RESFRIAMENTO. (09:55 - 14:50)&amp;gt;&amp;gt;&amp;gt;IMPEDIMENTOS ACUMULADOSLIBERAO PT/PTT: 3:49 = 0,48dCONDIES CLIMTICAS: 2:30 = 0,32dPETROBRAS: 4:30 = 0,57dOUTROS: 4:55 = 0,62dAPJ: 0:00 = 0d"</t>
  </si>
  <si>
    <t>RO-420/2025</t>
  </si>
  <si>
    <t>Fiscalizao de acordo com RO apresentado.Equipe atuou na substituio de 5 luminrias na praa norte.1 Luminria de jardim foi encontrada sem ligao eltrica, equipe trabalhou escavando o local para encontrar, porm foi constado que realmente a infra est inexistente.</t>
  </si>
  <si>
    <t>"RO DIRIO E OBRA - SS-17/2025 (LUMINOSIDADE)&amp;gt;&amp;gt;ADEQUAO DA LUMINOSIDADE EXTERNA DO EDIVIT&amp;gt;&amp;gt;TROCA DAS LUMINRIAS DA PRAA DA BANDEIRA LADO NORTE - MOD:4 |PT: (21068051 |HR SOLIC 09:55 | HR LIB 10:32 |ATRASO 00:07|) - (HR ENC 16:30 | ATRASO 00:00)&amp;gt;&amp;gt;CONDIES CLIMTICAS: TEMPO BOM&amp;gt;&amp;gt;&amp;gt;IMPEDIMENTOS ACUMULADOSLIBERAO PT/PTT: 0:07 = 0,02dCONDIES CLIMTICAS: 0:00 = 0dPETROBRAS: 0:00 = 0dOUTROS: 2:20 = 0,3dAPJ: 0:00 = 0d"</t>
  </si>
  <si>
    <t>RO-419/2025</t>
  </si>
  <si>
    <t>"RO DIRIO E OBRA - SS-16/2025 (ACSTICO)&amp;gt;&amp;gt;ISOLAMENTO ACSTICO - INSTALAO DE TELAS NA ALA NORTE - REA INFERIOR&amp;gt;&amp;gt;ARRUMAO E ACABAMENTO DAS TELAS - MOD:2 |PT: (21066874 |HR SOLIC 07:45 | HR LIB 08:15 |ATRASO 00:00|) - (HR ENC 16:30 | ATRASO 00:00)&amp;gt;&amp;gt;CONDIES CLIMTICAS: TEMPO BOM&amp;gt;&amp;gt;&amp;gt;IMPEDIMENTOS ACUMULADOSLIBERAO PT/PTT: 23:02 = 2,88dCONDIES CLIMTICAS: 2:30 = 0,32dPETROBRAS: 1:30 = 0,19dOUTROS: 0:00 = 0dAPJ: 0:00 = 0d"</t>
  </si>
  <si>
    <t>RO-418/2025</t>
  </si>
  <si>
    <t>"RO DIRIO E OBRA - SS-22/2025 (SALA CISC)&amp;gt;&amp;gt;ADEQUAO DA SALA CISC - UTGSUL&amp;gt;&amp;gt; INSTALAO PLACAS DE FORRO MINERAL, REGULARIZAO DE EMASSAMENTNO DE PAREDE - MOD:4 |PT: (21065390 |HR SOLIC 07:30 | HR LIB 09:00 |ATRASO 01:00|) - (HR ENC 14:30 | ATRASO 02:00)&amp;gt;&amp;gt;CONDIES CLIMTICAS: TEMPO BOM&amp;gt;&amp;gt;&amp;gt;IMPEDIMENTOS ACUMULADOSLIBERAO PT/PTT: 40:36 = 5,08dCONDIES CLIMTICAS: 0:00 = 0dPETROBRAS: 0:00 = 0dOUTROS: 0:00 = 0dAPJ: 0:00 = 0d"</t>
  </si>
  <si>
    <t>RO-417/2025</t>
  </si>
  <si>
    <t>"RO DIRIO E OBRA - SS-22/2025 (SALA CISC)&amp;gt;&amp;gt;SEM EXPEDIENTE - DOMINGO - MOD: |PT: ( |HR SOLIC 08:00 | HR LIB 08:30 |ATRASO 00:00|) - (HR ENC 16:30 | ATRASO 00:00)&amp;gt;&amp;gt;CONDIES CLIMTICAS: TEMPO BOM&amp;gt;&amp;gt;&amp;gt;IMPEDIMENTOS ACUMULADOSLIBERAO PT/PTT: 37:36 = 4,7dCONDIES CLIMTICAS: 0:00 = 0dPETROBRAS: 0:00 = 0dOUTROS: 0:00 = 0dAPJ: 0:00 = 0d"</t>
  </si>
  <si>
    <t>RO-416/2025</t>
  </si>
  <si>
    <t>"RO DIRIO E OBRA - SS-22/2025 (SALA CISC)&amp;gt;&amp;gt;ADEQUAO DA SALA CISC - UTGSUL&amp;gt;&amp;gt; INSTALAO PLACAS DE FORRO MINERAL, REGULARIZAO DE PISO E EMASSAMENTNO DE PAREDE - MOD:4 |PT: (21033342 |HR SOLIC 07:30 | HR LIB 00:00 |ATRASO |) - (HR ENC 14:30 | ATRASO 02:00)&amp;gt;&amp;gt;CONDIES CLIMTICAS: TEMPO BOM&amp;gt;&amp;gt;&amp;gt;IMPEDIMENTOS ACUMULADOSLIBERAO PT/PTT: 37:36 = 4,7dCONDIES CLIMTICAS: 0:00 = 0dPETROBRAS: 0:00 = 0dOUTROS: 0:00 = 0dAPJ: 0:00 = 0d"</t>
  </si>
  <si>
    <t>20/12/2025</t>
  </si>
  <si>
    <t>RO-415/2025</t>
  </si>
  <si>
    <t>Domingo, dia 21/12/25,no houve expediente.</t>
  </si>
  <si>
    <t>"RO DIRIO E OBRA - SS-16/2025 (ACSTICO)&amp;gt;&amp;gt;SEM EXPEDIENTE - DOMINGO - MOD: |PT: ( |HR SOLIC 08:00 | HR LIB 08:30 |ATRASO 00:00|) - (HR ENC 16:30 | ATRASO 00:00)&amp;gt;&amp;gt;CONDIES CLIMTICAS: TEMPO BOM&amp;gt;&amp;gt;&amp;gt;IMPEDIMENTOS ACUMULADOSLIBERAO PT/PTT: 23:02 = 2,88dCONDIES CLIMTICAS: 2:30 = 0,32dPETROBRAS: 1:30 = 0,19dOUTROS: 0:00 = 0dAPJ: 0:00 = 0d"</t>
  </si>
  <si>
    <t>RO-414/2025</t>
  </si>
  <si>
    <t>Equipe est atuando na substituio das telas que se encontram mais amassadas conforme alinhado em visita em campo da contratada e fiscalizao, a substituio das telas e isolamento acstico da parede Norte nas partes mais altas sero executadas pelos Iratas.</t>
  </si>
  <si>
    <t>"RO DIRIO E OBRA - SS-16/2025 (ACSTICO)&amp;gt;&amp;gt;ISOLAMENTO ACSTICO - INSTALAO DE TELAS NA ALA NORTE - REA INFERIOR - MOD:3 |PT: (21065676 |HR SOLIC 09:08 | HR LIB 09:38 |ATRASO 00:00|) - (HR ENC 16:30 | ATRASO 00:00)&amp;gt;&amp;gt;CONDIES CLIMTICAS: TEMPO BOM&amp;gt;&amp;gt;&amp;gt;IMPEDIMENTOS ACUMULADOSLIBERAO PT/PTT: 23:02 = 2,88dCONDIES CLIMTICAS: 2:30 = 0,32dPETROBRAS: 1:30 = 0,19dOUTROS: 0:00 = 0dAPJ: 0:00 = 0d"</t>
  </si>
  <si>
    <t>RO-413/2025</t>
  </si>
  <si>
    <t>Domingo, dia 21/12/25, no houve expediente.</t>
  </si>
  <si>
    <t>"RO DIRIO E OBRA - SS-17/2025 (LUMINOSIDADE)&amp;gt;&amp;gt;SEM EXPEDIENTE - DOMINGO - MOD: |PT: ( |HR SOLIC 08:00 | HR LIB 08:30 |ATRASO 00:00|) - (HR ENC 16:30 | ATRASO 00:00)&amp;gt;&amp;gt;CONDIES CLIMTICAS: TEMPO BOM&amp;gt;&amp;gt;&amp;gt;IMPEDIMENTOS ACUMULADOSLIBERAO PT/PTT: 0:00 = 0,01dCONDIES CLIMTICAS: 0:00 = 0dPETROBRAS: 0:00 = 0dOUTROS: 2:20 = 0,3dAPJ: 0:00 = 0d"</t>
  </si>
  <si>
    <t>RO-412/2025</t>
  </si>
  <si>
    <t>"RO DIRIO E OBRA - SS-17/2025 (LUMINOSIDADE)&amp;gt;&amp;gt;ADEQUAO DA LUMINOSIDADE EXTERNA DO EDIVIT&amp;gt;&amp;gt;TROCA DAS LUMINRIAS DA PRAA DA BANDEIRA - MOD:4 |PT: (21065390 |HR SOLIC 07:42 | HR LIB 08:08 |ATRASO 00:00|) - (HR ENC 16:30 | ATRASO 00:00)&amp;gt;&amp;gt;CONDIES CLIMTICAS: TEMPO BOM&amp;gt;&amp;gt;&amp;gt;IMPEDIMENTOS ACUMULADOSLIBERAO PT/PTT: 0:00 = 0,01dCONDIES CLIMTICAS: 0:00 = 0dPETROBRAS: 0:00 = 0dOUTROS: 2:20 = 0,3dAPJ: 0:00 = 0d"</t>
  </si>
  <si>
    <t>RO-411/2025</t>
  </si>
  <si>
    <t>Os somatrios desde incio at o prazo final da SS dos acmulos de hora parada e meteorolgicas no final da SS a Petrobras ir analisar se e cabvel o abono revertido em acrscimo de dias no prazo de entrega da demanda.1. SECGN:Sem atividades. Equipe dando prioridade nas demandas que precisavam finalizar.2. K-15:Equipe de caldeiraria atuou na montagem das telhas da cobertura, os iratas atuaram na montagem das venezianas do galpo.A equipe de eltrica atuou no interior do galpo com a instalao dos eletrodutos para passagem de cabeamento.3. K-04:No K-04 foi realizada a remoo das telhas da cobertura do prdio mais alto.Equipe de pintura atuou no tratamento dos perfis da cobertura.Foi emitida a PT de impermeabilizao da laje, mas a equipe no atuou.4. K-14:A equipe de caldeiraria atuou com a instalao de telhas de fechamento lateral e calhas.Foi emitida PT de eltrica, mas houve a necessidade de dar prioridade no K-15.5. UPGN-2:Foi realizada a atividade de montagem de andaime no mdulo 02.Equipe de caldeiraria no atuou, somente liberou a PT.6. SALA CISC:Sem atividades. Foi emitida a PT, mas a mesma foi cancelada, sem mo de obra (equipe dando prioridade no K-18).7. ADEQUAO DO K-18:A equipe de civil atuou na demanda de tratamento e pintura da platibanda externa com apoio de pemt, instalao de piso vinlico e rodaps. Confeco de porta e instalao da mesma.Faltou incluir no RDO a SS do K-18.RO aceito pela fiscalizao.</t>
  </si>
  <si>
    <t>RO DIRIO E OBRA - SS-04/2025 (UPGN-2)  &amp;gt;MONTAGEM DE ANDAIME- MOD:4 | PT: (21063433 |HR SOLIC 08:30 | HR LIB 08:36 |ATRASO 00:00|) - (HR ENC 16:30 | ATRASO 00:00)  &amp;gt;REALIZANDO PREPARAO DE ESTRUTURA METALICA PARA SOLDA DOS INSERTS- MOD:4 | PEMT:1 | PT: (21063418 |HR SOLIC 08:00 | HR LIB 08:00 |ATRASO 00:00|) - (HR ENC 16:30 | ATRASO 00:00)  &amp;gt;&amp;gt;CONDIES CLIMTICAS: TEMPO BOM  &amp;gt;&amp;gt;&amp;gt;IMPEDIMENTOS ACUMULADOS LIBERAO PT/PTT: 1:45 = 0,43d CONDIES CLIMTICAS: 12:20 = 1,55d PETROBRAS: 0:00 = 0d OUTROS: 20:00 = 2,5d APJ: 0:00 = 0d RO DIRIO E OBRA - SS-05/2025 (SECGN)SEM ATIVIDADES &amp;gt;&amp;gt;CONDIES CLIMTICAS: TEMPO BOM  &amp;gt;&amp;gt;&amp;gt;IMPEDIMENTOS ACUMULADOS LIBERAO PT/PTT: 15:48 = 1,98d CONDIES CLIMTICAS: 55:10 = 6,9d PETROBRAS: 6:30 = 0,82d OUTROS: 28:00 = 3,5d APJ: 0:00 = 0d  RO DIRIO E OBRA - SS-06/2025 (K-14)  &amp;gt;MONTAGEM DE ESTRUTURA METALICA DO GALPO( TELHAS, CALHAS)- MOD:10 | PEMT:2 | PT: (21063476 |HR SOLIC 08:10 | HR LIB 08:20 |ATRASO 00:00|) - (HR ENC 16:30 | ATRASO 00:00)  &amp;gt;&amp;gt;CONDIES CLIMTICAS: TEMPO BOM  &amp;gt;&amp;gt;&amp;gt;IMPEDIMENTOS ACUMULADOS LIBERAO PT/PTT: 13:31 = 1,69d CONDIES CLIMTICAS: 27:20 = 3,42d PETROBRAS: 0:00 = 0d OUTROS: 28:00 = 3,5d APJ: 0:00 = 0d  RO DIRIO E OBRA - SS-07/2025 (K-15)  &amp;gt;MONTAGEM DE ESTRUTURA METALICA DO GALPO( TELHAS)- MOD:10 | PEMT:2 | PT: (21065620 |HR SOLIC 08:10 | HR LIB 08:20 |ATRASO 00:00|) - (HR ENC 16:30 | ATRASO 00:00)  &amp;gt;MONTAGEM DE INFRA ESTRUTURA ELETRICA - MOD:4 | PT: (21063518 |HR SOLIC 08:00 | HR LIB 08:10 |ATRASO 00:00|) - (HR ENC 16:30 | ATRASO 00:00)  &amp;gt;&amp;gt;CONDIES CLIMTICAS: TEMPO BOM  &amp;gt;&amp;gt;&amp;gt;IMPEDIMENTOS ACUMULADOS LIBERAO PT/PTT: 17:13 = 2,16d CONDIES CLIMTICAS: 41:10 = 5,15d PETROBRAS: 0:00 = 0d OUTROS: 28:00 = 3,5d APJ: 0:00 = 0d _______________________________________________________,  RO DIRIO E OBRA - SS-10/2025 (K-04)  &amp;gt;REMOO DE TELHAS E PERFIS- MOD:5 | PT: (21064239 |HR SOLIC 08:01 | HR LIB 08:02 |ATRASO 00:00|) - (HR ENC 16:30 | ATRASO 00:00)  &amp;gt;TRATAMENTO E PINTURA DE PERFIS METALICOS- MOD:2 | PT: (21065598 |HR SOLIC 08:40 | HR LIB 08:40 |ATRASO 00:00|) - (HR ENC 16:30 | ATRASO 00:00)  &amp;gt;&amp;gt;CONDIES CLIMTICAS: TEMPO BOM  &amp;gt;&amp;gt;&amp;gt;IMPEDIMENTOS ACUMULADOS LIBERAO PT/PTT: 0:00 = 0d CONDIES CLIMTICAS: 7:00 = 0,88d PETROBRAS: 0:00 = 0d OUTROS: 0:00 = 0d APJ: 0:00 = 0d___________________________________________________________________________ RO DIRIO E OBRA - SS-18/2025 (SALA CISC) SEM ATIVIDADES  &amp;gt;&amp;gt;CONDIES CLIMTICAS: TEMPO BOM  &amp;gt;&amp;gt;&amp;gt;IMPEDIMENTOS ACUMULADOS LIBERAO PT/PTT: 0:00 = 0d CONDIES CLIMTICAS: 0:00 = 0d PETROBRAS: 0:00 = 0d OUTROS: 0:00 = 0d APJ: 0:00 = 0d  RO DIRIO E OBRA - SS-31/2025 ((K-18)ADEQUAO DE AREA DA PORTARIA)  &amp;gt;RETIRADA/INSTALAO JANELA, PINTURA DE ESTRUTRA DE CONCRETO, INSTALAO DE PISO- MOD:9 | PEMT:1 | PT: (21065598 |HR SOLIC 07:38 | HR LIB 07:41 |ATRASO 00:00|) - (HR ENC 16:30 | ATRASO 00:00)  &amp;gt;&amp;gt;CONDIES CLIMTICAS: TEMPO BOM  &amp;gt;&amp;gt;&amp;gt;IMPEDIMENTOS ACUMULADOS LIBERAO PT/PTT: 0:00 = 0d CONDIES CLIMTICAS: 0:00 = 0d PETROBRAS: 0:00 = 0d OUTROS: 0:00 = 0d APJ: 0:00 = 0d</t>
  </si>
  <si>
    <t>RO-410/2025</t>
  </si>
  <si>
    <t>Os somatrios desde incio at o prazo final da SS dos acmulos de hora parada e meteorolgicas no final da SS a Petrobras ir analisar se e cabvel o abono revertido em acrscimo de dias no prazo de entrega da demanda.1. SECGN:Sem atividades. Equipe dando prioridade nas demandas que precisavam finalizar.2. K-15:Equipe de caldeiraria atuou na montagem das telhas da cobertura, os iratas atuaram na montagem das venezianas do galpo.A equipe de pintura atuou na pintura com irata nas vigas dos fundos do galpo e recuperao de perfis.A equipe de eltrica atuou no interior do galpo com a instalao dos eletrodutos para passagem de cabeamento.3. K-04:No K-04 foi realizada a remoo das telhas da cobertura do prdio mais alto.4. K-14:A equipe de caldeiraria atuou com a instalao de perfis da cobertura, enquanto a equipe de pintura atuava no tratamento das soldas.5. UPGN-2:Foi realizada a atividade de montagem de andaime no mdulo 02.Equipe de caldeiraria atuou no tratamento das bases dos inserts do fechamento lateral.6. SALA CISC:Sem atividades.7. ADEQUAO DO K-18:A equipe de civil atuou na demanda com a instalao das janelas, tratamento e pintura da platibanda externa com apoio de pemt, e instalao de piso vinlico.Faltou incluir no RDO a SS do K-18.RO aceito pela fiscalizao.</t>
  </si>
  <si>
    <t>RO DIRIO E OBRA - SS-04/2025 (UPGN-2)  &amp;gt;REALIZANDO PREPARAO DE ESTRUTURA METALICA PARA SOLDA DOS INSERTS- MOD:4 | PEMT:1 | PT: (21059894 |HR SOLIC 08:10 | HR LIB 08:10 |ATRASO 00:00|) - (HR ENC 16:30 | ATRASO 00:00)  &amp;gt;MONTAGEM DE ANDAIME- MOD:3 | PT: (21059884 |HR SOLIC 09:00 | HR LIB 09:00 |ATRASO 00:00|) - (HR ENC 16:30 | ATRASO 00:00)  &amp;gt;&amp;gt;CONDIES CLIMTICAS: TEMPO BOM  &amp;gt;&amp;gt;&amp;gt;IMPEDIMENTOS ACUMULADOS LIBERAO PT/PTT: 1:45 = 0,43d CONDIES CLIMTICAS: 12:20 = 1,55d PETROBRAS: 0:00 = 0d OUTROS: 20:00 = 2,5d APJ: 0:00 = 0d RO DIRIO E OBRA - SS-05/2025 (SECGN) SEM ATIVIDADES &amp;gt;&amp;gt;CONDIES CLIMTICAS: TEMPO BOM  &amp;gt;&amp;gt;&amp;gt;IMPEDIMENTOS ACUMULADOS LIBERAO PT/PTT: 15:48 = 1,98d CONDIES CLIMTICAS: 55:10 = 6,9d PETROBRAS: 6:30 = 0,82d OUTROS: 28:00 = 3,5d APJ: 0:00 = 0d  RO DIRIO E OBRA - SS-06/2025 (K-14)  &amp;gt;MONTAGEM DE ESTRUTURA METALICA DO GALPO( TELHAS, CALHAS)- MOD:10 | PEMT:2 | PT: (21059819 |HR SOLIC 08:10 | HR LIB 09:10 |ATRASO 00:30|) - (HR ENC 16:30 | ATRASO 00:00)  &amp;gt;PINTURA DE ESTRUTURA METALICA- MOD:1 | PT: (21059828 |HR SOLIC 08:20 | HR LIB 09:05 |ATRASO 00:15|) - (HR ENC 16:30 | ATRASO 00:00)  &amp;gt;&amp;gt;CONDIES CLIMTICAS: TEMPO BOM  &amp;gt;&amp;gt;&amp;gt;IMPEDIMENTOS ACUMULADOS LIBERAO PT/PTT: 13:31 = 1,69d CONDIES CLIMTICAS: 27:20 = 3,42d PETROBRAS: 0:00 = 0d OUTROS: 28:00 = 3,5d APJ: 0:00 = 0d RO DIRIO E OBRA - SS-07/2025 (K-15)  &amp;gt;MONTAGEM DE ESTRUTURA METALICA DO GALPO( TELHAS)- MOD:10 | PEMT:2 | PT: (21059856 |HR SOLIC 08:40 | HR LIB 09:15 |ATRASO 00:05|) - (HR ENC 16:30 | ATRASO 00:00)  &amp;gt;MONTAGEM DE INFRA ESTRUTURA ELETRICA - MOD:4 | PT: (21059860 |HR SOLIC 08:10 | HR LIB 08:30 |ATRASO 00:00|) - (HR ENC 16:30 | ATRASO 00:00)  &amp;gt;PINTURA DE ESTRUTUR METALICA - MOD:2 | PT: (21059852 |HR SOLIC 08:40 | HR LIB 08:40 |ATRASO 00:00|) - (HR ENC 16:30 | ATRASO 00:00)  &amp;gt;&amp;gt;CONDIES CLIMTICAS: TEMPO BOM  &amp;gt;&amp;gt;&amp;gt;IMPEDIMENTOS ACUMULADOS LIBERAO PT/PTT: 17:13 = 2,16d CONDIES CLIMTICAS: 41:10 = 5,15d PETROBRAS: 0:00 = 0d OUTROS: 28:00 = 3,5d APJ: 0:00 = 0d  RO DIRIO E OBRA - SS-10/2025 (K-04)  &amp;gt;REMOO DE TELHAS E PERFIS- MOD:5 | GUINDASTE:1 | PT: (21061866 |HR SOLIC 08:35 | HR LIB 08:37 |ATRASO 00:00|) - (HR ENC 16:30 | ATRASO 00:00)  &amp;gt;&amp;gt;CONDIES CLIMTICAS: TEMPO BOM  &amp;gt;&amp;gt;&amp;gt;IMPEDIMENTOS ACUMULADOS LIBERAO PT/PTT: 0:00 = 0d CONDIES CLIMTICAS: 7:00 = 0,88d PETROBRAS: 0:00 = 0d OUTROS: 0:00 = 0d APJ: 0:00 = 0d RO DIRIO E OBRA - SS-18/2025 (SALA CISC)  SEM ATIVIDADES  &amp;gt;&amp;gt;CONDIES CLIMTICAS: TEMPO BOM  &amp;gt;&amp;gt;&amp;gt;IMPEDIMENTOS ACUMULADOS LIBERAO PT/PTT: 0:00 = 0d CONDIES CLIMTICAS: 0:00 = 0d PETROBRAS: 0:00 = 0d OUTROS: 0:00 = 0d APJ: 0:00 = 0d  RO DIRIO E OBRA - SS-31/2025 ((K-18)ADEQUAO DE AREA DA PORTARIA)  &amp;gt;RETIRADA/INSTALAO JANELA, PINTURA DE ESTRUTRA DE CONCRETO, INSTALAO DE PISO- MOD:9 | PEMT:1 | PT: (21061858 |HR SOLIC 08:29 | HR LIB 08:30 |ATRASO 00:00|) - (HR ENC 16:30 | ATRASO 00:00)  &amp;gt;&amp;gt;CONDIES CLIMTICAS: TEMPO BOM  &amp;gt;&amp;gt;&amp;gt;IMPEDIMENTOS ACUMULADOS LIBERAO PT/PTT: 0:00 = 0d CONDIES CLIMTICAS: 0:00 = 0d PETROBRAS: 0:00 = 0d OUTROS: 0:00 = 0d APJ: 0:00 = 0d</t>
  </si>
  <si>
    <t>19/12/2025</t>
  </si>
  <si>
    <t>RO-409/2025</t>
  </si>
  <si>
    <t>Fiscalizao aprova RO apresentadoDomingo sem atividades.</t>
  </si>
  <si>
    <t>"RO DIRIO E OBRA - SS-15/2025 (TORRE RESFR)&amp;gt;&amp;gt;SEM EXPEDIENTE - DOMINGO - MOD: |PT: ( |HR SOLIC 08:00 | HR LIB 08:30 |ATRASO 00:00|) - (HR ENC 16:30 | ATRASO 00:00)&amp;gt;&amp;gt;CONDIES CLIMTICAS: TEMPO BOM&amp;gt;&amp;gt;&amp;gt;IMPEDIMENTOS ACUMULADOSLIBERAO PT/PTT: 3:43 = 0,47dCONDIES CLIMTICAS: 2:30 = 0,32dPETROBRAS: 4:30 = 0,57dOUTROS: 0:00 = 0dAPJ: 0:00 = 0d"</t>
  </si>
  <si>
    <t>RO-408/2025</t>
  </si>
  <si>
    <t>Equipe da Torres Brasil, subcontratada da APJ est atuando na manuteno das torres de resfriamento, Atividades: Retirada dos atenuadores, tubos, perfis metlicos degradados e eliminadores de gota, laminao das paredes e fundos da torres, a manuteno est sendo feita nas Torres A e B.Est sendo executado ainda na rea do pipe shop o corte e tratamento de perfis metlicos.Foi iniciada a troca dos perfis que se encontravam deteriorados dentro das coifas atenuadoras, esses perfis so parte da estrutura do suporte e fixao dos eixos dos motores dos ventiladores das torres.</t>
  </si>
  <si>
    <t>"RO DIRIO E OBRA - SS-15/2025 (TORRE RESFR)&amp;gt;&amp;gt;MANUTENO DAS TORRES DE RESFRIAMENTO:&amp;gt;&amp;gt;REINSTALAO DE VIGAS COM CORTE E SOLDA - MOD:2 |PT: (21065393 |HR SOLIC 07:38 | HR LIB 08:00 |ATRASO 00:00|) - (HR ENC 16:30 | ATRASO 00:00)&amp;gt;&amp;gt;MANUTENO DAS TORRES DE RESFRIAMENTO:&amp;gt;&amp;gt;LAMINAO E INSTALAO DE TUBOS - MOD:3 |PT: (21065391 |HR SOLIC 07:33 | HR LIB 00:00 |ATRASO |) - (HR ENC 16:30 | ATRASO 00:00)&amp;gt;&amp;gt;CONDIES CLIMTICAS: TEMPO BOM&amp;gt;&amp;gt;&amp;gt;IMPEDIMENTOS ACUMULADOSLIBERAO PT/PTT: 3:43 = 0,47dCONDIES CLIMTICAS: 2:30 = 0,32dPETROBRAS: 4:30 = 0,57dOUTROS: 0:00 = 0dAPJ: 0:00 = 0d"</t>
  </si>
  <si>
    <t>RO-407/2025</t>
  </si>
  <si>
    <t>Os somatrios desde incio at o prazo final da SS dos acmulos de hora parada e meteorolgicas no final da SS a Petrobras ir analisar se e cabvel o abono revertido em acrscimo de dias no prazo de entrega da demanda.1. SECGN:Sem atividades. Equipe dando prioridade nas demandas que precisavam finalizar.2. K-15:Equipe de caldeiraria atuou na montagem das telhas da cobertura, os iratas atuaram na montagem das venezianas do galpo.A equipe de pintura atuou na pintura com irata nas vigas dos fundos do galpo.A equipe de eltrica atuou no interior do galpo com a instalao dos eletrodutos para passagem de cabeamento.3. K-04:No K-04 foi realizada a remoo das telhas da cobertura do prdio mais alto.A equipe de civil atuou no tratamento da laje.4. K-14:A equipe de caldeiraria atuou com a instalao de perfis da cobertura, enquanto a equipe de pintura atuava no tratamento das soldas.Equipe de eltrica iniciou a instalao dos eletrodutos, mas no deu sequncia na atividade, pois a prioridade era o K-15.5. UPGN-2:Foi realizada a atividade de montagem de andaime no mdulo 02.Equipe de caldeiraria atuou no tratamento das bases dos inserts do fechamento lateral.Foi programada a PT de pintura, mas foi cancelada pela operao devido a ausncia de mo de obra.6. SALA CISC:Sem atividades.7. ADEQUAO DO K-18:A equipe de civil iniciou a demanda com a remoo das janelas e tratamento da platibanda externa com apoio de pemt.Faltou anexar a SS no RDO.RO aceito pela fiscalizao.</t>
  </si>
  <si>
    <t>RO DIRIO E OBRA - SS-04/2025 (UPGN-2) &amp;gt;REALIZANDO PREPARAO DE ESTRUTURA METALICA PARA SOLDA DOS INSERTS - MOD:4 | PEMT:1 | PT: (21057303 |HR SOLIC 08:20 | HR LIB 08:36 |ATRASO 00:00|) - (HR ENC 16:30 | ATRASO 00:00) &amp;gt;REALIZANDO MONTAGEM DE ANDAIME - MOD:5 | PEMT:0 |PT: (21056591 |HR SOLIC 08:25 | HR LIB 08:30 |ATRASO 00:00|) - (HR ENC 16:30 | ATRASO 00:00) &amp;gt;&amp;gt;CONDIES CLIMTICAS: TEMPO BOM  &amp;gt;&amp;gt;&amp;gt;IMPEDIMENTOS ACUMULADOS LIBERAO PT/PTT: 1:45 = 0,43d CONDIES CLIMTICAS: 12:20 = 1,55d PETROBRAS: 0:00 = 0d OUTROS: 20:00 = 2,5d APJ: 0:00 = 0d RO DIRIO E OBRA - SS-05/2025 (SECGN) SEM ATIVIDADES &amp;gt;&amp;gt;CONDIES CLIMTICAS: TEMPO BOM  &amp;gt;&amp;gt;&amp;gt;IMPEDIMENTOS ACUMULADOS LIBERAO PT/PTT: 15:48 = 1,98d CONDIES CLIMTICAS: 55:10 = 6,9d PETROBRAS: 6:30 = 0,82d OUTROS: 28:00 = 3,5d APJ: 0:00 = 0d RO DIRIO E OBRA - SS-06/2025 (K-14)  &amp;gt;MONTAGEM DE ESTRUTURA METALICA DO GALPO( TELHAS)- MOD:10 | PEMT:2 | PT: (21056609 |HR SOLIC 08:10 | HR LIB 09:15 |ATRASO 00:35|) - (HR ENC 16:30 | ATRASO 00:00) &amp;gt;PINTURA DE ESTRUTURA METALICA - MOD:02 | PEMT:0 |PT: (21056614|HR SOLIC 08:10 | HR LIB 08:26 |ATRASO 00:00|) - (HR ENC 16:30 | ATRASO 00:00)&amp;gt;MONTAGEM DE INFRA ESTRUTURA ELETRICA- MOD:2 | PEMT:0 |PT: (21056952 |HR SOLIC 08:13 | HR LIB 08:30 |ATRASO 00:00) - (HR ENC 16:30 | ATRASO 00:00) &amp;gt;&amp;gt;CONDIES CLIMTICAS: TEMPO BOM  &amp;gt;&amp;gt;&amp;gt;IMPEDIMENTOS ACUMULADOS LIBERAO PT/PTT: 12:46 = 1,6d CONDIES CLIMTICAS: 27:20 = 3,42d PETROBRAS: 0:00 = 0d OUTROS: 28:00 = 3,5d APJ: 0:00 = 0d  RO DIRIO E OBRA - SS-07/2025 (K-15)  &amp;gt;MONTAGEM DE ESTRUTURA METALICA DO GALPO( TELHAS)- MOD:10 | PEMT:2 | PT: (21056543 |HR SOLIC 08:31 | HR LIB 08:35 |ATRASO 00:00|) - (HR ENC 16:30 | ATRASO 00:00)  &amp;gt;PINTURA DE ESTRUTURA DE CONCRETO- MOD:2 | PT: (21056535|HR SOLIC 08:33 | HR LIB 08:40 |ATRASO 00:00|) - (HR ENC 16:30 | ATRASO 00:00)  &amp;gt;REALIZANDO MONTAGEM DE INFRA ESTRUTURA ELETRICA - MOD:4 | PT: (21056558 |HR SOLIC 08:30 | HR LIB 08:45 |ATRASO 00:00|) - (HR ENC 16:30 | ATRASO 00:00)  &amp;gt;&amp;gt;CONDIES CLIMTICAS: TEMPO BOM  &amp;gt;&amp;gt;&amp;gt;IMPEDIMENTOS ACUMULADOS LIBERAO PT/PTT: 17:08 = 2,15d CONDIES CLIMTICAS: 41:10 = 5,15d PETROBRAS: 0:00 = 0d OUTROS: 28:00 = 3,5d APJ: 0:00 = 0d RO DIRIO E OBRA - SS-10/2025 (K-04) &amp;gt;REMOO DE TELHAS E PERFIS- MOD:5 | PT: (21058417 |HR SOLIC 07:50 | HR LIB 07:51 |ATRASO 00:00|) - (HR ENC 16:30 | ATRASO 00:00)  &amp;gt;TRATAMENTO DE LAJE E IMPERMEABILIZAO- MOD:4 | PT: (21059166 |HR SOLIC 09:05 | HR LIB 09:15 |ATRASO 00:00|) - (HR ENC 16:30 | ATRASO 00:00)  &amp;gt;&amp;gt;CONDIES CLIMTICAS: TEMPO BOM  &amp;gt;&amp;gt;&amp;gt;IMPEDIMENTOS ACUMULADOS LIBERAO PT/PTT: 0:00 = 0d CONDIES CLIMTICAS: 7:00 = 0,88d PETROBRAS: 0:00 = 0d OUTROS: 0:00 = 0d APJ: 0:00 = 0d  RO DIRIO E OBRA - SS-18/2025 (SALA CISC)  SEM ATIVIDADES  &amp;gt;&amp;gt;CONDIES CLIMTICAS: TEMPO BOM  &amp;gt;&amp;gt;&amp;gt;IMPEDIMENTOS ACUMULADOS LIBERAO PT/PTT: 0:00 = 0d CONDIES CLIMTICAS: 0:00 = 0d PETROBRAS: 0:00 = 0d OUTROS: 0:00 = 0d APJ: 0:00 = 0d   RO DIRIO E OBRA - SS-31/2025 ((K-18)ADEQUAO DE AREA DA PORTARIA)  &amp;gt;RETIRADA/INSTALAO JANELA, PINTURA DE ESTRUTRA DE CONCRETO, LIMPEZA DE PISO- MOD:6 | PEMT:1 | PT: (21057556 |HR SOLIC 07:45 | HR LIB 07:50 |ATRASO 00:00|) - (HR ENC 16:30 | ATRASO 00:00)  &amp;gt;&amp;gt;CONDIES CLIMTICAS: TEMPO BOM  &amp;gt;&amp;gt;&amp;gt;IMPEDIMENTOS ACUMULADOS LIBERAO PT/PTT: 0:00 = 0d CONDIES CLIMTICAS: 0:00 = 0d PETROBRAS: 0:00 = 0d OUTROS: 0:00 = 0d APJ: 0:00 = 0d</t>
  </si>
  <si>
    <t>18/12/2025</t>
  </si>
  <si>
    <t>RO-406/2025</t>
  </si>
  <si>
    <t>Os somatrios desde incio at o prazo final da SS dos acmulos de hora parada e meteorolgicas no final da SS a Petrobras ir analisar se e cabvel o abono revertido em acrscimo de dias no prazo de entrega da demanda.1. SECGN:Equipe de eltrica atuou na atividade de adequao da rede eltrica do galpo com apoio dos iratas.2. UPGN-3:Foram programadas as PT's dos paineis e da eltrica no mdulo 03, mas as atividades haviam sido encerradas no dia anterior.3. K-15:Equipe de caldeiraria atuou na montagem das telhas da cobertura, os iratas atuaram na montagem das venezianas do galpo.A equipe de pintura atuou na pintura com irata nas vigas dos fundos do galpo.A equipe de eltrica atuou no interior do galpo com a instalao dos eletrodutos para passagem de cabeamento.4. K-04:No K-04 foi realizada a remoo das telhas da cobertura do prdio mais alto.5. K-14:A equipe de caldeiraria atuou com a instalao de perfis da cobertura, enquanto a equipe de pintura atuava no tratamento das soldas.6. UPGN-2:Foi realizada a atividade de tratamento e pintura dos pilares no mdulo 02. No foi programada nenhuma outra atividade, pois a equipe estava focada em finalizar as obras prioritrias para entrega.7. SALA CISC:Equipe de civil atuou na confeco de formas e concretagem da boneca da porta da sala.8. ADEQUAO DO K-18:A equipe de civil iniciou a demanda com a remoo das janelas e tratamento da platibanda externa com apoio de pemt.Faltou anexar a SS do K-18 no RDO.RO aceito pela fiscalizao.</t>
  </si>
  <si>
    <t>RO DIRIO E OBRA - SS-04/2025 (UPGN-2)  &amp;gt;PINTURA DAS ESTRUTURAS DE CONCRETO - MOD:2 | PT: (21053049 |HR SOLIC 08:20 | HR LIB 08:20 |ATRASO 00:00|) - (HR ENC 16:30 | ATRASO 00:00)  &amp;gt;&amp;gt;CONDIES CLIMTICAS: TEMPO BOM  &amp;gt;&amp;gt;&amp;gt;IMPEDIMENTOS ACUMULADOS LIBERAO PT/PTT: 1:45 = 0,43d CONDIES CLIMTICAS: 12:20 = 1,55d PETROBRAS: 0:00 = 0d OUTROS: 20:00 = 2,5d APJ: 0:00 = 0d RO DIRIO E OBRA - SS-05/2025 (SECGN)  &amp;gt;REALIZANDO MONTAGEM DE INFRA ESTRUTURA ELETRICA - MOD:3 | PEMT:1 | PT: (21053134|HR SOLIC 08:20 | HR LIB 08:20 |ATRASO 00:00|) - (HR ENC 16:30 | ATRASO 00:00)  &amp;gt;&amp;gt;CONDIES CLIMTICAS: TEMPO BOM  &amp;gt;&amp;gt;&amp;gt;IMPEDIMENTOS ACUMULADOS LIBERAO PT/PTT: 15:48 = 1,98d CONDIES CLIMTICAS: 55:10 = 6,9d PETROBRAS: 6:30 = 0,82d OUTROS: 28:00 = 3,5d APJ: 0:00 = 0d  RO DIRIO E OBRA - SS-06/2025 (K-14)  &amp;gt;MONTAGEM DE ESTRUTURA METALICA DO GALPO( TELHAS)- MOD:7 | PEMT:2 | PT: (21053072 |HR SOLIC 08:10 | HR LIB 08:15 |ATRASO 00:00|) - (HR ENC 16:30 | ATRASO 00:00)  &amp;gt;PINTURA DE ESTRUTURA DO GALPO- MOD:1 | PT: (21053082 |HR SOLIC 08:00 | HR LIB 08:35 |ATRASO 00:05|) - (HR ENC 16:30 | ATRASO 00:00)  &amp;gt;&amp;gt;CONDIES CLIMTICAS: TEMPO BOM  &amp;gt;&amp;gt;&amp;gt;IMPEDIMENTOS ACUMULADOS LIBERAO PT/PTT: 12:11 = 1,53d CONDIES CLIMTICAS: 27:20 = 3,42d PETROBRAS: 0:00 = 0d OUTROS: 28:00 = 3,5d APJ: 0:00 = 0d RO DIRIO E OBRA - SS-07/2025 (K-15)  &amp;gt;MONTAGEM DE ESTRUTURA METALICA DO GALPO ( TELHAS) - MOD:8 | PEMT:2 | PT: (21053114 |HR SOLIC 08:07 | HR LIB 08:14 |ATRASO 00:00|) - (HR ENC 16:30 | ATRASO 00:00)  &amp;gt;PINTURA DE ESTRUTURA DE CONCRETO - MOD:2 | PT: (21049353 |HR SOLIC 08:00 | HR LIB 08:15 |ATRASO 00:00|) - (HR ENC 16:30 | ATRASO 00:00)  &amp;gt;REALIZANDO MONTAGEM DE INFRA ESTRUTURA ELETRICA - MOD:2 | PT: (21055889 |HR SOLIC 09:00 | HR LIB 10:20 |ATRASO 00:50|) - (HR ENC 16:30 | ATRASO 00:00)  &amp;gt;&amp;gt;CONDIES CLIMTICAS: TEMPO BOM  &amp;gt;&amp;gt;&amp;gt;IMPEDIMENTOS ACUMULADOS LIBERAO PT/PTT: 17:02 = 2,15d CONDIES CLIMTICAS: 41:10 = 5,15d PETROBRAS: 0:00 = 0d OUTROS: 28:00 = 3,5d APJ: 0:00 = 0dRO DIRIO E OBRA - SS-09/2025 (UPGN-3) SEM ATIVIDADES &amp;gt;&amp;gt;CONDIES CLIMTICAS: TEMPO BOM  &amp;gt;&amp;gt;&amp;gt;IMPEDIMENTOS ACUMULADOS LIBERAO PT/PTT: 21:57 = 2,75d CONDIES CLIMTICAS: 55:50 = 6,98d PETROBRAS: 0:00 = 0d OUTROS: 28:00 = 3,5d APJ: 0:00 = 0d RO DIRIO E OBRA - SS-10/2025 (K-04)  &amp;gt;REMOO DE TELHAS E PERFIS- MOD:5 | PEMT:1 | PT: (21053754 |HR SOLIC 07:40 | HR LIB 07:41 |ATRASO 00:00|) - (HR ENC 16:30 | ATRASO 00:00)  &amp;gt;&amp;gt;CONDIES CLIMTICAS: TEMPO BOM  &amp;gt;&amp;gt;&amp;gt;IMPEDIMENTOS ACUMULADOS LIBERAO PT/PTT: 0:00 = 0d CONDIES CLIMTICAS: 7:00 = 0,88d PETROBRAS: 0:00 = 0d OUTROS: 0:00 = 0d APJ: 0:00 = 0d RO DIRIO E OBRA - SS-18/2025 (SALA CISC)  &amp;gt;CONFECO DE BONECA PARA INSTALAO DE PORTA- MOD:2 | PT: (21055918 |HR SOLIC 09:20 | HR LIB 09:25 |ATRASO 00:00|) - (HR ENC 16:30 | ATRASO 00:00)  &amp;gt;&amp;gt;CONDIES CLIMTICAS: TEMPO BOM  &amp;gt;&amp;gt;&amp;gt;IMPEDIMENTOS ACUMULADOS LIBERAO PT/PTT: 0:00 = 0d CONDIES CLIMTICAS: 0:00 = 0d PETROBRAS: 0:00 = 0d OUTROS: 0:00 = 0d APJ: 0:00 = 0d RO DIRIO E OBRA - SS-31/2025 ((K-18)ADEQUAO DE AREA DA PORTARIA)  &amp;gt;RETIRADA/INSTALAO JANELA, PINTURA DE ESTRUTURA DE CONCRETO, LIMPEZA DE PISO - MOD:5 | PEMT:1 | PT: (21053797 |HR SOLIC 08:58 | HR LIB 08:59 |ATRASO 00:00|) - (HR ENC 16:30 | ATRASO 00:00)  &amp;gt;&amp;gt;CONDIES CLIMTICAS: TEMPO BOM  &amp;gt;&amp;gt;&amp;gt;IMPEDIMENTOS ACUMULADOS LIBERAO PT/PTT: 0:00 = 0d CONDIES CLIMTICAS: 0:00 = 0d PETROBRAS: 0:00 = 0d OUTROS: 0:00 = 0d APJ: 0:00 = 0d</t>
  </si>
  <si>
    <t>17/12/2025</t>
  </si>
  <si>
    <t>RO-405/2025</t>
  </si>
  <si>
    <t>Os somatrios desde incio at o prazo final da SS dos acmulos de hora parada e meteorolgicas no final da SS a Petrobras ir analisar se e cabvel o abono revertido em acrscimo de dias no prazo de entrega da demanda.1. SECGN:Equipe de eltrica atuou na atividade de adequao da rede eltrica do galpo com apoio dos iratas.2. UPGN-3:Foram realizados pela equipe de eltrica os testes do sistema e dos paineis, com remoo da libra dos mesmos.3. K-15:Equipe de caldeiraria atuou na montagem das telhas da cobertura, os iratas atuaram na montagem das venezianas do galpo. O nmero da PT de caldeiraria est incorreta no RDO, o nmero correto  o 21.052.916.A PT 21.047.424  referente ao dia anterior, no foi executada no dia 16/12.4. K-04:No K-04 foi realizada a remoo das telhas da cobertura do prdio mais alto.5. K-14:A equipe de civil atuou na atividade de passagem de cabeamento de SPDA no solo, com corte e demolio de calada e concretagem aps a passagem do cabo de cobre nu. A equipe de caldeiraria atuou com a instalao de perfis da cobertura, enquanto a equipe de pintura atuava no tratamento das soldas.6. UPGN-2:Foi realizada a atividade de tratamento e pintura dos perfis metlicos no mdulo 02. No foi programada nenhuma outra atividade, pois a equipe estava focada em finalizar as obras prioritrias para entrega.7. SALA CISC:Equipe de civil atuou na remoo dos forros e das luminrias da sala.RO aceito pela fiscalizao.</t>
  </si>
  <si>
    <t>RO DIRIO E OBRA - SS-04/2025 (UPGN-2)  &amp;gt;TRATAMENTO E PINTURA DAS ESTRUTURAS DE CONCRETO- MOD:2 | PT: (21049156 |HR SOLIC 09:00 | HR LIB 09:30 |ATRASO 00:00|) - (HR ENC 16:30 | ATRASO 00:00)  &amp;gt;&amp;gt;CONDIES CLIMTICAS: TEMPO BOM  &amp;gt;&amp;gt;&amp;gt;IMPEDIMENTOS ACUMULADOS LIBERAO PT/PTT: 1:45 = 0,43d CONDIES CLIMTICAS: 12:20 = 1,55d PETROBRAS: 0:00 = 0d OUTROS: 20:00 = 2,5d APJ: 0:00 = 0d RO DIRIO E OBRA - SS-05/2025 (SECGN)  &amp;gt;REALIZANDO MONTAGEM DE INFRA ESTRUTURA ELETRICA - MOD:4 | PEMT:1 | PT: (21049229 |HR SOLIC 08:10 | HR LIB 09:04 |ATRASO 00:24|) - (HR ENC 16:30 | ATRASO 00:00)  &amp;gt;&amp;gt;CONDIES CLIMTICAS: TEMPO BOM  &amp;gt;&amp;gt;&amp;gt;IMPEDIMENTOS ACUMULADOS LIBERAO PT/PTT: 15:48 = 1,98d CONDIES CLIMTICAS: 55:10 = 6,9d PETROBRAS: 6:30 = 0,82d OUTROS: 28:00 = 3,5d APJ: 0:00 = 0d  RO DIRIO E OBRA - SS-06/2025 (K-14)  &amp;gt;ADEQUAO DE SPDA E CONCRETAGEM DE PISO DA CALADA. DO GALPO- MOD:2 | PT: (21050294 |HR SOLIC 08:00 | HR LIB 08:05 |ATRASO 00:00|) - (HR ENC 16:30 | ATRASO 00:00)  &amp;gt;MONTAGEM DE ESTRUTURA METALICA DO GALPO- MOD:7 | PEMT:2 | PT: (21049258 |HR SOLIC 08:10 | HR LIB 08:43 |ATRASO 00:03|) - (HR ENC 16:30 | ATRASO 00:00)  &amp;gt;PINTURA DE ESTRUTURA METALICA- MOD:1 | PT: (21035827 |HR SOLIC 08:00 | HR LIB 08:35 |ATRASO 00:05|) - (HR ENC 16:30 | ATRASO 00:00)  &amp;gt;&amp;gt;CONDIES CLIMTICAS: TEMPO BOM  &amp;gt;&amp;gt;&amp;gt;IMPEDIMENTOS ACUMULADOS LIBERAO PT/PTT: 12:06 = 1,52d CONDIES CLIMTICAS: 27:20 = 3,42d PETROBRAS: 0:00 = 0d OUTROS: 28:00 = 3,5d APJ: 0:00 = 0d  RO DIRIO E OBRA - SS-07/2025 (K-15)  &amp;gt;ADEQUAO DE SPDA E CONCRETAGEM DE PISO DA CALADA. DO GALPO- MOD:6 | PT: (21047424 |HR SOLIC 10:20 | HR LIB 10:21 |ATRASO 00:00|) - (HR ENC 16:30 | ATRASO 00:00)  &amp;gt;MONTAGEM DE ESTRUTURA METALICA DO GALPO ( TELHAS)- MOD:5 | PEMT:2 | PT: (21046613 |HR SOLIC 08:00 | HR LIB 08:55 |ATRASO 00:25|) - (HR ENC 16:30 | ATRASO 00:00)  &amp;gt;&amp;gt;CONDIES CLIMTICAS: TEMPO BOM  &amp;gt;&amp;gt;&amp;gt;IMPEDIMENTOS ACUMULADOS LIBERAO PT/PTT: 16:12 = 2,03d CONDIES CLIMTICAS: 41:10 = 5,15d PETROBRAS: 0:00 = 0d OUTROS: 28:00 = 3,5d APJ: 0:00 = 0d RO DIRIO E OBRA - SS-09/2025 (UPGN-3)  &amp;gt;TESTE DO SISTEMA DE ILUMINAO - MOD:1 | PT: (21049719 |HR SOLIC 12:00 | HR LIB 12:00 |ATRASO 00:00|) - (HR ENC 16:30 | ATRASO 00:00)  &amp;gt;&amp;gt;CONDIES CLIMTICAS: TEMPO BOM  &amp;gt;&amp;gt;&amp;gt;IMPEDIMENTOS ACUMULADOS LIBERAO PT/PTT: 21:57 = 2,75d CONDIES CLIMTICAS: 55:50 = 6,98d PETROBRAS: 0:00 = 0d OUTROS: 28:00 = 3,5d APJ: 0:00 = 0d RO DIRIO E OBRA - SS-10/2025 (K-04)  &amp;gt;REMOO DE TELHAS E PERFIS - MOD:5 | PT: (21050264 |HR SOLIC 07:30 | HR LIB 07:33 |ATRASO 00:00|) - (HR ENC 16:30 | ATRASO 00:00)  &amp;gt;&amp;gt;CONDIES CLIMTICAS: TEMPO BOM  &amp;gt;&amp;gt;&amp;gt;IMPEDIMENTOS ACUMULADOS LIBERAO PT/PTT: 0:00 = 0d CONDIES CLIMTICAS: 7:00 = 0,88d PETROBRAS: 0:00 = 0d OUTROS: 0:00 = 0d APJ: 0:00 = 0d RO DIRIO E OBRA - SS-18/2025 (SALA CISC)  &amp;gt;REMOO DE FORRO E LUMINARIAS - MOD:4 | PT: (21051958 |HR SOLIC 08:50 | HR LIB 08:55 |ATRASO 00:00|) - (HR ENC 16:30 | ATRASO 00:00)  &amp;gt;&amp;gt;CONDIES CLIMTICAS: TEMPO BOM  &amp;gt;&amp;gt;&amp;gt;IMPEDIMENTOS ACUMULADOS LIBERAO PT/PTT: 0:00 = 0d CONDIES CLIMTICAS: 0:00 = 0d PETROBRAS: 0:00 = 0d OUTROS: 0:00 = 0d APJ: 0:00 = 0d</t>
  </si>
  <si>
    <t>16/12/2025</t>
  </si>
  <si>
    <t>RO-404/2025</t>
  </si>
  <si>
    <t>INVENTÁRIO DE MAQUINAS SMS  19 12 2025.xlsx; CERTIFICADO TACOGRAFO - RKO5D59 - VENC. 22.03.2026 (2).pdf; CERTIFICADO CRONOTACOGRAFO GUINDASTE 100 T (2).pdf</t>
  </si>
  <si>
    <t>Envio do doc. CODIGO 363-Relao de ferramentas e equipamentos e seus certificados de calibrao NR-12 , DEZEMBRO 2025 para avaliao:</t>
  </si>
  <si>
    <t>RO-403/2025</t>
  </si>
  <si>
    <t>BONUS IDF SMS DEZEMBRO 2025  APJ ENGENHARIA.pdf</t>
  </si>
  <si>
    <t>Envio do BONUS IDF SMS DEZEMBRO 2025 para avaliao:</t>
  </si>
  <si>
    <t>RO-402/2025</t>
  </si>
  <si>
    <t>ATA DE REUNIÃO APJ DEZEMBRO - 2025.pdf; BM-04-DEZ-2025-UTGC-UNIFICADO-26-11-2025 A 25-12-2025-REV004.pdf; BM-04-DEZ-2025-UTGC-UNIFICADO-26-11-2025 A 25-12-2025-REV004.xlsx; MC-04-DEZ-2025-UTGC-UNIFICADO-26-11-2025 A 25-12-2025-PARTE01-REV004.xlsx; MC-04-DEZ-2025-UTGC-UNIFICADO-26-11-2025 A 25-12-2025-PARTE02-REV004.xlsx; MC-04-DEZ-2025-UTGC-UNIFICADO-26-11-2025 A 25-12-2025-PARTE03-REV004.xlsx; MC-04-DEZ-2025-UTGC-UNIFICADO-26-11-2025 A 25-12-2025-PARTE04-REV004.xlsx; MC-04-DEZ-2025-UTGC-UNIFICADO-26-11-2025 A 25-12-2025-REV004.pdf; Planilha IDF Dezembro 2025.xlsx</t>
  </si>
  <si>
    <t>RO-401/2025</t>
  </si>
  <si>
    <t>47,164</t>
  </si>
  <si>
    <t>2.768,836</t>
  </si>
  <si>
    <t>139,974</t>
  </si>
  <si>
    <t>379,344</t>
  </si>
  <si>
    <t>1001452374 10</t>
  </si>
  <si>
    <t>28,489</t>
  </si>
  <si>
    <t>855,554</t>
  </si>
  <si>
    <t>689,734</t>
  </si>
  <si>
    <t>60,0</t>
  </si>
  <si>
    <t>1001500845 10</t>
  </si>
  <si>
    <t>396,830</t>
  </si>
  <si>
    <t>410,989</t>
  </si>
  <si>
    <t>Ata Reunião Mensal de Medição-APJ Engenharia - EDIVIT- Dezembro-25.pdf; BM-04-DEZ-2025-EDIVIT-UNIFICADO-26-11-2025_A_25-12-2025_REV01.pdf; MC - BM-04-DEZ-2025-EDIVIT-UNIFICADO-26-11-2025_A_25-12-2025_REV01.pdf; BM-04-DEZ-2025-EDIVIT-UNIFICADO-26-11-2025 A 25-12-2025-REV01.xlsx; Planilha IDF DEZ 25 APJ.xlsx</t>
  </si>
  <si>
    <t>115,473</t>
  </si>
  <si>
    <t>Fiscalizao se encontra de acordo com o pleito de medio apresentado.</t>
  </si>
  <si>
    <t>RO-400/2025</t>
  </si>
  <si>
    <t>1.512,571</t>
  </si>
  <si>
    <t>1001423205 10</t>
  </si>
  <si>
    <t>15,0</t>
  </si>
  <si>
    <t>332,569</t>
  </si>
  <si>
    <t>76,080</t>
  </si>
  <si>
    <t>166,840</t>
  </si>
  <si>
    <t>BM-02-DEZ-2025-UTGSUL-UNIFICADO-26-11-2025 A 25-12-2025-REV01.xlsx; Ata Reunião Mensal de Medição-APJ Engenharia - Dezembro-25 - SALA CISC-UTG-SUL 2.pdf; MC - BM-02-DEZ-2025-UTGSUL-UNIFICADO-26-11-2025_A_25-12-2025_REV01.pdf; BM-02-DEZ-2025-UTGSUL-UNIFICADO-26-11-2025_A_25-12-2025_REV01.pdf; Planilha IDF DEZ 25 APJ.xlsx</t>
  </si>
  <si>
    <t>257,818</t>
  </si>
  <si>
    <t>Segue pleito de medio 02 referente ao UTGSUL.</t>
  </si>
  <si>
    <t>RO-399/2025</t>
  </si>
  <si>
    <t>Equipe da Torres Brasil, subcontratada da APJ est atuando na manuteno das torres de resfriamento, Atividades: Retirada dos atenuadores, tubos, perfis metlicos degradados e eliminadores de gota, laminao das paredes e fundos da torres, a manuteno est sendo feita nas Torres A e B.Est sendo executado ainda na rea do pipe shop o corte e tratamento de perfis metlicos.Em execuo ainda a troca dos perfis que se encontravam deteriorados dentro das coifas atenuadoras, esses perfis so parte da estrutura do suporte e fixao dos eixos dos motores dos ventiladores das torres.</t>
  </si>
  <si>
    <t>"RO DIRIO E OBRA - SS-15/2025 (TORRE RESFR)&amp;gt;&amp;gt;MANUTENO DAS TORRES DE RESFRIAMENTO:&amp;gt;&amp;gt;REINSTALAO DE VIGAS COM CORTE E SOLDA - MOD:2 |PT: (21061848 |HR SOLIC 07:35 | HR LIB 07:57 |ATRASO 00:00|) - (HR ENC 16:30 | ATRASO 00:00)&amp;gt;MANUTENO DAS TORRES DE RESFRIAMENTO:&amp;gt;&amp;gt;LAMINAO E INSTALAO DE TUBOS - MOD:4 |PT: (21061867 |HR SOLIC 07:20 | HR LIB 07:50 |ATRASO 00:00|) - (HR ENC 16:30 | ATRASO 00:00)&amp;gt;&amp;gt;CONDIES CLIMTICAS: TEMPO BOM&amp;gt;&amp;gt;&amp;gt;IMPEDIMENTOS ACUMULADOSLIBERAO PT/PTT: 3:43 = 0,47dCONDIES CLIMTICAS: 2:30 = 0,32dPETROBRAS: 4:30 = 0,57dOUTROS: 0:00 = 0dAPJ: 0:00 = 0d"</t>
  </si>
  <si>
    <t>RO-398/2025</t>
  </si>
  <si>
    <t>Fiscalizao de acordo com RO anexado.</t>
  </si>
  <si>
    <t>"RO DIRIO E OBRA - SS-22/2025 (SALA CISC)&amp;gt;&amp;gt;ADEQUAO DA SALA CISC - UTGSUL&amp;gt;&amp;gt; INSTALAO PLACAS DE GESSO ACARTONADO - EMASSAMENTO E LIXAMENTO&amp;gt;&amp;gt;INSTLAO DOS PERFIS DA SANCA. - MOD:4 |PT: (21033342 |HR SOLIC 07:30 | HR LIB 09:00 |ATRASO 01:00|) - (HR ENC 14:30 | ATRASO 02:00)&amp;gt;&amp;gt;CONDIES CLIMTICAS: TEMPO BOM&amp;gt;&amp;gt;&amp;gt;IMPEDIMENTOS ACUMULADOSLIBERAO PT/PTT: 37:36 = 4,7dCONDIES CLIMTICAS: 0:00 = 0dPETROBRAS: 0:00 = 0dOUTROS: 0:00 = 0dAPJ: 0:00 = 0d"</t>
  </si>
  <si>
    <t>RO-397/2025</t>
  </si>
  <si>
    <t>"RO DIRIO E OBRA - SS-16/2025 (ACSTICO)&amp;gt;ISOLAMENTO ACSTICO - INSTALAO DE TELAS NA ALA NORTE - MOD:3 |PT: (21049548 |HR SOLIC 08:00 | HR LIB 08:30 |ATRASO 00:00|) - (HR ENC 16:30 | ATRASO 00:00)&amp;gt;&amp;gt;CONDIES CLIMTICAS: TEMPO BOM&amp;gt;&amp;gt;&amp;gt;IMPEDIMENTOS ACUMULADOSLIBERAO PT/PTT: 23:02 = 2,88dCONDIES CLIMTICAS: 2:30 = 0,32dPETROBRAS: 1:30 = 0,19dOUTROS: 0:00 = 0dAPJ: 0:00 = 0d"</t>
  </si>
  <si>
    <t>RO-396/2025</t>
  </si>
  <si>
    <t>Fiscalizao de acordo com RO anexado;Inicio da demanda de Luminosidade do Edivit.</t>
  </si>
  <si>
    <t>"RO DIRIO E OBRA - SS-17/2025 (LUMINOSIDADE)&amp;gt;&amp;gt;ADEQUAO DA LUMINOSIDADE EXTERNA DO EDIVIT&amp;gt;&amp;gt;TROCA DAS LUMINRIAS DA PRAA DA BANDEIRA - MOD:4 |PT: (21062017 |HR SOLIC 07:43 | HR LIB 08:11 |ATRASO 00:00|) - (HR ENC 16:30 | ATRASO 00:00)&amp;gt;&amp;gt;CONDIES CLIMTICAS: TEMPO BOM&amp;gt;&amp;gt;DEMORA NO DESBLOQUEIO ELTRICO (LIBRA) (08:00 - 10:20)&amp;gt;&amp;gt;&amp;gt;IMPEDIMENTOS ACUMULADOSLIBERAO PT/PTT: 0:00 = 0,01dCONDIES CLIMTICAS: 0:00 = 0dPETROBRAS: 0:00 = 0dOUTROS: 2:20 = 0,3dAPJ: 0:00 = 0d"</t>
  </si>
  <si>
    <t>RO-395/2025</t>
  </si>
  <si>
    <t>Fiscalizao de cordo com RO anexado</t>
  </si>
  <si>
    <t>"RO DIRIO E OBRA - SS-17/2025 (LUMINOSIDADE)&amp;gt;&amp;gt;ADEQUAO DA LUMINOSIDADE DA REA EXTERNA DO EDIVIT - MOD:2 |PT: (21059687 |HR SOLIC 10:36 | HR LIB 10:45 |ATRASO 00:00|) - (HR ENC 16:30 | ATRASO 00:00)&amp;gt;&amp;gt;CONDIES CLIMTICAS: TEMPO BOM&amp;gt;&amp;gt;&amp;gt;IMPEDIMENTOS ACUMULADOSLIBERAO PT/PTT: 0:00 = 0dCONDIES CLIMTICAS: 0:00 = 0dPETROBRAS: 0:00 = 0dOUTROS: 0:00 = 0dAPJ: 0:00 = 0d"</t>
  </si>
  <si>
    <t>RO-394/2025</t>
  </si>
  <si>
    <t>Equipe est aguardando a chegada das telas de Alumnio para continuao da atividade, sero substitudas as telas que se encontram mais amassadas conforme alinhado em visita em campo da contratada e fiscalizao.Cobrado novamente a contratada para que fiquem atentos e solicitem ao seu fornecedor a entrega desse material para sequncia das atividades.A equipe atuante nesta atividade foi distribuda para outras frentes de trabalho.</t>
  </si>
  <si>
    <t>"RO DIRIO E OBRA - SS-16/2025 (ACSTICO)&amp;gt;NO HOUVE ATIVIDADE NESTE DIA - MOD: |PT: ( |HR SOLIC 00:00 | HR LIB 00:00 |ATRASO |) - (HR ENC 00:00 | ATRASO )&amp;gt;&amp;gt;CONDIES CLIMTICAS: TEMPO BOM&amp;gt;&amp;gt;&amp;gt;IMPEDIMENTOS ACUMULADOSLIBERAO PT/PTT: 23:02 = 2,88dCONDIES CLIMTICAS: 2:30 = 0,32dPETROBRAS: 1:30 = 0,19dOUTROS: 0:00 = 0dAPJ: 0:00 = 0d"</t>
  </si>
  <si>
    <t>RO-393/2025</t>
  </si>
  <si>
    <t>"RO DIRIO E OBRA - SS-22/2025 (SALA CISC)&amp;gt;&amp;gt;ADEQUAO DA SALA CISC - UTGSUL - MOD:4 |&amp;gt;&amp;gt;INSTALAO DE INFRAESTRUTURA ELTRICA:&amp;gt;&amp;gt;&amp;gt;INFRAESTRUTURA DE ELTRICA NO TETO&amp;gt;&amp;gt;&amp;gt;&amp;gt;EMASSAMENTO DE PAREDES DE DRYWALLPT: (21033342 |HR SOLIC 07:30 | HR LIB 09:00 |ATRASO 01:00|) - (HR ENC 14:30 | ATRASO 02:00)&amp;gt;&amp;gt;CONDIES CLIMTICAS: TEMPO BOM&amp;gt;&amp;gt;&amp;gt;IMPEDIMENTOS ACUMULADOSLIBERAO PT/PTT: 34:36 = 4,33dCONDIES CLIMTICAS: 0:00 = 0dPETROBRAS: 0:00 = 0dOUTROS: 0:00 = 0dAPJ: 0:00 = 0d"</t>
  </si>
  <si>
    <t>RO-392/2025</t>
  </si>
  <si>
    <t>"RO DIRIO E OBRA - SS-15/2025 (TORRE RESFR)&amp;gt;&amp;gt;MANUTENO DAS TORRES DE RESFRIAMENTO:&amp;gt;&amp;gt;REINSTALAO DE VIGAS COM CORTE E SOLDA - MOD:3 |PT: (21058302 |HR SOLIC 08:15 | HR LIB 08:45 |ATRASO 00:00|) - (HR ENC 16:30 | ATRASO 00:00)&amp;gt;MANUTENO DAS TORRES DE RESFRIAME7NTO:&amp;gt;&amp;gt;LAMINAO E INSTALAO DE TUBOS - MOD:3 |PT: (21058299 |HR SOLIC 08:15 | HR LIB 08:30 |ATRASO 00:00|) - (HR ENC 16:30 | ATRASO 00:00)&amp;gt;MONTAGEM DE ANDAIMES - MOD:4 |PT: (21059618 |HR SOLIC 10:20 | HR LIB 10:50 |ATRASO 00:00|) - (HR ENC 16:30 | ATRASO 00:00)&amp;gt;&amp;gt;CONDIES CLIMTICAS: TEMPO BOM&amp;gt;&amp;gt; (07:00 - 08:00)&amp;gt;&amp;gt;&amp;gt;IMPEDIMENTOS ACUMULADOSLIBERAO PT/PTT: 3:43 = 0,47dCONDIES CLIMTICAS: 2:30 = 0,32dPETROBRAS: 4:30 = 0,57dOUTROS: 0:00 = 0dAPJ: 0:00 = 0d"</t>
  </si>
  <si>
    <t>RO-391/2025</t>
  </si>
  <si>
    <t>RO-390/2025</t>
  </si>
  <si>
    <t>"RO DIRIO E OBRA - SS-22/2025 (SALA CISC)&amp;gt;&amp;gt;ADEQUAO DA SALA CISC - UTGSUL&amp;gt;&amp;gt;INSTALAO DE INFRAESTRUTURA ELTRICA:&amp;gt;&amp;gt;&amp;gt; PASSAGEM DE ELETRODUTOS E CIRCUITOS ELTRICOS NO SOLO&amp;gt;&amp;gt;&amp;gt;&amp;gt; INSTALAO DE ESTRUTURA (PERFIS) DA PAREDE DE DRYWALL E PLACAS DE GESSO ACARTONADO&amp;gt;&amp;gt;&amp;gt;&amp;gt;&amp;gt;INSTLAO DOS PERFIS DA SANCA. - MOD:4 |PT: (210333342 |HR SOLIC 07:30 | HR LIB 09:00 |ATRASO 01:00|) - (HR ENC 14:30 | ATRASO 02:00)&amp;gt;&amp;gt;CONDIES CLIMTICAS: TEMPO BOM&amp;gt;&amp;gt;&amp;gt;IMPEDIMENTOS ACUMULADOSLIBERAO PT/PTT: 31:36 = 3,95dCONDIES CLIMTICAS: 0:00 = 0dPETROBRAS: 0:00 = 0dOUTROS: 0:00 = 0dAPJ: 0:00 = 0d"</t>
  </si>
  <si>
    <t>RO-389/2025</t>
  </si>
  <si>
    <t>Os somatrios desde incio at o prazo final da SS dos acmulos de hora parada e meteorolgicas no final da SS a Petrobras ir analisar se e cabvel o abono revertido em acrscimo de dias no prazo de entrega da demanda. 01. UPGN 2:PT para equipe de caldeiraria atuando na instalao das tela de proteo.PT programada para a atuao da equipe de pintura, na execuo da pintura dos pilares de concreto. 02. SECGN: PT programada para equipe de eltrica na atuao da infraestrutura de eltrica. 03. K-14: PT programada para a atuao da equipe de caldeiraria atuando na instalao de tirantes e cantoneiras e perfis da cobertura. PT programada para a atuao da equipe de andaime para montagem do andaime de proteo. PT programada para equipe de civil, para concretagem das malhas de aterramento do SPDA. 04. K-15: PT programada para a atuao da equipe de caldeiraria atuando na instalao das calhas e telhas da cobertura. PT programada para equipe de civil, para concretagem das malhas de aterramento do SPDA. 05. UPGN-3: PT programada para a atuao da equipe de caldeiraria atuando nas instalaes das tubulaes de descida de drenagem. PT programada para a atuao da equipe de pintura, na execuo da pintura das passarelas.  RO aceito pela fiscalizao.</t>
  </si>
  <si>
    <t>RO DIRIO E OBRA - SS-04/2025 (UPGN-2)  &amp;gt;MONTAGEM DE TELAS DE PROTEO DE EQUIPAMENTOS - MOD:5 | PEMT:1 | PT: (21042770 |HR SOLIC 12:45 | HR LIB 13:40 |ATRASO 00:25|) - (HR ENC 16:30 | ATRASO 00:00)  &amp;gt;TRATAMENTO E PINTURA DAS ESTRUTURAS DE CONCRETO- MOD:2 | PT: (21046645 |HR SOLIC 09:30 | HR LIB 09:30 |ATRASO 00:00|) - (HR ENC 16:30 | ATRASO 00:00)  &amp;gt;&amp;gt;CONDIES CLIMTICAS: TEMPO BOM  &amp;gt;&amp;gt;&amp;gt;IMPEDIMENTOS ACUMULADOS LIBERAO PT/PTT: 1:45 = 0,43d CONDIES CLIMTICAS: 12:20 = 1,55d PETROBRAS: 0:00 = 0d OUTROS: 20:00 = 2,5d APJ: 0:00 = 0d  RO DIRIO E OBRA - SS-05/2025 (SECGN)  &amp;gt;REALIZANDO MONTAGEM DE INFRA ESTRUTURA ELETRICA - MOD:4 | PEMT:1 | PT: (21046612 |HR SOLIC 09:00 | HR LIB 09:15 |ATRASO 00:00|) - (HR ENC 16:30 | ATRASO 00:00)  &amp;gt;&amp;gt;CONDIES CLIMTICAS: TEMPO BOM  &amp;gt;&amp;gt;&amp;gt;IMPEDIMENTOS ACUMULADOS LIBERAO PT/PTT: 15:24 = 1,93d CONDIES CLIMTICAS: 55:10 = 6,9d PETROBRAS: 6:30 = 0,82d OUTROS: 28:00 = 3,5d APJ: 0:00 = 0d   RO DIRIO E OBRA - SS-06/2025 (K-14)  &amp;gt;MONTAGEM DE ESTRUTURA METALICA DO GALPO - MOD:7 | PEMT:2 | PT: (21046632 |HR SOLIC 09:00 | HR LIB 10:10 |ATRASO 00:40|) - (HR ENC 16:30 | ATRASO 00:00)  &amp;gt;MONTAGEM DE ANDAIME - MOD:6 | PT: (21046624 |HR SOLIC 08:10 | HR LIB 10:07 |ATRASO 01:27|) - (HR ENC 16:30 | ATRASO 00:00)  &amp;gt;ADEQUAO DE SPDA E CONCRETAGEM DE PISO DA CALADA. DO GALPO- MOD:6 | PT: (21047337 |HR SOLIC 08:40 | HR LIB 08:41 |ATRASO 00:00|) - (HR ENC 16:30 | ATRASO 00:00)  &amp;gt;&amp;gt;CONDIES CLIMTICAS: TEMPO BOM  &amp;gt;&amp;gt;&amp;gt;IMPEDIMENTOS ACUMULADOS LIBERAO PT/PTT: 11:58 = 1,5d CONDIES CLIMTICAS: 27:20 = 3,42d PETROBRAS: 0:00 = 0d OUTROS: 28:00 = 3,5d APJ: 0:00 = 0d RO DIRIO E OBRA - SS-07/2025 (K-15)  &amp;gt;ADEQUAO DE SPDA E CONCRETAGEM DE PISO DA CALADA. DO GALPO- MOD:6 | PT: (21047424 |HR SOLIC 10:20 | HR LIB 10:21 |ATRASO 00:00|) - (HR ENC 16:30 | ATRASO 00:00)  &amp;gt;MONTAGEM DE ESTRUTURA METALICA DO GALPO ( TELHAS)- MOD:5 | PEMT:2 | PT: (21046613 |HR SOLIC 08:00 | HR LIB 08:55 |ATRASO 00:25|) - (HR ENC 16:30 | ATRASO 00:00)  &amp;gt;&amp;gt;CONDIES CLIMTICAS: TEMPO BOM  &amp;gt;&amp;gt;&amp;gt;IMPEDIMENTOS ACUMULADOS LIBERAO PT/PTT: 16:12 = 2,03d CONDIES CLIMTICAS: 41:10 = 5,15d PETROBRAS: 0:00 = 0d OUTROS: 28:00 = 3,5d APJ: 0:00 = 0d  RO DIRIO E OBRA - SS-09/2025 (UPGN-3)  &amp;gt;PINTURA DAS PASSARELAS DA PONTE ROLANTE - MOD:5 | PT: (21046627 |HR SOLIC 08:34 | HR LIB 08:50 |ATRASO 00:00|) - (HR ENC 16:30 | ATRASO 00:00)  &amp;gt;ADEQUAO DO SISTEMA PLUVIAL ( INSTALAO DE TUBOS PVC)- MOD:3 | PT: (21046630 |HR SOLIC 08:32 | HR LIB 08:50 |ATRASO 00:00|) - (HR ENC 16:30 | ATRASO 00:00)  &amp;gt;&amp;gt;CONDIES CLIMTICAS: TEMPO BOM  &amp;gt;&amp;gt;&amp;gt;IMPEDIMENTOS ACUMULADOS LIBERAO PT/PTT: 21:57 = 2,75d CONDIES CLIMTICAS: 55:50 = 6,98d PETROBRAS: 0:00 = 0d OUTROS: 28:00 = 3,5d APJ: 0:00 = 0d</t>
  </si>
  <si>
    <t>15/12/2025</t>
  </si>
  <si>
    <t>RO-388/2025</t>
  </si>
  <si>
    <t>RO DIRIO E OBRA - SS-04/2025 (UPGN-2)  SEM ATIVIDADE  &amp;gt;&amp;gt;CONDIES CLIMTICAS: TEMPO BOM  &amp;gt;&amp;gt;&amp;gt;IMPEDIMENTOS ACUMULADOS LIBERAO PT/PTT: 1,20 = 0,16d CONDIES CLIMTICAS: 12:20 = 1,55d PETROBRAS: 0:00 = 0d OUTROS: 20:00 = 2,5d APJ: 0:00 = 0d RO DIRIO E OBRA - SS-05/2025 (SECGN)  SEM EXPEDIENTE  &amp;gt;&amp;gt;CONDIES CLIMTICAS: TEMPO BOM  &amp;gt;&amp;gt;&amp;gt;IMPEDIMENTOS ACUMULADOS LIBERAO PT/PTT: 15:24 = 1,93d CONDIES CLIMTICAS: 55:10 = 6,9d PETROBRAS: 6:30 = 0,82d OUTROS: 28:00 = 3,5d APJ: 0:00 = 0d RO DIRIO E OBRA - SS-06/2025 (K-14)  SEM EXPEDIENTE  &amp;gt;&amp;gt;CONDIES CLIMTICAS: TEMPO BOM  &amp;gt;&amp;gt;&amp;gt;IMPEDIMENTOS ACUMULADOS LIBERAO PT/PTT: 9:51 = 1,24d CONDIES CLIMTICAS: 27:20 = 3,42d PETROBRAS: 0:00 = 0d OUTROS: 28:00 = 3,5d APJ: 0:00 = 0d  RO DIRIO E OBRA - SS-07/2025 (K-15)  SEM EXPEDIENTE  &amp;gt;&amp;gt;CONDIES CLIMTICAS: TEMPO BOM  &amp;gt;&amp;gt;&amp;gt;IMPEDIMENTOS ACUMULADOS LIBERAO PT/PTT: 15:47 = 1,98d CONDIES CLIMTICAS: 41:10 = 5,15d PETROBRAS: 0:00 = 0d OUTROS: 28:00 = 3,5d APJ: 0:00 = 0d RO DIRIO E OBRA - SS-09/2025 (UPGN-3)  SEM EXPEDIENTE  &amp;gt;&amp;gt;CONDIES CLIMTICAS: TEMPO BOM  &amp;gt;&amp;gt;&amp;gt;IMPEDIMENTOS ACUMULADOS LIBERAO PT/PTT: 21:57 = 2,75d CONDIES CLIMTICAS: 55:50 = 6,98d PETROBRAS: 0:00 = 0d OUTROS: 28:00 = 3,5d APJ: 0:00 = 0d RO DIRIO E OBRA - SS-10/2025 (K-04)  SEM EXPEDIENTE  &amp;gt;&amp;gt;CONDIES CLIMTICAS: TEMPO BOM  &amp;gt;&amp;gt;&amp;gt;IMPEDIMENTOS ACUMULADOS LIBERAO PT/PTT: 0:00 = 0d CONDIES CLIMTICAS: 7:00 = 0,88d PETROBRAS: 0:00 = 0d OUTROS: 0:00 = 0d APJ: 0:00 = 0d</t>
  </si>
  <si>
    <t>14/12/2025</t>
  </si>
  <si>
    <t>RO-387/2025</t>
  </si>
  <si>
    <t>Os somatrios desde incio at o prazo final da SS dos acmulos de hora parada e meteorolgicas no final da SS a Petrobras ir analisar se e cabvel o abono revertido em acrscimo de dias no prazo de entrega da demanda.  01. SECGN: PT programada para equipe de eltrica na atuao da infraestrutura de eltrica. 02. K-14: PT programada para a atuao da equipe de caldeiraria atuando na instalao de tirantes e cantoneiras e perfis da cobertura. PT programada para a atuao da equipe de andaime para montagem do andaime de proteo. PT programada para equipe de civil, para concretagem das malhas de aterramento do SPDA. 03. K-15: PT programada para a atuao da equipe de caldeiraria atuando na instalao das calhas e telhas da cobertura. PT programada para equipe de civil, para concretagem das malhas de aterramento do SPDA. 04. UPGN-3: PT programada para a atuao da equipe de caldeiraria atuando nas instalaes das tubulaes de descida de drenagem. PT programada para a atuao da equipe de pintura, na execuo da pintura das passarelas.  Demais frentes de servio no realizaram atividades. RO aceito pela fiscalizao.</t>
  </si>
  <si>
    <t>RO DIRIO E OBRA - SS-05/2025 (SECGN)  &amp;gt;REALIZANDO MONTAGEM DE INFRA ESTRUTURA ELETRICA - MOD:5 | PEMT:1 | PT: (21042148 |HR SOLIC 08:00 | HR LIB 08:00 |ATRASO 00:00|) - (HR ENC 16:30 | ATRASO 00:00)  &amp;gt;&amp;gt;CONDIES CLIMTICAS: TEMPO BOM  &amp;gt;&amp;gt;&amp;gt;IMPEDIMENTOS ACUMULADOS LIBERAO PT/PTT: 15:24 = 1,93d CONDIES CLIMTICAS: 55:10 = 6,9d PETROBRAS: 6:30 = 0,82d OUTROS: 28:00 = 3,5d APJ: 0:00 = 0d RO DIRIO E OBRA - SS-06/2025 (K-14)  &amp;gt;MONTAGEM DE ESTRUTURA METALICA DO GALPO- MOD:7 | PEMT:1 | PT: (21042217 |HR SOLIC 08:10 | HR LIB 08:40 |ATRASO 00:00|) - (HR ENC 16:30 | ATRASO 00:00)  &amp;gt;MONTAGEM DE ANDAIME- MOD:6 | PT: (21042176 |HR SOLIC 08:10 | HR LIB 08:50 |ATRASO 00:10|) - (HR ENC 16:30 | ATRASO 00:00)  &amp;gt;ADEQUAO E CONCRETAGEM DE PISO DA CALADA. DO GALPO- MOD:6 | PT: (21030419 |HR SOLIC 08:00 | HR LIB 08:05 |ATRASO 00:00|) - (HR ENC 16:30 | ATRASO 00:00)  &amp;gt;&amp;gt;CONDIES CLIMTICAS: TEMPO BOM  &amp;gt;&amp;gt;&amp;gt;IMPEDIMENTOS ACUMULADOS LIBERAO PT/PTT: 9:51 = 1,24d CONDIES CLIMTICAS: 27:20 = 3,42d PETROBRAS: 0:00 = 0d OUTROS: 28:00 = 3,5d APJ: 0:00 = 0d   RO DIRIO E OBRA - SS-07/2025 (K-15)  &amp;gt;CONCRETAGEM DE PISO DA CALADA. DO GALPO- MOD:6 | PT: (21045479 |HR SOLIC 15:00 | HR LIB 15:15 |ATRASO 00:00|) - (HR ENC 16:30 | ATRASO 00:00)  &amp;gt;MONTAGEM DE ESTRUTURA METALICA DO GALPO ( TELHAS)- MOD:5 | PEMT:5 | PT: (21042248 |HR SOLIC 07:50 | HR LIB 08:20 |ATRASO 00:00|) - (HR ENC 16:30 | ATRASO 00:00)  &amp;gt;&amp;gt;CONDIES CLIMTICAS: TEMPO BOM  &amp;gt;&amp;gt;&amp;gt;IMPEDIMENTOS ACUMULADOS LIBERAO PT/PTT: 15:47 = 1,98d CONDIES CLIMTICAS: 41:10 = 5,15d PETROBRAS: 0:00 = 0d OUTROS: 28:00 = 3,5d APJ: 0:00 = 0d RO DIRIO E OBRA - SS-09/2025 (UPGN-3)  &amp;gt;PINTURA DAS PASSARELAS DA PONTE ROLANTE - MOD:5 | PT: (21042086 |HR SOLIC 08:12 | HR LIB 08:26 |ATRASO 00:00|) - (HR ENC 16:30 | ATRASO 00:00)  &amp;gt;ADEQUAO DO SISTEMA PLUVIAL ( INSTALAO DE TUBOS PVC) - MOD:3 | PT: (21042023 |HR SOLIC 08:10 | HR LIB 08:40 |ATRASO 00:00|) - (HR ENC 16:30 | ATRASO 00:00)  &amp;gt;&amp;gt;CONDIES CLIMTICAS: TEMPO BOM  &amp;gt;&amp;gt;&amp;gt;IMPEDIMENTOS ACUMULADOS LIBERAO PT/PTT: 21:57 = 2,75d CONDIES CLIMTICAS: 55:50 = 6,98d PETROBRAS: 0:00 = 0d OUTROS: 28:00 = 3,5d APJ: 0:00 = 0d</t>
  </si>
  <si>
    <t>13/12/2025</t>
  </si>
  <si>
    <t>RO-386/2025</t>
  </si>
  <si>
    <t>"RO DIRIO E OBRA - SS-15/2025 (TORRE RESFR)&amp;gt;MANUTENO DAS TORRES DE RESFRIAME7NTO:&amp;gt;&amp;gt;LAMINAO E INSTALAO DE TUBOS&amp;gt;&amp;gt;&amp;gt;RETIRADA DE TUBULAO ANTIGA DETERIORADA- MOD:6 |PT: (21055061 |HR SOLIC 08:00 | HR LIB 08:38 |ATRASO 00:08|) - (HR ENC 16:30 | ATRASO 00:00)&amp;gt;&amp;gt;MANUTENO DAS TORRES DE RESFRIAMENTO:&amp;gt;&amp;gt;REINSTALAO DE VIGAS COM CORTE E SOLDA- MOD:2 |PT: (21055057 |HR SOLIC 08:30 | HR LIB 08:50 |ATRASO 00:00|) - (HR ENC 16:30 | ATRASO 00:00)&amp;gt;&amp;gt;CONDIES CLIMTICAS: TEMPO BOM&amp;gt;&amp;gt; (07:30 - 08:30)&amp;gt;&amp;gt;&amp;gt;IMPEDIMENTOS ACUMULADOSLIBERAO PT/PTT: 3:43 = 0,47dCONDIES CLIMTICAS: 2:30 = 0,32dPETROBRAS: 3:30 = 0,44dOUTROS: 0:00 = 0dAPJ: 0:00 = 0d"</t>
  </si>
  <si>
    <t>RO-385/2025</t>
  </si>
  <si>
    <t>Fiscalizao de cordo com RO anexadoMovimentaro de caamba estacionria.</t>
  </si>
  <si>
    <t>"RO DIRIO E OBRA - SS-22/2025 (SALA CISC)&amp;gt;&amp;gt;ADEQUAO DA SALA CISC - UTGSULINSTALAO DE INFRAESTRUTURA ELTRICA - MOD:4 |PT: (21033342 |HR SOLIC 09:00 | HR LIB 16:30 |ATRASO 07:00|) - (HR ENC 16:30 | ATRASO 00:00)&amp;gt;&amp;gt;CONDIES CLIMTICAS: TEMPO BOM&amp;gt;&amp;gt;&amp;gt;IMPEDIMENTOS ACUMULADOSLIBERAO PT/PTT: 28:36 = 3,58dCONDIES CLIMTICAS: 0:00 = 0dPETROBRAS: 0:00 = 0dOUTROS: 0:00 = 0dAPJ: 0:00 = 0d"</t>
  </si>
  <si>
    <t>RO-384/2025</t>
  </si>
  <si>
    <t>RO-383/2025</t>
  </si>
  <si>
    <t>No houve atividade neste dia , a demanda de servios foi concluda na data de 15/12/25, aguardando o recebimento da demanda por parte do cliente.</t>
  </si>
  <si>
    <t>"RO DIRIO E OBRA - SS-19/2025 (SINALIZAO ESC)&amp;gt;NO HOUVE ATIVIDADE NESTE DIA - MOD: |PT: ( |HR SOLIC 00:00 | HR LIB 00:00 |ATRASO |) - (HR ENC 00:00 | ATRASO )&amp;gt;&amp;gt;CONDIES CLIMTICAS: TEMPO BOM&amp;gt;&amp;gt;&amp;gt;IMPEDIMENTOS ACUMULADOSLIBERAO PT/PTT: 5:51 = 0,74dCONDIES CLIMTICAS: 0:00 = 0dPETROBRAS: 2:30 = 0,32dOUTROS: 0:00 = 0dAPJ: 0:00 = 0d"</t>
  </si>
  <si>
    <t>RO-382/2025</t>
  </si>
  <si>
    <t>Equipe da Torres Brasil, subcontratada da APJ est atuando na manuteno das torres de resfriamento, Atividades: Retirada dos atenuadores, tubos, perfis metlicos degradados e eliminadores de gota, laminao das paredes e fundos da torres, a manuteno est sendo feita nas Torres A e B.Est sendo executado ainda na rea do pipe shop o corte e tratamento de perfis metlicos.</t>
  </si>
  <si>
    <t>"RO DIRIO E OBRA - SS-15/2025 (TORRE RESFR)&amp;gt;&amp;gt;MANUTENO DAS TORRES DE RESFRIAMENTO:&amp;gt;&amp;gt;LAMINAO E INSTALAO DE TUBOSPT: (21051243 |HR SOLIC 07:30 | HR LIB 07:56 |ATRASO 00:00|) - (HR ENC 16:30 | ATRASO 00:00) - MOD:4 |&amp;gt;&amp;gt;MANUTENO DAS TORRES DE RESFRIAMENTO:&amp;gt;&amp;gt;REINSTALAO DE VIGAS COM CORTE E SOLDAPT: (21051272 |HR SOLIC 07:32 | HR LIB 07:58 |ATRASO 00:00|) - (HR ENC 16:30 | ATRASO 00:00) - MOD:2 |&amp;gt;&amp;gt;CONDIES CLIMTICAS: TEMPO BOM&amp;gt;&amp;gt;&amp;gt;IMPEDIMENTOS ACUMULADOSLIBERAO PT/PTT: 3:35 = 0,45dCONDIES CLIMTICAS: 2:30 = 0,32dPETROBRAS: 2:30 = 0,32dOUTROS: 0:00 = 0dAPJ: 0:00 = 0d"</t>
  </si>
  <si>
    <t>RO-381/2025</t>
  </si>
  <si>
    <t>"RO DIRIO E OBRA - SS-22/2025 (SALA CISC)&amp;gt;&amp;gt;ADEQUAO DA SALA CISC - UTGSUL&amp;gt;&amp;gt;RETIRADA DE ELETROCALHAS, ORGANIZAO DE CABEAMENTO DE REDE.&amp;gt;&amp;gt;&amp;gt;RECEBIMENTO DE MATERIAIS&amp;gt;&amp;gt;&amp;gt;&amp;gt;ENSACAMENTO, ORGANIZAO E ISOLAMENTO DE ENTULHOS, PARA COLETA E DESCARTE - MOD:4 |PT: (21033342 |HR SOLIC 07:30 | HR LIB 09:00 |ATRASO 01:00|) - (HR ENC 14:30 | ATRASO 02:00)&amp;gt;&amp;gt;CONDIES CLIMTICAS: TEMPO BOM&amp;gt;&amp;gt;&amp;gt;IMPEDIMENTOS ACUMULADOSLIBERAO PT/PTT: 21:36 = 2,7dCONDIES CLIMTICAS: 0:00 = 0dPETROBRAS: 0:00 = 0dOUTROS: 0:00 = 0dAPJ: 0:00 = 0d"</t>
  </si>
  <si>
    <t>RO-380/2025</t>
  </si>
  <si>
    <t>ANDERSON ALLAN DE CARVALHO ARAUJO.zip; GABRIEL SILVA.zip; WAGNER DIVINO.zip</t>
  </si>
  <si>
    <t>Prezados, boa tarde.Encaminho documentao dos colaboradores abaixo:ANDERSON ALLAN DE CARVALHOGABRIEL SILVAWAGNER DIVINO</t>
  </si>
  <si>
    <t>RO-379/2025</t>
  </si>
  <si>
    <t>"RO DIRIO E OBRA - SS-15/2025 (TORRE RESFR)&amp;gt;MANUTENO DAS TORRES DE RESFRIAMNTO:&amp;gt;&amp;gt;LAMINAO E INSTALAO DE TUBOS - MOD:3 |PT: (21046950 |HR SOLIC 07:30 | HR LIB 07:50 |ATRASO 00:00|) - (HR ENC 16:30 | ATRASO 00:00)&amp;gt;&amp;gt;MANUTENO DAS TORRES DE RESFRIAMENTO:&amp;gt;&amp;gt;REINSTALAO DE VIGAS COM CORTE E SOLDA - MOD:3 |PT: (21047359 |HR SOLIC 08:12 | HR LIB 08:29 |ATRASO 00:00|) - (HR ENC 16:30 | ATRASO 00:00)&amp;gt;&amp;gt;CONDIES CLIMTICAS: TEMPO BOM&amp;gt;&amp;gt;PARADA DE SEGURANA NO AUDITRIO 2 BLOCO CENTRAL (08:30 - 11:00)&amp;gt;&amp;gt;&amp;gt;IMPEDIMENTOS ACUMULADOSLIBERAO PT/PTT: 3:35 = 0,45dCONDIES CLIMTICAS: 2:30 = 0,32dPETROBRAS: 2:30 = 0,32dOUTROS: 0:00 = 0dAPJ: 0:00 = 0d"</t>
  </si>
  <si>
    <t>RO-378/2025</t>
  </si>
  <si>
    <t>Houve a chegada de caambas para recolhimento de resduos no canteiro da APJ , as duas caambas foram carregadas no mesmo dia e recolhidas novamente para o descarte de resduos.</t>
  </si>
  <si>
    <t>"RO DIRIO E OBRA - SS-16/2025 (ACSTICO)&amp;gt;&amp;gt;DESCARREGAMENTO E CARREGAMENTO DE CAAMBA ESTACIONRIA:&amp;gt;&amp;gt;DESCARTE DE RESDUOS DO CANTEIRO UTILIZANDO CAMINHO POLIGUINDASTE - MOD:1 |PT: (21049548 |HR SOLIC 13:45 | HR LIB 14:12 |ATRASO 00:00|) - (HR ENC 16:30 | ATRASO 00:00)&amp;gt;&amp;gt;CONDIES CLIMTICAS: TEMPO BOM&amp;gt;&amp;gt;&amp;gt;IMPEDIMENTOS ACUMULADOSLIBERAO PT/PTT: 23:02 = 2,88dCONDIES CLIMTICAS: 2:30 = 0,32dPETROBRAS: 1:30 = 0,19dOUTROS: 0:00 = 0dAPJ: 0:00 = 0d"</t>
  </si>
  <si>
    <t>RO-377/2025</t>
  </si>
  <si>
    <t>"RO DIRIO E OBRA - SS-16/2025 (ACSTICO)&amp;gt;&amp;gt;DESCARREGAMENTO E CARREGAMENTO DE CAAMBA ESTACIONRIA:&amp;gt;&amp;gt;DESCARTE DE RESDUOS DO CANTEIRO UTILIZANDO CAMINHO POLIGUINDASTE - MOD:1 |PT: (21045226 |HR SOLIC 07:44 | HR LIB 08:21 |ATRASO 00:07|) - (HR ENC 16:30 | ATRASO 00:00)&amp;gt;&amp;gt;CONDIES CLIMTICAS: TEMPO BOM&amp;gt;&amp;gt;&amp;gt;IMPEDIMENTOS ACUMULADOSLIBERAO PT/PTT: 23:02 = 2,88dCONDIES CLIMTICAS: 2:30 = 0,32dPETROBRAS: 1:30 = 0,19dOUTROS: 0:00 = 0dAPJ: 0:00 = 0d"</t>
  </si>
  <si>
    <t>RO-376/2025</t>
  </si>
  <si>
    <t>Equipe est executando a instalao e sinalizao de Piso Ttil na escada da Reta da Penha, solicitado ao encarregado da frente de servio que durante a execuo da atividade verifique sempre o correto alinhamento e fixao das peas no piso.Atividade transcorre de maneira efetiva e com bom rendimento, foi solicitado ainda a recolocao dos pisos tteis novamente devido a cola do mesmo no estar aderindo bem no piso gerando o descolamento das peas, a cola que est sendo utilizada ser substituda por outro tipo de cola.A demanda de servios da atividade foi concluda neste dia 15/12/25 e ento as escadas sero entregues ao cliente em visita a ser agendada.</t>
  </si>
  <si>
    <t>"RO DIRIO E OBRA - SS-19/2025 (SINALIZAO ESC)&amp;gt;&amp;gt;SINALIZAO DAS ESCADAS:&amp;gt;&amp;gt;INSTALAO DE PISO TTIL NA ESCADA DA RETA DA PENHA - MOD:6 |PT: (21039816 |HR SOLIC 07:45 | HR LIB 08:05 |ATRASO 00:00|) - (HR ENC 16:30 | ATRASO 00:00)&amp;gt;&amp;gt;CONDIES CLIMTICAS: TEMPO BOM&amp;gt;&amp;gt;PARADA DE SEGURANA NO AUDITRIO 2 BLOCO CENTRAL - (08:30 - 11:00)&amp;gt;&amp;gt;&amp;gt;IMPEDIMENTOS ACUMULADOSLIBERAO PT/PTT: 5:51 = 0,74dCONDIES CLIMTICAS: 0:00 = 0dPETROBRAS: 2:30 = 0,32dOUTROS: 0:00 = 0dAPJ: 0:00 = 0d"</t>
  </si>
  <si>
    <t>RO-375/2025</t>
  </si>
  <si>
    <t>Domingo,14/12/25, no houve expediente</t>
  </si>
  <si>
    <t>"RO DIRIO E OBRA - SS-19/2025 (SINALIZAO ESC)&amp;gt;SEM EXPEDIENTE - DOMINGO - MOD: |PT: ( |HR SOLIC 00:00 | HR LIB 00:00 |ATRASO |) - (HR ENC 00:00 | ATRASO )&amp;gt;&amp;gt;CONDIES CLIMTICAS: TEMPO BOM&amp;gt;&amp;gt;&amp;gt;IMPEDIMENTOS ACUMULADOSLIBERAO PT/PTT: 5:51 = 0,74dCONDIES CLIMTICAS: 0:00 = 0dPETROBRAS: 0:00 = 0dOUTROS: 0:00 = 0dAPJ: 0:00 = 0d"</t>
  </si>
  <si>
    <t>RO-374/2025</t>
  </si>
  <si>
    <t>Equipe est executando a instalao e sinalizao de Piso Ttil na escada da Reta da Penha, solicitado ao encarregado da frente de servio que durante a execuo da atividade verifique sempre o correto alinhamento e fixao das peas no piso.Atividade transcorre de maneira efetiva e com bom rendimento, foi solicitado ainda a recolocao dos pisos tteis novamente devido a cola do mesmo no estar aderindo bem no piso gerando o descolamento das peas, a cola que est sendo utilizada ser substituda por outro tipo de cola.</t>
  </si>
  <si>
    <t>"RO DIRIO E OBRA - SS-19/2025 (SINALIZAO ESC)&amp;gt;&amp;gt;SINALIZAO DAS ESCADAS:&amp;gt;&amp;gt;INSTALAO DE PISO TTIL NA ESCADA DA RETA DA PENHA - MOD:9 |PT: (21039816 |HR SOLIC 07:45 | HR LIB 08:05 |ATRASO 00:00|) - (HR ENC 15:40 | ATRASO 00:50)&amp;gt;&amp;gt;CONDIES CLIMTICAS: TEMPO BOM&amp;gt;&amp;gt;&amp;gt;IMPEDIMENTOS ACUMULADOSLIBERAO PT/PTT: 5:51 = 0,74dCONDIES CLIMTICAS: 0:00 = 0dPETROBRAS: 0:00 = 0dOUTROS: 0:00 = 0dAPJ: 0:00 = 0d"</t>
  </si>
  <si>
    <t>RO-373/2025</t>
  </si>
  <si>
    <t>Fiscalizao de cordo com RO anexado.Domingo, sem atividades.</t>
  </si>
  <si>
    <t>"RO DIRIO E OBRA - SS-22/2025 (SALA CISC)&amp;gt;SEM EXPEDIENTE - DOMINGO - MOD: |PT: ( |HR SOLIC 00:00 | HR LIB 00:00 |ATRASO |) - (HR ENC 00:00 | ATRASO )&amp;gt;&amp;gt;CONDIES CLIMTICAS: TEMPO BOM&amp;gt;&amp;gt;&amp;gt;IMPEDIMENTOS ACUMULADOSLIBERAO PT/PTT: 18:36 = 2,33dCONDIES CLIMTICAS: 0:00 = 0dPETROBRAS: 0:00 = 0dOUTROS: 0:00 = 0dAPJ: 0:00 = 0d"</t>
  </si>
  <si>
    <t>RO-371/2025</t>
  </si>
  <si>
    <t>Fiscalizao de acordo com RO apresentado!</t>
  </si>
  <si>
    <t>"RO DIRIO E OBRA - SS-22/2025 (SALA CISC)&amp;gt;NO HOUVE ATIVIDADE NESTE DIA - MOD: |PT: ( |HR SOLIC 00:00 | HR LIB 00:00 |ATRASO |) - (HR ENC 00:00 | ATRASO )&amp;gt;&amp;gt;CONDIES CLIMTICAS: TEMPO BOM&amp;gt;&amp;gt;&amp;gt;IMPEDIMENTOS ACUMULADOSLIBERAO PT/PTT: 18:36 = 2,33dCONDIES CLIMTICAS: 0:00 = 0dPETROBRAS: 0:00 = 0dOUTROS: 0:00 = 0dAPJ: 0:00 = 0d"</t>
  </si>
  <si>
    <t>RO-370/2025</t>
  </si>
  <si>
    <t>"RO DIRIO E OBRA - SS-16/2025 (ACSTICO)&amp;gt;SEM EXPEDIENTE - DOMINGO - MOD: |PT: ( |HR SOLIC 00:00 | HR LIB 00:00 |ATRASO |) - (HR ENC 00:00 | ATRASO )&amp;gt;&amp;gt;CONDIES CLIMTICAS: TEMPO BOM&amp;gt;&amp;gt;&amp;gt;IMPEDIMENTOS ACUMULADOSLIBERAO PT/PTT: 22:55 = 2,87dCONDIES CLIMTICAS: 2:30 = 0,32dPETROBRAS: 1:30 = 0,19dOUTROS: 0:00 = 0dAPJ: 0:00 = 0d"</t>
  </si>
  <si>
    <t>RO-369/2025</t>
  </si>
  <si>
    <t>"RO DIRIO E OBRA - SS-15/2025 (TORRE RESFR)&amp;gt;SEM EXPEDIENTE - DOMINGO - MOD: |PT: ( |HR SOLIC 00:00 | HR LIB 00:00 |ATRASO |) - (HR ENC 00:00 | ATRASO )&amp;gt;&amp;gt;CONDIES CLIMTICAS: TEMPO BOM&amp;gt;&amp;gt;&amp;gt;IMPEDIMENTOS ACUMULADOSLIBERAO PT/PTT: 3:35 = 0,45dCONDIES CLIMTICAS: 2:30 = 0,32dPETROBRAS: 0:00 = 0dOUTROS: 0:00 = 0dAPJ: 0:00 = 0d"</t>
  </si>
  <si>
    <t>RO-368/2025</t>
  </si>
  <si>
    <t>"RO DIRIO E OBRA - SS-15/2025 (TORRE RESFR)&amp;gt;&amp;gt;MANUTENO DAS TORRES DE RESFRIAMENTO:&amp;gt;&amp;gt;LIMPEZA E LAMINAO DAS BACIAS&amp;gt;&amp;gt;&amp;gt;INSTALAO DE TUBOS DE 4"" E 10"" - MOD:2 |PT: (21045211 |HR SOLIC 07:41 | HR LIB 08:09 |ATRASO 00:00|) - (HR ENC 15:42 | ATRASO 00:48)&amp;gt;&amp;gt;MANUTENO DAS TORRES DE RESFRIAMENTO:&amp;gt;&amp;gt;PREPARAO DAS VIGAS METLICAS NA REA EXTERNA COM UTILIZAO DE CORTE E SOLDA&amp;gt;&amp;gt;&amp;gt;REINSTALAO DAS VIGAS NAS TORRES DE RESFRIAMENTO - MOD:3 |PT: (21045201 |HR SOLIC 07:45 | HR LIB 08:06 |ATRASO 00:00|) - (HR ENC 15:52 | ATRASO 00:38)&amp;gt;&amp;gt;CONDIES CLIMTICAS: TEMPO BOM&amp;gt;&amp;gt;&amp;gt;IMPEDIMENTOS ACUMULADOSLIBERAO PT/PTT: 3:35 = 0,45dCONDIES CLIMTICAS: 2:30 = 0,32dPETROBRAS: 0:00 = 0dOUTROS: 0:00 = 0dAPJ: 0:00 = 0d"</t>
  </si>
  <si>
    <t>RO-367/2025</t>
  </si>
  <si>
    <t>Sbado dia 13/12/25, no houve atividade dessa demanda neste referido dia.</t>
  </si>
  <si>
    <t>RO-366/2025</t>
  </si>
  <si>
    <t>"RO DIRIO E OBRA - SS-15/2025 (TORRE RESFR)&amp;gt;&amp;gt;MANUTENO DAS TORRES DE RESFRIAMENTO&amp;gt;&amp;gt;MONTAGEM DE ANDAIMES PARA ACESSOS - MOD:2 |PT: (21031873 |HR SOLIC 09:12 | HR LIB 09:27 |ATRASO 00:00|) - (HR ENC 16:30 | ATRASO 00:00)&amp;gt;&amp;gt;MANUTENO DAS TORRES DE RESFRIAMENTO&amp;gt;&amp;gt;RETIRADA E REINSTALAO DE VIGAS METLICAS COM CORTE E SOLDA - MOD:3 |PT: (21031841 |HR SOLIC 07:38 | HR LIB 08:07 |ATRASO 00:00|) - (HR ENC 16:30 | ATRASO 00:00)&amp;gt;&amp;gt;MANUTENO DAS TORRES DE RESFRIAMENTO&amp;gt;&amp;gt;LAMINAO E INSTALAO DE TUBOS - MOD:3 |PT: (21031858 |HR SOLIC 07:42 | HR LIB 08:04 |ATRASO 00:00|) - (HR ENC 16:30 | ATRASO 00:00)&amp;gt;&amp;gt;CONDIES CLIMTICAS: TEMPO BOM&amp;gt;&amp;gt;&amp;gt;IMPEDIMENTOS ACUMULADOSLIBERAO PT/PTT: 2:11 = 0,28dCONDIES CLIMTICAS: 2:30 = 0,32dPETROBRAS: 0:00 = 0dOUTROS: 0:00 = 0dAPJ: 0:00 = 0d"</t>
  </si>
  <si>
    <t>11/12/2025</t>
  </si>
  <si>
    <t>RO-365/2025</t>
  </si>
  <si>
    <t>"RO DIRIO E OBRA - SS-22/2025 (SALA CISC)&amp;gt;&amp;gt;ADEQUAO DA SALA CISC - UTGSUL&amp;gt;&amp;gt;RETIRADA DE ELETROCALHAS, ORGANIZAO DE CABEAMENTO DE REDE.&amp;gt;&amp;gt;&amp;gt;RECEBIMENTO DE MATERIAIS&amp;gt;&amp;gt;&amp;gt;&amp;gt;ENSACAMENTO, ORGANIZAO E ISOLAMENTO DE ENTULHOS, PARA COLETA E DESCARTE - MOD:4 |PT: (21033342 |HR SOLIC 07:08 | HR LIB 09:30 |ATRASO 01:52|) - (HR ENC 14:40 | ATRASO 01:50)&amp;gt;&amp;gt;CONDIES CLIMTICAS: TEMPO BOM&amp;gt;&amp;gt;&amp;gt;IMPEDIMENTOS ACUMULADOSLIBERAO PT/PTT: 18:36 = 2,33dCONDIES CLIMTICAS: 0:00 = 0dPETROBRAS: 0:00 = 0dOUTROS: 0:00 = 0dAPJ: 0:00 = 0d"</t>
  </si>
  <si>
    <t>12/12/2025</t>
  </si>
  <si>
    <t>RO-364/2025</t>
  </si>
  <si>
    <t>Os somatrios desde incio at o prazo final da SS dos acmulos de hora parada e meteorolgicas no final da SS a Petrobras ir analisar se e cabvel o abono revertido em acrscimo de dias no prazo de entrega da demanda.  01. UPGN-2: PT programada para a atuao da equipe de pintura, na execuo da pintura dos pilares de concreto. PT programada para a atuao da equipe na instalao da tela de proteo. 02. SECGN: PT programada para equipe de eltrica na atuao da infraestrutura de eltrica. 03. K-14: PT programada para a atuao da equipe de caldeiraria atuando na instalao de tirantes e cantoneiras e perfis da cobertura. PT programada para a atuao da equipe de andaime para montagem do andaime de proteo. PT programada para equipe de pintura na pintura de recuperao das telhas. 04. K-15: PT programada para a atuao da equipe de caldeiraria atuando na instalao das calhas e telhas da cobertura. 05. UPGN-3: PT programada para a atuao da equipe de caldeiraria atuando nas instalaes das tubulaes de descida de drenagem. PT programada para a atuao da equipe de pintura, na execuo da pintura das passarelas. 06. K-04: PT programada de caldeiraria na atuao na remoo das telhas e cobertura provisria. No houveram atividades na SS-12/2025 - Estoque de Materiais e SS-18/2025 - Sala de monitoramento Cisc. Pt's programadas para remoo das telhas de cobertura dos equipamentos. RO aceito pela fiscalizao.</t>
  </si>
  <si>
    <t>RO DIRIO E OBRA - SS-04/2025 (UPGN-2)  &amp;gt;MONTAGEM DE TELAS DE PROTEO DE EQUIPAMENTOS- MOD:5 | PEMT:1 | PT: (21035413 |HR SOLIC 08:20 | HR LIB 08:30 |ATRASO 00:00|) - (HR ENC 15:30 | ATRASO 00:00)  &amp;gt;TRATAMENTO E PINTURA DAS ESTRUTURAS DE CONCRETO- MOD:2 | PT: (21035739 |HR SOLIC 08:55 | HR LIB 08:55 |ATRASO 00:00|) - (HR ENC 15:30 | ATRASO 00:00)  &amp;gt;&amp;gt;CONDIES CLIMTICAS: TEMPO BOM  &amp;gt;&amp;gt;&amp;gt;IMPEDIMENTOS ACUMULADOS LIBERAO PT/PTT: 1:20 = 0,16d CONDIES CLIMTICAS: 12:20 = 1,55d PETROBRAS: 0:00 = 0d OUTROS: 20:00 = 2,5d APJ: 0:00 = 0d RO DIRIO E OBRA - SS-05/2025 (SECGN)  &amp;gt;REALIZANDO MONTAGEM DE INFRA ESTRUTURA ELETRICA - MOD:4 | PEMT:1 | PT: (21035781 |HR SOLIC 08:10 | HR LIB 08:10 |ATRASO 00:00|) - (HR ENC 15:30 | ATRASO 00:00)  &amp;gt;&amp;gt;CONDIES CLIMTICAS: TEMPO BOM  &amp;gt;&amp;gt;&amp;gt;IMPEDIMENTOS ACUMULADOS LIBERAO PT/PTT: 15:24 = 1,93d CONDIES CLIMTICAS: 55:10 = 6,9d PETROBRAS: 6:30 = 0,82d OUTROS: 28:00 = 3,5d APJ: 0:00 = 0d_____________________________________________ RO DIRIO E OBRA - SS-06/2025 (K-14)  &amp;gt;MONTAGEM DE ESTRUTURA METALICA DO GALPO- MOD:5 | PEMT:1 | PT: (21035808 |HR SOLIC 08:10 | HR LIB 08:35 |ATRASO 00:00|) - (HR ENC 15:30 | ATRASO 00:00)  &amp;gt;MONTAGEM DE ANDAIME- MOD:6 | PT: (21035798 |HR SOLIC 08:10 | HR LIB 08:50 |ATRASO 00:10|) - (HR ENC 15:30 | ATRASO 00:00)  &amp;gt;PINTURA DE ESTRUTURA METALICA- MOD:2 | PT: (21039307 |HR SOLIC 08:20 | HR LIB 08:20 |ATRASO 00:00|) - (HR ENC 15:30 | ATRASO 00:00)  &amp;gt;&amp;gt;CONDIES CLIMTICAS: TEMPO BOM  &amp;gt;&amp;gt;&amp;gt;IMPEDIMENTOS ACUMULADOS LIBERAO PT/PTT: 9:41 = 1,22d CONDIES CLIMTICAS: 27:20 = 3,42d PETROBRAS: 0:00 = 0d OUTROS: 28:00 = 3,5d APJ: 0:00 = 0d  RO DIRIO E OBRA - SS-07/2025 (K-15)  &amp;gt;MONTAGEM DE ESTRUTURA METALICA DO GALPO ( TELHAS)- MOD:6 | PEMT:2 | PT: (21035852 |HR SOLIC 07:50 | HR LIB 09:00 |ATRASO 00:40|) - (HR ENC 15:30 | ATRASO 00:00)  &amp;gt;&amp;gt;CONDIES CLIMTICAS: TEMPO BOM  &amp;gt;&amp;gt;&amp;gt;IMPEDIMENTOS ACUMULADOS LIBERAO PT/PTT: 15:47 = 1,98d CONDIES CLIMTICAS: 41:10 = 5,15d PETROBRAS: 0:00 = 0d OUTROS: 28:00 = 3,5d APJ: 0:00 = 0d RO DIRIO E OBRA - SS-09/2025 (UPGN-3)  &amp;gt;PINTURA DAS PASSARELAS DA PONTE ROLANTE- MOD:5 | PT: (210035755 |HR SOLIC 08:20 | HR LIB 08:36 |ATRASO 00:00|) - (HR ENC 15:30 | ATRASO 00:00)  &amp;gt;ADEQUAO DO SISTEMA PLUVIAL ( INSTALAO DE TUBOS PVC)- MOD:3 | PT: (21035763 |HR SOLIC 08:20 | HR LIB 08:38 |ATRASO 00:00|) - (HR ENC 15:30 | ATRASO 00:00)  &amp;gt;&amp;gt;CONDIES CLIMTICAS: TEMPO BOM  &amp;gt;&amp;gt;&amp;gt;IMPEDIMENTOS ACUMULADOS LIBERAO PT/PTT: 21:57 = 2,75d CONDIES CLIMTICAS: 55:50 = 6,98d PETROBRAS: 0:00 = 0d OUTROS: 28:00 = 3,5d APJ: 0:00 = 0d  RO DIRIO E OBRA - SS-10/2025 (K-04)  &amp;gt;REMOO DE PERFIS E TELHAS- MOD:4 | PT: (21039643 |HR SOLIC 08:33 | HR LIB 08:33 |ATRASO 00:00|) - (HR ENC 15:30 | ATRASO 00:00)  &amp;gt;&amp;gt;CONDIES CLIMTICAS: TEMPO BOM  &amp;gt;&amp;gt;&amp;gt;IMPEDIMENTOS ACUMULADOS LIBERAO PT/PTT: 0:00 = 0d CONDIES CLIMTICAS: 7:00 = 0,88d PETROBRAS: 0:00 = 0d OUTROS: 0:00 = 0d APJ: 0:00 = 0d ______________________________________________________________ RO DIRIO E OBRA - SS-23/2025 (REMOO DE TELHAS SUBESTAO)  &amp;gt;REMOO DE TELHAS K-21 - MOD:6 | MUNCK:1 | PT: (21036179 |HR SOLIC 08:00 | HR LIB 08:02 |ATRASO 00:00|) - (HR ENC 15:30 | ATRASO 00:00)  &amp;gt;&amp;gt;CONDIES CLIMTICAS: TEMPO BOM  &amp;gt;&amp;gt;&amp;gt;IMPEDIMENTOS ACUMULADOS LIBERAO PT/PTT: 0:00 = 0d CONDIES CLIMTICAS: 0:00 = 0,00d PETROBRAS: 0:00 = 0d OUTROS: 0:00 = 0d APJ: 0:00 = 0d</t>
  </si>
  <si>
    <t>RO-363/2025</t>
  </si>
  <si>
    <t>Os somatrios desde incio at o prazo final da SS dos acmulos de hora parada e meteorolgicas no final da SS a Petrobras ir analisar se e cabvel o abono revertido em acrscimo de dias no prazo de entrega da demanda.  01. UPGN-2: PT programada para a atuao da equipe de pintura, na execuo da pintura dos pilares de concreto. PT programada para a atuao da equipe na instalao da tela de proteo. 02. SECGN: PT programada para equipe de eltrica na atuao da infraestrutura de eltrica. 03. K-14: PT programada para a atuao da equipe de caldeiraria atuando na instalao de tirantes e cantoneiras e perfis da cobertura. PT programada para a atuao da equipe de andaime para montagem do andaime de proteo. PT programada para equipe de pintura na pintura de recuperao das telhas. 04. K-15: PT programada para a atuao da equipe de caldeiraria atuando na instalao das calhas e telhas da cobertura. PT programada para equipe de eltrica na realizao do teste d continuidade do SPDA. 05. UPGN-3: PT programada para a atuao da equipe de caldeiraria atuando nas instalaes das tubulaes de descida de drenagem. PT programada para a atuao da equipe de pintura, na execuo da pintura das passarelas. PT programada para equipe de eltrica na realizao do teste d continuidade do SPDA. 06. K-04: PT programada de caldeiraria na atuao na remoo das telhas e cobertura provisria.07. Subestaes:Pt's programadas para remoo das telhas de cobertura dos painis.No houveram atividade na SS12/2025 - Estoque de Materiais e nem na SS-18/2025 - Sala de monitoramento Cisc. RO aceito pela fiscalizao.</t>
  </si>
  <si>
    <t>RO DIRIO E OBRA - SS-04/2025 (UPGN-2)  &amp;gt;TRATAMENTO E PINTURA DAS ESTRUTURAS DE CONCRETO- MOD:2 | PT: (21030412 |HR SOLIC 08:32 | HR LIB 08:40 |ATRASO 00:00|) - (HR ENC 16:30 | ATRASO 00:00)  &amp;gt;MONTAGEM DE TELAS DE PROTEO DE EQUIPAMENTOS - MOD:5 | PEMT:1 | PT: (21030406 |HR SOLIC 08:04 | HR LIB 08:10 |ATRASO 00:00|) - (HR ENC 16:30 | ATRASO 00:00)  &amp;gt;&amp;gt;CONDIES CLIMTICAS: TEMPO BOM  &amp;gt;&amp;gt;&amp;gt;IMPEDIMENTOS ACUMULADOS LIBERAO PT/PTT: 1,20 = 0,16d CONDIES CLIMTICAS: 12:20 = 1,55d PETROBRAS: 0:00 = 0d OUTROS: 20:00 = 2,5d APJ: 0:00 = 0d RO DIRIO E OBRA - SS-05/2025 (SECGN)  &amp;gt;REALIZANDO MONTAGEM DE INFRA ESTRUTURA ELETRICA - MOD:3 | PEMT:1 | PT: (21030448 |HR SOLIC 08:00 | HR LIB 08:55 |ATRASO 00:25|) - (HR ENC 16:30 | ATRASO 00:00)  &amp;gt;&amp;gt;CONDIES CLIMTICAS: TEMPO BOM  &amp;gt;&amp;gt;&amp;gt;IMPEDIMENTOS ACUMULADOS LIBERAO PT/PTT: 15:24 = 1,93d CONDIES CLIMTICAS: 55:10 = 6,9d PETROBRAS: 6:30 = 0,82d OUTROS: 28:00 = 3,5d APJ: 0:00 = 0d  RO DIRIO E OBRA - SS-06/2025 (K-14)  &amp;gt;MONTAGEM DE ESTRUTURA METALICA DO GALPO- MOD:5 | PEMT:1 | PT: (21030490 |HR SOLIC 08:10 | HR LIB 08:35 |ATRASO 00:00|) - (HR ENC 16:30 | ATRASO 00:00)  &amp;gt;MONTAGEM DE ANDAIME - MOD:6 | PT: (21030465 |HR SOLIC 08:00 | HR LIB 08:40 |ATRASO 00:10|) - (HR ENC 16:30 | ATRASO 00:00)  &amp;gt;PINTURA DE ESTRUTURA METALICA - MOD:1 | PT: (21030515 |HR SOLIC 07:45 | HR LIB 07:50 |ATRASO 00:00|) - (HR ENC 16:30 | ATRASO 00:00)  &amp;gt;&amp;gt;CONDIES CLIMTICAS: TEMPO BOM  &amp;gt;&amp;gt;&amp;gt;IMPEDIMENTOS ACUMULADOS LIBERAO PT/PTT: 9:31 = 1,19d CONDIES CLIMTICAS: 27:20 = 3,42d PETROBRAS: 0:00 = 0d OUTROS: 28:00 = 3,5d APJ: 0:00 = 0d  RO DIRIO E OBRA - SS-07/2025 (K-15)  &amp;gt;MONTAGEM DE ESTRUTURA METALICA DO GALPO ( TELHAS)- MOD:6 | PEMT:2 | PT: (21030589 |HR SOLIC 07:55 | HR LIB 08:55 |ATRASO 00:30|) - (HR ENC 16:30 | ATRASO 00:00)  &amp;gt;TESTE DO SISTEMA DE SPDA - MOD:2 | PT: (21030510 |HR SOLIC 10:50 | HR LIB 10:58 |ATRASO 00:00|) - (HR ENC 16:30 | ATRASO 00:00)  &amp;gt;&amp;gt;CONDIES CLIMTICAS: TEMPO BOM  &amp;gt;&amp;gt;&amp;gt;IMPEDIMENTOS ACUMULADOS LIBERAO PT/PTT: 15:07 = 1,89d CONDIES CLIMTICAS: 41:10 = 5,15d PETROBRAS: 0:00 = 0d OUTROS: 28:00 = 3,5d APJ: 0:00 = 0d RO DIRIO E OBRA - SS-09/2025 (UPGN-3)  &amp;gt;PINTURA DAS PASSARELAS DA PONTE ROLANTE - MOD:3 | PT: (21030421 |HR SOLIC 08:25 | HR LIB 08:25 |ATRASO 00:00|) - (HR ENC 16:30 | ATRASO 00:00)  &amp;gt;ADEQUAO DO SISTEMA PLUVIAL ( INSTALAO DE TUBOS PVC) - MOD:3 | PT: (21030429 |HR SOLIC 08:04 | HR LIB 08:25 |ATRASO 00:00|) - (HR ENC 16:30 | ATRASO 00:00)  &amp;gt;ADEQUAO DO SISTEMA PLUVIAL ( INSTALAO DE TUBOS PVC)- MOD:3 | PT: (21030429 |HR SOLIC 08:04 | HR LIB 08:25 |ATRASO 00:00|) - (HR ENC 16:30 | ATRASO 00:00)  &amp;gt;TESTE DO SISTEMA DE SPDA- MOD:2 | PT: (21030561 |HR SOLIC 08:00 | HR LIB 08:45 |ATRASO 00:15|) - (HR ENC 16:30 | ATRASO 00:00)  &amp;gt;&amp;gt;CONDIES CLIMTICAS: TEMPO BOM  &amp;gt;&amp;gt;&amp;gt;IMPEDIMENTOS ACUMULADOS LIBERAO PT/PTT: 21:57 = 2,75d CONDIES CLIMTICAS: 55:50 = 6,98d PETROBRAS: 0:00 = 0d OUTROS: 28:00 = 3,5d APJ: 0:00 = 0d  RO DIRIO E OBRA - SS-10/2025 (K-04)  &amp;gt;REMOO DE PERFIS E TELHAS - MOD:4 | PEMT:1 | PT: (21034172 |HR SOLIC 08:36 | HR LIB 08:37 |ATRASO 00:00|) - (HR ENC 16:30 | ATRASO 00:00)  &amp;gt;&amp;gt;CONDIES CLIMTICAS: TEMPO BOM  &amp;gt;&amp;gt;&amp;gt;IMPEDIMENTOS ACUMULADOS LIBERAO PT/PTT: 0:00 = 0d CONDIES CLIMTICAS: 7:00 = 0,88d PETROBRAS: 0:00 = 0d OUTROS: 0:00 = 0d APJ: 0:00 = 0d _________________________________________________________ RO DIRIO E OBRA - SS-23/2025 (REMOO DE TELHAS SUBESTAO)   &amp;gt;REMOO DE TELHAS SE-3646 MOD:6 | MUNCK:1 | PT: (19053031 |HR SOLIC 08:07 | HR LIB 08:15 |ATRASO 00:00|) - (HR ENC 09:55 | ATRASO 00:00)   &amp;gt;REMOO DE TELHAS K-40 - MOD:6 | MUNCK:1 | PT: (20049402 |HR SOLIC 10:00 | HR LIB 10:00 |ATRASO 00:00|) - (HR ENC 13:30 | ATRASO 00:00)  &amp;gt;REMOO DE TELHAS K-21 - MOD:6 | MUNCK:1 | PT: (21034172 |HR SOLIC 13:45 | HR LIB 13:45 |ATRASO 00:00|) - (HR ENC 16:30 | ATRASO 00:00)  &amp;gt;&amp;gt;CONDIES CLIMTICAS: TEMPO BOM  &amp;gt;&amp;gt;&amp;gt;IMPEDIMENTOS ACUMULADOS LIBERAO PT/PTT: 0:00 = 0d CONDIES CLIMTICAS: 0:00 = 0,00d PETROBRAS: 0:00 = 0d OUTROS: 0:00 = 0d APJ: 0:00 = 0d</t>
  </si>
  <si>
    <t>RO-362/2025</t>
  </si>
  <si>
    <t>"RO DIRIO E OBRA - SS-16/2025 (ACSTICO)&amp;gt;NO HOUVE ATIVIDADE NESTE DIA&amp;gt;&amp;gt;O FORNECEDOR NO ENTREGOU O MATERIAL (TELAS DE ALUMNIO) - MOD: |PT: ( |HR SOLIC 00:00 | HR LIB 00:00 |ATRASO |) - (HR ENC 00:00 | ATRASO )&amp;gt;&amp;gt;CONDIES CLIMTICAS: TEMPO BOM&amp;gt;&amp;gt;&amp;gt;IMPEDIMENTOS ACUMULADOSLIBERAO PT/PTT: 22:55 = 2,87dCONDIES CLIMTICAS: 2:30 = 0,32dPETROBRAS: 1:30 = 0,19dOUTROS: 0:00 = 0dAPJ: 0:00 = 0d"</t>
  </si>
  <si>
    <t>RO-361/2025</t>
  </si>
  <si>
    <t>"RO DIRIO E OBRA - SS-19/2025 (SINALIZAO ESC)&amp;gt;INSTALAO E RETOQUES NO PISO TTIL DAS ESCADAS DA RETA A PENHA - MOD:8 |PT: (20884918 |HR SOLIC 07:25 | HR LIB 07:55 |ATRASO 00:00|) - (HR ENC 15:30 | ATRASO 01:00)&amp;gt;&amp;gt;CONDIES CLIMTICAS: TEMPO BOM&amp;gt;&amp;gt;&amp;gt;IMPEDIMENTOS ACUMULADOSLIBERAO PT/PTT: 5:51 = 0,74dCONDIES CLIMTICAS: 0:00 = 0dPETROBRAS: 0:00 = 0dOUTROS: 0:00 = 0dAPJ: 0:00 = 0d"</t>
  </si>
  <si>
    <t>RO-360/2025</t>
  </si>
  <si>
    <t>"RO DIRIO E OBRA - SS-22/2025 (SALA CISC)&amp;gt;&amp;gt;ADEQUAO DA SALA CISC - UTGSUL:&amp;gt;&amp;gt;RETIRADA DE ESTRUTURAS DO FORRO MINERAL, REMOO DE ELETROCALHAS E DEMOLIO DE PAREDES - MOD:4 | - MOD:4 |PT: (21027891 |HR SOLIC 07:08 | HR LIB 09:30 |ATRASO 01:52|) - (HR ENC 14:20 | ATRASO 02:10)&amp;gt;&amp;gt;CONDIES CLIMTICAS: TEMPO BOM&amp;gt;&amp;gt;&amp;gt;IMPEDIMENTOS ACUMULADOSLIBERAO PT/PTT: 14:54 = 1,87dCONDIES CLIMTICAS: 0:00 = 0dPETROBRAS: 0:00 = 0dOUTROS: 0:00 = 0dAPJ: 0:00 = 0d"</t>
  </si>
  <si>
    <t>RO-359/2025</t>
  </si>
  <si>
    <t>"RO DIRIO E OBRA - SS-19/2025 (SINALIZAO ESC)&amp;gt;INSTALAO E RETOQUES NO PISO TTIL DAS ESCADAS DA RETA A PENHA - MOD:6 |PT: (20884918 |HR SOLIC 07:25 | HR LIB 07:55 |ATRASO 00:00|) - (HR ENC 16:30 | ATRASO 00:00)&amp;gt;&amp;gt;CONDIES CLIMTICAS: TEMPO BOM&amp;gt;&amp;gt;&amp;gt;IMPEDIMENTOS ACUMULADOSLIBERAO PT/PTT: 5:51 = 0,74dCONDIES CLIMTICAS: 0:00 = 0dPETROBRAS: 0:00 = 0dOUTROS: 0:00 = 0dAPJ: 0:00 = 0d"</t>
  </si>
  <si>
    <t>RO-358/2025</t>
  </si>
  <si>
    <t>"RO DIRIO E OBRA - SS-15/2025 (TORRE RESFR)&amp;gt;MANUTENO DAS TORRES DE RESFRIAMENTO&amp;gt;&amp;gt;MOVIMENTAO DE CARGA COM CAMINHO POLIGUINDASTE&amp;gt;&amp;gt;&amp;gt;DESCARREGAMENTO E CARREGAMENTO DE CAAMBA ESTACIONRIA - MOD: |PT: (21040958 |HR SOLIC 10:12 | HR LIB 10:42 |ATRASO 00:00|) - (HR ENC 16:30 | ATRASO 00:00)&amp;gt;&amp;gt;MANUTENO DAS TORRES DE RESFRIAMENTO&amp;gt;&amp;gt;RETIRADA E REINSTALAO DE VIGA METLICAS COM CORTE E SOLDA - MOD:3 |PT: (21039757 |HR SOLIC 08:26 | HR LIB 08:52 |ATRASO 00:00|) - (HR ENC 16:30 | ATRASO 00:00)&amp;gt;&amp;gt;MANUTENO DAS TORRES DE RESFRIAMENTO&amp;gt;&amp;gt;LAMINAO E INSTALAO DE TUBOS NAS TORRES A E B - MOD:3 |PT: (21039077 |HR SOLIC 07:19 | HR LIB 08:13 |ATRASO 00:24|) - (HR ENC 15:30 | ATRASO 01:00)&amp;gt;&amp;gt;CONDIES CLIMTICAS: TEMPO BOM&amp;gt;&amp;gt;&amp;gt;IMPEDIMENTOS ACUMULADOSLIBERAO PT/PTT: 3:35 = 0,45dCONDIES CLIMTICAS: 2:30 = 0,32dPETROBRAS: 0:00 = 0dOUTROS: 0:00 = 0dAPJ: 0:00 = 0d"</t>
  </si>
  <si>
    <t>RO-357/2025</t>
  </si>
  <si>
    <t>Equipe est aguardando a chegada das telas de Alumnio para continuao da atividade, sero substitudas as telas que se encontram mais amassadas conforme alinhado em visita em campo da contratada e fiscalizao.A equipe atuante nesta atividade foi distribuda para outras frentes de trabalho.</t>
  </si>
  <si>
    <t>RO-356/2025</t>
  </si>
  <si>
    <t>311A -Evidência de treinamento PGR.pdf</t>
  </si>
  <si>
    <t>Envio do doc. CDIGO 311A-Evidncia de treinamento no PGR para avaliao.</t>
  </si>
  <si>
    <t>RO-355/2025</t>
  </si>
  <si>
    <t>Os somatrios desde incio at o prazo final da SS dos acmulos de hora parada e meteorolgicas no final da SS a Petrobras ir analisar se e cabvel o abono revertido em acrscimo de dias no prazo de entrega da demanda.  01. UPGN-2: PT programada para a atuao da equipe na instalao da tela de proteo. PT programada para a atuao da equipe de pintura, na execuo da pintura dos pilares de concreto. 02. SECGN: PT programada para equipe de eltrica na atuao do aterramento do sistema SPDA. 03. K-14: PT programada para a atuao da equipe de caldeiraria atuando na instalao de tirantes e cantoneiras da fachada dos fundos e perfis da cobertura. PT programada para a atuao da equipe de andaime para montagem do andaime de proteo. PT programada para equipe de eltrica na atuao do aterramento do sistema SPDA. 04. K-15: PT programada para a atuao da equipe de caldeiraria atuando na instalao das calhas e telhas da cobertura. 05. UPGN-3: PT programada para a atuao da equipe de caldeiraria atuando nas instalaes das tubulaes de descida de drenagem. PT programada para a atuao da equipe de pintura, na execuo da pintura das passarelas. 06. K-04: PTs programadas de caldeiraria e andaime para a atuao conjunta na remoo das telhas e cobertura provisria.  Todas as frentes de servio foram significativamente impactadas pelas rajadas de vento ocorridas ao longo do dia. Medies realizadas pela brigada da unidade.  RO aceito pela fiscalizao.</t>
  </si>
  <si>
    <t>RO DIRIO E OBRA - SS-04/2025 (UPGN-2)  &amp;gt;ADEQUAO E MONTAGEM DE PERFIS E TIRANTES DO GALPO.- MOD:3 | PT: (21024591 |HR SOLIC 08:04 | HR LIB 08:20 |ATRASO 00:00|) - (HR ENC 16:30 | ATRASO 00:00)  &amp;gt;TRATAMENTO E PINTURA DAS ESTRUTURAS DE CONCRETO- MOD:3 | PT: (21024609 |HR SOLIC 08:32 | HR LIB 08:32 |ATRASO 00:00|) - (HR ENC 16:30 | ATRASO 00:00)  &amp;gt;&amp;gt;CONDIES CLIMTICAS: TEMPO BOM  &amp;gt;&amp;gt;&amp;gt;IMPEDIMENTOS ACUMULADOS LIBERAO PT/PTT: 1,20 = 0,16d CONDIES CLIMTICAS: 12:20 = 1,55d PETROBRAS: 0:00 = 0d OUTROS: 20:00 = 2,5d APJ: 0:00 = 0d RO DIRIO E OBRA - SS-05/2025 (SECGN)  &amp;gt;MONTAGEM DE INFRA ESTRUTURA ELETRICA E SPDA- MOD:4 | PT: (21024791 |HR SOLIC 08:00 | HR LIB 08:30 |ATRASO 00:00|) - (HR ENC 16:30 | ATRASO 00:00)  &amp;gt;&amp;gt;CONDIES CLIMTICAS: TEMPO COM ANOMALIA &amp;gt;&amp;gt;INCIDNCIA DE VENTOS (09:30 - 16:30)  &amp;gt;&amp;gt;&amp;gt;IMPEDIMENTOS ACUMULADOS LIBERAO PT/PTT: 14:59 = 1,88d CONDIES CLIMTICAS: 55:10 = 6,9d PETROBRAS: 6:30 = 0,82d OUTROS: 28:00 = 3,5d APJ: 0:00 = 0d  RO DIRIO E OBRA - SS-06/2025 (K-14)  &amp;gt;MONTAGEM DE ESTRUTURA METALICA DO GALPO- MOD:5 | PEMT:1 | MUNCK:1 | PT: (21024851 |HR SOLIC 08:10 | HR LIB 08:40 |ATRASO 00:00|) - (HR ENC 16:30 | ATRASO 00:00)  &amp;gt;MONTAGEM DE ANDAIME- MOD:6 | PT: (21024832 |HR SOLIC 08:30 | HR LIB 08:45 |ATRASO 00:00|) - (HR ENC 16:30 | ATRASO 00:00)  &amp;gt;DEMOLIO DE CONCRETO PARA INTERLIGAO DE SPDA- MOD:5 | PT: (21027947 |HR SOLIC 07:45 | HR LIB 07:50 |ATRASO 00:00|) - (HR ENC 16:30 | ATRASO 00:00)  &amp;gt;&amp;gt;CONDIES CLIMTICAS: TEMPO COM ANOMALIA &amp;gt;&amp;gt;INCIDNCIA DE VENTOS (09:30 - 16:30)  &amp;gt;&amp;gt;&amp;gt;IMPEDIMENTOS ACUMULADOS LIBERAO PT/PTT: 9:21 = 1,17d CONDIES CLIMTICAS: 27:20 = 3,42d PETROBRAS: 0:00 = 0d OUTROS: 28:00 = 3,5d APJ: 0:00 = 0d RO DIRIO E OBRA - SS-07/2025 (K-15)  &amp;gt;MONTAGEM DE ESTRUTURA METALICA DO GALPO ( TELHAS)- MOD:4 | PEMT:2 | PT: (21025012 |HR SOLIC 07:50 | HR LIB 08:25 |ATRASO 00:05|) - (HR ENC 16:30 | ATRASO 00:00)  &amp;gt;&amp;gt;CONDIES CLIMTICAS: TEMPO COM ANOMALIA &amp;gt;&amp;gt;INCIDNCIA DE VENTOS (09:30 - 16:30)  &amp;gt;&amp;gt;&amp;gt;IMPEDIMENTOS ACUMULADOS LIBERAO PT/PTT: 14:37 = 1,83d CONDIES CLIMTICAS: 41:10 = 5,15d PETROBRAS: 0:00 = 0d OUTROS: 28:00 = 3,5d APJ: 0:00 = 0d RO DIRIO E OBRA - SS-09/2025 (UPGN-3)  &amp;gt;PINTURA DAS PASSARELAS DA PONTE ROLANTE - MOD:2 | PT: (21024668 |HR SOLIC 08:03 | HR LIB 08:20 |ATRASO 00:00|) - (HR ENC 16:30 | ATRASO 00:00)  &amp;gt;ADEQUAO DO SISTEMA PLUVIAL ( INSTALAO DE TUBOS PVC)- MOD:2 | PT: (21024700 |HR SOLIC 08:04 | HR LIB 08:25 |ATRASO 00:00|) - (HR ENC 16:30 | ATRASO 00:00)  &amp;gt;REALIZANDO LIMPEZA DE AREA- MOD:2 | MUNCK:1 | PT: (21024723 |HR SOLIC 13:00 | HR LIB 13:20 |ATRASO 00:00|) - (HR ENC 16:30 | ATRASO 00:00)  &amp;gt;&amp;gt;CONDIES CLIMTICAS: TEMPO BOM  &amp;gt;&amp;gt;&amp;gt;IMPEDIMENTOS ACUMULADOS LIBERAO PT/PTT: 21:42 = 2,72d CONDIES CLIMTICAS: 55:50 = 6,98d PETROBRAS: 0:00 = 0d OUTROS: 28:00 = 3,5d APJ: 0:00 = 0d RO DIRIO E OBRA - SS-10/2025 (K-04)  &amp;gt;REALIZANDO REMOO DE TELHAS E PERFIS DA COBERTURA - MOD:4 | PEMT:1 | PT: (21026264 |HR SOLIC 07:56 | HR LIB 07:56 |ATRASO 00:00|) - (HR ENC 16:30 | ATRASO 00:00)  &amp;gt;&amp;gt;CONDIES CLIMTICAS: TEMPO COM ANOMALIA &amp;gt;&amp;gt;INCIDNCIA DE VENTOS (09:30 - 16:30)  &amp;gt;&amp;gt;&amp;gt;IMPEDIMENTOS ACUMULADOS LIBERAO PT/PTT: 0:00 = 0d CONDIES CLIMTICAS: 7:00 = 0,88d PETROBRAS: 0:00 = 0d OUTROS: 0:00 = 0d APJ: 0:00 = 0d</t>
  </si>
  <si>
    <t>RO-354/2025</t>
  </si>
  <si>
    <t>359-PLANILHA DE RELATOS DO AMIGO DO PEITO -.xlsx</t>
  </si>
  <si>
    <t>Envio doc. CDIGO 359-Programa de Amigo do Peito para avaliao.</t>
  </si>
  <si>
    <t>RO-353/2025</t>
  </si>
  <si>
    <t>305 - Análise Crítica de SMS do Contrato.pdf</t>
  </si>
  <si>
    <t>Envio do DOC. CDIGO 305-Anlise critica de SMS para anlise.</t>
  </si>
  <si>
    <t>RO-352/2025</t>
  </si>
  <si>
    <t>DOC . 303  Plano de Gestão de Gestão de Segurança, Meio Ambiente e Saúde assinado.pdf</t>
  </si>
  <si>
    <t>Envio do doc. CDIGO 303-Plano de Gesto de Segurana, Meio Ambiente e Sade para avaliao.</t>
  </si>
  <si>
    <t>RO-351/2025</t>
  </si>
  <si>
    <t>Equipe da Torres Brasil, subcontratada da APJ est atuando na operao da manuteno das torres de resfriamento, Atividades: Retirada dos atenuadores, tubos, perfis metlicos degradados e eliminadores de gota, a manuteno est sendo feita nas Torres A e B com a reinstalao de novas vigas metlicas.</t>
  </si>
  <si>
    <t>"RO DIRIO E OBRA - SS-15/2025 (TORRE RESFR)&amp;gt;TORRES DE RESFRIAMENTO - RETIRADA E REINSTALAO DE VIGAS METLICAS COM CORTE E SOLDA - MOD:3 |PT: (21028133 |HR SOLIC 07:46 | HR LIB 08:14 |ATRASO 00:00|) - (HR ENC 16:30 | ATRASO 00:00)&amp;gt;TORRES DE RESFRIAMENTO LAMINAO E INSTALAO DE TUBOS - MOD:4 |PT: (21027882 |HR SOLIC 07:25 | HR LIB 08:04 |ATRASO 00:09|) - (HR ENC 16:30 | ATRASO 00:00)&amp;gt;NO HOUVE ATIVIDADE NESTE DIA - MOD: |PT: ( |HR SOLIC 00:00 | HR LIB 00:00 |ATRASO |) - (HR ENC 00:00 | ATRASO )&amp;gt;&amp;gt;CONDIES CLIMTICAS: TEMPO BOM&amp;gt;&amp;gt;&amp;gt;IMPEDIMENTOS ACUMULADOSLIBERAO PT/PTT: 2:11 = 0,28dCONDIES CLIMTICAS: 2:30 = 0,32dPETROBRAS: 0:00 = 0dOUTROS: 0:00 = 0dAPJ: 0:00 = 0d"</t>
  </si>
  <si>
    <t>RO-349/2025</t>
  </si>
  <si>
    <t>"RO DIRIO E OBRA - SS-19/2025 (SINALIZAO ESC)&amp;gt;INSTALAO E RETOQUES NO PISO TTIL DAS ESCADAS DA RETA A PENHA E PI BL-1 E P1 BL-4 - MOD:4 |PT: (20884918 |HR SOLIC 07:25 | HR LIB 07:55 |ATRASO 00:00|) - (HR ENC 16:30 | ATRASO 00:00)&amp;gt;&amp;gt;CONDIES CLIMTICAS: TEMPO BOM&amp;gt;&amp;gt;&amp;gt;IMPEDIMENTOS ACUMULADOSLIBERAO PT/PTT: 5:51 = 0,74dCONDIES CLIMTICAS: 0:00 = 0dPETROBRAS: 0:00 = 0dOUTROS: 0:00 = 0dAPJ: 0:00 = 0d"</t>
  </si>
  <si>
    <t>RO-348/2025</t>
  </si>
  <si>
    <t>"RO DIRIO E OBRA - SS-22/2025 (SALA CISC)&amp;gt;ADEQUAO DA SALA CISC - UTGSUL:&amp;gt;&amp;gt;RETIRADA DE ESTRUTURAS DO FORRO MINERAL, REMOO DE ELETROCALHAS E DEMOLIO DE PAREDES - MOD:4 |PT: (21027891 |HR SOLIC 06:51 | HR LIB 09:23 |ATRASO 02:02|) - (HR ENC 14:20 | ATRASO 02:10)&amp;gt;&amp;gt;CONDIES CLIMTICAS: TEMPO BOM&amp;gt;&amp;gt;&amp;gt;IMPEDIMENTOS ACUMULADOSLIBERAO PT/PTT: 10:52 = 1,36dCONDIES CLIMTICAS: 0:00 = 0dPETROBRAS: 0:00 = 0dOUTROS: 0:00 = 0dAPJ: 0:00 = 0d"</t>
  </si>
  <si>
    <t>RO-347/2025</t>
  </si>
  <si>
    <t>Os somatrios desde incio at o prazo final da SS dos acmulos de hora parada e meteorolgicas no final da SS a Petrobras ir analisar se e cabvel o abono revertido em acrscimo de dias no prazo de entrega da demanda.  01. UPGN-2: PT programada para a atuao da equipe de caldeiraria na fabricao de chapa de unio e fixao das cantoneiras de contraventamento. Parte da equipe estava mobilizada para instalao da tela de proteo. PT programada para a atuao da equipe de pintura, na execuo da pintura dos pilares de concreto. 02. K-14: PT programada para a atuao da equipe de caldeiraria atuando na instalao de tirantes e cantoneiras da fachada dos fundos e perfis da cobertura. PT programada para a atuao da equipe de andaime para montagem do andaime de proteo. PT programada para equipe de eltrica na atuao do aterramento do sistema SPDA. 03. K-15: PT programada para a atuao da equipe de caldeiraria atuando nas adequaes e instalaes de estruturas bem como a instalao das calhas. PT programada para equipe de eltrica na atuao do aterramento do sistema SPDA. PT programada para equipe de eltrica na atuao do aterramento do sistema SPDA. 04. UPGN-3: PT programada para a atuao da equipe de caldeiraria atuando nas adequaes e instalaes de rufos nas laterais, para iniciar as tubulaes de descida de drenagem. PT programada para a atuao da equipe de pintura, na execuo da pintura das passarelas. PT programada para realizao do teste de continuidade.  RO aceito pela fiscalizao.</t>
  </si>
  <si>
    <t>RO DIRIO E OBRA - SS-04/2025 (UPGN-2)  &amp;gt;ADEQUAO E MONTAGEM DE PERFIS E TIRANTES DO GALPO.- MOD:3 | PT: (21021783 |HR SOLIC 08:20 | HR LIB 08:27 |ATRASO 00:00|) - (HR ENC 16:30 | ATRASO 00:00)  &amp;gt;TRATAMENTO E PINTURA DAS ESTRUTURAS DE CONCRETO- MOD:2 | PT: (21021795 |HR SOLIC 08:30 | HR LIB 08:31 |ATRASO 00:00|) - (HR ENC 16:30 | ATRASO 00:00)  &amp;gt;&amp;gt;CONDIES CLIMTICAS: TEMPO BOM  &amp;gt;&amp;gt;&amp;gt;IMPEDIMENTOS ACUMULADOS LIBERAO PT/PTT: 1,20 = 0,16d CONDIES CLIMTICAS: 12:20 = 1,55d PETROBRAS: 0:00 = 0d OUTROS: 20:00 = 2,5d APJ: 0:00 = 0d RO DIRIO E OBRA - SS-06/2025 (K-14)  &amp;gt;MONTAGEM DE ESTRUTURA METALICA DO GALPO- MOD:5 | PEMT:1 | MUNCK:1 | PT: (21021866 |HR SOLIC 08:00 | HR LIB 08:40 |ATRASO 00:10|) - (HR ENC 16:30 | ATRASO 00:00)  &amp;gt;MONTAGEM DE ANDAIME - MOD:6 | PT: (21021860 |HR SOLIC 08:00 | HR LIB 08:30 |ATRASO 00:00|) - (HR ENC 16:30 | ATRASO 00:00)  &amp;gt;DEMOLIO DE CONCRETO PARA INTERLIGAO DE SPDA - MOD:5 | PT: (21020795 |HR SOLIC 08:00 | HR LIB 08:05 |ATRASO 00:00|) - (HR ENC 16:30 | ATRASO 00:00)  &amp;gt;&amp;gt;CONDIES CLIMTICAS: TEMPO BOM  &amp;gt;&amp;gt;&amp;gt;IMPEDIMENTOS ACUMULADOS LIBERAO PT/PTT: 9:21 = 1,17d CONDIES CLIMTICAS: 20:20 = 2,55d PETROBRAS: 0:00 = 0d OUTROS: 28:00 = 3,5d APJ: 0:00 = 0d  RO DIRIO E OBRA - SS-07/2025 (K-15)  &amp;gt;ADEQUAO E MONTAGEM DE ESTRUTURA METALICA DO GALPO- MOD:4 | PEMT:1 | PT: (21021875 |HR SOLIC 08:00 | HR LIB 08:45 |ATRASO 00:15|) - (HR ENC 16:30 | ATRASO 00:00)  &amp;gt;REALIZANDO ATIVIDADE DE ELETRIACA E SPDA DO GALPO- MOD:3 | PEMT:1 | PT: (21021878 |HR SOLIC 08:30 | HR LIB 08:50 |ATRASO 00:00|) - (HR ENC 16:30 | ATRASO 00:00)  &amp;gt;&amp;gt;CONDIES CLIMTICAS: TEMPO BOM  &amp;gt;&amp;gt;&amp;gt;IMPEDIMENTOS ACUMULADOS LIBERAO PT/PTT: 14:32 = 1,82d CONDIES CLIMTICAS: 34:10 = 4,28d PETROBRAS: 0:00 = 0d OUTROS: 28:00 = 3,5d APJ: 0:00 = 0d RO DIRIO E OBRA - SS-09/2025 (UPGN-3)  &amp;gt;REALIZANDO INSTALAO DE RUFOS E LIMPEZA DE AREA- MOD:4 | PEMT:1 | MUNCK:1 | PT: (21021799 |HR SOLIC 08:01 | HR LIB 08:20 |ATRASO 00:00|) - (HR ENC 16:30 | ATRASO 00:00)  &amp;gt;PINTURA DAS PASSARELAS DA PONTE ROLANTE- MOD:3 | PT: (21021787 |HR SOLIC 08:26 | HR LIB 09:16 |ATRASO 00:20|) - (HR ENC 16:30 | ATRASO 00:00)  &amp;gt;ADEQUAO DO SISTEMA PLUVIAL ( INSTALAO DE TUBOS PVC)- MOD:4 | PT: (21021791 |HR SOLIC 08:25 | HR LIB 09:20 |ATRASO 00:25|) - (HR ENC 16:30 | ATRASO 00:00)  &amp;gt;TESTE DE CONTINUIDADE DO SISTEMA SPDA - MOD:2 | PT: (21023821 |HR SOLIC 09:57 | HR LIB 10:00 |ATRASO 00:00|) - (HR ENC 16:30 | ATRASO 00:00)  &amp;gt;&amp;gt;CONDIES CLIMTICAS: TEMPO BOM  &amp;gt;&amp;gt;&amp;gt;IMPEDIMENTOS ACUMULADOS LIBERAO PT/PTT: 21:42 = 2,72d CONDIES CLIMTICAS: 55:50 = 6,98d PETROBRAS: 0:00 = 0d OUTROS: 28:00 = 3,5d APJ: 0:00 = 0d</t>
  </si>
  <si>
    <t>09/12/2025</t>
  </si>
  <si>
    <t>RO-346/2025</t>
  </si>
  <si>
    <t>Os somatrios desde incio at o prazo final da SS dos acmulos de hora parada e meteorolgicas no final da SS a Petrobras ir analisar se e cabvel o abono revertido em acrscimo de dias no prazo de entrega da demanda.  01. UPGN-2: PT programada para a atuao da equipe de caldeiraria na fabricao de chapa de unio e fixao das cantoneiras de contraventamento. PT programada para a atuao da equipe de pintura, na execuo da pintura dos pilares de concreto. 02. K-14: PT programada para a atuao da equipe de caldeiraria atuando na instalao de tirantes e cantoneiras da fachada dos fundos e perfis da cobertura. PT programada para a atuao da equipe de andaime para montagem do andaime de proteo. 03. K-15: PT programada para a atuao da equipe de caldeiraria atuando nas adequaes e instalaes de estruturas. PT programada para equipe de eltrica na atuao do aterramento do sistema SPDA. 04. UPGN-3: A PT programada para a atuao da equipe de caldeiraria. Mas por conta das precipitaes contnuas ocorridas, impossibilitaram as atividades.  RO aceito pela fiscalizao.</t>
  </si>
  <si>
    <t>RO DIRIO E OBRA - SS-04/2025 (UPGN-2)  &amp;gt;ADEQUAO E MONTAGEM DE PERFIS E TIRANTES DO GALPO.- MOD:3 | PEMT:1 | PT: (21015759 |HR SOLIC 08:30 | HR LIB 08:30 |ATRASO 00:00|) - (HR ENC 16:30 | ATRASO 00:00)  &amp;gt;TRATAMENTO E PINTURA DAS ESTRUTURAS DE CONCRETO - MOD:2 | PT: (21015768 |HR SOLIC 09:10 | HR LIB 09:10 |ATRASO 00:00|) - (HR ENC 16:30 | ATRASO 00:00)  &amp;gt;&amp;gt;CONDIES CLIMTICAS: TEMPO BOM  &amp;gt;&amp;gt;&amp;gt;IMPEDIMENTOS ACUMULADOS LIBERAO PT/PTT: 1,20 = 0,16d CONDIES CLIMTICAS: 12:20 = 1,55d PETROBRAS: 0:00 = 0d OUTROS: 20:00 = 2,5d APJ: 0:00 = 0d  RO DIRIO E OBRA - SS-06/2025 (K-14)  &amp;gt;MONTAGEM DE ESTRUTURA METALICA DO GALPO - MOD:5 | PEMT:1 | PT: (21015775 |HR SOLIC 08:20 | HR LIB 08:40 |ATRASO 00:00|) - (HR ENC 16:30 | ATRASO 00:00)  &amp;gt;MONTAGEM DE ANDAIME - MOD:4 | PT: (21015747 |HR SOLIC 08:25 | HR LIB 08:30 |ATRASO 00:00|) - (HR ENC 16:30 | ATRASO 00:00)  &amp;gt;&amp;gt;CONDIES CLIMTICAS: TEMPO BOM  &amp;gt;&amp;gt;&amp;gt;IMPEDIMENTOS ACUMULADOS LIBERAO PT/PTT: 9:11 = 1,15d CONDIES CLIMTICAS: 20:20 = 2,55d PETROBRAS: 0:00 = 0d OUTROS: 28:00 = 3,5d APJ: 0:00 = 0d   RO DIRIO E OBRA - SS-07/2025 (K-15)  &amp;gt;ADEQUAO E MONTAGEM DE ESTRUTURA METALICA DO GALPO - MOD:3 | PEMT:1 | PT: (21010982 |HR SOLIC 08:20 | HR LIB 08:45 |ATRASO 00:00|) - (HR ENC 16:30 | ATRASO 00:00)  &amp;gt;REALIZANDO ATIVIDADE DE ELETRIACA E SPDA DO GALPO - MOD:2 | PT: (21015778 |HR SOLIC 08:30 | HR LIB 08:50 |ATRASO 00:00|) - (HR ENC 16:30 | ATRASO 00:00)  &amp;gt;&amp;gt;CONDIES CLIMTICAS: TEMPO BOM  &amp;gt;&amp;gt;&amp;gt;IMPEDIMENTOS ACUMULADOS LIBERAO PT/PTT: 14:17 = 1,79d CONDIES CLIMTICAS: 34:10 = 4,28d PETROBRAS: 0:00 = 0d OUTROS: 28:00 = 3,5d APJ: 0:00 = 0d  RO DIRIO E OBRA - SS-09/2025 (UPGN-3)  &amp;gt;REALIZANDO INSTALAO DE RUFOS E LIMPEZA DE AREA- MOD:6 | PEMT:1 | MUNCK:1 | PT: (21015806 |HR SOLIC 08:20 | HR LIB 08:30 |ATRASO 00:00|) - (HR ENC 16:30 | ATRASO 00:00)  &amp;gt;PINTURA DAS PASSARELAS DA PONTE ROLANTE- MOD:3 | PT: (21010724 |HR SOLIC 08:52 | HR LIB 09:08 |ATRASO 00:00|) - (HR ENC 16:30 | ATRASO 00:00)  &amp;gt;ADEQUAO DO SISTEMA PLUVIAL ( INSTALAO DE TUBOS PVC) - MOD:3 | PT: (21010759 |HR SOLIC 08:55 | HR LIB 08:55 |ATRASO 00:00|) - (HR ENC 16:30 | ATRASO 00:00)  &amp;gt; CONCRETAGEM DE PISO PARA ADEQUAO DE SPDA- MOD:6 | PT: (21014907 |HR SOLIC 08:00 | HR LIB 08:00 |ATRASO 00:00|) - (HR ENC 16:30 | ATRASO 00:00)  &amp;gt;&amp;gt;CONDIES CLIMTICAS: TEMPO BOM  &amp;gt;&amp;gt;&amp;gt;IMPEDIMENTOS ACUMULADOS LIBERAO PT/PTT: 20:57 = 2,62d CONDIES CLIMTICAS: 55:50 = 6,98d PETROBRAS: 0:00 = 0d OUTROS: 28:00 = 3,5d APJ: 0:00 = 0d</t>
  </si>
  <si>
    <t>08/12/2025</t>
  </si>
  <si>
    <t>RO-345/2025</t>
  </si>
  <si>
    <t>RO DIRIO E OBRA - SS-04/2025 (UPGN-2) SEM EXPEDIENTE, &amp;gt;&amp;gt;CONDIES CLIMTICAS: TEMPO BOM &amp;gt;&amp;gt;&amp;gt;IMPEDIMENTOS ACUMULADOS LIBERAO PT/PTT: 1,20 = 0,16d CONDIES CLIMTICAS: 12:20 = 1,55d PETROBRAS: 0:00 = 0d OUTROS: 20:00 = 2,5d APJ: 0:00 = 0d ____________________________________________________________________________ RO DIRIO E OBRA - SS-05/2025 (SECGN)SEM EXPEDIENTE &amp;gt;&amp;gt;CONDIES CLIMTICAS: TEMPO BOM  &amp;gt;&amp;gt;&amp;gt;IMPEDIMENTOS ACUMULADOS LIBERAO PT/PTT: 14:59 = 1,88d CONDIES CLIMTICAS: 48:10 = 6,03d PETROBRAS: 6:30 = 0,82d OUTROS: 28:00 = 3,5d APJ: 0:00 = 0d ________________________________________________________________ RO DIRIO E OBRA - SS-06/2025 (K-14) SEM EXPEDIENTE &amp;gt;&amp;gt;CONDIES CLIMTICAS: TEMPO BOM  &amp;gt;&amp;gt;&amp;gt;IMPEDIMENTOS ACUMULADOS LIBERAO PT/PTT: 9:11 = 1,15d CONDIES CLIMTICAS: 20:20 = 2,55d PETROBRAS: 0:00 = 0d OUTROS: 28:00 = 3,5d APJ: 0:00 = 0d ____________________________________________________________ RO DIRIO E OBRA - SS-07/2025 (K-15)  SEM EXPEDIENTE &amp;gt;CONDIES CLIMTICAS: TEMPO BOM &amp;gt;&amp;gt;&amp;gt;IMPEDIMENTOS ACUMULADOS LIBERAO PT/PTT: 14:17 = 1,79d CONDIES CLIMTICAS: 34:10 = 4,28d PETROBRAS: 0:00 = 0d OUTROS: 28:00 = 3,5d APJ: 0:00 = 0d RO DIRIO E OBRA - SS-09/2025 (UPGN-3)  SEM EXPEDIENTE &amp;gt;&amp;gt;CONDIES CLIMTICAS: TEMPO BOM &amp;gt;&amp;gt;&amp;gt;IMPEDIMENTOS ACUMULADOS LIBERAO PT/PTT: 20:57 = 2,62d CONDIES CLIMTICAS: 55:50 = 6,98d PETROBRAS: 0:00 = 0d OUTROS: 28:00 = 3,5d APJ: 0:00 = 0d</t>
  </si>
  <si>
    <t>RO-344/2025</t>
  </si>
  <si>
    <t>Os somatrios desde incio at o prazo final da SS dos acmulos de hora parada e meteorolgicas no final da SS a Petrobras ir analisar se e cabvel o abono revertido em acrscimo de dias no prazo de entrega da demanda.  O dia de trabalho foi considerado totalmente improdutivo em razo das precipitaes contnuas ocorridas durante todo o expediente, as quais inviabilizaram por completo a execuo das atividades previstas, sem qualquer intervalo de estiagem.  01. UPGN-2: A PT programada para a atuao da equipe de caldeiraria. Mas por conta das precipitaes contnuas ocorridas, impossibilitaram as atividades. Obs.: Horas acumulativas corretas de LIBERAO PT/PTT: 1:20 = 0,16d 02. K-14: A PT programada para a atuao da equipe de caldeiraria. Mas por conta das precipitaes contnuas ocorridas, impossibilitaram as atividades. 03. K-15: A PT programada para a atuao da equipe de caldeiraria. Mas por conta das precipitaes contnuas ocorridas, impossibilitaram as atividades. 04. UPGN-3: A PT programada para a atuao da equipe de caldeiraria. Mas por conta das precipitaes contnuas ocorridas, impossibilitaram as atividades.  RO aceito pela fiscalizao.</t>
  </si>
  <si>
    <t>RO DIRIO E OBRA - SS-04/2025 (UPGN-2)  &amp;gt;ADEQUAO E MONTAGEM DE PERFIS E TIRANTES DO GALPO. MOD:3 | PT: (21010382 |HR SOLIC 12:45 | HR LIB 13:00 |ATRASO 00:00|) - (HR ENC 16:30 | ATRASO 00:00)  &amp;gt;&amp;gt;CONDIES CLIMTICAS: TEMPO COM ANOMALIA &amp;gt;&amp;gt;INCIDNCIA DE CHUVA (08:00 - 16:30)  &amp;gt;&amp;gt;&amp;gt;IMPEDIMENTOS ACUMULADOS LIBERAO PT/PTT: 3:00 = 0,38d CONDIES CLIMTICAS: 12:20 = 1,55d PETROBRAS: 0:00 = 0d OUTROS: 20:00 = 2,5d APJ: 0:00 = 0d RO DIRIO E OBRA - SS-06/2025 (K-14)  &amp;gt;MONTAGEM DE ESTRUTURA METALICA DO GALPO MOD:5 | PEMT:1 | PT: (21010504 |HR SOLIC 13:00 | HR LIB 13:15 |ATRASO 00:00|) - (HR ENC 16:30 | ATRASO 00:00)  &amp;gt;&amp;gt;CONDIES CLIMTICAS: TEMPO COM ANOMALIA &amp;gt;&amp;gt;INCIDNCIA DE CHUVA (08:00 - 16:30)  &amp;gt;&amp;gt;&amp;gt;IMPEDIMENTOS ACUMULADOS LIBERAO PT/PTT: 9:11 = 1,15d CONDIES CLIMTICAS: 20:20 = 2,55d PETROBRAS: 0:00 = 0d OUTROS: 28:00 = 3,5d APJ: 0:00 = 0d  RO DIRIO E OBRA - SS-07/2025 (K-15)  &amp;gt;ADEQUAO E MONTAGEM DE ESTRUTURA METALICA DO GALPO- MOD:4 | PEMT:1 | PT: (21010530 |HR SOLIC 13:00 | HR LIB 13:15 |ATRASO 00:00|) - (HR ENC 16:30 | ATRASO 00:00)  &amp;gt;&amp;gt;CONDIES CLIMTICAS: TEMPO COM ANOMALIA &amp;gt;&amp;gt;INCIDNCIA DE CHUVA (08:00 - 16:30)  &amp;gt;&amp;gt;&amp;gt;IMPEDIMENTOS ACUMULADOS LIBERAO PT/PTT: 14:17 = 1,79d CONDIES CLIMTICAS: 34:10 = 4,28d PETROBRAS: 0:00 = 0d OUTROS: 28:00 = 3,5d APJ: 0:00 = 0d RO DIRIO E OBRA - SS-09/2025 (UPGN-3)  &amp;gt;REALIZANDO INSTALAO DE RUFOS - MOD:4 | PEMT:1 | PT: (21010430 |HR SOLIC 13:00 | HR LIB 13:38 |ATRASO 00:08|) - (HR ENC 16:30 | ATRASO 00:00)  &amp;gt;DEMOLIO E CONCRETAGEM DE PISO PARA ADEQUAO DE SPDA- MOD:5 | PT: (21012483 |HR SOLIC 13:30 | HR LIB 13:38 |ATRASO 00:00|) - (HR ENC 16:30 | ATRASO 00:00)  &amp;gt;&amp;gt;CONDIES CLIMTICAS: TEMPO COM ANOMALIA &amp;gt;&amp;gt;INCIDNCIA DE CHUVA (08:00 - 16:30)  &amp;gt;&amp;gt;&amp;gt;IMPEDIMENTOS ACUMULADOS LIBERAO PT/PTT: 20:57 = 2,62d CONDIES CLIMTICAS: 55:50 = 6,98d PETROBRAS: 0:00 = 0d OUTROS: 28:00 = 3,5d APJ: 0:00 = 0d</t>
  </si>
  <si>
    <t>06/12/2025</t>
  </si>
  <si>
    <t>RO-343/2025</t>
  </si>
  <si>
    <t>Os somatrios desde incio at o prazo final da SS dos acmulos de hora parada e meteorolgicas no final da SS a Petrobras ir analisar se e cabvel o abono revertido em acrscimo de dias no prazo de entrega da demanda. 01. UPGN-2: A PTs programadas para a atuao da equipe de pintura e caldeiraria. Equipe de caldeiraria trabalhando no canteiro de obras na fabricao de chapa para fixao de cantoneira contraventamento; Equipe de pintura na execuo de pintura dos pilares de concreto; 02. SECGN: PT programada para atividade de caldeiraria para fechamento lateral e instalao das calhas com utilizao de equipe de irata; PT programada para equipe de eltrica na realizao da infra de estruturas eltricas. 03. K-14: PT programada para equipe de caldeiraria realizar a montagem de estrutura metlica do galpo, tirantes, cantoneiras. PT programada para equipe de andaime realizando montagem. 04. K-15: PT programada para equipe de caldeiraria, para realizar a solda do suporte das calhas. 05. UPGN-3: Foram programadas as PTT's de caldeiraria convencional e pintura. A equipe de caldeiraria atuou na instalao e adequao de rufos de acabamento na fachada frontal. A equipe de pintura no tratamento e pintura da passarela. PT programada para equipe de eltrica na realizao da adequao do SPDA. 06. Estoque de Materiais: PT liberada para realizao de OLA no local.  RO aceito pela fiscalizao.</t>
  </si>
  <si>
    <t>RO DIRIO E OBRA - SS-04/2025 (UPGN-2)  &amp;gt;ADEQUAO E MONTAGEM DE PERFIS E TIRANTES DO GALPO. - MOD:3 | PEMT:1 | PT: (21004235 |HR SOLIC 08:00 | HR LIB 08:30 |ATRASO 00:00|) - (HR ENC 16:30 | ATRASO 00:00)  &amp;gt;TRATAMENTO E PINTURA DAS ESTRUTURAS DE CONCRETO - MOD:2 | PT: (21044201 |HR SOLIC 08:15 | HR LIB 08:32 |ATRASO 00:00|) - (HR ENC 16:30 | ATRASO 00:00)  &amp;gt;&amp;gt;CONDIES CLIMTICAS: TEMPO BOM  &amp;gt;&amp;gt;&amp;gt;IMPEDIMENTOS ACUMULADOS LIBERAO PT/PTT: 1:20 = 0,16d CONDIES CLIMTICAS: 4:20 = 0,55d PETROBRAS: 0:00 = 0d OUTROS: 20:00 = 2,5d APJ: 0:00 = 0d  RO DIRIO E OBRA - SS-05/2025 (SECGN)  &amp;gt;MONTAGEM DE ESTRUTURA METALICA NO GALPO- MOD:8 | PEMT:1 | PT: (21004338 |HR SOLIC 08:00 | HR LIB 08:20 |ATRASO 00:00|) - (HR ENC 16:30 | ATRASO 00:00)  &amp;gt;MONTAGEM DE INFRA ESTRUTURA ELETRICA E SPDA- MOD:3 | PEMT:1 | PT: (21004235 |HR SOLIC 08:00 | HR LIB 08:30 |ATRASO 00:00|) - (HR ENC 16:30 | ATRASO 00:00)  &amp;gt;&amp;gt;CONDIES CLIMTICAS: TEMPO BOM  &amp;gt;&amp;gt;&amp;gt;IMPEDIMENTOS ACUMULADOS LIBERAO PT/PTT: 14:59 = 1,88d CONDIES CLIMTICAS: 48:10 = 6,03d PETROBRAS: 6:30 = 0,82d OUTROS: 28:00 = 3,5d APJ: 0:00 = 0d   RO DIRIO E OBRA - SS-06/2025 (K-14)  &amp;gt;MONTAGEM DE ESTRUTURA METALICA DO GALPO - MOD:5 | PEMT:1 | PT: (21004452 |HR SOLIC 08:10 | HR LIB 09:20 |ATRASO 00:40|) - (HR ENC 16:30 | ATRASO 00:00)  &amp;gt;MONTAGEM DE ANDAIME - MOD:4 | PT: (21004443 |HR SOLIC 09:20 | HR LIB 09:30 |ATRASO 00:00|) - (HR ENC 16:30 | ATRASO 00:00)  &amp;gt;&amp;gt;CONDIES CLIMTICAS: TEMPO BOM  &amp;gt;&amp;gt;&amp;gt;IMPEDIMENTOS ACUMULADOS LIBERAO PT/PTT: 9:11 = 1,15d CONDIES CLIMTICAS: 12:20 = 1,55d PETROBRAS: 0:00 = 0d OUTROS: 28:00 = 3,5d APJ: 0:00 = 0d   RO DIRIO E OBRA - SS-07/2025 (K-15)  &amp;gt;ADEQUAO E MONTAGEM DE ESTRUTURA METALICA DO GALPO- MOD:4 | PEMT:1 | PT: (21004463 |HR SOLIC 08:00 | HR LIB 08:41 |ATRASO 00:11|) - (HR ENC 16:30 | ATRASO 00:00)  &amp;gt;&amp;gt;CONDIES CLIMTICAS: TEMPO BOM  &amp;gt;&amp;gt;&amp;gt;IMPEDIMENTOS ACUMULADOS LIBERAO PT/PTT: 14:17 = 1,79d CONDIES CLIMTICAS: 26:10 = 3,28d PETROBRAS: 0:00 = 0d OUTROS: 28:00 = 3,5d APJ: 0:00 = 0d  RO DIRIO E OBRA - SS-09/2025 (UPGN-3)  &amp;gt;REALIZANDO INSTALAO DE RUFOS - MOD:4 | PEMT:1 | PT: (21004280 |HR SOLIC 07:50 | HR LIB 08:30 |ATRASO 00:10|) - (HR ENC 16:30 | ATRASO 00:00)  &amp;gt;PINTURA DAS PASSARELAS DA PONTE ROLANTE - MOD:3 | PT: (20867484 |HR SOLIC 08:00 | HR LIB 08:00 |ATRASO 00:00|) - (HR ENC 16:30 | ATRASO 00:00)  &amp;gt;DEMOLIO E CONCRETAGEM DE PISO PARA ADEQUAO DE SPDA- MOD:5 | PT: (21006316 |HR SOLIC 07:45 | HR LIB 07:46 |ATRASO 00:00|) - (HR ENC 16:30 | ATRASO 00:00)  &amp;gt;&amp;gt;CONDIES CLIMTICAS: TEMPO BOM  &amp;gt;&amp;gt;&amp;gt;IMPEDIMENTOS ACUMULADOS LIBERAO PT/PTT: 20:49 = 2,61d CONDIES CLIMTICAS: 47:50 = 5,98d PETROBRAS: 0:00 = 0d OUTROS: 28:00 = 3,5d APJ: 0:00 = 0d  RO DIRIO E OBRA - SS-12/2025 (ESTOQUE)  &amp;gt;LIMPEZA, ORGANIZAO E DESCARTE DE MATERIAL- MOD:2 | PT: (21007614 |HR SOLIC 07:49 | HR LIB 07:55 |ATRASO 00:00|) - (HR ENC 16:30 | ATRASO 00:00)  &amp;gt;&amp;gt;CONDIES CLIMTICAS: TEMPO BOM  &amp;gt;&amp;gt;&amp;gt;IMPEDIMENTOS ACUMULADOS LIBERAO PT/PTT: 0:00 = 0d CONDIES CLIMTICAS: 0:00 = 0d PETROBRAS: 0:00 = 0d OUTROS: 0:00 = 0d APJ: 0:00 = 0d</t>
  </si>
  <si>
    <t>05/12/2025</t>
  </si>
  <si>
    <t>RO-342/2025</t>
  </si>
  <si>
    <t>"RO DIRIO E OBRA - SS-19/2025 (SINALIZAO ESC)&amp;gt;INSTALAO DE PISO TTIL - ESCADAS P1 DO BLOCO 1 E P1 DO BLOCO 4 - MOD:4 |PT: (20884918 |HR SOLIC 08:18 | HR LIB 08:32 |ATRASO 00:00|) - (HR ENC 16:30 | ATRASO 00:00)&amp;gt;&amp;gt;CONDIES CLIMTICAS: TEMPO BOM&amp;gt;&amp;gt;&amp;gt;IMPEDIMENTOS ACUMULADOSLIBERAO PT/PTT: 5:51 = 0,74dCONDIES CLIMTICAS: 0:00 = 0dPETROBRAS: 0:00 = 0dOUTROS: 0:00 = 0dAPJ: 0:00 = 0d"</t>
  </si>
  <si>
    <t>RO-341/2025</t>
  </si>
  <si>
    <t>Equipe da Torres Brasil, subcontratada da APJ est atuando na operao da manuteno das torres de resfriamento, Atividades: Retirada dos atenuadores, tubos, perfis metlicos degradados e eliminadores de gota, a manuteno est sendo feita nas Torres A e B.Houve um atraso no inicio dos servios do dia devido a troca no plano de libra que teve que ser refeito junto com a operao devido a folha estar com pequena rasura, conforme solicitado pelo nosso SMS, assim que foi feita uma nova via e assinado juntamente com a operao a atividade foi retomada novamente.</t>
  </si>
  <si>
    <t>"RO DIRIO E OBRA - SS-15/2025 (TORRE RESFR)&amp;gt;MANUTENO DAS TORRES DE RESFRIAMENTO - LAMINAO, INSTALAO DE SUPORTES E TUBOS - MOD:5 |PT: (21022230 |HR SOLIC 07:45 | HR LIB 08:16 |ATRASO 00:01|) - (HR ENC 16:30 | ATRASO 00:00)&amp;gt;MANUTENO DAS TORRES DE RESFRIAMENTO - PREPARAO DOS SUPORTES NA ALA NORTE, EXTERNA DAS TORRES - MOD:2 |PT: (21023739 |HR SOLIC 08:15 | HR LIB 10:03 |ATRASO 01:18|) - (HR ENC 16:30 | ATRASO 00:00)&amp;gt;&amp;gt;CONDIES CLIMTICAS: TEMPO BOM&amp;gt;&amp;gt;&amp;gt;IMPEDIMENTOS ACUMULADOSLIBERAO PT/PTT: 2:02 = 0,26dCONDIES CLIMTICAS: 2:30 = 0,32dPETROBRAS: 0:00 = 0dOUTROS: 0:00 = 0dAPJ: 0:00 = 0d"</t>
  </si>
  <si>
    <t>RO-340/2025</t>
  </si>
  <si>
    <t>Equipe da APJ est atuando na instalao dos novos perfis que se encontravam deteriorados na parte inferior das paredes das torres de resfriamento,est sendo efetuado a troca dos isolamentos acsticos e das telas de proteo em paralelo, solicitado ao encarregado Dirceu Carapina, para que mantenha sempre a rea organizada e manter sempre isolado e identificado os materiais que esto sendo utilizados na troca dos revestimentos acsticos.</t>
  </si>
  <si>
    <t>"RO DIRIO E OBRA - SS-16/2025 (ACSTICO)&amp;gt;ISOLAMENTO ACSTICO - ACABAMENTOS - MOD:2 |PT: (21022235 |HR SOLIC 07:46 | HR LIB 08:20 |ATRASO 00:04|) - (HR ENC 16:30 | ATRASO 00:00)&amp;gt;&amp;gt;CONDIES CLIMTICAS: TEMPO BOM&amp;gt;&amp;gt;&amp;gt;IMPEDIMENTOS ACUMULADOSLIBERAO PT/PTT: 22:55 = 2,87dCONDIES CLIMTICAS: 2:30 = 0,32dPETROBRAS: 1:30 = 0,19dOUTROS: 0:00 = 0dAPJ: 0:00 = 0d"</t>
  </si>
  <si>
    <t>RO-339/2025</t>
  </si>
  <si>
    <t>"RO DIRIO E OBRA - SS-22/2025 (SALA CISC)&amp;gt;ADEQUAO DA SALA CISC - UTGSULRETIRADA DE: FORRO MINERAL, LUMINRIAS, PORTA E INFRA DE ELTRICA - MOD:4 |PT: (21022493 |HR SOLIC 07:30 | HR LIB 09:33 |ATRASO 01:33|) - (HR ENC 16:30 | ATRASO 00:00)&amp;gt;&amp;gt;CONDIES CLIMTICAS: TEMPO BOM&amp;gt;&amp;gt;&amp;gt;IMPEDIMENTOS ACUMULADOSLIBERAO PT/PTT: 6:40 = 0,84dCONDIES CLIMTICAS: 0:00 = 0dPETROBRAS: 0:00 = 0dOUTROS: 0:00 = 0dAPJ: 0:00 = 0d"</t>
  </si>
  <si>
    <t>RO-338/2025</t>
  </si>
  <si>
    <t>Fiscalizao de acordo com RO apresentado,Inicio da atividades, remoo das luminrias, forros e porta de madeira.</t>
  </si>
  <si>
    <t>"RO DIRIO E OBRA - SS-22/2025 (SALA CISC)&amp;gt;ADEQUAO DA SALA CISC - UTGSUL - INCIO DAS ATIVIDADESINTERCORRENCIAS:1) NO FORAM RETIRADOS DA SALA OS MOBILIRIOS E TVS, CONFORME ACERTADO.2) REDUO DO PERODO DE PRODUO, DEVIDO A LIBERAO E FECHAMENTO DE PT, AT A MUDANA DE PT PARA PTT. - MOD:4 |PT: (21016157 |HR SOLIC 08:00 | HR LIB 12:05 |ATRASO 03:35|) - (HR ENC 14:58 | ATRASO 01:32)&amp;gt;&amp;gt;CONDIES CLIMTICAS: TEMPO BOM&amp;gt;&amp;gt;&amp;gt;IMPEDIMENTOS ACUMULADOSLIBERAO PT/PTT: 5:07 = 0,64dCONDIES CLIMTICAS: 0:00 = 0dPETROBRAS: 0:00 = 0dOUTROS: 0:00 = 0dAPJ: 0:00 = 0d"</t>
  </si>
  <si>
    <t>RO-337/2025</t>
  </si>
  <si>
    <t>JOSE ALBERTO BARBOSA CASTRO.zip; LEANDRO CESAR GUIMARAES.zip</t>
  </si>
  <si>
    <t>Prezados, bom dia.Em ateno ao nosso subcontratado ENGEVAL, encaminho a documentao dos colaboradores:Jos Alberto CastroLeandro Guimares</t>
  </si>
  <si>
    <t>RO-336/2025</t>
  </si>
  <si>
    <t>"RO DIRIO E OBRA - SS-16/2025 (ACSTICO)&amp;gt;ISOLAMENTO ACSTICO - ACABAMENTOS - MOD:2 |PT: (21016055 |HR SOLIC 08:00 | HR LIB 08:52 |ATRASO 00:22|) - (HR ENC 16:30 | ATRASO 00:00)&amp;gt;&amp;gt;CONDIES CLIMTICAS: TEMPO BOM&amp;gt;&amp;gt;&amp;gt;IMPEDIMENTOS ACUMULADOSLIBERAO PT/PTT: 22:51 = 2,86dCONDIES CLIMTICAS: 2:30 = 0,32dPETROBRAS: 1:30 = 0,19dOUTROS: 0:00 = 0dAPJ: 0:00 = 0d"</t>
  </si>
  <si>
    <t>RO-334/2025</t>
  </si>
  <si>
    <t>Equipe da Torres Brasil, subcontratada da APJ est atuando na operao da manuteno das torres de resfriamento, Atividades: Retirada dos atenuadores, tubos, perfis metlicos degradados e eliminadores de gota, a manuteno est sendo feita nas Torres A e B.</t>
  </si>
  <si>
    <t>"RO DIRIO E OBRA - SS-15/2025 (TORRE RESFR)&amp;gt;MANUTENO DAS TORRES DE RESFRIAMENTO - MOD:4 |PT: (21016060 |HR SOLIC 08:10 | HR LIB 08:50 |ATRASO 00:10|) - (HR ENC 16:30 | ATRASO 00:00)&amp;gt;MONTAGEM DE ANDAIMES PARA ADEQUAO DE ACESSOS - MOD:2 |PT: (21016537 |HR SOLIC 10:20 | HR LIB 10:43 |ATRASO 00:00|) - (HR ENC 16:30 | ATRASO 00:00)&amp;gt;&amp;gt;CONDIES CLIMTICAS: TEMPO BOM&amp;gt;&amp;gt;&amp;gt;IMPEDIMENTOS ACUMULADOSLIBERAO PT/PTT: 0:43 = 0,09dCONDIES CLIMTICAS: 2:30 = 0,32dPETROBRAS: 0:00 = 0dOUTROS: 0:00 = 0dAPJ: 0:00 = 0d"</t>
  </si>
  <si>
    <t>RO-333/2025</t>
  </si>
  <si>
    <t>Equipe est executando a instalao e sinalizao de Piso Ttil na escada da Reta da Penha, solicitado ao encarregado da frente de servio que durante a execuo da atividade verifique sempre o correto alinhamento e fixao das peas no piso.Atividade transcorre de maneira efetiva e com bom rendimento.</t>
  </si>
  <si>
    <t>"RO DIRIO E OBRA - SS-19/2025 (SINALIZAO ESC)&amp;gt;INSTALAO DE PISO TTIL - ESCADA DA RETA DA PENHA - MOD:4 |PT: (20884918 |HR SOLIC 08:15 | HR LIB 08:52 |ATRASO 00:07|) - (HR ENC 16:30 | ATRASO 00:00)&amp;gt;&amp;gt;CONDIES CLIMTICAS: TEMPO BOM&amp;gt;&amp;gt;&amp;gt;IMPEDIMENTOS ACUMULADOSLIBERAO PT/PTT: 5:51 = 0,74dCONDIES CLIMTICAS: 0:00 = 0dPETROBRAS: 0:00 = 0dOUTROS: 0:00 = 0dAPJ: 0:00 = 0d"</t>
  </si>
  <si>
    <t>RO-332/2025</t>
  </si>
  <si>
    <t>RO DIRIO E OBRA - SS-19/2025 (SINALIZAO ESC)SEM EXPEDIENTE - DOMINGO</t>
  </si>
  <si>
    <t>RO-331/2025</t>
  </si>
  <si>
    <t>RO DIRIO E OBRA - SS-16/2025 (ACSTICO)SEM EXPEDIENTE - DOMINGO</t>
  </si>
  <si>
    <t>RO-329/2025</t>
  </si>
  <si>
    <t>"RO DIRIO E OBRA - SS-19/2025 (SINALIZAO ESC)&amp;gt;INSTALAO DE PISO TTIL NA ESCADA DA RETA DA PENHA - MOD:4 |PT: (20884918 |HR SOLIC 07:36 | HR LIB 08:02 |ATRASO 00:00|) - (HR ENC 16:30 | ATRASO 00:00)&amp;gt;&amp;gt;CONDIES CLIMTICAS: TEMPO BOM&amp;gt;&amp;gt;&amp;gt;IMPEDIMENTOS ACUMULADOSLIBERAO PT/PTT: 5:44 = 0,72dCONDIES CLIMTICAS: 0:00 = 0dPETROBRAS: 0:00 = 0dOUTROS: 0:00 = 0dAPJ: 0:00 = 0d"</t>
  </si>
  <si>
    <t>RO-328/2025</t>
  </si>
  <si>
    <t>Equipe da Torres Brasil, subcontratada da APJ est atuando na operao da manuteno das torres de resfriamento, Atividades: retirada dos atenuadores , Tubos, perfis metlicos degradados e eliminadores de gota, MANUTENO DAS TORRES DE RESFRIAMENTO A E B.</t>
  </si>
  <si>
    <t>"RO DIRIO E OBRA - SS-15/2025 (TORRE RESFR)&amp;gt;MANUTENO DAS TORRES DE RESFRIAMENTO - MOD:2 |PT: (21012944 |HR SOLIC 07:19 | HR LIB 07:49 |ATRASO 00:00|) - (HR ENC 16:30 | ATRASO 00:00)&amp;gt;&amp;gt;CONDIES CLIMTICAS: TEMPO BOM&amp;gt;&amp;gt;&amp;gt;IMPEDIMENTOS ACUMULADOSLIBERAO PT/PTT: 0:33 = 0,07dCONDIES CLIMTICAS: 2:30 = 0,32dPETROBRAS: 0:00 = 0dOUTROS: 0:00 = 0dAPJ: 0:00 = 0d"</t>
  </si>
  <si>
    <t>RO-327/2025</t>
  </si>
  <si>
    <t>Equipe da APJ est atuando na instalao dos novos perfis que se encontravam deteriorados na parte inferior das paredes das torres de resfriamento,est sendo efetuado a troca dos isolamentos acsticos e das telas de proteo em paralelo.</t>
  </si>
  <si>
    <t>"RO DIRIO E OBRA - SS-16/2025 (ACSTICO)&amp;gt;ISOLAMENTO ACSTICO - MOD:6 |PT: (21013013 |HR SOLIC 08:40 | HR LIB 09:11 |ATRASO 00:01|) - (HR ENC 16:30 | ATRASO 00:00)&amp;gt;&amp;gt;CONDIES CLIMTICAS: TEMPO BOM&amp;gt;&amp;gt;&amp;gt;IMPEDIMENTOS ACUMULADOSLIBERAO PT/PTT: 22:29 = 2,82dCONDIES CLIMTICAS: 2:30 = 0,32dPETROBRAS: 1:30 = 0,19dOUTROS: 0:00 = 0dAPJ: 0:00 = 0d"</t>
  </si>
  <si>
    <t>RO-326/2025</t>
  </si>
  <si>
    <t>RO DIRIO E OBRA - SS-16/2025 (ACSTICO)&amp;gt;ISOLAMENTO ACSTICO - MOD:6PT: (21007416 |HR SOLIC 07:09 | HR LIB 07:55 |ATRASO 00:16|) - (HR ENC 16:30 | ATRASO 00:00)&amp;gt;&amp;gt;CONDIES CLIMTICAS: TEMPO BOM&amp;gt;&amp;gt;&amp;gt;IMPEDIMENTOS ACUMULADOSLIBERAO PT/PTT: 22:28 = 2,81dCONDIES CLIMTICAS: 2:30 = 0,32dPETROBRAS: 1:30 = 0,19dOUTROS: 0:00 = 0dAPJ: 0:00 = 0d</t>
  </si>
  <si>
    <t>RO-325/2025</t>
  </si>
  <si>
    <t>Equipe da Torres Brasil, subcontratada da APJ est atuando na operao da manuteno das torres de resfriamento, Atividades: retirada dos atenuadores , TUBOS E ELIMINADOR DE GOTAS, MANUTENO DAS TORRES DE RESFRIAMENTO A E B.</t>
  </si>
  <si>
    <t>RO DIRIO E OBRA - SS-15/2025 (TORRE RESFR)&amp;gt;MANUTENO DAS TORRES DE RESFRIAMENTO - MOD:3 |PT: (21007400 |HR SOLIC 07:05 | HR LIB 07:58 |ATRASO 00:23|) - (HR ENC 16:30 | ATRASO 00:00)&amp;gt;&amp;gt;CONDIES CLIMTICAS: TEMPO BOM&amp;gt;&amp;gt;&amp;gt;IMPEDIMENTOS ACUMULADOSLIBERAO PT/PTT: 0:33 = 0,07dCONDIES CLIMTICAS: 2:30 = 0,32dPETROBRAS: 0:00 = 0dOUTROS: 0:00 = 0dAPJ: 0:00 = 0d</t>
  </si>
  <si>
    <t>RO-324/2025</t>
  </si>
  <si>
    <t>Equipe est no aguardo da chegada do restante do material de sinalizao das escadas, para continuao dos servios da demanda, solicitado ao preposto Rubens que cobre novamente ao setor de suprimentos a chegada do material, o material que estava retido na transportadora chegou neste dia 05/12/25 por volta das 16:00 horas.Demanda ser retomada imediatamente no dia seguinte dia 06/12/25.</t>
  </si>
  <si>
    <t>"RO DIRIO E OBRA - SS-19/2025 (SINALIZAO ESC)&amp;gt;NO HOUVE ATIVIDADE NESTE DIA - MOD: |PT: ( |HR SOLIC 00:00 | HR LIB 00:00 |ATRASO |) - (HR ENC 00:00 | ATRASO )&amp;gt;&amp;gt;CONDIES CLIMTICAS: TEMPO BOM&amp;gt;&amp;gt;MATERIAL QUE ESTAVA RETIDO NA TRANSPORTADORA CHEGOU 05/12/25 S 16H (00:00 - 00:00)&amp;gt;&amp;gt;&amp;gt;IMPEDIMENTOS ACUMULADOSLIBERAO PT/PTT: 5:44 = 0,72dCONDIES CLIMTICAS: 0:00 = 0dPETROBRAS: 0:00 = 0dOUTROS: 0:00 = 0dAPJ: 0:00 = 0d"</t>
  </si>
  <si>
    <t>RO-323/2025</t>
  </si>
  <si>
    <t>Equipe da Torres Brasil, subcontratada da APJ est atuando na operao daMANUTENO DAS TORRES DE RESFRIAMENTO, ATIVIDADES: RETIRADA DE ATENUADORES, TUBOS E ELIMINADOR DE GOTAS, MANUTENO DAS TORRES DE RESFRIAMENTO A E B.</t>
  </si>
  <si>
    <t>"RO DIRIO E OBRA - SS-15/2025 (TORRE RESFR)&amp;gt;MANUTENO DAS TORRES DE RESFRIAMENTO - MOD:3 |PT: (21003180 |HR SOLIC 09:13 | HR LIB 09:20 |ATRASO 00:00|) - (HR ENC 16:30 | ATRASO 00:00)&amp;gt;&amp;gt;CONDIES CLIMTICAS: TEMPO BOM&amp;gt;&amp;gt;&amp;gt;IMPEDIMENTOS ACUMULADOSLIBERAO PT/PTT: 0:10 = 0,03dCONDIES CLIMTICAS: 2:30 = 0,32dPETROBRAS: 0:00 = 0dOUTROS: 0:00 = 0dAPJ: 0:00 = 0d"</t>
  </si>
  <si>
    <t>04/12/2025</t>
  </si>
  <si>
    <t>RO-322/2025</t>
  </si>
  <si>
    <t>Equipe est no aguardo da chegada do restante do material de sinalizao das escadas, para continuao dos servios da demanda, solicitado ao preposto Rubens que cobre novamente ao setor de suprimentos a chegada do material.</t>
  </si>
  <si>
    <t>"RO DIRIO E OBRA - SS-19/2025 (SINALIZAO ESC)&amp;gt;NO HOUVE ATIVIDADE NESTE DIA - MOD: |PT: ( |HR SOLIC 00:00 | HR LIB 00:00 |ATRASO |) - (HR ENC 00:00 | ATRASO )&amp;gt;&amp;gt;CONDIES CLIMTICAS: TEMPO BOM&amp;gt;&amp;gt;&amp;gt;IMPEDIMENTOS ACUMULADOSLIBERAO PT/PTT: 5:44 = 0,72dCONDIES CLIMTICAS: 0:00 = 0dPETROBRAS: 0:00 = 0dOUTROS: 0:00 = 0dAPJ: 0:00 = 0d"</t>
  </si>
  <si>
    <t>RO-321/2025</t>
  </si>
  <si>
    <t>"RO DIRIO E OBRA - SS-16/2025 (ACSTICO)&amp;gt;ISOLAMENTO ACSTICO - MOD:7 |PT: (21001751 |HR SOLIC 07:40 | HR LIB 08:12 |ATRASO 00:02|) - (HR ENC 16:30 | ATRASO 00:00)&amp;gt;&amp;gt;CONDIES CLIMTICAS: TEMPO BOM&amp;gt;&amp;gt;&amp;gt;IMPEDIMENTOS ACUMULADOSLIBERAO PT/PTT: 22:12 = 2,78dCONDIES CLIMTICAS: 2:30 = 0,32dPETROBRAS: 1:30 = 0,19dOUTROS: 0:00 = 0dAPJ: 0:00 = 0d"</t>
  </si>
  <si>
    <t>RO-320/2025</t>
  </si>
  <si>
    <t>381A -SIGEA UTGC APJ - NOV-25.xlsx; 381A-SIGEA EDIVIT APJ -NOV - 25.xlsx</t>
  </si>
  <si>
    <t>Envio do doc. CDIGO 381 A -SIGEA NOV 2025 EDIVIT e UTGC para anlise.</t>
  </si>
  <si>
    <t>RO-319/2025</t>
  </si>
  <si>
    <t>376- RMS NOV 2025 EDIVIT.pdf; 376-RMS UTGC NOV 2025.pdf; 358-Evidências Audicomp -Nov-25.pdf; 910-Evidência DDS -Nov -APJ.pdf; 359-PLANILHA DE RELATOS DO AMIGO DO PEITO -.xlsx; 360-EVIDÊNCIA VCP-NOVEMBRO-APJ-25.pdf; ANEXO 005- _Inventário Produdos Quimicos - APJ.xls; VCP NOVEMBRO Reporte.pdf; Integração 17.11.2025 DE OBRAS.pdf; INTEGRAÇÃO DE OBRA 25.11.2025.pdf; ASO ADMISSIONAL - DOUGLIAN TIMBUIBA.pdf; ASO ADMISSIONAL - ELTON SOUZA.pdf; ASO ADMISSIONAL - LENADRO SILVA.pdf; ASO ADMISSIONAL - PABLO COSME.pdf; ASO ADMISSIONAL - WERMERSON OLIVEIRA.pdf; 360-EVIDÊNCIA VCP-NOVEMBRO-APJ-25.pdf; 910-Evidência DDS -Nov -APJ.pdf; Evidências Ronda diária Nov.pdf</t>
  </si>
  <si>
    <t>Envio do doc. CDIGO 376-RMS - Relatrio Mensal de SMS NOV 2025 (conforme modelo Petrobras) EDIVIT/UTGC para anlise.</t>
  </si>
  <si>
    <t>RO-318/2025</t>
  </si>
  <si>
    <t>Os somatrios desde incio at o prazo final da SS dos acmulos de hora parada e meteorolgicas no final da SS a Petrobras ir analisar se e cabvel o abono revertido em acrscimo de dias no prazo de entrega da demanda.01. UPGN-2:A PTs programadas para a atuao da equipe de pintura e caldeiraria.Equipe de caldeiraria na execuo da montagem de estrutura em solo;Equipe de pintura na execuo de pintura dos pilares de concreto;02. SECGN:PT programada para atividade de caldeiraria para fechamento dos perfis dos fundos;PT programada para equipe de eltrica na realizao da infra de estruturas eltricas.03. K-14:PT programada para equipe de caldeiraria realizar a montagem de estrutura metlica do galpo, tirantes, cantoneiras.PT programada para equipe de andaime realizando montagem.04. K-15:PT programada para equipe de caldeiraria, para realizar a solda do suporte das calhas.05. UPGN-3:Foram programadas as PTT's de caldeiraria convencional e pintura.A equipe de caldeiraria atuou na instalao e adequao de rufos de acabamento na fachada frontal. A equipe de pintura no tratamento e pintura da passarela.PT programada para equipe de eltrica na realizao da adequao do SPDA.06. UPCGN-1:PT programada para remoo de eletrodutos na parte superior do galpo.07. Estoque de Materiais:PT liberada para realizao de OLA no local.Atrasos na liberao das PTs devido a assembleia do sindicato com os operadores, atrasando o incio das atividades RO aceito pela fiscalizao.</t>
  </si>
  <si>
    <t>RO DIRIO E OBRA - SS-04/2025 (UPGN-2)  &amp;gt;TRATAMENTO E PINTURA DAS ESTRUTURAS DE CONCRETO - MOD:2 | PT: (20998079 |HR SOLIC 09:00 | HR LIB 09:02 |ATRASO 00:00|) - (HR ENC 16:30 | ATRASO 00:00)  &amp;gt;ADEQUAO E MONTAGEM DE PERFIS E TIRANTES DO GALPO - MOD:3 | PEMT:1 | PT: (20998109 |HR SOLIC 08:00 | HR LIB 09:10 |ATRASO 00:40|) - (HR ENC 16:30 | ATRASO 00:00)  &amp;gt;&amp;gt;CONDIES CLIMTICAS: TEMPO BOM  &amp;gt;&amp;gt;&amp;gt;IMPEDIMENTOS ACUMULADOS LIBERAO PT/PTT: 1:20 = 0,16d CONDIES CLIMTICAS: 4:20 = 0,55d PETROBRAS: 0:00 = 0d OUTROS: 20:00 = 2,5d APJ: 0:00 = 0d  RO DIRIO E OBRA - SS-05/2025 (SECGN)  &amp;gt;MONTAGEM DE ESTRUTURA METALICA NO GALPO - MOD:10 | PEMT:1 | PT: (20998291 |HR SOLIC 08:00 | HR LIB 09:40 |ATRASO 01:10|) - (HR ENC 16:30 | ATRASO 00:00)  &amp;gt;MONTAGEM DE INFRA ESTRUTURA ELETRICA E SPDA - MOD:3 | PEMT:1 | PT: (20998262 |HR SOLIC 08:00 | HR LIB 09:10 |ATRASO 00:40|) - (HR ENC 16:30 | ATRASO 00:00)  &amp;gt;&amp;gt;CONDIES CLIMTICAS: TEMPO BOM  &amp;gt;&amp;gt;&amp;gt;IMPEDIMENTOS ACUMULADOS LIBERAO PT/PTT: 14:59 = 1,88d CONDIES CLIMTICAS: 48:10 = 6,03d PETROBRAS: 6:30 = 0,82d OUTROS: 28:00 = 3,5d APJ: 0:00 = 0d   RO DIRIO E OBRA - SS-06/2025 (K-14)  &amp;gt;MONTAGEM DE ESTRUTURA METALICA DO GALPO - MOD:5 | PEMT:1 | PT: (20998457 |HR SOLIC 08:10 | HR LIB 09:42 |ATRASO 01:02|) - (HR ENC 16:30 | ATRASO 00:00)  &amp;gt;MONTAGEM DE ANDAIME - MOD:4 | PT: (20998422 |HR SOLIC 09:30 | HR LIB 09:37 |ATRASO 00:00|) - (HR ENC 16:30 | ATRASO 00:00)  &amp;gt;&amp;gt;CONDIES CLIMTICAS: TEMPO BOM  &amp;gt;&amp;gt;&amp;gt;IMPEDIMENTOS ACUMULADOS LIBERAO PT/PTT: 8:31 = 1,07d CONDIES CLIMTICAS: 12:20 = 1,55d PETROBRAS: 0:00 = 0d OUTROS: 28:00 = 3,5d APJ: 0:00 = 0d   RO DIRIO E OBRA - SS-07/2025 (K-15)  &amp;gt;ADEQUAO E MONTAGEM DE ESTRUTURA METALICA DO GALPO - MOD:4 | PEMT:1 | MUNCK:1 | PT: (20998498 |HR SOLIC 08:00 | HR LIB 09:06 |ATRASO 00:36|) - (HR ENC 16:30 | ATRASO 00:00)  &amp;gt;&amp;gt;CONDIES CLIMTICAS: TEMPO BOM  &amp;gt;&amp;gt;&amp;gt;IMPEDIMENTOS ACUMULADOS LIBERAO PT/PTT: 14:06 = 1,77d CONDIES CLIMTICAS: 26:10 = 3,28d PETROBRAS: 0:00 = 0d OUTROS: 28:00 = 3,5d APJ: 0:00 = 0d   RO DIRIO E OBRA - SS-09/2025 (UPGN-3)  &amp;gt;REALIZANDO INSTALAO DE RUFOS - MOD:4 | PEMT:1 | PT: (20999554 |HR SOLIC 08:20 | HR LIB 09:10 |ATRASO 00:20|) - (HR ENC 16:30 | ATRASO 00:00)  &amp;gt;PINTURA DAS PASSARELAS DA PONTE ROLANTE - MOD:2 | PT: (20867484 |HR SOLIC 08:00 | HR LIB 08:00 |ATRASO 00:00|) - (HR ENC 16:30 | ATRASO 00:00)  &amp;gt;DEMOLIO E CONCRETAGEM DE PISO PARA ADEQUAO DE SPDA - MOD:5 | PT: (21001865 |HR SOLIC 07:45 | HR LIB 07:51 |ATRASO 00:00|) - (HR ENC 16:30 | ATRASO 00:00)  &amp;gt;&amp;gt;CONDIES CLIMTICAS: TEMPO BOM  &amp;gt;&amp;gt;&amp;gt;IMPEDIMENTOS ACUMULADOS LIBERAO PT/PTT: 20:39 = 2,59d CONDIES CLIMTICAS: 47:50 = 5,98d PETROBRAS: 0:00 = 0d OUTROS: 28:00 = 3,5d APJ: 0:00 = 0d  RO DIRIO E OBRA - SS-11/2025 (UPCGN-1)  &amp;gt;REMOO DE ELETRODUTOS NA PARTE SUPERIOR DO GALPO - MOD:2 | PEMT:1 | PT: (20998628 |HR SOLIC 08:00 | HR LIB 09:20 |ATRASO 00:50|) - (HR ENC 16:30 | ATRASO 00:00)  &amp;gt;&amp;gt;CONDIES CLIMTICAS: TEMPO BOM  &amp;gt;&amp;gt;&amp;gt;IMPEDIMENTOS ACUMULADOS LIBERAO PT/PTT: 9:44 = 1,22d CONDIES CLIMTICAS: 69:59 = 8,75d PETROBRAS: 0:30 = 0,07d OUTROS: 28:00 = 3,5d APJ: 0:00 = 0d  RO DIRIO E OBRA - SS-12/2025 (ESTOQUE)  &amp;gt;LIMPEZA, ORGANIZAO E DESCARTE DE MATERIAL - MOD:2 | PT: (21000864 |HR SOLIC 08:07 | HR LIB 08:11 |ATRASO 00:00|) - (HR ENC 16:30 | ATRASO 00:00)  &amp;gt;&amp;gt;CONDIES CLIMTICAS: TEMPO BOM  &amp;gt;&amp;gt;&amp;gt;IMPEDIMENTOS ACUMULADOS LIBERAO PT/PTT: 0:00 = 0d CONDIES CLIMTICAS: 0:00 = 0d PETROBRAS: 0:00 = 0d OUTROS: 0:00 = 0d APJ: 0:00 = 0d</t>
  </si>
  <si>
    <t>RO-317/2025</t>
  </si>
  <si>
    <t>Os somatrios desde incio at o prazo final da SS dos acmulos de hora parada e meteorolgicas no final da SS a Petrobras ir analisar se e cabvel o abono revertido em acrscimo de dias no prazo de entrega da demanda. 01. UPGN-2: A PTs estavam programadas para a atuao da equipe de pintura e caldeiraria, contudo com impacto das chuvas, a prioridade foi direcionada para o descarregamento de materiais. 02. SECGN: PT programada para atividade de caldeiraria para adequao dos suportes das calhas e instalao de perfis. PT programada para equipe de eltrica na realizao da infra de estruturas eltricas.Houveram impactos devido as chuvas que ocorreram na parte da manh. 03. K-14: PT programada para equipe de caldeiraria realizar a montagem de estrutura metlica do galpo. PT programada para equipe de andaime realizando montagem. PT programada para equipe de civil, para realizao de pintura dos pilares, mas houve necessidade de deslocamento da equipa para outra frente de servio.Houveram impactos devido as chuvas que ocorreram na parte da manh. 04. K-15: PT programada para equipe de caldeiraria, para realizar a solda do suporte das calhas, com utilizao de PEMT.Houveram impactos devido as chuvas que ocorreram na parte da manh. 05. UPGN-3: Foram programadas as PTT's de caldeiraria convencional e pintura. A equipe de caldeiraria atuou na instalao e adequao de rufos de acabamento na fachada frontal. A equipe de pintura no tratamento e pintura da passarela. PT programada para equipe de eltrica na realizao da adequao do SPDA.Houveram impactos devido as chuvas que ocorreram na parte da manh. 06. UPCGN-1: PT programada para remoo de eletrodutos na parte superior do galpo.Houveram impactos devido as chuvas que ocorreram na parte da manh. 07. Estoque de Materiais: PT liberada para realizao de OLA no local.Houveram impactos devido as chuvas que ocorreram na parte da manh. RO aceito pela fiscalizao.</t>
  </si>
  <si>
    <t>RO DIRIO E OBRA - SS-04/2025 (UPGN-2)  &amp;gt;ADEQUAOE MONTAGEM DE PERFIS E TIRANTES DO GALPO - MOD:4 | PEMT:1 | PT: (20992481 |HR SOLIC 12:35 | HR LIB 12:56 |ATRASO 00:00|) - (HR ENC 16:30 | ATRASO 00:00)  &amp;gt;TRATAMENTO E PINTURA DAS ESTRUTURAS DE CONCRETO - MOD:2 | PT: (20212253  |HR SOLIC 13:00 | HR LIB 13:10 |ATRASO 00:00|) - (HR ENC 16:30 | ATRASO 00:00)  &amp;gt;&amp;gt;CONDIES CLIMTICAS: TEMPO COM ANOMALIA &amp;gt;&amp;gt;INCIDNCIA DE CHUVA (08:00 - 12:20)  &amp;gt;&amp;gt;&amp;gt;IMPEDIMENTOS ACUMULADOS LIBERAO PT/PTT: 0:40 = 0,3d CONDIES CLIMTICAS: 4:20 = 0,55d PETROBRAS: 0:00 = 0d OUTROS: 20:00 = 2,5d APJ: 0:00 = 0d RO DIRIO E OBRA - SS-05/2025 (SECGN)  &amp;gt;MONTAGEM DE ESTRUTURA METALICA NO GALPO - MOD:10 | PEMT:1 | PT: (20992795 |HR SOLIC 12:40 | HR LIB 12:50 |ATRASO 00:00|) - (HR ENC 16:30 | ATRASO 00:00)  &amp;gt;MONTAGEM DE INFRA ESTRUTURA ELETRICA E SPDA - MOD:3 | PEMT:1 | PT: (20992765 |HR SOLIC 12:35 | HR LIB 12:50 |ATRASO 00:00|) - (HR ENC 16:30 | ATRASO 00:00)  &amp;gt;&amp;gt;CONDIES CLIMTICAS: TEMPO COM ANOMALIA &amp;gt;&amp;gt;INCIDNCIA DE CHUVA (08:00 - 12:20)  &amp;gt;&amp;gt;&amp;gt;IMPEDIMENTOS ACUMULADOS LIBERAO PT/PTT: 13:09 = 1,65d CONDIES CLIMTICAS: 48:10 = 6,03d PETROBRAS: 5:30 = 0,82d OUTROS: 28:00 = 3,5d APJ: 0:00 = 0d RO DIRIO E OBRA - SS-06/2025 (K-14)  &amp;gt;MONTAGEM DE ESTRUTURA METALICA DO GALPO - MOD:5 | PEMT:1 | MUNCK:1 | PT: (20992814 |HR SOLIC 12:50 | HR LIB 13:00 |ATRASO 00:00|) - (HR ENC 16:30 | ATRASO 00:00)  &amp;gt;MONTAGEM DE ANDAIME - MOD:4 | PT: (20992810 |HR SOLIC 13:00 | HR LIB 13:26 |ATRASO 00:00|) - (HR ENC 16:30 | ATRASO 00:00)  &amp;gt;REPARO DE PINTURA NAS ESTRUTURAS METALICAS - MOD:1 | PT: (20992829 |HR SOLIC 14:26 | HR LIB 14:32 |ATRASO 00:00|) - (HR ENC 16:30 | ATRASO 00:00)  &amp;gt;&amp;gt;CONDIES CLIMTICAS: TEMPO COM ANOMALIA &amp;gt;&amp;gt;INCIDNCIA DE CHUVA (08:00 - 12:20)  &amp;gt;&amp;gt;&amp;gt;IMPEDIMENTOS ACUMULADOS LIBERAO PT/PTT: 6:54 = 0,94d CONDIES CLIMTICAS: 12:20 = 1,55d PETROBRAS: 0:00 = 0d OUTROS: 28:00 = 3,5d APJ: 0:00 = 0d RO DIRIO E OBRA - SS-07/2025 (K-15)  &amp;gt;ADEQUAO E MONTAGEM DE ESTRUTURA METALICA DO GALPO - MOD:4 | PEMT:1 | PT: (20992847 |HR SOLIC 12:10 | HR LIB 12:35 |ATRASO 00:00|) - (HR ENC 16:30 | ATRASO 00:00)  &amp;gt;&amp;gt;CONDIES CLIMTICAS: TEMPO COM ANOMALIA &amp;gt;&amp;gt;INCIDNCIA DE CHUVA (08:00 - 12:20)  &amp;gt;&amp;gt;&amp;gt;IMPEDIMENTOS ACUMULADOS LIBERAO PT/PTT: 13:30 = 1,69d CONDIES CLIMTICAS: 26:10 = 3,28d PETROBRAS: 0:00 = 0d OUTROS: 28:00 = 3,5d APJ: 0:00 = 0d____________________________________________________________________ RO DIRIO E OBRA - SS-09/2025 (UPGN-3)  &amp;gt;REALIZANDO INSTALAO DE RUFOS - MOD:4 | PEMT:1 | PT: (20867402 |HR SOLIC 12:20 | HR LIB 12:30 |ATRASO 00:00|) - (HR ENC 16:30 | ATRASO 00:00)  &amp;gt;PINTURA DAS PASSARELAS DA PONTE ROLANTE - MOD:2 | PT: (20867484 |HR SOLIC 08:00 | HR LIB 08:30 |ATRASO 00:00|) - (HR ENC 16:30 | ATRASO 00:00)  &amp;gt;DEMOLIO DE PISO PARA ADEQUAO DE SPDA - MOD:4 | PT: (20990762 |HR SOLIC 12:25 | HR LIB 13:00 |ATRASO 00:05|) - (HR ENC 16:30 | ATRASO 00:00)  &amp;gt;&amp;gt;CONDIES CLIMTICAS: TEMPO COM ANOMALIA &amp;gt;&amp;gt;INCIDNCIA DE CHUVA (08:00 - 12:20)  &amp;gt;&amp;gt;&amp;gt;IMPEDIMENTOS ACUMULADOS LIBERAO PT/PTT: 20:19 = 2,54d CONDIES CLIMTICAS: 47:50 = 5,98d PETROBRAS: 0:00 = 0d OUTROS: 28:00 = 3,5d APJ: 0:00 = 0d RO DIRIO E OBRA - SS-11/2025 (UPCGN-1)  &amp;gt;REMOO DE ELETRODUTOS NA PARTE SUPERIOR DO GALPO - MOD:2 | PT: (20992865 |HR SOLIC 12:48 | HR LIB 13:05 |ATRASO 00:00|) - (HR ENC 16:30 | ATRASO 00:00)  &amp;gt;&amp;gt;CONDIES CLIMTICAS: TEMPO COM ANOMALIA &amp;gt;&amp;gt;INCIDNCIA DE CHUVA (08:00 - 12:20)  &amp;gt;&amp;gt;&amp;gt;IMPEDIMENTOS ACUMULADOS LIBERAO PT/PTT: 8:54 = 1,12d CONDIES CLIMTICAS: 69:59 = 8,75d PETROBRAS: 0:30 = 0,07d OUTROS: 28:00 = 3,5d APJ: 0:00 = 0d  RO DIRIO E OBRA - SS-12/2025 (ESTOQUE)  &amp;gt;LIMPEZA, ARRUMAO E ORGANIZAO DA AREA - MOD:2 | PT: (20999617 |HR SOLIC 14:31 | HR LIB 14:40 |ATRASO 00:00|) - (HR ENC 16:30 | ATRASO 00:00)  &amp;gt;&amp;gt;CONDIES CLIMTICAS: TEMPO BOM  &amp;gt;&amp;gt;&amp;gt;IMPEDIMENTOS ACUMULADOS LIBERAO PT/PTT: 0:00 = 0d CONDIES CLIMTICAS: 0:00 = 0d PETROBRAS: 0:00 = 0d OUTROS: 0:00 = 0d APJ: 0:00 = 0d</t>
  </si>
  <si>
    <t>03/12/2025</t>
  </si>
  <si>
    <t>RO-316/2025</t>
  </si>
  <si>
    <t>381- REM_ Nov 2025 APJ EDIVIT UTGC.xlsx</t>
  </si>
  <si>
    <t>Envio doc. CDIGO 381-REM e REMe - Relatrio Estatstico Mensal (conforme modelo Petrobras), os dados HHER foram lanados EDIVIT e UTGC para anlise, ms de correspondncia novembro 2025.</t>
  </si>
  <si>
    <t>RO-315/2025</t>
  </si>
  <si>
    <t>FDS  CIMENTCOLA QUARTZOLIT.pdf; FDS ALCOOL 70.pdf; FDS ELETROUDO.pdf; FDS - TINTA - Cromathane 267 Acab.pdf; MASSA DE POLIR Nº1.pdf; FDS detergente limpol.pdf; FDS CHUMBADOR QUIMICO.pdf; FDS_Adesivo plástico PVC.indd.pdf; FISPQ resinas.pdf</t>
  </si>
  <si>
    <t>Envio doc. CDIGO -372 FDS - Ficha Dados de Segurana dos produtos adquiridos em uso.</t>
  </si>
  <si>
    <t>RO-314/2025</t>
  </si>
  <si>
    <t>CARLOS EDUARDO BRAGA DA COSTA.zip; GABRIEL DAS NEVES GOMES.zip; CRISPIM OLIVEIRA DOS SANTOS.zip</t>
  </si>
  <si>
    <t>Prezados,Segue anexo documentao dos funcionrios:Carlos Eduardo BragaCrispim OliveiraGabriel das Neves</t>
  </si>
  <si>
    <t>RO-313/2025</t>
  </si>
  <si>
    <t>RO DIRIO E OBRA - SS-16/2025 (ISOLAMENTO ACSTICO)&amp;gt;ISOLAMENTO ACSTICO - MOD:7 |PT: (20995994 |HR SOLIC 07:21 | HR LIB 07:59 |ATRASO 00:08|) - (HR ENC 16:30 | ATRASO 00:00)&amp;gt;&amp;gt;CONDIES CLIMTICAS: TEMPO COM ANOMALIA&amp;gt;&amp;gt;INCIDNCIA DE CHUVA (07:30 - 10:00)&amp;gt;&amp;gt;&amp;gt;IMPEDIMENTOS ACUMULADOSLIBERAO PT/PTT: 22:10 = 2,78dCONDIES CLIMTICAS: 2:30 = 0,32dPETROBRAS: 1:30 = 0,19dOUTROS: 0:00 = 0dAPJ: 0:00 = 0d</t>
  </si>
  <si>
    <t>RO-312/2025</t>
  </si>
  <si>
    <t>"RO DIRIO E OBRA - SS-19/2025 (SINALIZAO ESC)&amp;gt;NO HOUVE ATIVIDADE NESTE DIA - MOD: |PT: ( |HR SOLIC 00:00 | HR LIB 00:00 |ATRASO |) - (HR ENC 00:00 | ATRASO )&amp;gt;&amp;gt;CONDIES CLIMTICAS: TEMPO BOM&amp;gt;&amp;gt;MATERIAL RETIDO NA TRANSPORTADORA (00:00 - 00:00)&amp;gt;&amp;gt;&amp;gt;IMPEDIMENTOS ACUMULADOSLIBERAO PT/PTT: 5:44 = 0,72dCONDIES CLIMTICAS: 0:00 = 0dPETROBRAS: 0:00 = 0dOUTROS: 0:00 = 0dAPJ: 0:00 = 0d"</t>
  </si>
  <si>
    <t>RO-311/2025</t>
  </si>
  <si>
    <t>RO DIRIO E OBRA - SS-15/2025 (TORRE DE RESFRIAMENTO)&amp;gt;MANUTENO DAS TORRES DE RESFRIAMENTO - MOD:3 |PT: (20995881 |HR SOLIC 07:15 | HR LIB 07:55 |ATRASO 00:10|) - (HR ENC 16:30 | ATRASO 00:00)&amp;gt;&amp;gt;CONDIES CLIMTICAS: TEMPO COM ANOMALIA&amp;gt;&amp;gt;INCIDNCIA DE CHUVA (07:30 - 10:00)&amp;gt;&amp;gt;&amp;gt;IMPEDIMENTOS ACUMULADOSLIBERAO PT/PTT: 0:10 = 0,03dCONDIES CLIMTICAS: 2:30 = 0,32dPETROBRAS: 0:00 = 0dOUTROS: 0:00 = 0dAPJ: 0:00 = 0d</t>
  </si>
  <si>
    <t>RO-310/2025</t>
  </si>
  <si>
    <t>Os somatrios desde incio at o prazo final da SS dos acmulos de hora parada e meteorolgicas no final da SS a Petrobras ir analisar se e cabvel o abono revertido em acrscimo de dias no prazo de entrega da demanda. 01. UPGN-2: PT programada para equipe atuar na montagem de perfis em solo, conferncia e aperto dos tirantes. 02. SECGN: PPT da atividade de caldeiraria para adequao dos suportes das calhas e instalao de perfis. PT programada para equipe de eltrica na realizao da infra de estruturas eltricas. PT programada para equipe de eltrica na realizao da adequao do SPDA. 03. K-14: PT programada para equipe de caldeiraria realizar a remoo de calhas para realizao de adequaes, bem como instalao de perfis laterais, com utilizao de PEMT. Equipe de andaime realizando montagem. PT programada para equipe de civil, para realizao de pintura dos pilares, mas houve necessidade de deslocamento da equipa para outra frente de servio. 04. K-15: PT programada para equipe de caldeiraria, para realizar a solda do suporte das calhas, com utilizao de PEMT. 05. UPGN-3: Foram programadas as PTT's de caldeiraria convencional e pintura. A equipe de caldeiraria atuou na instalao e adequao de rufos de acabamento na fachada frontal. A equipe de pintura no tratamento e pintura da passarela. PT programada para equipe de eltrica na realizao da adequao do SPDA. 06. K-04: Sem atividades.  RO aceito pela fiscalizao.</t>
  </si>
  <si>
    <t>RO DIRIO DE OBRA - SS-04/2025 (UPGN-2)  &amp;gt; ADEQUAO E MONTAGEM DE PERFIS - [MOD: 04 | PEMT: 01] PT:20985749(HR SOLIC 08:10 | HR LIB 08:37 | ATRASO 00:00) - (HR ENC 16:30 | ATRASO 00:00)  &amp;gt;&amp;gt; CONDIES CLIMTICAS: TEMPO BOM  &amp;gt;&amp;gt;&amp;gt; IMPEDIMENTOS ACUMULADOS LIBERAO PT/PTT: 00:40 = 0,08d CONDIES CLIMTICAS: 00:00 = 0,00d PETROBRAS: 00:00 = 0,00d OUTROS: 20:00 = 2,50d  RO DIRIO DE OBRA - SS-5/2025 (SECGN)  &amp;gt;MONTAGEM DE ESTRUTURA METALICA DO GALPO- [MOD: 10 | PEMT 01 ] PT:20867585(HR SOLIC 08:00 | HR LI 08:00 | ATRASO 00:00) - (HR ENC 16:30 | ATRASO 00:00)  &amp;gt; INSTALAO DE INFRA ESTRUTURAS ELETRICA - [MOD: 03 | PEMT: 01] PT:20985977 (HR SOLIC 08:10 | HR LIB 08:38 | ATRASO 00:00) - (HR ENC 16:30 | ATRASO 00:00)  &amp;gt;CONCRETAGEM DE CALADA DEMOLIDA PARA ADEQUAO DE SPDA - [MOD: 03 | PEMT: 00] PT: 20990706(HR SOLIC 08:12 | HR LIB 08:15 | ATRASO 00:00) - (HR ENC 16:30 | ATRASO 00:00)  &amp;gt;&amp;gt; CONDIES CLIMTICAS:: TEMPO BOM  &amp;gt;&amp;gt;&amp;gt; IMPEDIMENTOS ACUMULADOS LIBERAO PT/PTT: 12:20 = 1,51d CONDIES CLIMTICAS: 44:50 = 4,85d PETROBRAS: 05:30 = 0,81d OUTROS: 28:00 = 3,50d   RO DIRIO DE OBRA - SS-6/2025 (GALPO K-14)  &amp;gt; TRATAMENTO E PINTUTA DA ESTRUTURA DE CONCRETO - [MOD: 0| PEMT-01] PT:20986124(HR SOLIC 08:25 | HR LIB 08:30| ATRASO 00:00) - (HR ENC 16:30 | ATRASO 00:00  &amp;gt;MONTAGEM DE ANDAIME - [MOD: 04| PEMT-00] PT:20986057(HR SOLIC 08:25 | HR LIB 08:40| ATRASO 00:00) - (HR ENC 16:30 | ATRASO 00:00  &amp;gt;MONTAGEM DE ESTRUTURA METALICA DO GALPO- [MOD: 05 | PEMT 01 ] PT:20986180(HR SOLIC 08:10 | HR LI 08:40 | ATRASO 00:00) - (HR ENC 16:30 | ATRASO 00:00)  &amp;gt;&amp;gt; CONDIES CLIMTICAS::TEMPO BOM  &amp;gt;&amp;gt;&amp;gt; IMPEDIMENTOS ACUMULADOS LIBERAO PT/PTT: 06:54 = 0,83d CONDIES CLIMTICAS: 08:00 = 1,00d PETROBRAS: 00:00 = 0,00d OUTROS: 28:00 = 3,50d RO DIRIO DE OBRA - SS-7/2025 (GALPO K-15)  &amp;gt;RELIZANDO APERTOS, ADEQUAES E IAMENTO DAS ESTRUTURAS METALICAS [MOD: 04 | PEMT: 1][GUIN:00] PT:20986236(HR SOLIC 08:00 | HR LIB 08:55 | ATRASO 00:25) - (HR ENC 16:30 | ATRASO 00:00)  &amp;gt;&amp;gt; CONDIES CLIMTICAS:TEMPO BOM  &amp;gt;&amp;gt;&amp;gt; IMPEDIMENTOS ACUMULADOS LIBERAO PT/PTT: 13:33 = 1,54d CONDIES CLIMTICAS: 22:50 = 2,84d PETROBRAS: 00:00 = 0,00d OUTROS: 28:00 = 3,50d RO DIRIO DE OBRA - SS-9/2025 (UPGN-3)  &amp;gt; REALIZANDO INSTALAO DE RUFOS LATERAIS - [MOD: 04| PEMT-01] PT:20867402(HR SOLIC 08:00| HR LIB 08:00 | ATRASO 00:00) - (HR ENC 16:30 | ATRASO 00:00)  &amp;gt; DEMOLIO DE PISO PARA ADEQUAO DE SPDA - [MOD: 03| PEMT-00] PT:20990762(HR SOLIC 08:30| HR LIB 08:40 | ATRASO 00:00) - (HR ENC 16:30 | ATRASO 00:00)  &amp;gt;&amp;gt; CONDIES CLIMTICAS::TEMPO BOM  &amp;gt;&amp;gt;&amp;gt; IMPEDIMENTOS ACUMULADOS LIBERAO PT/PTT: 18:31= 2,86d CONDIES CLIMTICAS: 46:20 = 5,24d PETROBRAS: 00:00 = 0,00d OUTROS: 28:00 = 3,50d  RO DIRIO DE OBRA - SS-10/2025 (TELHADO K-04)  &amp;gt; MONTAGEM DE ANDAIME [MOD: 04 | PEMT: 0] [CMK:0] PT (HR SOLIC | HR LIB | ATRASO 00:00) - (HR ENC 16:30 | ATRASO 00:00)  SEM ATIVIDADES  &amp;gt;&amp;gt; CONDIES CLIMTICAS: TEMPO BOM  &amp;gt;&amp;gt;&amp;gt; IMPEDIMENTOS ACUMULADOS LIBERAO PT/PTT: 00:00 = 0,00d CONDIES CLIMTICAS: 00:00 = 0,00d PETROBRAS: 00:00 = 0,00d OUTROS: 00:00 = 0,00d</t>
  </si>
  <si>
    <t>02/12/2025</t>
  </si>
  <si>
    <t>RO-309/2025</t>
  </si>
  <si>
    <t>ELTON SOUZA LEITE.zip; 3 CTPS DIGITAL - PABLO COSME.zip</t>
  </si>
  <si>
    <t>Segue documentao dos funcionrios:ELTON LEITE DE SOUZAPABLO CORREIA COSME</t>
  </si>
  <si>
    <t>RO-308/2025</t>
  </si>
  <si>
    <t>Os somatrios desde incio at o prazo final da SS dos acmulos de hora parada e meteorolgicas no final da SS a Petrobras ir analisar se e cabvel o abono revertido em acrscimo de dias no prazo de entrega da demanda. 01. UPGN-2: PT programada para equipe atuar na montagem de perfis em solo. 02. SECGN: PPT da atividade de caldeiraria para adequao dos suportes das calhas e instalao de perfis. PT programada para equipe de eltrica na realizao da infra de estruturas eltricas.PT programada para equipe realizar adequaes no SPDA. 03. K-14: PT programada para execuo do servio de pintura conforme mencionado acima, realizando as atividades com utilizao de PEMT. PT programada para execuo da montagem deandaime. PT programada para realizao de montagem da estrutura metlica. 04. K-15: Programada a PT de montagem dos tirantes e execuo de apertos e iamento de perfis.PT programada para equipe de eltrica na remoo de luminrias. 05. UPGN-3: Foram programadas as PTT's de caldeiraria convencional. A equipe de caldeiraria atuou na instalao e adequao de rufos de acabamento na fachada frontal, instalao de venezianas conforme mencionado acima j fora finalizado. 06. UPCGN-1: PT programada para equipe de eltrica na realizao de adequaes eltricas. RO aceito pela fiscalizao.</t>
  </si>
  <si>
    <t>RO DIRIO DE OBRA - SS-04/2025 (UPGN-2)  &amp;gt; ADEQUAO E MONTAGEM DE PERFIS - [MOD: 03 | PEMT: 01] PT:20983220(HR SOLIC 08:30 | HR LIB 09:00 | ATRASO 00:00) - (HR ENC 16:30 | ATRASO 00:00)  &amp;gt;&amp;gt; CONDIES CLIMTICAS: TEMPO BOM  &amp;gt;&amp;gt;&amp;gt; IMPEDIMENTOS ACUMULADOS LIBERAO PT/PTT: 00:40 = 0,16d CONDIES CLIMTICAS: 00:00 = 0,00d PETROBRAS: 00:00 = 0,00d OUTROS: 20:00 = 2,50d  RO DIRIO DE OBRA - SS-5/2025 (SECGN)  &amp;gt;MONTAGEM DE ESTRUTURA METALICA DO GALPO- [MOD: 06 | PEMT 01 ] PT:20867585(HR SOLIC 08:00 | HR LI 00:00 | ATRASO 00:50) - (HR ENC 16:30 | ATRASO 00:00)  &amp;gt; INSTALAO DE INFRA ESTRUTURAS ELETRICA - [MOD: 03 | PEMT: 01] PT:20983145 (HR SOLIC 08:10 | HR LIB 08:50 | ATRASO 00:10) - (HR ENC 16:30 | ATRASO 00:00)  &amp;gt;DEMOLIO/CONCRETAGEM DE CALADA PARA ADEQUAO DE SPDA - [MOD: 03 | PEMT: 00] PT: 20982161(HR SOLIC 08:00 | HR LIB 08:05 | ATRASO 00:00) - (HR ENC 16:30 | ATRASO 00:00)  &amp;gt;&amp;gt; CONDIES CLIMTICAS:: TEMPO BOM  &amp;gt;&amp;gt;&amp;gt; IMPEDIMENTOS ACUMULADOS LIBERAO PT/PTT: 12:20 = 1,51d CONDIES CLIMTICAS: 44:50 = 4,85d PETROBRAS: 05:30 = 0,81d OUTROS: 28:00 = 3,50d  RO DIRIO DE OBRA - SS-6/2025 (GALPO K-14)  &amp;gt; TRATAMENTO E PINTUTA DA ESTRUTURA DE CONCRETO - [MOD: 03| PEMT-01] PT:209831270(HR SOLIC 09:00 | HR LIB 09:10| ATRASO 00:00) - (HR ENC 16:30 | ATRASO 00:00  &amp;gt;MONTAGEM DE ANDAIME - [MOD: 04| PEMT-01] PT:20983184(HR SOLIC 09:30 | HR LIB 09:30| ATRASO 00:00) - (HR ENC 16:30 | ATRASO 00:00  &amp;gt;MONTAGEM DE ESTRUTURA METALICA DO GALPO- [MOD: 05 | PEMT 01 ] PT:20983180(HR SOLIC 08:30 | HR LI 09:35 | ATRASO 00:35) - (HR ENC 16:30 | ATRASO 00:00)  &amp;gt;&amp;gt; CONDIES CLIMTICAS::TEMPO BOM  &amp;gt;&amp;gt;&amp;gt; IMPEDIMENTOS ACUMULADOS LIBERAO PT/PTT: 06:54 = 0,83d CONDIES CLIMTICAS: 08:00 = 1,00d PETROBRAS: 00:00 = 0,00d OUTROS: 28:00 = 3,50d  RO DIRIO DE OBRA - SS-7/2025 (GALPO K-15)  &amp;gt;RELIZANDO APERTOS, ADEQUAES E IAMENTO DAS ESTRUTURAS METALICAS [MOD: 04 | PEMT: 1][GUIN:00] PT:20983152(HR SOLIC 08:42 | HR LIB 09:00 | ATRASO 00:) - (HR ENC 16:30 | ATRASO 00:00)  &amp;gt;REMOO DE LUMINARIAS DO GALPO MOD: 04 | PEMT: 00][GUIN:00] PT:20978724(HR SOLIC 08:30 | HR LIB 10:00 | ATRASO 01:00 (HR ENC 16:30 | ATRASO 00:00)  &amp;gt;&amp;gt; CONDIES CLIMTICAS:TEMPO BOM  &amp;gt;&amp;gt;&amp;gt; IMPEDIMENTOS ACUMULADOS LIBERAO PT/PTT: 13:08 = 1,49d CONDIES CLIMTICAS: 22:50 = 2,84d PETROBRAS: 00:00 = 0,00d OUTROS: 28:00 = 3,50d  RO DIRIO DE OBRA - SS-9/2025 (UPGN-3)  &amp;gt; REALIZANDO INSTALAO DE VENEZIANAS LATERAIS - [MOD: 04| PEMT-01] PT:20867402(HR SOLIC 08:00| HR LIB 08:00 | ATRASO 00:00) - (HR ENC 16:30 | ATRASO 00:00)  &amp;gt;&amp;gt; CONDIES CLIMTICAS:TEMPO BOM  &amp;gt;&amp;gt;&amp;gt; IMPEDIMENTOS ACUMULADOS LIBERAO PT/PTT: 18:31= 2,86d CONDIES CLIMTICAS: 46:20 = 5,24d PETROBRAS: 00:00 = 0,00d OUTROS: 28:00 = 3,50d  RO DIRIO DE OBRA - SS-11/2025 (UPCGN-1)  &amp;gt;ATIVIDADE ELETRICA NO GALPO - [MOD: 02 | PEMT: 01] [CMK:0] PT20767840 (HR SOLIC 08:05 | HR LIB 08:20 | ATRASO 00:00) - (HR ENC 16:30 | ATRASO 00:00)   &amp;gt;&amp;gt; CONDIES CLIMTICAS: TEMPO BOM  &amp;gt;&amp;gt;&amp;gt; IMPEDIMENTOS ACUMULADOS LIBERAO PT/PTT: 07:26 = 0,83d CONDIES CLIMTICAS: 69:11 = 7,25d PETROBRAS: 00:00 = 0,00d OUTROS: 28:00 = 3,50d</t>
  </si>
  <si>
    <t>01/12/2025</t>
  </si>
  <si>
    <t>RO-307/2025</t>
  </si>
  <si>
    <t>Equipe da Torres Brasil, subcontratada da APJ est atuando na operao daMANUTENO DAS TORRES DE RESFRIAMENTO, ATIVIDADES: RETIRADA DE ATENUADORES, TUBOS E ELIMINADOR DE GOTAS, MANUTENO DAS TORRES DE RESFRIAMENTO A E B.Houve montagem de andaime para melhoria no acesso interno das torres de resfriamento.</t>
  </si>
  <si>
    <t>RO DIRIO DE OBRA - SS-15/2025 (MANUTENO DAS TORRES DE RESFRIAMENTO)&amp;gt;OPERAO DE RETIRADA DAS TUBULAES DEGRADADAS E DO ENCHIMENTO DE GRADE - [MOD: 3]PT: 20990002 (HR SOLIC 07:33 | HR LIB 07:59 | ATRASO 00:00) - (HR ENC 16:30 | ATRASO 00:00)&amp;gt;ADEQUAES DE ANDAIMES PARA AS TORRRES DE RESFRIAMENTO - [MOD: 2]PT: 20991497 (HR SOLIC 09:16 | HR LIB 09:40 | ATRASO 00:00) - (HR ENC 16:30 | ATRASO 00:00)&amp;gt;&amp;gt; CONDIES CLIMTICAS: TEMPO BOM&amp;gt;&amp;gt;&amp;gt; IMPEDIMENTOS ACUMULADOSLIBERAO PT/PTT: 00:00 = 0,00dCONDIES CLIMTICAS: 00:00 = 0,00dPETROBRAS: 00:00 = 0,00dOUTROS: 00:00 = 0,00d</t>
  </si>
  <si>
    <t>RO-306/2025</t>
  </si>
  <si>
    <t>RO DIRIO DE OBRA - SS-19/2025 (SINALIZAO DAS ESCADAS)SEM ATIVIDADE.</t>
  </si>
  <si>
    <t>RO-305/2025</t>
  </si>
  <si>
    <t>RO DIRIO DE OBRA - SS-16/2025 (ISOLAMENTO ACSTICO)&amp;gt;INSTALAO DE NOVOS PERFIS, NOVO ISOLAMENTO ACSTICO E TELA DE PROTEO - [MOD: 6]PT: 20989961 (HR SOLIC 07:53 | HR LIB 08:00 | ATRASO 00:00) - (HR ENC 16:30 | ATRASO 00:00)&amp;gt;&amp;gt; CONDIES CLIMTICAS: TEMPO BOM&amp;gt;&amp;gt;&amp;gt; IMPEDIMENTOS ACUMULADOSLIBERAO PT/PTT: 04:42 = 1,55dCONDIES CLIMTICAS: 11:45 = 1,47dPETROBRAS: 09:00 = 1,13dOUTROS: 00:00 = 0,00d</t>
  </si>
  <si>
    <t>RO-304/2025</t>
  </si>
  <si>
    <t>RO DIRIO DE OBRA - SS-16/2025 (ISOLAMENTO ACSTICO)&amp;gt;INSTALAO DOS NOVOS PERFIS, DO NOVO ISOLAMENTO ACSTICO E DA TELA DE PROTEO - [MOD: 7]PT:20983656 (HR SOLIC 08:15 | HR LIB 08:44 | ATRASO 00:00) - (HR ENC 16:50 | ATRASO 00:00)&amp;gt;&amp;gt; CONDIES CLIMTICAS: TEMPO BOM&amp;gt;&amp;gt;&amp;gt; IMPEDIMENTOS ACUMULADOSLIBERAO PT/PTT: 04:42 = 1,55dCONDIES CLIMTICAS: 11:45 = 1,47dPETROBRAS: 09:00 = 1,13dOUTROS: 00:00 = 0,00d</t>
  </si>
  <si>
    <t>RO-303/2025</t>
  </si>
  <si>
    <t>RO-302/2025</t>
  </si>
  <si>
    <t>RO DIRIO DE OBRA - SS-15/2025 (MANUTENO DAS TORRES DE RESFRIAMENTO)&amp;gt;OPERAO DE RETIRADA DAS TUBULAES DEGRADADAS E DO ENCHIMENTO DE GRADE - [MOD: 6]PT: 20983648 (HR SOLIC 08:10 | HR LIB 08:40 | ATRASO 00:00) - (HR ENC 16:30 | ATRASO 00:00)&amp;gt;&amp;gt; CONDIES CLIMTICAS: TEMPO BOM&amp;gt;&amp;gt;&amp;gt; IMPEDIMENTOS ACUMULADOSLIBERAO PT/PTT: 00:00 = 0,00dCONDIES CLIMTICAS: 00:00 = 0,00dPETROBRAS: 00:00 = 0,00dOUTROS: 00:00 = 0,00d</t>
  </si>
  <si>
    <t>RO-301/2025</t>
  </si>
  <si>
    <t>- Final de semana (domingo) equipe direta e indireta no atuou nas atividades. Sem atividades.- RO aceito pela fiscalizao.</t>
  </si>
  <si>
    <t>RO DIRIO DE OBRA - SS-04/2025 (UPGN-2)  SEM EXPEDIENTE  &amp;gt;&amp;gt; CONDIES CLIMTICAS: TEMPO BOM  &amp;gt;&amp;gt;&amp;gt; IMPEDIMENTOS ACUMULADOS LIBERAO PT/PTT: 00:40 = 0,16d CONDIES CLIMTICAS: 00:00 = 0,00d PETROBRAS: 00:00 = 0,00d OUTROS: 20:00 = 2,50d_____________________________________________________________ RO DIRIO DE OBRA - SS-5/2025 (SECGN)  SEM EXPEDIENTE  &amp;gt;&amp;gt; CONDIES CLIMTICAS: TEMPO BOM  &amp;gt;&amp;gt;&amp;gt; IMPEDIMENTOS ACUMULADOS LIBERAO PT/PTT: 12:10 = 1,49d CONDIES CLIMTICAS: 44:50 = 4,85d PETROBRAS: 05:30 = 0,81d OUTROS: 28:00 = 3,50d  RO DIRIO DE OBRA - SS-6/2025 (GALPO K-14)  SEM EXPEDIENTE  &amp;gt;&amp;gt; CONDIES CLIMTICAS:TEMPO BOM  &amp;gt;&amp;gt;&amp;gt; IMPEDIMENTOS ACUMULADOS LIBERAO PT/PTT: 06:54 = 0,83d CONDIES CLIMTICAS: 08:00 = 1,00d PETROBRAS: 00:00 = 0,00d OUTROS: 28:00 = 3,50d  RO DIRIO DE OBRA - SS-7/2025 (GALPO K-15)  SEM EXPEDIENTE  &amp;gt;&amp;gt; CONDIES CLIMTICAS:TEMPO BOM  &amp;gt;&amp;gt;&amp;gt; IMPEDIMENTOS ACUMULADOS LIBERAO PT/PTT: 12:08 = 1,36d CONDIES CLIMTICAS: 22:50 = 2,84d PETROBRAS: 00:00 = 0,00d OUTROS: 28:00 = 3,50d  RO DIRIO DE OBRA - SS-9/2025 (UPGN-3)  SEM EXPEDIENTE  &amp;gt;&amp;gt; CONDIES CLIMTICAS:TEMPO BOM   &amp;gt;&amp;gt;&amp;gt; IMPEDIMENTOS ACUMULADOS LIBERAO PT/PTT: 18:31= 2,86d CONDIES CLIMTICAS: 46:20 = 5,24d PETROBRAS: 00:00 = 0,00d OUTROS: 28:00 = 3,50d RO DIRIO DE OBRA - SS-10/2025 (TELHADO K-04)  SEM EXPEDIENTE  &amp;gt;&amp;gt; CONDIES CLIMTICAS: TEMPO BOM  &amp;gt;&amp;gt;&amp;gt; IMPEDIMENTOS ACUMULADOS LIBERAO PT/PTT: 00:00 = 0,00d CONDIES CLIMTICAS: 00:00 = 0,00d PETROBRAS: 00:00 = 0,00d OUTROS: 00:00 = 0,00d  RO DIRIO DE OBRA - SS-11/2025 (UPCGN-1)  SEM EXPEDIENTE  &amp;gt;&amp;gt; CONDIES CLIMTICAS: TEMPO BOM  &amp;gt;&amp;gt;&amp;gt; IMPEDIMENTOS ACUMULADOS LIBERAO PT/PTT: 07:26 = 0,83d CONDIES CLIMTICAS: 69:11 = 7,25d PETROBRAS: 00:00 = 0,00d OUTROS: 28:00 = 3,50d RO DIRIO DE OBRA - SS-18/2025 (ADEQUAO DA SALA DE MONITORAMENTO N1 CISC)&amp;gt;REFORMA DA SALA INTERNA DO K-04 (ANTIGA SALA TIC) SEM EXPEDIENTE&amp;gt;&amp;gt; CONDIES CLIMTICAS: TEMPO BOM &amp;gt;&amp;gt;&amp;gt; IMPEDIMENTOS ACUMULADOS LIBERAO PT/PTT: 00:00 = 0,00d CONDIES CLIMTICAS: 00:00 = 0,00d PETROBRAS: 00:00 = 0,00d OUTROS: 28:00 = 3,00</t>
  </si>
  <si>
    <t>30/11/2025</t>
  </si>
  <si>
    <t>RO-300/2025</t>
  </si>
  <si>
    <t>Os somatrios desde incio at o prazo final da SS dos acmulos de hora parada e meteorolgicas no final da SS a Petrobras ir analisar se e cabvel o abono revertido em acrscimo de dias no prazo de entrega da demanda.01. UPGN-2:PT programada para equipe atuar na montagem de perfis em solo.02. SECGN:PPT da atividade de caldeiraria para adequao dos suportes das calhas e instalao de perfis.Parte da equipe no se encontra no local (deslocados para o EDIVIT) inclusive N3, fora realizado apenas servios de caldeiraria convencional.PT programada para equipe de eltrica na realizao da infra de estruturas eltricas.03. K-14:PT programada paraexecuo do servio de pintura conforme mencionado acima, realizando as atividades com utilizao de PEMT.PT programada para equipe de andaime realizar montagem.PT programada para realizao de montagem da estrutura metlica.04. K-15:Programada a PT de montagem dos tirantes e execuo de apertos e iamento de perfis.05. UPGN-3:Foram programadas as PTT's de caldeiraria convencional.A equipe de caldeiraria atuou na instalao e adequao de rufos de acabamento na fachada frontal.06. K-04:Sem atividades. 07. UPCGN-1:Sem atividades 08. SALA CISC:Sem atividades  RO aceito pela fiscalizao.</t>
  </si>
  <si>
    <t>RO DIRIO DE OBRA - SS-04/2025 (UPGN-2)  &amp;gt; ADEQUAO E MONTAGEM DE PERFIS - [MOD: 03 | PEMT: 01] PT:20978462(HR SOLIC 08:00 | HR LIB 08:20 | ATRASO 00:00) - (HR ENC 16:30 | ATRASO 00:00)  &amp;gt;&amp;gt; CONDIES CLIMTICAS: TEMPO BOM  &amp;gt;&amp;gt;&amp;gt; IMPEDIMENTOS ACUMULADOS LIBERAO PT/PTT: 00:40 = 0,16d CONDIES CLIMTICAS: 00:00 = 0,00d PETROBRAS: 00:00 = 0,00d OUTROS: 20:00 = 2,50d_____________________________________________________________ RO DIRIO DE OBRA - SS-5/2025 (SECGN)  &amp;gt;MONTAGEM DE ESTRUTURA METALICA DO GALPO- [MOD: 04 | PEMT 01 ] PT:20978355(HR SOLIC 07:40 | HR LI 09:00 | ATRASO 00:50) - (HR ENC 16:30 | ATRASO 00:00)  &amp;gt; INSTALAO DE INFRA ESTRUTURAS ELETRICA - [MOD: 03 | PEMT: 01] PT:20978373 (HR SOLIC 08:00 | HR LIB 08:01 | ATRASO 00:00) - (HR ENC 16:30 | ATRASO 00:00)  &amp;gt;DEMOLIO DE CALADA PARA ADEQUAO DE SPDA - [MOD: 03 | PEMT: 00] PT: 20981424 (HR SOLIC 08:51 | HR LIB 08:55 | ATRASO 00:00) - (HR ENC 16:30 | ATRASO 00:00)  &amp;gt;&amp;gt; CONDIES CLIMTICAS:: TEMPO BOM  &amp;gt;&amp;gt;&amp;gt; IMPEDIMENTOS ACUMULADOS LIBERAO PT/PTT: 12:10 = 1,49d CONDIES CLIMTICAS: 44:50 = 4,85d PETROBRAS: 05:30 = 0,81d OUTROS: 28:00 = 3,50d  RO DIRIO DE OBRA - SS-6/2025 (GALPO K-14)  &amp;gt; TRATAMENTO E PINTUTA DA ESTRUTURA DE CONCRETO - [MOD: 03| PEMT-01] PT:20978399(HR SOLIC 08:10 | HR LIB 08:35| ATRASO 00:00) - (HR ENC 16:30 | ATRASO 00:00  &amp;gt;MONTAGEM DE ANDAIME - [MOD: 04| PEMT-010 PT:20978431(HR SOLIC 08:30 | HR LIB 08:40| ATRASO 00:00) - (HR ENC 16:30 | ATRASO 00:00  &amp;gt;MONTAGEM DE ESTRUTURA METALICA DO GALPO- [MOD: 05 | PEMT 01 ] PT:20978417(HR SOLIC 08:00 | HR LI 08:41 | ATRASO 00:11) - (HR ENC 16:30 | ATRASO 00:00)  &amp;gt;&amp;gt; CONDIES CLIMTICAS::TEMPO BOM  &amp;gt;&amp;gt;&amp;gt; IMPEDIMENTOS ACUMULADOS LIBERAO PT/PTT: 06:54 = 0,83d CONDIES CLIMTICAS: 08:00 = 1,00d PETROBRAS: 00:00 = 0,00d OUTROS: 28:00 = 3,50d  RO DIRIO DE OBRA - SS-7/2025 (GALPO K-15)  &amp;gt;RELIZANDO APERTOS, ADEQUAES E IAMENTO DAS ESTRUTURAS METALICAS [MOD: 03| PEMT: 1][GUIN:00] PT:20978493(HR SOLIC 07:55 | HR LIB 08:25 | ATRASO 00:) - (HR ENC 16:30 | ATRASO 00:00)  &amp;gt;DEMOLIO DE CONCRETO PAR ADEQUAO E SPDA MOD: 04 | PEMT: 00][GUIN:00] PT:20979819(HR SOLIC 07:48 | HR LIB 08:40 | ATRASO 00:22) - (HR ENC 16:30 | ATRASO 00:00)  &amp;gt;&amp;gt; CONDIES CLIMTICAS:TEMPO BOM  &amp;gt;&amp;gt;&amp;gt; IMPEDIMENTOS ACUMULADOS LIBERAO PT/PTT: 12:08 = 1,36d CONDIES CLIMTICAS: 22:50 = 2,84d PETROBRAS: 00:00 = 0,00d OUTROS: 28:00 = 3,50d  RO DIRIO DE OBRA - SS-9/2025 (UPGN-3)  &amp;gt; REALIZANDO INSTALAO DE RUFOS LATERAIS - [MOD: 04| PEMT-01] PT:20867402(HR SOLIC 08:00| HR LIB 08:00 | ATRASO 00:00) - (HR ENC 16:30 | ATRASO 00:00) &amp;gt;&amp;gt; CONDIES CLIMTICAS:TEMPO BOM &amp;gt;&amp;gt;&amp;gt; IMPEDIMENTOS ACUMULADOS LIBERAO PT/PTT: 18:31= 2,86d CONDIES CLIMTICAS: 46:20 = 5,24d PETROBRAS: 00:00 = 0,00d OUTROS: 28:00 = 3,50d RO DIRIO DE OBRA - SS-10/2025 (TELHADO K-04)  SEM ATIVIDADES  &amp;gt;&amp;gt; CONDIES CLIMTICAS: TEMPO BOM  &amp;gt;&amp;gt;&amp;gt; IMPEDIMENTOS ACUMULADOS LIBERAO PT/PTT: 00:00 = 0,00d CONDIES CLIMTICAS: 00:00 = 0,00d PETROBRAS: 00:00 = 0,00d OUTROS: 00:00 = 0,00d  RO DIRIO DE OBRA - SS-11/2025 (UPCGN-1)  SEM ATIVIDADES &amp;gt;&amp;gt; CONDIES CLIMTICAS: TEMPO BOM  &amp;gt;&amp;gt;&amp;gt; IMPEDIMENTOS ACUMULADOS LIBERAO PT/PTT: 07:26 = 0,83d CONDIES CLIMTICAS: 69:11 = 7,25d PETROBRAS: 00:00 = 0,00d OUTROS: 28:00 = 3,50d RO DIRIO DE OBRA - SS-18/2025 (ADEQUAO DA SALA DE MONITORAMENTO N1 CISC)&amp;gt;REFORMA DA SALA INTERNA DO K-04 (ANTIGA SALA TIC) ATIVIDADE FINALIZADA&amp;gt;&amp;gt; CONDIES CLIMTICAS: TEMPO BOM  &amp;gt;&amp;gt;&amp;gt; IMPEDIMENTOS ACUMULADOS LIBERAO PT/PTT: 00:00 = 0,00d CONDIES CLIMTICAS: 00:00 = 0,00d PETROBRAS: 00:00 = 0,00d OUTROS: 28:00 = 3,00</t>
  </si>
  <si>
    <t>29/11/2025</t>
  </si>
  <si>
    <t>RO-299/2025</t>
  </si>
  <si>
    <t>Domingo, dia 30/11/25, no houve expediente de trabalho.</t>
  </si>
  <si>
    <t>RO-298/2025</t>
  </si>
  <si>
    <t>No houve atividade neste dia devido a mesma estar em interferncia com a retirada e Iamento das coifas das torres de resfriamento, devido a isso o efetivo foi deslocado para outra demanda.</t>
  </si>
  <si>
    <t>RO DIRIO DE OBRA - SS-16/2025 (ISOLAMENTO ACSTICO) SEM ATIVIDADE.</t>
  </si>
  <si>
    <t>RO-297/2025</t>
  </si>
  <si>
    <t>RO DIRIO DE OBRA - SS-19/2025 (SINALIZAO DAS ESCADAS)SEM EXPEDIETE.</t>
  </si>
  <si>
    <t>RO-296/2025</t>
  </si>
  <si>
    <t>Sbado dia 29/11/25, no houve atividade para esta SS.</t>
  </si>
  <si>
    <t>RO-295/2025</t>
  </si>
  <si>
    <t>RO DIRIO DE OBRA - SS-15/2025 (MANUTENO DAS TORRES DE RESFRIAMENTO)SEM EXPEDIENTE.</t>
  </si>
  <si>
    <t>RO-294/2025</t>
  </si>
  <si>
    <t>Os somatrios desde incio at o prazo final da SS dos acmulos de hora parada e meteorolgicas no final da SS a Petrobras ir analisar se e cabvel o abono revertido em acrscimo de dias no prazo de entrega da demanda. 01. UPGN-2: PT programada para equipe atuar na remoo dos inserts fixados nos pilares de concreto. 02. SECGN: PPT da atividade de caldeiraria (iratas) para adequao dos suportes das calhas. Parte da equipe no se encontra no local (deslocados para o EDIVIT) inclusive N3, fora realizado apenas servios de caldeiraria convencional. PT programada para equipe de eltrica na realizao da infra de estruturas eltricas. 03. K-14: Foi executado o servio de pintura conforme mencionado acima, realizando as atividades com utilizao de PEMT. 04. K-15: Programada a PT de montagem dos tirantes. 05. UPGN-3: Foram programadas as PTT's de caldeiraria convencional. A equipe de caldeiraria atuou na instalao e adequao de rufos de acabamento na fachada frontal. 06. K-04: Programada equipe de ainda para incio da montagem das torres de acesso em andaime. 07. UPCGN-1: Foi programada a PTT conforme pontuado pela contratada, da disciplina de caldeiraria, desmontagem da estrutura em solo e remoo de pontaletes. 08. SALA CISC: No K-04 a equipe de civil atuou na finalizao da pintura do hall de entrada e instalao de porta de acesso. RO aceito pela fiscalizao.</t>
  </si>
  <si>
    <t>RO DIRIO DE OBRA - SS-04/2025 (UPGN-2)  &amp;gt; RETIRADA DE INSERTS - [MOD: 04 | PEMT: 01] PT:20971643(HR SOLIC 08:00 | HR LIB 08:22| ATRASO 00:00) - (HR ENC 16:30 | ATRASO 00:00)  &amp;gt;&amp;gt; CONDIES CLIMTICAS: TEMPO BOM  &amp;gt;&amp;gt;&amp;gt; IMPEDIMENTOS ACUMULADOS LIBERAO PT/PTT: 00:40 = 0,16d CONDIES CLIMTICAS: 00:00 = 0,00d PETROBRAS: 00:00 = 0,00d OUTROS: 20:00 = 2,50d RO DIRIO DE OBRA - SS-5/2025 (SECGN)  &amp;gt;MONTAGEM DE ESTRUTURA METALICA DO GALPO- [MOD: 04 | PEMT 00 ] PT:20971728(HR SOLIC 09:30 | HR LI 09:30 | ATRASO 00:00) - (HR ENC 16:30 | ATRASO 00:00)  &amp;gt; INSTALAO DE INFRA ESTRUTURAS ELETRICA - [MOD: 03 | PEMT: 01] PT: 20971693 (HR SOLIC 08:20 | HR LIB 09:40 | ATRASO 00:50) - (HR ENC 16:30 | ATRASO 00:00)  &amp;gt;&amp;gt; CONDIES CLIMTICAS:: TEMPO BOM  &amp;gt;&amp;gt;&amp;gt; IMPEDIMENTOS ACUMULADOS LIBERAO PT/PTT: 11:19 = 1,39d CONDIES CLIMTICAS: 44:50 = 4,85d PETROBRAS: 05:30 = 0,81d OUTROS: 28:00 = 3,50d  RO DIRIO DE OBRA - SS-6/2025 (GALPO K-14)  &amp;gt; TRATAMENTO E PINTUTA DA ESTRUTURA DE CONCRETO - [MOD: 02| PEMT-01] PT:20971746(HR SOLIC 08:40 | HR LIB 08:45| ATRASO 00:00) - (HR ENC 16:30 | ATRASO 00:00   &amp;gt;&amp;gt; CONDIES CLIMTICAS::TEMPO BOM  &amp;gt;&amp;gt;&amp;gt; IMPEDIMENTOS ACUMULADOS LIBERAO PT/PTT: 06:43 = 0,83d CONDIES CLIMTICAS: 08:00 = 1,00d PETROBRAS: 00:00 = 0,00d OUTROS: 28:00 = 3,50d RO DIRIO DE OBRA - SS-7/2025 (GALPO K-15)  &amp;gt;RELIZANDO APERTOS, ADEQUAES E IAMENTO DAS ESTRUTURAS METALICAS [MOD: 03 | PEMT: 1][GUIN:00] PT:20971677(HR SOLIC 07:50 | HR LIB 08:40 | ATRASO 00:20) - (HR ENC 16:30 | ATRASO 00:00)  &amp;gt;DEMOLIO DE CONCRETO PAR ADEQUAO E SPDA MOD: 04 | PEMT: 00][GUIN:00] PT:20974207(HR SOLIC 08:15 | HR LIB 08:20 | ATRASO 00:00) - (HR ENC 16:30 | ATRASO 00:00)  &amp;gt;&amp;gt; CONDIES CLIMTICAS:TEMPO BOM  &amp;gt;&amp;gt;&amp;gt; IMPEDIMENTOS ACUMULADOS LIBERAO PT/PTT: 11:43 = 1,31d CONDIES CLIMTICAS: 22:50 = 2,84d PETROBRAS: 00:00 = 0,00d OUTROS: 28:00 = 3,50d RO DIRIO DE OBRA - SS-9/2025 (UPGN-3)  &amp;gt; REALIZANDO INSTALAO DE RUFOS LATERAIS - [MOD: 04| PEMT-01] PT:20867402(HR SOLIC 08:00| HR LIB 08:00 | ATRASO 00:00) - (HR ENC 16:30 | ATRASO 00:00) &amp;gt;&amp;gt; CONDIES CLIMTICAS:TEMPO BOM   &amp;gt;&amp;gt;&amp;gt; IMPEDIMENTOS ACUMULADOS LIBERAO PT/PTT: 18:31= 2,86d CONDIES CLIMTICAS: 46:20 = 5,24d PETROBRAS: 00:00 = 0,00d OUTROS: 28:00 = 3,50d  RO DIRIO DE OBRA - SS-10/2025 (TELHADO K-04)  &amp;gt; MONTAGEM DE ANDAIME [MOD: 04 | PEMT: 0] [CMK:0] PT20966964(HR SOLIC 07:57 | HR LIB 07:58 | ATRASO 00:00) - (HR ENC 16:30 | ATRASO 00:00)   &amp;gt;&amp;gt; CONDIES CLIMTICAS: TEMPO BOM  &amp;gt;&amp;gt;&amp;gt; IMPEDIMENTOS ACUMULADOS LIBERAO PT/PTT: 00:00 = 0,00d CONDIES CLIMTICAS: 00:00 = 0,00d PETROBRAS: 00:00 = 0,00d OUTROS: 00:00 = 0,00d RO DIRIO DE OBRA - SS-11/2025 (UPCGN-1)  &amp;gt; DESMONTAGEM DOS PERFIS E RETIRADA DE TELHAS E RETIRADA DE INSERTS - [MOD: 08 | PEMT: 01] [CMK:01] PT20867560 (HR SOLIC 08:00 | HR LIB 08:00 | ATRASO 00:00) - (HR ENC 16:30 | ATRASO 00:00)   &amp;gt;&amp;gt; CONDIES CLIMTICAS: TEMPO BOM  &amp;gt;&amp;gt;&amp;gt; IMPEDIMENTOS ACUMULADOS LIBERAO PT/PTT: 07:26 = 0,83d CONDIES CLIMTICAS: 69:11 = 7,25d PETROBRAS: 00:00 = 0,00d OUTROS: 28:00 = 3,50d RO DIRIO DE OBRA - SS-18/2025 (ADEQUAO DA SALA DE MONITORAMENTO N1 CISC)&amp;gt;REFORMA DA SALA INTERNA DO K-04 (ANTIGA SALA TIC) - [MOD: 03 | PEMT: 0]PT: 20978142(HR SOLIC 12:58| HR LIB 13:00 | ATRASO 00:00) - (HR ENC 16:30 | ATRASO 00:00&amp;gt;&amp;gt; CONDIES CLIMTICAS: TEMPO BOM  &amp;gt;&amp;gt;&amp;gt; IMPEDIMENTOS ACUMULADOS LIBERAO PT/PTT: 00:00 = 0,00d CONDIES CLIMTICAS: 00:00 = 0,00d PETROBRAS: 00:00 = 0,00d OUTROS: 28:00 = 3,00</t>
  </si>
  <si>
    <t>28/11/2025</t>
  </si>
  <si>
    <t>RO-293/2025</t>
  </si>
  <si>
    <t>Os somatrios desde incio at o prazo final da SS dos acmulos de hora parada e meteorolgicas no final da SS a Petrobras ir analisar se e cabvel o abono revertido em acrscimo de dias no prazo de entrega da demanda. 01. UPGN-2: PT programada para equipe atuar na remoo dos inserts fixados nos pilares de concreto. 02. SECGN: PPT da atividade de caldeiraria (iratas) para adequao dos suportes das calhas. Parte da equipe no se encontra no local (deslocados para o EDIVIT) inclusive N3, fora realizado apenas servios de caldeiraria convencional. PT programada para equipe de eltrica na realizao da infra de estruturas eltricas. 03. K-14: Foi executado o servio de pintura conforme mencionado acima, realizando as atividades com utilizao de PEMT. 04. K-15: Programada a PT de montagem dos tirantes. 05. UPGN-3: Foram programadas as PTT's de caldeiraria convencional. A equipe de caldeiraria atuou na instalao e adequao de rufos de acabamento na fachada frontal. 06. K-04: Programada equipe de ainda para incio da montagem das torres de acesso em andaime. 07. UPCGN-1: Foi programada a PTT conforme pontuado pela contratada, da disciplina de caldeiraria, desmontagem da estrutura em solo e remoo de pontaletes. Obs. Fora utilizada apenas 1 PEMT. 08. SALA CISC: No K-04 a equipe de civil atuou na finalizao da pintura do hall de entrada e instalao de porta de acesso. RO aceito pela fiscalizao.</t>
  </si>
  <si>
    <t>RO DIRIO DE OBRA - SS-04/2025 (UPGN-2)  &amp;gt; RETIRADA DE INSERTS - [MOD: 04 | PEMT: 01] PT:20965969 (HR SOLIC 07:50 | HR LIB 08:22 | ATRASO 00:00) - (HR ENC 16:30 | ATRASO 00:00)  &amp;gt;&amp;gt; CONDIES CLIMTICAS: TEMPO BOM  &amp;gt;&amp;gt;&amp;gt; IMPEDIMENTOS ACUMULADOS LIBERAO PT/PTT: 00:40 = 0,16d CONDIES CLIMTICAS: 00:00 = 0,00d PETROBRAS: 00:00 = 0,00d OUTROS: 20:00 = 2,50d RO DIRIO DE OBRA - SS-5/2025 (SECGN)  &amp;gt;MONTAGEM DE ESTRUTURA METALICA DO GALPO- [MOD: 06 | PEMT 00 ] PT:20867585(HR SOLIC 08:00 | HR LI 08:00 | ATRASO 00:00) - (HR ENC 16:30 | ATRASO 00:00)  &amp;gt; INSTALAO DE INFRA ESTRUTURAS ELETRICA - [MOD: 03 | PEMT: 01] PT: 20959987 (HR SOLIC 07:50 | HR LIB 08:20 | ATRASO 00:00) - (HR ENC 16:30 | ATRASO 00:00)  &amp;gt;&amp;gt; CONDIES CLIMTICAS:: TEMPO BOM  &amp;gt;&amp;gt;&amp;gt; IMPEDIMENTOS ACUMULADOS LIBERAO PT/PTT: 10:29 = 1,29d CONDIES CLIMTICAS: 44:50 = 4,85d PETROBRAS: 05:30 = 0,81d OUTROS: 28:00 = 3,50d  RO DIRIO DE OBRA - SS-6/2025 (GALPO K-14)  &amp;gt; TRATAMENTO E PINTUTA DA ESTRUTURA DE CONCRETO - [MOD: 02| PEMT-01] PT:20996113(HR SOLIC 08:40 | HR LIB 08:45| ATRASO 00:00) - (HR ENC 16:30 | ATRASO 00:00 &amp;gt;&amp;gt; CONDIES CLIMTICAS:TEMPO BOM  &amp;gt;&amp;gt;&amp;gt; IMPEDIMENTOS ACUMULADOS LIBERAO PT/PTT: 06:43 = 0,83d CONDIES CLIMTICAS: 08:00 = 1,00d PETROBRAS: 00:00 = 0,00d OUTROS: 28:00 = 3,50d RO DIRIO DE OBRA - SS-7/2025 (GALPO K-15)  &amp;gt;RELIZANDO APERTOS, ADEQUAES E IAMENTO DAS ESTRUTURAS METALICAS [MOD: 03 | PEMT: 1][GUIN:00] PT:20913508(HR SOLIC 07:50 | HR LIB 09:00 | ATRASO 00:40) - (HR ENC 16:30 | ATRASO 00:00)  &amp;gt;&amp;gt; CONDIES CLIMTICAS:TEMPO BOM  &amp;gt;&amp;gt;&amp;gt; IMPEDIMENTOS ACUMULADOS LIBERAO PT/PTT: 11:23 = 1,31d CONDIES CLIMTICAS: 22:50 = 2,84d PETROBRAS: 00:00 = 0,00d OUTROS: 28:00 = 3,50d RO DIRIO DE OBRA - SS-9/2025 (UPGN-3)  &amp;gt; REALIZANDO INSTALAO DE RUFOS LATERAIS - [MOD: 04| PEMT-01] PT:20867402(HR SOLIC 07:50| HR LIB 08:00 | ATRASO 00:00) - (HR ENC 16:30 | ATRASO 00:00) &amp;gt;&amp;gt; CONDIES CLIMTICAS:TEMPO BOM &amp;gt;&amp;gt;&amp;gt; IMPEDIMENTOS ACUMULADOS LIBERAO PT/PTT: 18:31= 2,86d CONDIES CLIMTICAS: 46:20 = 5,24d PETROBRAS: 00:00 = 0,00d OUTROS: 28:00 = 3,50d RO DIRIO DE OBRA - SS-10/2025 (TELHADO K-04)  &amp;gt; MONTAGEM DE ANDAIME [MOD: 04 | PEMT: 0] [CMK:0] PT20966964(HR SOLIC 07:46 | HR LIB 07:48 | ATRASO 00:00) - (HR ENC 16:30 | ATRASO 00:00) &amp;gt;&amp;gt; CONDIES CLIMTICAS: TEMPO BOM  &amp;gt;&amp;gt;&amp;gt; IMPEDIMENTOS ACUMULADOS LIBERAO PT/PTT: 00:00 = 0,00d CONDIES CLIMTICAS: 00:00 = 0,00d PETROBRAS: 00:00 = 0,00d OUTROS: 00:00 = 0,00d RO DIRIO DE OBRA - SS-11/2025 (UPCGN-1)  &amp;gt; DESMONTAGEM DOS PERFIS E RETIRADA DE TELHAS E RETIRADA DE INSERTS - [MOD: 08 | PEMT: 02] [CMK:01] PT20867560 (HR SOLIC 07:58 | HR LIB 08:00 | ATRASO 00:00) - (HR ENC 16:30 | ATRASO 00:00)   &amp;gt;&amp;gt; CONDIES CLIMTICAS: TEMPO BOM  &amp;gt;&amp;gt;&amp;gt; IMPEDIMENTOS ACUMULADOS LIBERAO PT/PTT: 07:26 = 0,83d CONDIES CLIMTICAS: 69:11 = 7,25d PETROBRAS: 00:00 = 0,00d OUTROS: 28:00 = 3,50d RO DIRIO DE OBRA - SS-18/2025 (ADEQUAO DA SALA DE MONITORAMENTO N1 CISC)&amp;gt;REFORMA DA SALA INTERNA DO K-04 (ANTIGA SALA TIC) - [MOD: 03 | PEMT: 0]PT: 20970142(HR SOLIC 08:33| HR LIB 08:40 | ATRASO 00:00) - (HR ENC 16:30 | ATRASO 00:00 &amp;gt;&amp;gt; CONDIES CLIMTICAS: TEMPO BOM  &amp;gt;&amp;gt;&amp;gt; IMPEDIMENTOS ACUMULADOS LIBERAO PT/PTT: 00:00 = 0,00d CONDIES CLIMTICAS: 00:00 = 0,00d PETROBRAS: 00:00 = 0,00d OUTROS: 28:00 = 3,00</t>
  </si>
  <si>
    <t>27/11/2025</t>
  </si>
  <si>
    <t>RO-292/2025</t>
  </si>
  <si>
    <t>Movimentao Do Iamento do chassi / Difusor / Motor Redutor / Ventilador - TORRE A - UTILIZAO DE GUINDASTE.</t>
  </si>
  <si>
    <t>RO DIRIO DE OBRA - SS-15/2025 (MANUTENO DAS TORRES DE RESFRIAMENTO)&amp;gt;OPERAO DE IAMENTO DO CHASSI / DIFUSOR / MOTOR REDUTOR / VENTILADOR - TORRE A - UTILIZAO DE GUINDASTE - [MOD: 9]PT: 20981227 (HR SOLIC 07:15 | HR LIB 07:45 | ATRASO 00:00) - (HR ENC 16:00 | ATRASO 00:00)&amp;gt;&amp;gt; CONDIES CLIMTICAS: TEMPO BOM&amp;gt;&amp;gt;&amp;gt; IMPEDIMENTOS ACUMULADOSLIBERAO PT/PTT: 00:00 = 0,00dCONDIES CLIMTICAS: 00:00 = 0,00dPETROBRAS: 00:00 = 0,00dOUTROS: 00:00 = 0,00d</t>
  </si>
  <si>
    <t>RO-291/2025</t>
  </si>
  <si>
    <t>Equipe APJ atuando com 2 colaboradores na execuo de instalao de sinalizao Visual- Escada Reta Da Penha.Servio transcorre normalmente, e continua no aguardo da chegada do restante dos materiais para sequncia dos servios.</t>
  </si>
  <si>
    <t>RO DIRIO DE OBRA - SS-19/2025 (SINALIZAO DAS ESCADAS)&amp;gt;EXECUO DE INSTALAO DE SINALIZAO VISUAL - ESCADA DA RETA DA PENHA - [MOD: 2]PTT: 20884918 (HR SOLIC 07:18 | HR LIB 08:32 | ATRASO 00:00) - (HR ENC 15:30 | ATRASO 00:00)&amp;gt;&amp;gt; CONDIES CLIMTICAS: TEMPO BOM&amp;gt;&amp;gt;&amp;gt; IMPEDIMENTOS ACUMULADOSLIBERAO PT/PTT: 04:34 = 0,57dCONDIES CLIMTICAS: 00:00 = 0,00dPETROBRAS: 00:00 = 0,00dOUTROS: 00:00 = 0,00d</t>
  </si>
  <si>
    <t>RO-290/2025</t>
  </si>
  <si>
    <t>Equipe da APJ est atuando na retirada das coifas atenuadoras das torres de resfriamento, solicitado ateno ao Encarregado Bill no correto posicionamento das ancoragens, nas peas que iro ser iadas pelo guindaste, atividade ocorreu de forma supervisionada durante todo o tempo e foi executada com xito.</t>
  </si>
  <si>
    <t>RO DIRIO DE OBRA - SS-15/2025 (MANUTENO DAS TORRES DE RESFRIAMENTO)&amp;gt;OPERAO DE IAMENTO DO CHASSI / DIFUSOR / MOTOR REDUTOR / VENTILADOR - TORRE B - UTILIZAO DE GUINDASTE - [MOD: 8]PT: 20975038 (HR SOLIC 08:24 | HR LIB 08:29 | ATRASO 00:00) - (HR ENC 16:30 | ATRASO 00:00)&amp;gt;&amp;gt; CONDIES CLIMTICAS: TEMPO BOM&amp;gt;&amp;gt;&amp;gt; IMPEDIMENTOS ACUMULADOSLIBERAO PT/PTT: 00:00 = 0,00dCONDIES CLIMTICAS: 00:00 = 0,00dPETROBRAS: 00:00 = 0,00dOUTROS: 00:00 = 0,00d</t>
  </si>
  <si>
    <t>RO-289/2025</t>
  </si>
  <si>
    <t>JONAS GOMES.zip; JONAS - NR 18 - 28.03.2026.zip; JONAS - NR 06- 21.03.2026.pdf; JONAS - CONTRATO DE TRABALHO.pdf</t>
  </si>
  <si>
    <t>NR 06 e comprovao de vnculo no apresentada.</t>
  </si>
  <si>
    <t>Envio da documentao do empregado JONAS GOMES DOS SANTOS RIGER da empresa AQUARIUS:NR 6 e contrato de trabalho.</t>
  </si>
  <si>
    <t>RO-288/2025</t>
  </si>
  <si>
    <t>Equipe de Iratas da APJ, fizeram o servio de inspeo e preparao das ancoragens para as atividades de acesso com o guindaste para retirada das coifas,das torres de resfriamento.</t>
  </si>
  <si>
    <t>RO DIRIO DE OBRA - SS-15/2025 (MANUTENO DAS TORRES DE RESFRIAMENTO)  &amp;gt;INSPEO E PREPARAO PARA AS ATIVIDADES DE ACESSO COM GUINDASTE - [MOD: 2] PT: 20971387 (HR SOLIC 10:18 | HR LIB 10:45 | ATRASO 00:00) - (HR ENC 16:00 | ATRASO 00:00)  &amp;gt;&amp;gt; CONDIES CLIMTICAS: TEMPO BOM &amp;gt;&amp;gt;&amp;gt; IMPEDIMENTOS ACUMULADOS LIBERAO PT/PTT: 00:00 = 0,00d CONDIES CLIMTICAS: 00:00 = 0,00d PETROBRAS: 00:00 = 0,00d OUTROS: 00:00 = 0,00d</t>
  </si>
  <si>
    <t>RO-287/2025</t>
  </si>
  <si>
    <t>Ata Reunião Mensal de Medição-APJ Engenharia - Novembro 25 - Assinado.pdf; BM-01-NOV-2025-UTGSUL-UNIFICADO-26-10-2025_A_25-11-2025_REV00.xlsx; BM-01-NOV-2025-UTGSUL-UNIFICADO-26-10-2025_A_25-11-2025_REV00.pdf; MC - BM-01-NOV-2025-UTGSUL-UNIFICADO-26-10-2025_A_25-11-2025_REV00.pdf; Planilha IDF Nov 25.xlsx</t>
  </si>
  <si>
    <t>39,664</t>
  </si>
  <si>
    <t>Fiscalizao encontra se de acordo com o pleito de medio apresentado.</t>
  </si>
  <si>
    <t>Segue pleito de medio 01 referente ao UTGSUL.</t>
  </si>
  <si>
    <t>RO-286/2025</t>
  </si>
  <si>
    <t>Equipe atuando na Sinalizao das escadas de emergncia e execuo da demarcao de piso nas escadas do BL-4.-Solicitado ao Preposto Rubens que cobre ao setor de Suprimentos, a chegada do restante dos materiais relativos a concluso dos servios,para que seja evitado atraso na demanda referida.</t>
  </si>
  <si>
    <t>RO DIRIO DE OBRA - SS-19/2025 (SINALIZAO DAS ESCADAS)&amp;gt;EXECUO DE DEMARCAO DE PISO - BL 4 - ESCADA DE EMERGNCIA - [MOD: 3]PTT: 20884918 (HR SOLIC 07:28 | HR LIB 07:55 | ATRASO 00:00) - (HR ENC 16:30 | ATRASO 00:00)&amp;gt;&amp;gt; CONDIES CLIMTICAS: TEMPO BOM&amp;gt;&amp;gt;&amp;gt; IMPEDIMENTOS ACUMULADOSLIBERAO PT/PTT: 04:34 = 0,57dCONDIES CLIMTICAS: 00:00 = 0,00dPETROBRAS: 00:00 = 0,00dOUTROS: 00:00 = 0,00d</t>
  </si>
  <si>
    <t>RO-285/2025</t>
  </si>
  <si>
    <t>Equipe da APJ est atuando na troca dos isolamentos acsticos das paredes das torres de resfriamento, solicitado ateno ao Encarregado Dirceu no correto posicionamento dos isolamentos aps a substituio dos mesmos, verificar e se atentar ao estado das telas de proteo antes de reinstalar a mesmo observado sempre a questo de amassados na tela e seu real estado de conservao.</t>
  </si>
  <si>
    <t>RO DIRIO DE OBRA - SS-16/2025 (ISOLAMENTO ACSTICO)  &amp;gt;SUBSTITUIO DAS ESTRUTURAS DETERIORADAS, INSTALAO DO NOVO ISOLAMENTO ACSTICO E TELA DE PROTEO - [MOD: 7] PT:20969409 (HR SOLIC 07:51 | HR LIB 08:15:00 | ATRASO 00:00) - (HR ENC 16:45 | ATRASO 00:00)  &amp;gt;&amp;gt; CONDIES CLIMTICAS: TEMPO BOM &amp;gt;&amp;gt;&amp;gt; IMPEDIMENTOS ACUMULADOS LIBERAO PT/PTT: 04:42 = 1,55d CONDIES CLIMTICAS: 11:45 = 1,47d PETROBRAS: 09:00 = 1,13d OUTROS: 00:00 = 0,00d</t>
  </si>
  <si>
    <t>RO-284/2025</t>
  </si>
  <si>
    <t>RO DIRIO DE OBRA - SS-04/2025 (UPGN-2)  &amp;gt; RETIRADA DE INSERTS - [MOD: 04 | PEMT: 01] PT:20960013 (HR SOLIC 07:50 | HR LIB 09:00 | ATRASO 00:40) - (HR ENC 16:30 | ATRASO 00:00)  &amp;gt;&amp;gt; CONDIES CLIMTICAS: TEMPO BOM  &amp;gt;&amp;gt;&amp;gt; IMPEDIMENTOS ACUMULADOS LIBERAO PT/PTT: 00:40 = 0,08d CONDIES CLIMTICAS: 00:00 = 0,00d PETROBRAS: 00:00 = 0,00d OUTROS: 20:00 = 2,50d  RO DIRIO DE OBRA - SS-5/2025 (SECGN)  &amp;gt;MONTAGEM DE ESTRUTURA METALICA DO GALPO- [MOD: 06 | PEMT 00 ] PT:20867585(HR SOLIC 08:00 | HR LI 08:00 | ATRASO 00:00) - (HR ENC 16:30 | ATRASO 00:00)  &amp;gt; INSTALAO DE INFRA ESTRUTURAS ELETRICA - [MOD: 03 | PEMT: 01] PT: 20959987 (HR SOLIC 07:50 | HR LIB 08:20 | ATRASO 00:00) - (HR ENC 16:30 | ATRASO 00:00)  &amp;gt;&amp;gt; CONDIES CLIMTICAS:: TEMPO BOM  &amp;gt;&amp;gt;&amp;gt; IMPEDIMENTOS ACUMULADOS LIBERAO PT/PTT: 10:29 = 1,29d CONDIES CLIMTICAS: 44:50 = 4,85d PETROBRAS: 05:30 = 0,81d OUTROS: 28:00 = 3,50d   RO DIRIO DE OBRA - SS-6/2025 (GALPO K-14)  &amp;gt; TRATAMENTO E PINTUTA DA ESTRUTURA DE CONCRETO - [MOD: 02| PEMT-01] PT:20959966(HR SOLIC 08:20 | HR LIB 08:40| ATRASO 00:00) - (HR ENC 16:30 | ATRASO 00:00  &amp;gt;&amp;gt; CONDIES CLIMTICAS::TEMPO BOM  &amp;gt;&amp;gt;&amp;gt; IMPEDIMENTOS ACUMULADOS LIBERAO PT/PTT: 06:43 = 0,83d CONDIES CLIMTICAS: 08:00 = 1,00d PETROBRAS: 00:00 = 0,00d OUTROS: 28:00 = 3,50d RO DIRIO DE OBRA - SS-7/2025 (GALPO K-15)  &amp;gt;RELIZANDO APERTOS, ADEQUAES E IAMENTO DAS ESTRUTURAS METALICAS [MOD: 04 | PEMT: 1][GUIN:01] PT:20960026(HR SOLIC 07:50 | HR LIB 07:55 | ATRASO 00:00) - (HR ENC 16:30 | ATRASO 00:00)  &amp;gt;&amp;gt; CONDIES CLIMTICAS:TEMPO BOM  &amp;gt;&amp;gt;&amp;gt; IMPEDIMENTOS ACUMULADOS LIBERAO PT/PTT: 10:43 = 1,23d CONDIES CLIMTICAS: 22:50 = 2,84d PETROBRAS: 00:00 = 0,00d OUTROS: 28:00 = 3,50d RO DIRIO DE OBRA - SS-9/2025 (UPGN-3)  &amp;gt; REALIZANDO INSTALAO DE VENEZIANAS LATERAIS - [MOD: 04| PEMT-01] PT:20867402(HR SOLIC 07:50| HR LIB 08:00 | ATRASO 00:00) - (HR ENC 16:30 | ATRASO 00:00)  &amp;gt;&amp;gt; CONDIES CLIMTICAS:TEMPO BOM  &amp;gt;&amp;gt;&amp;gt; IMPEDIMENTOS ACUMULADOS LIBERAO PT/PTT: 18:31= 2,86d CONDIES CLIMTICAS: 46:20 = 5,24d PETROBRAS: 00:00 = 0,00d OUTROS: 28:00 = 3,50d RO DIRIO DE OBRA - SS-10/2025 (TELHADO K-04)  &amp;gt; MONTAGEM DE ANDAIME [MOD: 04 | PEMT: 0] [CMK:0] PT20964219(HR SOLIC 08:23 | HR LIB 08:28 | ATRASO 00:00) - (HR ENC 16:30 | ATRASO 00:00)  &amp;gt;&amp;gt; CONDIES CLIMTICAS: TEMPO BOM  &amp;gt;&amp;gt;&amp;gt; IMPEDIMENTOS ACUMULADOS LIBERAO PT/PTT: 00:00 = 0,00d CONDIES CLIMTICAS: 00:00 = 0,00d PETROBRAS: 00:00 = 0,00d OUTROS: 00:00 = 0,00d    RO DIRIO DE OBRA - SS-11/2025 (UPCGN-1)  &amp;gt; DESMONTAGEM DOS PERFIS E RETIRADA DE TELHAS E RETIRADA DE INSERTS - [MOD: 08 | PEMT: 02] [CMK:01] PT20867560 (HR SOLIC 07:58 | HR LIB 08:00 | ATRASO 00:00) - (HR ENC 16:30 | ATRASO 00:00)  &amp;gt;&amp;gt; CONDIES CLIMTICAS: TEMPO BOM  &amp;gt;&amp;gt;&amp;gt; IMPEDIMENTOS ACUMULADOS LIBERAO PT/PTT: 07:26 = 0,83d CONDIES CLIMTICAS: 69:11 = 7,25d PETROBRAS: 00:00 = 0,00d OUTROS: 28:00 = 3,50d   RO DIRIO DE OBRA - SS-18/2025 (ADEQUAO DA SALA DE MONITORAMENTO N1 CISC)  &amp;gt;REFORMA DA SALA INTERNA DO K-04 (ANTIGA SALA TIC) - [MOD: 04 | PEMT: 0] PT: 20964233(HR SOLIC 08:25| HR LIB 08:30 | ATRASO 00:00) - (HR ENC 16:30 | ATRASO 00:00  &amp;gt;MONTAGEM DE PEDESTAIS PARA ISOLAMENTO DAS ATIVIDADES- [MOD: 03 | PEMT: 0] PT:20871373 (HR SOLIC 08:00| HR LIB 08:00 | ATRASO 00:00) - (HR ENC 16:30 | ATRASO 00:00  &amp;gt;&amp;gt; CONDIES CLIMTICAS: TEMPO BOM  &amp;gt;&amp;gt;&amp;gt; IMPEDIMENTOS ACUMULADOS LIBERAO PT/PTT: 00:00 = 0,00d CONDIES CLIMTICAS: 00:00 = 0,00d PETROBRAS: 00:00 = 0,00d OUTROS: 28:00 = 3,00</t>
  </si>
  <si>
    <t>RO-283/2025</t>
  </si>
  <si>
    <t>Os somatrios desde incio at o prazo final da SS dos acmulos de hora parada e meteorolgicas no final da SS a Petrobras ir analisar se e cabvel o abono revertido em acrscimo de dias no prazo de entrega da demanda. 01. UPGN-2: PT programada para equipe atuar na remoo dos inserts fixados nos pilares de concreto. 02. SECGN: PPT da atividade de caldeiraria (iratas) para adequao dos suportes das calhas. PT programada para equipe de eltrica na realizao da infra de estruturas eltricas. 03. K-14: Foi executado o servio de pintura conforme mencionado acima, realizando as atividades com utilizao de PEMT. 04. K-15: Programada a PT de montagem dos tirantes, com uso de PEMT. 05. UPGN-3: Foram programadas as PTT's de caldeiraria convencional. A equipe de caldeiraria atuou na instalao das venezianas e rufos de acabamento na fachada frontal. 06. K-04: Programada equipe de ainda para incio da montagem das torres de acesso em andaime. 07. UPCGN-1: Foi programada a PTT conforme pontuado pela contratada, da disciplina de caldeiraria, desmontagem da estrutura em solo e remoo de pontaletes. Obs. Fora utilizada apenas 1 PEMT. 08. SALA CISC: No K-04 a equipe de civil atuou na finalizao da pintura do hall de entrada e instalao de porta de acesso. RO aceito pela fiscalizao.</t>
  </si>
  <si>
    <t>RO-282/2025</t>
  </si>
  <si>
    <t>RO DIRIO DE OBRA - SS-16/2025 (ISOLAMENTO ACSTICO)&amp;gt;SUBSTITUIO DO ISOLAMENTO ACSTICO - [MOD: 7]PT:20963587 (HR SOLIC 07:10 | HR LIB 07:30:00 | ATRASO 00:00) - (HR ENC 16:30 | ATRASO 00:00)&amp;gt;&amp;gt; CONDIES CLIMTICAS: TEMPO BOM&amp;gt;&amp;gt;&amp;gt; IMPEDIMENTOS ACUMULADOSLIBERAO PT/PTT: 04:42 = 1,55dCONDIES CLIMTICAS: 11:45 = 1,47dPETROBRAS: 09:00 = 1,13d - SMS NO AUDITRIO 2 - TEMA: CUIDADOS NA MONTAGEM E DESMONTAGEM DE ESTRUTURAS OUTROS: 00:00 = 0,00d</t>
  </si>
  <si>
    <t>RO-281/2025</t>
  </si>
  <si>
    <t>313- LAUDO DE INSALUBRIDADE E PERICULOSIDADE - CARTA DE JUSTIFICATIVA.pdf</t>
  </si>
  <si>
    <t>Comentrio de Oreste em 26/11:Conforme previsto nos anexos de SMS e de Documentao, o prazo para apresentao do documenta 313-Laudo de Insalubridade  de 15 dias "Antes do incio dos servios", portanto, entendemos que j houve tempo suficiente para levantamento de todas as informaes necessrias e elaborao do laudo.Diante disto, o argumento de que a empresa "est em processo de reconhecimento de suas atividades nas bases UTGC e EDIVIT, bem como na definio das condies de trabalho consideradas insalubres e periculosas."  insuficiente para justificar a demora na apresentao do documento previsto em contrato.RO devolvido para que o documento definitivo seja disponibilizado com a mxima urgncia.A Fiscalizao ir avaliar os impactos da ausncia do documento e possveis aes a serem adotadas conforme previsto em contrato.</t>
  </si>
  <si>
    <t>Envio carta de justificativa de pendncia no Item 313 Laudo de Insalubridade e Periculosidade, previsto para o inicio de 2026.</t>
  </si>
  <si>
    <t>RO-277/2025</t>
  </si>
  <si>
    <t>RO DIRIO DE OBRA - SS-16/2025 (ISOLAMENTO ACSTICO)&amp;gt;SUBSTITUIO DO ISOLAMENTO ACSTICO - [MOD: 7]PT:20957458 (HR SOLIC 07:18 | HR LIB 7:48 | ATRASO 00:00) - (HR ENC 16:30 | ATRASO 00:00)&amp;gt;MONTAGEM DE ANDAIMES - [MOD: 2]PT: 20957720 (HR SOLIC 07:49 | HR LIB 08:05 | ATRASO 00:00) - (HR ENC 11:00 | ATRASO 00:00)&amp;gt;&amp;gt; CONDIES CLIMTICAS: TEMPO BOM&amp;gt;&amp;gt;&amp;gt; IMPEDIMENTOS ACUMULADOSLIBERAO PT/PTT: 04:42 = 1,55dCONDIES CLIMTICAS: 11:45 = 1,47dPETROBRAS: 08:00 = 1,00dOUTROS: 00:00 = 0,00d</t>
  </si>
  <si>
    <t>RO-276/2025</t>
  </si>
  <si>
    <t>Equipe atuando na execuo de instalao de piso ttil - BL 4 - 5 andar ao P1.</t>
  </si>
  <si>
    <t>RO DIRIO DE OBRA - SS-19/2025 (SINALIZAO DAS ESCADAS)&amp;gt;EXECUO DE INSTALAO DE PISO TTIL - BL 4 - 5 ANDAR AO P1 - [MOD: 3]PTT: 20884918 (HR SOLIC 07:18 | HR LIB 08:32 | ATRASO 00:44) - (HR ENC 16:50 | ATRASO 00:00)&amp;gt;&amp;gt; CONDIES CLIMTICAS: TEMPO BOM&amp;gt;&amp;gt;&amp;gt; IMPEDIMENTOS ACUMULADOSLIBERAO PT/PTT: 04:34 = 0,57dCONDIES CLIMTICAS: 00:00 = 0,00dPETROBRAS: 00:00 = 0,00d OUTROS: 00:00 = 0,00d</t>
  </si>
  <si>
    <t>RO-275/2025</t>
  </si>
  <si>
    <t>Equipe atuando na troca dos isolamentos acsticos das paredes das torres de resfriamento, solicitado ao Encarregado Dirceu , cuidado ao reposicionar as telas de proteo para que as mesmas no fiquem amassadas.</t>
  </si>
  <si>
    <t>RO DIRIO DE OBRA - SS-16/2025 (ISOLAMENTO ACSTICO)&amp;gt;SUBSTITUIO DO ISOLAMENTO ACSTICO - [MOD: 4]PT: 20950950 (HR SOLIC 07:04 | HR LIB 7:52 | ATRASO 00:44) - (HR ENC 16:55 | ATRASO 00:00)&amp;gt;&amp;gt; CONDIES CLIMTICAS: TEMPO BOM&amp;gt;&amp;gt;&amp;gt; IMPEDIMENTOS ACUMULADOSLIBERAO PT/PTT: 04:42 = 1,55dCONDIES CLIMTICAS: 11:45 = 1,47dPETROBRAS: 08:00 = 1,00dOUTROS: 00:00 = 0,00d</t>
  </si>
  <si>
    <t>RO-274/2025</t>
  </si>
  <si>
    <t>Equipe atuando na instalao de piso ttil do BL4 - 5 Andar ao P1.Fiscalizao se encontra ciente e de acordo.</t>
  </si>
  <si>
    <t>RO DIRIO DE OBRA - SS-19/2025 (SINALIZAO DAS ESCADAS)  &amp;gt;EXECUO DEINSTALAO DE PISO TTIL - BL 4 - 5 ANDAR AO P1 - [MOD: 3] PTT: 20884918 (HR SOLIC 07:18 | HR LIB 08:32 | ATRASO 00:44) - (HR ENC 16:50 | ATRASO 00:00)  &amp;gt;&amp;gt; CONDIES CLIMTICAS: TEMPO BOM &amp;gt;&amp;gt;&amp;gt; IMPEDIMENTOS ACUMULADOS LIBERAO PT/PTT: 05:00 = 0,63d CONDIES CLIMTICAS: 00:00 = 0,00d PETROBRAS: 00:00 = 0,00d OUTROS: 00:00 = 0,00d</t>
  </si>
  <si>
    <t>RO-273/2025</t>
  </si>
  <si>
    <t>YT7A</t>
  </si>
  <si>
    <t>FXUH</t>
  </si>
  <si>
    <t>INVENTÁRIO DE MAQUINAS SMS.xlsx; CERTIFICADO CRONOTACOGRAFO GUINDASTE 100 T.pdf; CERTIFICADO TACOGRAFO - RKO5D59 - VENC. 22.03.2026.pdf</t>
  </si>
  <si>
    <t>Documentos recebidos.</t>
  </si>
  <si>
    <t>Envio doc. CDIGO 363 - Relao de ferramentas e equipamentos e seus certificados de calibrao NR-12.</t>
  </si>
  <si>
    <t>RO-272/2025</t>
  </si>
  <si>
    <t>CÓDIGO 317 PCMAT NR -18 - CARTA APJ ENGENHARIA E CONSTRUÇÕES LTDA- REF. DOC DE SMS ITEM 3.pdf</t>
  </si>
  <si>
    <t>Documento recebido.</t>
  </si>
  <si>
    <t>Envio de carta :Justificativa de no apresentao CDIGO 317 PCMAT NR-18.</t>
  </si>
  <si>
    <t>RO-271/2025</t>
  </si>
  <si>
    <t>Os somatrios desde incio at o prazo final da SS dos acmulos de hora parada e meteorolgicas no final da SS a Petrobras ir analisar se e cabvel o abono revertido em acrscimo de dias no prazo de entrega da demanda.No dia 19/11 (quarta-feira) houve paralisao no bairro Aviso pela empresa Ektor, a empresa contratada no conseguiu acessar a unidade.Sem efetivo, atividades paralisadas.Intercorrncia em todas as demandas - 8h.RO aceito pela fiscalizao.</t>
  </si>
  <si>
    <t>RO DIRIO DE OBRA - SS-04/2025 (UPGN-2)  &amp;gt; RETIRADA DE INSERTS - [MOD: 03 | PEMT: 01] PT: (HR SOLIC 13:00 | HR LIB 14:00 | ATRASO 000:00) - (HR ENC 16:30 | ATRASO 00:00)  AS ATIVIDADES NO FORAM EXECUTADAS DEVIDO PARALIZAO NA ESTRADA PELA EMPRESA EKTOR  &amp;gt;&amp;gt; CONDIES CLIMTICAS: TEMPO BOM  &amp;gt;&amp;gt;&amp;gt; IMPEDIMENTOS ACUMULADOS LIBERAO PT/PTT: 00:00 = 0,00d CONDIES CLIMTICAS: 00:00 = 0,00d PETROBRAS: 00:00 = 0,00d OUTROS: 16:00 = 2,00d RO DIRIO DE OBRA - SS-5/2025 (SECGN)  &amp;gt;ADEQUAO DOS SUPORTES DAS CALHAS DO GALPO- [MOD: 06 | PEMT00 ] PT:(HR SOLIC 00:00 | HR LI00:00 | ATRASO 00:00) - (HR ENC 16:30 | ATRASO 00:00) &amp;gt; INSTALAO DE INFRA ESTRUTURAS ELETRICA - [MOD: 02 | PEMT: 01] PT: (HR SOLIC 00:00 | HR LIB 00:00 | ATRASO 00:00) - (HR ENC 16:30 | ATRASO 00:00) AS ATIVIDADES NO FORAM EXECUTADAS DEVIDO PARALIZAO NA ESTRADA PELA EMPRESA EKTOR  &amp;gt;&amp;gt; CONDIES CLIMTICAS:: TEMPO BOM  &amp;gt;&amp;gt;&amp;gt; IMPEDIMENTOS ACUMULADOS LIBERAO PT/PTT: 10:29 = 1,19d CONDIES CLIMTICAS: 36:50 = 3,85d PETROBRAS: 05:30 = 0,81d OUTROS: 24:00 = 3,00d  RO DIRIO DE OBRA - SS-6/2025 (GALPO K-14)  &amp;gt; INSTALAO DA PARTE SUPERIOR DO GALPO - [MOD: 05| PEMT-01] PT:(HR SOLIC 00:00 | HR LIB 00:00 | ATRASO 000:00) - (HR ENC 16:30 | ATRASO 00:00  &amp;gt; TRATAMENTO E PINTUTA DA ESTRUTURA DE CONCRETO - [MOD: 02| PEMT-0] PT: (HR SOLIC 00:00 | HR LIB 00:00| ATRASO 00:00) - (HR ENC 16:30 | ATRASO 00:00  AS ATIVIDADES NO FORAM EXECUTADAS DEVIDO PARALIZAO NA ESTRADA PELA EMPRESA EKTOR  &amp;gt;&amp;gt; CONDIES CLIMTICAS:TEMPO BOM  &amp;gt;&amp;gt;&amp;gt; IMPEDIMENTOS ACUMULADOS LIBERAO PT/PTT: 06:43 = 0,83d CONDIES CLIMTICAS: 00:00 = 0,00d PETROBRAS: 00:00 = 0,00d OUTROS: 24:00 = 3,00d RO DIRIO DE OBRA - SS-7/2025 (GALPO K-15)  &amp;gt;RELIZANDO APERTOS E ADEQUAES NAS ESTRUTURAS METALICAS [MOD: 04 | PEMT: 1] PT(HR SOLIC 00:00 | HR LIB 00:00| ATRASO 00:00) - (HR ENC 16:30 | ATRASO 00:00)  &amp;gt;RELIZANDO ADEQUAES NOS ESTIRANTES [MOD: 02| PEMT: 0] PT: (HR SOLIC 00:00 | HR LIB 00:00| ATRASO 00:00) - (HR ENC 16:30 | ATRASO 00:0  AS ATIVIDADES NO FORAM EXECUTADAS DEVIDO PARALIZAO NA ESTRADA PELA EMPRESA EKTOR  &amp;gt;&amp;gt; CONDIES CLIMTICAS:TEMPO BOM  &amp;gt;&amp;gt;&amp;gt; IMPEDIMENTOS ACUMULADOS LIBERAO PT/PTT: 10:23 = 1,19d CONDIES CLIMTICAS: 14:50 = 0,84d PETROBRAS: 00:00 = 0,00d OUTROS: 24:00 = 3,00d RO DIRIO DE OBRA - SS-9/2025 (UPGN-3)  &amp;gt; REALIZANDO INSTALAO DE VENEZIANAS LATERAIS - [MOD: 04| PEMT-01] PT:(HR SOLIC 00:00| HR LIB 00:00 | ATRASO 00:00) - (HR ENC 16:30 | ATRASO 00:00)  &amp;gt; REALIZANDO ADEQUAO DO SISTEMA ELETRICO DO GALPO - [MOD: 02| PEMT-0] PT:(HR SOLIC 00:00 | HR LIB 00:00 | ATRASO 00:00) - (HR ENC 16:30 | ATRASO 00:00 AS ATIVIDADES NO FORAM EXECUTADAS DEVIDO PARALIZAO NA ESTRADA PELA EMPRESA EKTOR  &amp;gt;&amp;gt; CONDIES CLIMTICAS::TEMPO BOM &amp;gt;&amp;gt;&amp;gt; IMPEDIMENTOS ACUMULADOS LIBERAO PT/PTT: 18:31= 2,86d CONDIES CLIMTICAS: 38:20 = 4,24d PETROBRAS: 00:00 = 0,00d OUTROS: 24:00 = 3,00d  RO DIRIO DE OBRA - SS-11/2025 (UPCGN-1)  &amp;gt; DESMONTAGEM DOS PERFIS E RETIRADA DE TELHAS E RETIRADA DE INSERTS - [MOD: 05 | PEMT: 02] PT (HR SOLIC 00:00 | HR LIB 00:00 | ATRASO 00:00) - (HR ENC 16:30 | ATRASO 00:00) &amp;gt;&amp;gt; CONDIES CLIMTICAS: TEMPO BOM  &amp;gt;&amp;gt;&amp;gt; IMPEDIMENTOS ACUMULADOS LIBERAO PT/PTT: 07:26 = 0,83d CONDIES CLIMTICAS: 61:11 = 6,25d PETROBRAS: 00:00 = 0,00d OUTROS: 24:00 = 3,00d RO DIRIO DE OBRA - SS-18/2025 (ADEQUAO DA SALA DE MONITORAMENTO N1 CISC)&amp;gt;REFORMA DA SALA INTERNA DO K-04 (ANTIGA SALA TIC) - [MOD: 04 | PEMT: 0]PT: (HR SOLIC 00:00| HR LIB 00:00 | ATRASO 00:00) - (HR ENC 16:30 | ATRASO 00:00 &amp;gt;MONTAGEM DE CAVALETES PARA ISOLAMENTO DAS ATIVIDADES- [MOD: 03 | PEMT: 0]PT: (HR SOLIC 00:00| HR LIB 00:00 | ATRASO 00:00) - (HR ENC 16:30 | ATRASO 00:00 AS ATIVIDADES NO FORAM EXECUTADAS DEVIDO PARALIZAO NA ESTRADA PELA EMPRESA EKTOR  &amp;gt;&amp;gt; CONDIES CLIMTICAS: TEMPO BOM  &amp;gt;&amp;gt;&amp;gt; IMPEDIMENTOS ACUMULADOS LIBERAO PT/PTT: 00:00 = 0,00d CONDIES CLIMTICAS: 00:00 = 0,00d PETROBRAS: 00:00 = 0,00d OUTROS: 24:00 = 3,00</t>
  </si>
  <si>
    <t>RO-257/2025</t>
  </si>
  <si>
    <t>Os somatrios desde incio at o prazo final da SS dos acmulos de hora parada e meteorolgicas no final da SS a Petrobras ir analisar se e cabvel o abono revertido em acrscimo de dias no prazo de entrega da demanda.No dia 18/11 (tera-feira) houve paralisao no bairro Aviso pela empresa Ektor e pela comunidade Quilombola, a empresa contratada no conseguiu acessar a unidade.Sem efetivo, atividades paralisadas.Intercorrncia em todas as demandas - 8h.RO aceito pela fiscalizao.</t>
  </si>
  <si>
    <t>RO DIRIO DE OBRA - SS-04/2025 (UPGN-2)  &amp;gt; RETIRADA DE INSERTS - [MOD: 03 | PEMT: 01] PT: (HR SOLIC 13:00 | HR LIB 14:00 | ATRASO 000:00) - (HR ENC 16:30 | ATRASO 00:00)  AS ATIVIDADES NO FORAM EXECUTADAS DEVIDO PARALIZAO NA ESTRADA PELA EMPRESA EKTOR  &amp;gt;&amp;gt; CONDIES CLIMTICAS: TEMPO BOM  &amp;gt;&amp;gt;&amp;gt; IMPEDIMENTOS ACUMULADOS LIBERAO PT/PTT: 00:00 = 0,00d CONDIES CLIMTICAS: 00:00 = 0,00d PETROBRAS: 00:00 = 0,00d OUTROS: 08:00 = 1,00d  RO DIRIO DE OBRA - SS-5/2025 (SECGN)  &amp;gt;ADEQUAO DOS SUPORTES DAS CALHAS DO GALPO- [MOD: 06 | PEMT00 ] PT:(HR SOLIC 00:00 | HR LI00:00 | ATRASO 00:00) - (HR ENC 16:30 | ATRASO 00:00) &amp;gt; INSTALAO DE INFRA ESTRUTURAS ELETRICA - [MOD: 02 | PEMT: 01] PT: (HR SOLIC 00:00 | HR LIB 00:00 | ATRASO 00:00) - (HR ENC 16:30 | ATRASO 00:00) AS ATIVIDADES NO FORAM EXECUTADAS DEVIDO PARALIZAO NA ESTRADA PELA EMPRESA EKTOR  &amp;gt;&amp;gt; CONDIES CLIMTICAS:: TEMPO BOM  &amp;gt;&amp;gt;&amp;gt; IMPEDIMENTOS ACUMULADOS LIBERAO PT/PTT: 10:29 = 1,19d CONDIES CLIMTICAS: 36:50 = 3,85d PETROBRAS: 05:30 = 0,81d OUTROS: 16:00 = 2,00d   RO DIRIO DE OBRA - SS-6/2025 (GALPO K-14)  &amp;gt; INSTALAO DA PARTE SUPERIOR DO GALPO - [MOD: 05| PEMT-01] PT:(HR SOLIC 00:00 | HR LIB 00:00 | ATRASO 000:00) - (HR ENC 16:30 | ATRASO 00:00  &amp;gt; TRATAMENTO E PINTUTA DA ESTRUTURA DE CONCRETO - [MOD: 02| PEMT-0] PT: (HR SOLIC 00:00 | HR LIB 00:00| ATRASO 00:00) - (HR ENC 16:30 | ATRASO 00:00  AS ATIVIDADES NO FORAM EXECUTADAS DEVIDO PARALIZAO NA ESTRADA PELA EMPRESA EKTOR  &amp;gt;&amp;gt; CONDIES CLIMTICAS::TEMPO BOM  &amp;gt;&amp;gt;&amp;gt; IMPEDIMENTOS ACUMULADOS LIBERAO PT/PTT: 06:43 = 0,83d CONDIES CLIMTICAS: 00:00 = 0,00d PETROBRAS: 00:00 = 0,00d OUTROS: 16:00 = 2,00d RO DIRIO DE OBRA - SS-7/2025 (GALPO K-15)  &amp;gt;RELIZANDO APERTOS E ADEQUAES NAS ESTRUTURAS METALICAS [MOD: 04 | PEMT: 1] PT(HR SOLIC 00:00 | HR LIB 00:00| ATRASO 00:00) - (HR ENC 16:30 | ATRASO 00:00)  &amp;gt;RELIZANDO ADEQUAES NOS ESTIRANTES [MOD: 02| PEMT: 0] PT: (HR SOLIC 00:00 | HR LIB 00:00| ATRASO 00:00) - (HR ENC 16:30 | ATRASO 00:0  AS ATIVIDADES NO FORAM EXECUTADAS DEVIDO PARALIZAO NA ESTRADA PELA EMPRESA EKTOR  &amp;gt;&amp;gt; CONDIES CLIMTICAS:TEMPO BOM  &amp;gt;&amp;gt;&amp;gt; IMPEDIMENTOS ACUMULADOS LIBERAO PT/PTT: 10:23 = 1,19d CONDIES CLIMTICAS: 14:50 = 0,84d PETROBRAS: 00:00 = 0,00d OUTROS: 16:00 = 2,00d RO DIRIO DE OBRA - SS-9/2025 (UPGN-3)  &amp;gt; REALIZANDO INSTALAO DE VENEZIANAS LATERAIS - [MOD: 04| PEMT-01] PT:(HR SOLIC 00:00| HR LIB 00:00 | ATRASO 00:00) - (HR ENC 16:30 | ATRASO 00:00)  &amp;gt; REALIZANDO ADEQUAO DO SISTEMA ELETRICO DO GALPO - [MOD: 02| PEMT-0] PT:(HR SOLIC 00:00 | HR LIB 00:00 | ATRASO 00:00) - (HR ENC 16:30 | ATRASO 00:00 AS ATIVIDADES NO FORAM EXECUTADAS DEVIDO PARALIZAO NA ESTRADA PELA EMPRESA EKTOR  &amp;gt;&amp;gt; CONDIES CLIMTICAS::TEMPO BOM &amp;gt;&amp;gt;&amp;gt; IMPEDIMENTOS ACUMULADOS LIBERAO PT/PTT: 18:31= 2,86d CONDIES CLIMTICAS: 38:20 = 4,24d PETROBRAS: 00:00 = 0,00d OUTROS: 16:00 = 2,00d RO DIRIO DE OBRA - SS-11/2025 (UPCGN-1)  &amp;gt; DESMONTAGEM DOS PERFIS E RETIRADA DE TELHAS E RETIRADA DE INSERTS - [MOD: 05 | PEMT: 02] PT (HR SOLIC 00:00 | HR LIB 00:00 | ATRASO 00:00) - (HR ENC 16:30 | ATRASO 00:00) &amp;gt;&amp;gt; CONDIES CLIMTICAS: TEMPO BOM  &amp;gt;&amp;gt;&amp;gt; IMPEDIMENTOS ACUMULADOS LIBERAO PT/PTT: 07:26 = 0,83d CONDIES CLIMTICAS: 61:11 = 6,25d PETROBRAS: 00:00 = 0,00d OUTROS: 16:00 = 2,00d  RO DIRIO DE OBRA - SS-18/2025 (ADEQUAO DA SALA DE MONITORAMENTO N1 CISC)  &amp;gt;REFORMA DA SALA INTERNA DO K-04 (ANTIGA SALA TIC) - [MOD: 04 | PEMT: 0] PT: (HR SOLIC 00:00| HR LIB 00:00 | ATRASO 00:00) - (HR ENC 16:30 | ATRASO 00:00   &amp;gt;MONTAGEM DE CAVALETES PARA ISOLAMENTO DAS ATIVIDADES- [MOD: 03 | PEMT: 0] PT: (HR SOLIC 00:00| HR LIB 00:00 | ATRASO 00:00) - (HR ENC 16:30 | ATRASO 00:00  AS ATIVIDADES NO FORAM EXECUTADAS DEVIDO PARALIZAO NA ESTRADA PELA EMPRESA EKTOR   &amp;gt;&amp;gt; CONDIES CLIMTICAS: TEMPO BOM  &amp;gt;&amp;gt;&amp;gt; IMPEDIMENTOS ACUMULADOS LIBERAO PT/PTT: 00:00 = 0,00d CONDIES CLIMTICAS: 00:00 = 0,00d PETROBRAS: 00:00 = 0,00d OUTROS: 16:00 = 2,00</t>
  </si>
  <si>
    <t>RO-256/2025</t>
  </si>
  <si>
    <t>Os somatrios desde incio at o prazo final da SS dos acmulos de hora parada e meteorolgicas no final da SS a Petrobras ir analisar se e cabvel o abono revertido em acrscimo de dias no prazo de entrega da demanda.No dia 17/11 (segunda-feira) houve paralisao no bairro Aviso da empresa Ektor,, a fiscalizao conseguiu acessar a unidade.As atividades iniciaram com atraso.1. UPCGN-1:Foi programada a PTT conforme pontuado pela contratada, da disciplina de caldeiraria, remoo dos pontaletes do fechamento lateral e desmontagem da estrutura em solo.2. SECGN:PT de pintura foi programada, pois a contratada regularizou as bolsas para transporte solicitadas pelo SMS Petrobrs, mas a equipe no atuou na atividade e a PT foi cancelada pela operao (PT 20.865.640).A equipe de caldeiraria (iratas) dando sequncia na montagem da estrutura, com PT e uso de talha.Equipe de eltrica dando incio na atividade de adequao da rede eltrica do galpo.3. UPGN-3:Foi programada as PTT's de caldeiraria convencional, eltrica, pintura e irata.As equipes se dividiram no galpo, caldeiraria atuou na instalao das venezianas; a eltrica atuou na passagem dos circuitos e cabeamento das tomadas do galpo at o painel.Os iratas atuaram na instalao de perfis da cobertura (PTT) e a equipe de pintura atuou nos retoques da passarela (PTT).4. K-15:Equipe de caldeiraria atuou na montagem das estruturas metlicas, foi programado o apoio do guindaste, mas a atividade demorou para iniciar, o que no deu tempo para utilizar o guindaste que estava atendendo outra demanda.05. K-04:No K-04 a equipe de civil atuou na instalao de roda forro e tratamento das paredes internas da sala.Faltou anexar a SS do K-04 no RDO.6. K-14:Equipe de caldeiraria atuou na montagem das estruturas metlicas.Equipe de pintura atuou no tratamento da estrutura do galpo.Foi programada a PT de andaimes (20.913.441), mas a equipe no atuou (falta de materiais e mo de obra).7. UPGN-2:Incio da demanda!Equipe de caldeiraria atuou na mobilizao dos equipamentos para a rea.RO aceito pela fiscalizao.</t>
  </si>
  <si>
    <t>RO DIRIO DE OBRA - SS-04/2025 (UPGN-2)  &amp;gt; RETIRADA DE INSERTS - [MOD: 03 | PEMT: 01] PT:20923215 (HR SOLIC 13:00 | HR LIB 14:00 | ATRASO 000:00) - (HR ENC 16:30 | ATRASO 00:00)  &amp;gt;&amp;gt; CONDIES CLIMTICAS: TEMPO BOM  &amp;gt;&amp;gt;&amp;gt; IMPEDIMENTOS ACUMULADOS LIBERAO PT/PTT: 00:00 = 0,00d CONDIES CLIMTICAS: 00:00 = 0,00d PETROBRAS: 00:00 = 0,00d OUTROS: 00:00 = 0,00d  RO DIRIO DE OBRA - SS-5/2025 (SECGN)  &amp;gt;ADEQUAO DOS SUPORTES DAS CALHAS DO GALPO- [MOD: 06 | PEMT00 ] PT:2091348 (HR SOLIC 08:00 | HR LIB 09:50 | ATRASO 01:20) - (HR ENC 16:30 | ATRASO 00:00)  &amp;gt; INSTALAO DE INFRA ESTRUTURAS ELETRICA - [MOD: 02 | PEMT: 01] PT: 20913488 (HR SOLIC 08:00 | HR LIB 13:00 | ATRASO 04:30) - (HR ENC 16:30 | ATRASO 00:00)  &amp;gt;&amp;gt; CONDIES CLIMTICAS:: TEMPO BOM  &amp;gt;&amp;gt;&amp;gt; IMPEDIMENTOS ACUMULADOS LIBERAO PT/PTT: 10:29 = 1,19d CONDIES CLIMTICAS: 36:50 = 3,85d PETROBRAS: 05:30 = 0,81d OUTROS: 08:00 = 1,00d  RO DIRIO DE OBRA - SS-6/2025 (GALPO K-14)  &amp;gt; INSTALAO DA PARTE SUPERIOR DO GALPO - [MOD: 05| PEMT-01] PT:20913426(HR SOLIC 08:00 | HR LIB 10:10 | ATRASO 01:40) - (HR ENC 16:30 | ATRASO 00:00  &amp;gt; TRATAMENTO E PINTUTA DA ESTRUTURA DE CONCRETO - [MOD: 02| PEMT-0] PT:20913416 (HR SOLIC 08:00 | HR LIB 10:00| ATRASO 01:30) - (HR ENC 16:30 | ATRASO 00:00  &amp;gt;&amp;gt; CONDIES CLIMTICAS::TEMPO BOM  &amp;gt;&amp;gt;&amp;gt; IMPEDIMENTOS ACUMULADOS LIBERAO PT/PTT: 06:43 = 0,83d CONDIES CLIMTICAS: 00:00 = 0,00d PETROBRAS: 00:00 = 0,00d OUTROS: 08:00 = 1,00d RO DIRIO DE OBRA - SS-7/2025 (GALPO K-15)  &amp;gt;RELIZANDO APERTOS E ADEQUAES NAS ESTRUTURAS METALICAS [MOD: 04 | PEMT: 1] PT:20913993 (HR SOLIC 08:00 | HR LIB 09:58| ATRASO 01:28) - (HR ENC 16:30 | ATRASO 00:00) &amp;gt;&amp;gt; CONDIES CLIMTICAS:TEMPO BOM  &amp;gt;&amp;gt;&amp;gt; IMPEDIMENTOS ACUMULADOS LIBERAO PT/PTT: 10:23 = 1,19d CONDIES CLIMTICAS: 14:50 = 0,84d PETROBRAS: 00:00 = 0,00d OUTROS: 08:00 = 1,00d_________________________________________________________________________-RO DIRIO DE OBRA - SS-9/2025 (UPGN-3)  &amp;gt; REALIZANDO INSTALAO DE VENEZIANAS LATERAIS - [MOD: 04| PEMT-01] PT:20867402 (HR SOLIC 08:00| HR LIB 10:00 | ATRASO 01:30) - (HR ENC 16:30 | ATRASO 00:00)  &amp;gt; REALIZANDO ADEQUAO DO SISTEMA ELETRICO DO GALPO - [MOD: 02| PEMT-0] PT:20867427(HR SOLIC 08:00 | HR LIB 09:55 | ATRASO 01:25) - (HR ENC 16:30 | ATRASO 00:00  &amp;gt;&amp;gt; CONDIES CLIMTICAS::TEMPO BOM  &amp;gt;&amp;gt;&amp;gt; IMPEDIMENTOS ACUMULADOS LIBERAO PT/PTT: 18:31= 2,86d CONDIES CLIMTICAS: 38:20 = 4,24d PETROBRAS: 00:00 = 0,00d OUTROS: 08:00 = 1,00d RO DIRIO DE OBRA - SS-11/2025 (UPCGN-1)  &amp;gt; DESMONTAGEM DOS PERFIS E RETIRADA DE TELHAS E RETIRADA DE INSERTS - [MOD: 05 | PEMT: 02] PT:20867560 (HR SOLIC 08:00 | HR LIB 10:00 | ATRASO 01:30) - (HR ENC 16:30 | ATRASO 00:00) &amp;gt;&amp;gt; CONDIES CLIMTICAS: TEMPO BOM  &amp;gt;&amp;gt;&amp;gt; IMPEDIMENTOS ACUMULADOS LIBERAO PT/PTT: 07:26 = 0,83d CONDIES CLIMTICAS: 61:11 = 6,25d PETROBRAS: 00:00 = 0,00d OUTROS: 08:00 = 1,00d RO DIRIO DE OBRA - SS-18/2025 (ADEQUAO DA SALA DE MONITORAMENTO N1 CISC)&amp;gt;REFORMA DA SALA INTERNA DO K-04 (ANTIGA SALA TIC) - [MOD: 04 | PEMT: 0]PT: 20922040(HR SOLIC 10:01| HR LIB 10:10 | ATRASO 00:00) - (HR ENC 16:30 | ATRASO 00:00 &amp;gt;MONTAGEM DE CAVALETES PARA ISOLAMENTO DAS ATIVIDADES- [MOD: 03 | PEMT: 0]PT:20871373 (HR SOLIC 08:00| HR LIB 08:00 | ATRASO 00:00) - (HR ENC 16:30 | ATRASO 00:00 &amp;gt;&amp;gt; CONDIES CLIMTICAS: TEMPO BOM  &amp;gt;&amp;gt;&amp;gt; IMPEDIMENTOS ACUMULADOS LIBERAO PT/PTT: 00:00 = 0,00d CONDIES CLIMTICAS: 00:00 = 0,00d PETROBRAS: 00:00 = 0,00d OUTROS: 08:00 = 1,00</t>
  </si>
  <si>
    <t>RO-255/2025</t>
  </si>
  <si>
    <t>Ata Reunião Mensal de Medição-APJ Engenharia - Novembro 25 - Assinado.pdf; BM-03-NOV-2025-EDIVIT-UNIFICADO-26-10-2025_A_25-11-2025_REV02.xlsx; BM-03-NOV-2025-EDIVIT-UNIFICADO-26-10-2025_A_25-11-2025_REV02.pdf; MC-BM-03-NOV-2025-EDIVIT-UNIFICADO-26-10-2025_A_25-11-2025_REV02.pdf; Planilha IDF Nov 25.xlsx</t>
  </si>
  <si>
    <t>153,964</t>
  </si>
  <si>
    <t>Pleito de medio encontra se conforme e validado pela fiscalizao.</t>
  </si>
  <si>
    <t>Segue pleito de medio 003 referente ao EDIVIT.</t>
  </si>
  <si>
    <t>RO-244/2025</t>
  </si>
  <si>
    <t>1.120,423</t>
  </si>
  <si>
    <t>1.247,134</t>
  </si>
  <si>
    <t>228,239</t>
  </si>
  <si>
    <t>83,420</t>
  </si>
  <si>
    <t>BM-03-NOV-2025-UTGC-UNIFICADO-26-10-2025 A 25-11-2025-REV04 - samc.xlsx; MC-03-NOV-2025-UTGC-UNIFICADO-26-10-2025 A 25-11-2025-REV04.xlsx; Planilha IDF Novembro 2025.xlsx; BM-03-NOV-2025-UTGC-UNIFICADO-26-10-2025 A 25-11-2025-REV04.pdf; MC-03-NOV-2025-UTGC-UNIFICADO-26-10-2025 A 25-11-2025-REV04.pdf; ATA DE REUNIÃO APJ - NOVEMBRO 2025.pdf</t>
  </si>
  <si>
    <t>3,165</t>
  </si>
  <si>
    <t>Medio analisada e confirmada pela Fiscalizao de campo e equipe de Soluo.RO aceito.</t>
  </si>
  <si>
    <t>Segue pleito de medio 003 referente a UTGC</t>
  </si>
  <si>
    <t>RO-243/2025</t>
  </si>
  <si>
    <t>11,580</t>
  </si>
  <si>
    <t>198,720</t>
  </si>
  <si>
    <t>714,570</t>
  </si>
  <si>
    <t>950,572</t>
  </si>
  <si>
    <t>7.129,870</t>
  </si>
  <si>
    <t>352,180</t>
  </si>
  <si>
    <t>296,820</t>
  </si>
  <si>
    <t>30,0</t>
  </si>
  <si>
    <t>50,0</t>
  </si>
  <si>
    <t>694,450</t>
  </si>
  <si>
    <t>1001328806 30</t>
  </si>
  <si>
    <t>771,420</t>
  </si>
  <si>
    <t>ISRAEL DOS SANTOS.zip; LUIZ CARLOS LOPES.zip; MARCIO AUGUSTO RAMOS GALDINO (2).zip</t>
  </si>
  <si>
    <t>Prezados, bom dia.Segue documentao pessoal dos colaboradores da subcontratada TORRES DO BRASIL:ISRAEL DOS SANTOSLUIZ CARLOS LOPESMARCIO AUGUSTO RAMOS GALDINO</t>
  </si>
  <si>
    <t>RO-239/2025</t>
  </si>
  <si>
    <t>BRASNOX DM-50 (1).PDF; FISPQ resinas.pdf</t>
  </si>
  <si>
    <t>Documentos recebidos.Gentileza repassar ao TST de campo da fiscalizao.</t>
  </si>
  <si>
    <t>Envio doc. CDIGO -372 FDS - Ficha Dados de Segurana dos produtos da empresa TORRE RESFRIAMENTO DO BRASIL.</t>
  </si>
  <si>
    <t>RO-238/2025</t>
  </si>
  <si>
    <t>PGR - TORRE DE RESFRIAMENTO DO BRASIL - PETROBRAS - NOV 2025. (2).pdf; LV PGR TORRES BRASIL 17 11 2025 2025 2ª AV.pdf; PCMSO - TORRE DE RESFRIAMENTO BRASIL - PETROBRAS - NOV. 2025 (2).pdf; LV PCMSO TORRE DE RESFRIAMENTO 17 11 2025  2ª AV.pdf</t>
  </si>
  <si>
    <t>Documentos arquivados e conforme contratada, esto aprovados.Aguardo envio da documentao pessoal e profissional dos colaboradores.</t>
  </si>
  <si>
    <t>Envio dos programas, 310 PCMSO e 311 PGR da empresa TORRE RESFRIAMENTO DO BRASILe suas respectivas LVs para avaliao.</t>
  </si>
  <si>
    <t>RO-236/2025</t>
  </si>
  <si>
    <t>RO DIRIO DE OBRA - SS-5/2025 (SECGN)SEM EXPEDIENTE &amp;gt;&amp;gt; CONDIES CLIMTICAS:: TEMPO BOM  &amp;gt;&amp;gt;&amp;gt; IMPEDIMENTOS ACUMULADOS LIBERAO PT/PTT: 04:39 = 0,46d CONDIES CLIMTICAS: 36:50 = 3,85d PETROBRAS: 05:30 = 0,81d OUTROS: 08:00 = 1,00d RO DIRIO DE OBRA - SS-6/2025 (GALPO K-14)SEM EXPEDIENTE &amp;gt;&amp;gt; CONDIES CLIMTICAS::TEMPO BOM  &amp;gt;&amp;gt;&amp;gt; IMPEDIMENTOS ACUMULADOS LIBERAO PT/PTT: 03:33 = 0,44d CONDIES CLIMTICAS: 00:00 = 0,00d PETROBRAS: 00:00 = 0,00d OUTROS: 08:00 = 1,00d  RO DIRIO DE OBRA - SS-7/2025 (GALPO K-15) SEM EXPEDIENTE &amp;gt;&amp;gt; CONDIES CLIMTICAS:TEMPO BOM  &amp;gt;&amp;gt;&amp;gt; IMPEDIMENTOS ACUMULADOS LIBERAO PT/PTT: 08:55 = 1,01d CONDIES CLIMTICAS: 14:50 = 0,84d PETROBRAS: 00:00 = 0,00d OUTROS: 08:00 = 1,00d RO DIRIO DE OBRA - SS-9/2025 (UPGN-3)SEM EXPEDIENTE &amp;gt;&amp;gt; CONDIES CLIMTICAS::TEMPO BOM  &amp;gt;&amp;gt;&amp;gt; IMPEDIMENTOS ACUMULADOS LIBERAO PT/PTT: 15:36= 2,49d CONDIES CLIMTICAS: 38:20 = 4,24d PETROBRAS: 00:00 = 0,00d OUTROS: 08:00 = 1,00d RO DIRIO DE OBRA - SS-11/2025 (UPCGN-1)SEM EXPEDIENTE &amp;gt;&amp;gt; CONDIES CLIMTICAS: TEMPO BOM  &amp;gt;&amp;gt;&amp;gt; IMPEDIMENTOS ACUMULADOS LIBERAO PT/PTT: 05:56 = 0,74d CONDIES CLIMTICAS: 61:11 = 6,25d PETROBRAS: 00:00 = 0,00d OUTROS: 08:00 = 1,00d RO DIRIO DE OBRA - SS-18/2025 (ADEQUAO DA SALA DE MONITORAMENTO N1 CISC) &amp;gt;REFORMA DA SALA INTERNA DO K-04 (ANTIGA SALA TIC) - [MOD: 04 | PEMT: 0]PT: (HR SOLIC 00:00| HR LIB 00:00 | ATRASO 00:00) - (HR ENC 16:30 | ATRASO 00:00&amp;gt;MONTAGEM DE CAVALETES PARA ISOLAMENTO DAS ATIVIDADES- [MOD: 03 | PEMT: 0]PT: (HR SOLIC 00:00| HR LIB 00:00 | ATRASO 00:00) - (HR ENC 16:30 | ATRASO 00:00SEM EXPEDIENTE &amp;gt;&amp;gt; CONDIES CLIMTICAS:: TEMPO BOM  &amp;gt;&amp;gt;&amp;gt; IMPEDIMENTOS ACUMULADOS LIBERAO PT/PTT: 00:00 = 0,00d CONDIES CLIMTICAS: 00:00 = 0,00d PETROBRAS: 00:00 = 0,00d OUTROS: 08:00 = 1,00d</t>
  </si>
  <si>
    <t>RO-227/2025</t>
  </si>
  <si>
    <t>Os somatrios desde incio at o prazo final da SS dos acmulos de hora parada e meteorolgicas no final da SS a Petrobras ir analisar se e cabvel o abono revertido em acrscimo de dias no prazo de entrega da demanda.Final de semana (sbado e feriado) equipe administrativa no atuou nas atividades administrativas de mobilizao geral. Sem atividades.Sem efetivo de mo de obra direta para prosseguir com a execuo.RO aceito pela fiscalizao.</t>
  </si>
  <si>
    <t>RO DIRIO DE OBRA - SS-5/2025 (SECGN)SEM EXPEDIENTE &amp;gt;&amp;gt; CONDIES CLIMTICAS:: TEMPO BOM  &amp;gt;&amp;gt;&amp;gt; IMPEDIMENTOS ACUMULADOS LIBERAO PT/PTT: 04:39 = 0,46d CONDIES CLIMTICAS: 36:50 = 3,85d PETROBRAS: 05:30 = 0,81d OUTROS: 08:00 = 1,00d RO DIRIO DE OBRA - SS-6/2025 (GALPO K-14)SEM EXPEDIENTE &amp;gt;&amp;gt; CONDIES CLIMTICAS::TEMPO BOM  &amp;gt;&amp;gt;&amp;gt; IMPEDIMENTOS ACUMULADOS LIBERAO PT/PTT: 03:33 = 0,44d CONDIES CLIMTICAS: 00:00 = 0,00d PETROBRAS: 00:00 = 0,00d OUTROS: 08:00 = 1,00d  RO DIRIO DE OBRA - SS-7/2025 (GALPO K-15) SEM EXPEDIENTE &amp;gt;&amp;gt; CONDIES CLIMTICAS:TEMPO BOM  &amp;gt;&amp;gt;&amp;gt; IMPEDIMENTOS ACUMULADOS LIBERAO PT/PTT: 08:55 = 1,01d CONDIES CLIMTICAS: 14:50 = 0,84d PETROBRAS: 00:00 = 0,00d OUTROS: 08:00 = 1,00d RO DIRIO DE OBRA - SS-9/2025 (UPGN-3)SEM EXPEDIENTE &amp;gt;&amp;gt; CONDIES CLIMTICAS::TEMPO BOM  &amp;gt;&amp;gt;&amp;gt; IMPEDIMENTOS ACUMULADOS LIBERAO PT/PTT: 15:36= 2,49d CONDIES CLIMTICAS: 38:20 = 4,24d PETROBRAS: 00:00 = 0,00d OUTROS: 08:00 = 1,00d RO DIRIO DE OBRA - SS-11/2025 (UPCGN-1)SEM EXPEDIENTE &amp;gt;&amp;gt; CONDIES CLIMTICAS: TEMPO BOM  &amp;gt;&amp;gt;&amp;gt; IMPEDIMENTOS ACUMULADOS LIBERAO PT/PTT: 05:56 = 0,74d CONDIES CLIMTICAS: 61:11 = 6,25d PETROBRAS: 00:00 = 0,00d OUTROS: 08:00 = 1,00d RO DIRIO DE OBRA - SS-18/2025 (ADEQUAO DA SALA DE MONITORAMENTO N1 CISC)&amp;gt;REFORMA DA SALA INTERNA DO K-04 (ANTIGA SALA TIC) - [MOD: 04 | PEMT: 0]PT: (HR SOLIC 00:00| HR LIB 00:00 | ATRASO 00:00) - (HR ENC 16:30 | ATRASO 00:00&amp;gt;MONTAGEM DE CAVALETES PARA ISOLAMENTO DAS ATIVIDADES- [MOD: 03 | PEMT: 0]PT: (HR SOLIC 00:00| HR LIB 00:00 | ATRASO 00:00) - (HR ENC 16:30 | ATRASO 00:00SEM EXPEDIENTE&amp;gt;&amp;gt; CONDIES CLIMTICAS:: TEMPO BOM&amp;gt;&amp;gt;&amp;gt; IMPEDIMENTOS ACUMULADOSLIBERAO PT/PTT: 00:00 = 0,00dCONDIES CLIMTICAS: 00:00 = 0,00dPETROBRAS: 00:00 = 0,00dOUTROS: 08:00 = 1,00d</t>
  </si>
  <si>
    <t>RO-226/2025</t>
  </si>
  <si>
    <t>Os somatrios desde incio at o prazo final da SS dos acmulos de hora parada e meteorolgicas no final da SS a Petrobras ir analisar se e cabvel o abono revertido em acrscimo de dias no prazo de entrega da demanda.No dia 14/11 (sexta-feira) houve paralisao no bairro Aviso da empresa Ektor, a empresa contratada no conseguiu acessar a unidade.Sem efetivo, atividades paralisadas.RO aceito pela fiscalizao.</t>
  </si>
  <si>
    <t>RO DIRIO DE OBRA - SS-5/2025 (SECGN)  &amp;gt;ADEQUAO DOS SUPORTES DAS CALHAS DO GALPO- [MOD: 06 | PEMT00 ] PT: (HR SOLIC 00:00 | HR LIB 00:00 | ATRASO 00:00) - (HR ENC 16:30 | ATRASO 00:00) &amp;gt; INSTALAO DE INFRA ESTRUTURAS ELETRICA - [MOD: 02 | PEMT: 01] PT: (HR SOLIC 00:00 | HR LIB 00:00 | ATRASO 00:00) - (HR ENC 16:30 | ATRASO 00:00)  AS ATIVIDADES NO FORAM EXECUTADAS DEVIDO PARALIZAO NA ESTRADA PELA EMPRESA EKTOR  &amp;gt;&amp;gt; CONDIES CLIMTICAS:: TEMPO BOM  &amp;gt;&amp;gt;&amp;gt; IMPEDIMENTOS ACUMULADOS LIBERAO PT/PTT: 04:39 = 0,46d CONDIES CLIMTICAS: 36:50 = 3,85d PETROBRAS: 05:30 = 0,81d OUTROS: 08:00 = 1,00d RO DIRIO DE OBRA - SS-6/2025 (GALPO K-14)  &amp;gt; INSTALAO DA PARTE SUPERIOR DO GALPO - [MOD: 05| PEMT-01] PT: (HR SOLIC 00:00 | HR LIB 00:00 | ATRASO 01:43) - (HR ENC 16:30 | ATRASO 00:00  &amp;gt; TRATAMENTO E PINTUTA DA ESTRUTURA DE CONCRETO - [MOD: 02| PEMT-0] PT: (HR SOLIC 00:00 | HR LIB 00:00| ATRASO 01:50) - (HR ENC 16:30 | ATRASO 00:00  AS ATIVIDADES NO FORAM EXECUTADAS DEVIDO PARALIZAO NA ESTRADA PELA EMPRESA EKTOR  &amp;gt;&amp;gt; CONDIES CLIMTICAS::TEMPO BOM  &amp;gt;&amp;gt;&amp;gt; IMPEDIMENTOS ACUMULADOS LIBERAO PT/PTT: 03:33 = 0,44d CONDIES CLIMTICAS: 00:00 = 0,00d PETROBRAS: 00:00 = 0,00d OUTROS: 08:00 = 1,00d  RO DIRIO DE OBRA - SS-7/2025 (GALPO K-15)  &amp;gt;RELIZANDO APERTOS E ADEQUAES NAS ESTRUTURAS METALICAS [MOD: 04 | PEMT: 1] PT: (HR SOLIC 00:00 | HR LIB 00:00| ATRASO 00:00) - (HR ENC 16:30 | ATRASO 00:00)  AS ATIVIDADES NO FORAM EXECUTADAS DEVIDO PARALIZAO NA ESTRADA PELA EMPRESA EKTOR  &amp;gt;&amp;gt; CONDIES CLIMTICAS:TEMPO BOM  &amp;gt;&amp;gt;&amp;gt; IMPEDIMENTOS ACUMULADOS LIBERAO PT/PTT: 08:55 = 1,01d CONDIES CLIMTICAS: 14:50 = 0,84d PETROBRAS: 00:00 = 0,00d OUTROS: 08:00 = 1,00d RO DIRIO DE OBRA - SS-9/2025 (UPGN-3)  &amp;gt; REALIZANDO INSTALAO DE VENEZIANAS LATERAIS - [MOD: 04| PEMT-01] PT: (HR SOLIC 00:00| HR LIB 00:00 | ATRASO 00:00) - (HR ENC 16:30 | ATRASO 00:00)  &amp;gt; REALIZANDO ADEQUAO DO SISTEMA ELETRICO DO GALPO - [MOD: 02| PEMT-01] PT: (HR SOLIC 00:00 | HR LIB 00:00 | ATRASO 00:00) - (HR ENC 16:30 | ATRASO 00:00  &amp;gt;ADEQUAO DOS PAINEIS EETRICOS DO GALPO - [MOD: 02 | PEMT: 0] PT: 20901034(HR SOLIC 00:00 | HR LIB 00:00 | ATRASO 00:00) - (HR ENC 16:30 | ATRASO 00:00 )  AS ATIVIDADES NO FORAM EXECUTADAS DEVIDO PARALIZAO NA ESTRADA PELA EMPRESA EKTOR  &amp;gt;&amp;gt; CONDIES CLIMTICAS::TEMPO BOM  &amp;gt;&amp;gt;&amp;gt; IMPEDIMENTOS ACUMULADOS LIBERAO PT/PTT: 15:36= 2,49d CONDIES CLIMTICAS: 38:20 = 4,24d PETROBRAS: 00:00 = 0,00d OUTROS: 08:00 = 1,00d RO DIRIO DE OBRA - SS-11/2025 (UPCGN-1)  &amp;gt; DESMONTAGEM DOS PERFIS E RETIRADA DE TELHAS E RETIRADA DE INSERTS - [MOD: 05 | PEMT: 02] PT: (HR SOLIC 00:00 | HR LIB 00:00 | ATRASO 00:00) - (HR ENC 16:30 | ATRASO 00:00)  AS ATIVIDADES NO FORAM EXECUTADAS DEVIDO PARALIZAO NA ESTRADA PELA EMPRESA EKTOR  &amp;gt;&amp;gt; CONDIES CLIMTICAS: TEMPO BOM  &amp;gt;&amp;gt;&amp;gt; IMPEDIMENTOS ACUMULADOS LIBERAO PT/PTT: 05:56 = 0,74d CONDIES CLIMTICAS: 61:11 = 6,25d PETROBRAS: 00:00 = 0,00d OUTROS: 08:00 = 1,00d RO DIRIO DE OBRA - SS-18/2025 (ADEQUAO DA SALA DE MONITORAMENTO N1 CISC)&amp;gt; REFORMA DA SALA INTERNA DO K-04 (ANTIGA SALA TIC) - [MOD: 04 | PEMT: 0] PT: (HR SOLIC 00:00| HR LIB 00:00 | ATRASO 00:00) - (HR ENC 16:30 | ATRASO 00:00&amp;gt;MONTAGEM DE CAVALETES PARA ISOLAMENTO DAS ATIVIDADES- [MOD: 03 | PEMT: 0]PT: (HR SOLIC 00:00| HR LIB 00:00 | ATRASO 00:00) - (HR ENC 16:30 | ATRASO 00:00AS ATIVIDADES NO FORAM EXECUTADAS DEVIDO PARALIZAO NA ESTRADA PELA EMPRESA EKTOR  &amp;gt;&amp;gt; CONDIES CLIMTICAS:: TEMPO BOM  &amp;gt;&amp;gt;&amp;gt; IMPEDIMENTOS ACUMULADOS LIBERAO PT/PTT: 00:00 = 0,00d CONDIES CLIMTICAS: 00:00 = 0,00d PETROBRAS: 00:00 = 0,00d OUTROS: 08:00 = 1,00d</t>
  </si>
  <si>
    <t>RO-225/2025</t>
  </si>
  <si>
    <t>Os somatrios desde incio at o prazo final da SS dos acmulos de hora parada e meteorolgicas no final da SS a Petrobras ir analisar se e cabvel o abono revertido em acrscimo de dias no prazo de entrega da demanda.No dia 13/11 (quinta-feira) houve paralisao no bairro Aviso da empresa Ektor, a APJ j tinha conseguido acessar a unidade no horrio normal, mas a operao ficou bloqueada, at certo horrio e depois foram para a unidade de van. As atividades iniciaram aps o almoo.Perda de produtividade.1. UPCGN-1:Foi programada a PTT conforme pontuado pela contratada, da disciplina de caldeiraria, remoo dos pontaletes do fechamento lateral e desmontagem da estrutura em solo.2. SECGN:PT de pintura no foi programada, atividade paralisada no dia 05/11 devido aos acidentes recorrentes com outra empresa na atividade de pintura com irata, aguardando adequao no transporte das latas de tinta com aquisio das bolsas apropriadas e liberao do SMS.A equipe de caldeiraria (iratas) dando sequncia na montagem da estrutura, com PTT.Equipe de eltrica dando incio na atividade de adequao da rede eltrica do galpo.3. UPGN-3:Foi programada as PTT's de caldeiraria convencional, eltrica, pintura e irata.As equipes se dividiram no galpo, caldeiraria atuou na instalao das venezianas; a eltrica atuou na passagem dos circuitos e cabeamento das tomadas do galpo at o painel; os iratas atuaram na instalao de perfis da cobertura e a equipe de pintura atuou nos retoques da passarela.Equipe de eltrica atuou na interligao dos paineis PL (circuito das tomadas).4. K-15:Equipe de caldeiraria atuou na montagem das estruturas metlicas, foi programado o apoio do guindaste, mas a atividade demorou para iniciar, o que no deu tempo para utilizar o guindaste que estava atendendo outra demanda.05. K-04:No K-04 a equipe de civil atuou na instalao de roda forro e tratamento das paredes internas da sala.Faltou anexar a SS do K-04 no RDO.6. K-14:Equipe de caldeiraria atuou na montagem do vo maior que estava na rua, com apoio do guindaste.Equipe de eltrica atuou na remoo das luminrias de emergncia.RO aceito pela fiscalizao.</t>
  </si>
  <si>
    <t>RO DIRIO DE OBRA - SS-5/2025 (SECGN)  &amp;gt;ADEQUAO DOS SUPORTES DAS CALHAS DO GALPO- [MOD: 06 | PEMT00 ] PT: 20867585(HR SOLIC 08:00 | HR LIB 08:00 | ATRASO 00:00) - (HR ENC 16:30 | ATRASO 00:00)  &amp;gt; INSTALAO DE INFRA ESTRUTURAS ELETRICA - [MOD: 02 | PEMT: 01] PT: 20900465 (HR SOLIC 08:30 | HR LIB 10:00 | ATRASO 01:00) - (HR ENC 16:30 | ATRASO 00:00)  A ATIVIDADE DE PINTURA COM IRATA ESTA PARALIZADA PELO SMS PETROBRAS DEVIDO ACIDENTE COM QUEDA DE MATERIAIS DE OUTRA CONTRATADA.  &amp;gt;&amp;gt; CONDIES CLIMTICAS:: TEMPO BOM  &amp;gt;&amp;gt;&amp;gt; IMPEDIMENTOS ACUMULADOS LIBERAO PT/PTT: 04:39 = 0,46d CONDIES CLIMTICAS: 36:50 = 3,85d PETROBRAS: 05:30 = 0,81d OUTROS: 00:00 = 0,00d  RO DIRIO DE OBRA - SS-6/2025 (GALPO K-14)  &amp;gt; INSTALAO DA PARTE SUPERIOR DO GALPO - [MOD: 05| PEMT-01] PT: 20211931(HR SOLIC 08:00 | HR LIB 10:13 | ATRASO 01:43) - (HR ENC 16:30 | ATRASO 00:00  &amp;gt; TRATAMENTO E PINTUTA DA ESTRUTURA DE CONCRETO - [MOD: 02| PEMT-0] PT: 20900439(HR SOLIC 08:00 | HR LIB 10:20| ATRASO 01:50) - (HR ENC 16:30 | ATRASO 00:00 &amp;gt;&amp;gt; CONDIES CLIMTICAS::TEMPO BOM  &amp;gt;&amp;gt;&amp;gt; IMPEDIMENTOS ACUMULADOS LIBERAO PT/PTT: 03:33 = 0,44d CONDIES CLIMTICAS: 00:00 = 0,00d PETROBRAS: 00:00 = 0,00d OUTROS: 00:00 = 0,00d   RO DIRIO DE OBRA - SS-7/2025 (GALPO K-15)  &amp;gt;RELIZANDO APERTOS E ADEQUAES NAS ESTRUTURAS METALICAS [MOD: 04 | PEMT: 1] PT: 20900512 (HR SOLIC 08:00 | HR LIB 10:15| ATRASO 01:15) - (HR ENC 16:30 | ATRASO 00:00)  &amp;gt;&amp;gt; CONDIES CLIMTICAS:TEMPO BOM  &amp;gt;&amp;gt;&amp;gt; IMPEDIMENTOS ACUMULADOS LIBERAO PT/PTT: 08:55 = 1,01d CONDIES CLIMTICAS: 14:50 = 0,84d PETROBRAS: 00:00 = 0,00d OUTROS: 00:00 = 0,00d RO DIRIO DE OBRA - SS-9/2025 (UPGN-3)  &amp;gt; REALIZANDO INSTALAO DE VENEZIANAS LATERAIS - [MOD: 04| PEMT-01] PT: 20867402(HR SOLIC 08:00| HR LIB 08:00 | ATRASO 00:00) - (HR ENC 16:30 | ATRASO 00:00)  &amp;gt; REALIZANDO ADEQUAO DO SISTEMA ELETRICO DO GALPO - [MOD: 02| PEMT-01] PT: 20867427 (HR SOLIC 07:55 | HR LIB 08:00 | ATRASO 00:00) - (HR ENC 16:30 | ATRASO 00:00 &amp;gt;ADEQUAO DOS PAINEIS ELETRICOS DO GALPO - [MOD: 02 | PEMT: 0] PT: 20901034(HR SOLIC 08:00 | HR LIB 10:45 | ATRASO 02:15) - (HR ENC 16:30 | ATRASO 00:00 )&amp;gt; REALIZANDO INSTALAO DE PERFIS - [MOD: 0| PEMT-00]PT: 20867484(HR SOLIC 08:00| HR LIB 08:00 | ATRASO 00:00) - (HR ENC 16:30 | ATRASO 00:00)&amp;gt; TRATAMENTO E PINTUTA - [MOD: 0| PEMT-0]PT: 20867462(HR SOLIC 08:00 | HR LIB 10:20| ATRASO 01:50) - (HR ENC 16:30 | ATRASO 00:00 &amp;gt;&amp;gt; CONDIES CLIMTICAS::TEMPO BOM &amp;gt;&amp;gt;&amp;gt; IMPEDIMENTOS ACUMULADOS LIBERAO PT/PTT: 15:36= 2,49d CONDIES CLIMTICAS: 38:20 = 4,24d PETROBRAS: 00:00 = 0,00d OUTROS: 00:00 = 0,00d RO DIRIO DE OBRA - SS-11/2025 (UPCGN-1)  &amp;gt; DESMONTAGEM DOS PERFIS E RETIRADA DE TELHAS E RETIRADA DE INSERTS - [MOD: 05 | PEMT: 02] PT: 20867560 (HR SOLIC 08:00 | HR LIB 08:00 | ATRASO 00:00) - (HR ENC 16:30 | ATRASO 00:00)  &amp;gt;&amp;gt; CONDIES CLIMTICAS: TEMPO BOM  &amp;gt;&amp;gt;&amp;gt; IMPEDIMENTOS ACUMULADOS LIBERAO PT/PTT: 05:56 = 0,74d CONDIES CLIMTICAS: 61:11 = 6,25d PETROBRAS: 00:00 = 0,00d OUTROS: 00:00 = 0,00d   &amp;gt; REFORMA DA SALA INTERNA DO K-04 (ANTIGA SALA TIC) - [MOD: 04 | PEMT: 0]  PT: 20906171 (HR SOLIC 10:28| HR LIB 10:30 | ATRASO 00:00) - (HR ENC 16:30 | ATRASO 00:00  &amp;gt; MONTAGEM DE CAVALETES PARA ISOLAMENTO DAS ATIVIDADES - [MOD: 03 | PEMT: 0] PT: 20871373 (HR SOLIC 12:20| HR LIB 12:20 | ATRASO 00:00) - (HR ENC 16:30 | ATRASO 00:00</t>
  </si>
  <si>
    <t>RO-224/2025</t>
  </si>
  <si>
    <t>Os somatrios desde incio at o prazo final da SS dos acmulos de hora parada e meteorolgicas no final da SS a Petrobras ir analisar se e cabvel o abono revertido em acrscimo de dias no prazo de entrega da demanda.1. UPCGN-1:Foi programada a PTT conforme pontuado pela contratada, da disciplina de caldeiraria, remoo dos pontaletes do fechamento lateral e desmontagem da estrutura em solo.2. SECGN:PT de pintura no foi programada, atividade paralisada no dia 05/11 devido aos acidentes recorrentes com outra empresa na atividade de pintura com irata, aguardando adequao no transporte das latas de tinta com aquisio das bolsas apropriadas e liberao do SMS.A equipe de caldeiraria (iratas) dando sequncia na montagem da estrutura, com PTT.Equipe de eltrica atuou na atividade de adequao da rede eltrica do galpo.3. UPGN-3:Foi programada as PTT's de caldeiraria convencional, eltrica, pintura e irata.As equipes se dividiram no galpo, caldeiraria atuou na instalao das venezianas; a eltrica atuou na passagem dos circuitos e cabeamento das tomadas do galpo at o painel; os iratas atuaram na instalao de perfis da cobertura e a equipe de pintura atuou nos retoques da passarela.A equipe de eltrica fez tambm a atividade de interligao dos circuitos no painel PL (tomadas).Foi feito o iamento do material para acabamento do galpo com guindaste (20.893.708).4. K-15:Atividade de pintura programada para tratamento e pintura de alvenaria do galpo.05. K-04:No K-04 a equipe de civil atuou na instalao de roda forro e tratamento das paredes internas da sala.Faltou anexar a SS do K-04 no RDO.6. K-14:Equipe de pintura iniciou o tratamento e pintura da alvenaria do K-14.RO aceito pela fiscalizao.</t>
  </si>
  <si>
    <t>RO DIRIO DE OBRA - SS-5/2025 (SECGN)  &amp;gt;ADEQUAO DOS SUPORTES DAS CALHAS DO GALPO- [MOD: 06 | PEMT00 ] PT: 20867585(HR SOLIC 08:00 | HR LIB 08:00 | ATRASO 00:00) - (HR ENC 16:30 | ATRASO 00:00) &amp;gt; INSTALAO DE INFRA ESTRUTURAS ELETRICA - [MOD: 02 | PEMT: 01] PT: 20893800 (HR SOLIC 08:30 | HR LIB 08:00 | ATRASO 00:00) - (HR ENC 16:30 | ATRASO 00:00)  A ATIVIDADE DE PINTURA COM IRATA ESTA PARALIZADA PELO SMS PETROBRAS DEVIDO ACIDENTE COM QUEDA DE MATERIAIS DE OUTRA CONTRATADA.  &amp;gt;&amp;gt; CONDIES CLIMTICAS:: TEMPO BOM  &amp;gt;&amp;gt;&amp;gt; IMPEDIMENTOS ACUMULADOS LIBERAO PT/PTT: 03:39 = 0,46d CONDIES CLIMTICAS: 36:50 = 3,85d PETROBRAS: 05:30 = 0,81d OUTROS: 00:00 = 0,00d RO DIRIO DE OBRA - SS-6/2025 (GALPO K-14)  &amp;gt; TRATAMENTO E PINTUTA DA ESTRUTURA DE CONCRETO - [MOD: 02| PEMT-01] PT: 20894003(HR SOLIC 08:00| HR LIB 08:00 | ATRASO 00:00) - (HR ENC 16:30 | ATRASO 00:00)SEM EXECUO DAS ATIVIDADES &amp;gt;&amp;gt; CONDIES CLIMTICAS:TEMPO BOM &amp;gt;&amp;gt;&amp;gt; IMPEDIMENTOS ACUMULADOS LIBERAO PT/PTT: 00:00 = 0,00d CONDIES CLIMTICAS: 00:00 = 0,00d PETROBRAS: 00:00 = 0,00d OUTROS: 00:00 = 0,00d RO DIRIO DE OBRA - SS-7/2025 (GALPO K-15)  &amp;gt;RELIZANDO APERTOS E ADEQUAES NAS ESTRUTURAS METALICAS [MOD: 04 | PEMT: 1] PT: 20211910 (HR SOLIC 08:00 | HR LIB 08:10| ATRASO 00:00) - (HR ENC 16:30 | ATRASO 00:00)  &amp;gt;&amp;gt; CONDIES CLIMTICAS:TEMPO BOM  &amp;gt;&amp;gt;&amp;gt; IMPEDIMENTOS ACUMULADOS LIBERAO PT/PTT: 07:40 = 0,85d CONDIES CLIMTICAS: 14:50 = 0,84d PETROBRAS: 00:00 = 0,00d OUTROS: 00:00 = 0,00d  RO DIRIO DE OBRA - SS-9/2025 (UPGN-3)  &amp;gt; REALIZANDO INSTALAO DE VENEZIANAS LATERAIS - [MOD: 04| PEMT-01] PT: 20867402(HR SOLIC 08:00| HR LIB 08:00 | ATRASO 00:00) - (HR ENC 16:30 | ATRASO 00:00)  &amp;gt; REALIZANDO ADEQUAO DO SISTEMA ELETRICO DO GALPO - [MOD: 02| PEMT-01] PT: 20867427 (HR SOLIC 07:55 | HR LIB 08:00 | ATRASO 00:00) - (HR ENC 16:30 | ATRASO 00:00 &amp;gt;ADEQUAO DOS PAINEIS ELETRICOS DO GALPO - [MOD: 02 | PEMT: 0] PT: 20894275(HR SOLIC 08:00 | HR LIB 09:40 | ATRASO 01:10) - (HR ENC 16:30 | ATRASO 00:00 )&amp;gt; REALIZANDO INSTALAO DE PERFIS COM IRATA - [MOD: 03| PEMT-0]PT: 20867484(HR SOLIC 08:00| HR LIB 08:10 | ATRASO 00:00) - (HR ENC 16:30 | ATRASO 00:00)&amp;gt; TRATAMENTO E PINTUTA D - [MOD: 02| PEMT-00]PT: 20867462(HR SOLIC 08:00| HR LIB 08:28 | ATRASO 00:00) - (HR ENC 16:30 | ATRASO 00:00) &amp;gt;&amp;gt; CONDIES CLIMTICAS::TEMPO BOM &amp;gt;&amp;gt;&amp;gt; IMPEDIMENTOS ACUMULADOS LIBERAO PT/PTT: 13:21= 2,21d CONDIES CLIMTICAS: 38:20 = 4,24d PETROBRAS: 00:00 = 0,00d OUTROS: 00:00 = 0,00d RO DIRIO DE OBRA - SS-11/2025 (UPCGN-1)  &amp;gt; DESMONTAGEM DOS PERFIS E RETIRADA DE TELHAS NO CHO E RETIRADA DE INSERTS - [MOD: 05 | PEMT: 02] PT: 20867560 (HR SOLIC 08:00 | HR LIB 08:00 | ATRASO 00:00) - (HR ENC 16:30 | ATRASO 00:00)  &amp;gt;&amp;gt; CONDIES CLIMTICAS: TEMPO BOM  &amp;gt;&amp;gt;&amp;gt; IMPEDIMENTOS ACUMULADOS LIBERAO PT/PTT: 05:56 = 0,74d CONDIES CLIMTICAS: 61:11 = 6,25d PETROBRAS: 00:00 = 0,00d OUTROS: 00:00 = 0,00d &amp;gt; REFORMA DA SALA INTERNA DO K-04 (ANTIGA SALA TIC) - [MOD: 04 | PEMT: 0]  PT: 20898350 (HR SOLIC 07:53| HR LIB 07:55 | ATRASO 00:00) - (HR ENC 16:30 | ATRASO 00:00</t>
  </si>
  <si>
    <t>RO-223/2025</t>
  </si>
  <si>
    <t>FELIPE DE QUEIROZ SILVA.zip; MARCOS PAULO MACHADO DE SOUZA.zip; WALLACE SANTOS DE JESUS.zip</t>
  </si>
  <si>
    <t>Prezados, segue documentao dos funcionrios da AQUARIUS:</t>
  </si>
  <si>
    <t>RO-218/2025</t>
  </si>
  <si>
    <t>AQUARIUS LOG - PCMSO.pdf; AQUARIUS LOG - PGR.pdf; LV PGR AQUARIUS  14 11 2025 2025 2ª AV.pdf; LV PCMSO AQUARIUS LOG  14 11 2025  2ª AV.pdf</t>
  </si>
  <si>
    <t>Prezado, gentileza adequar a LV de acordo com os sites que iro ser atendidos.Documentos recebidos.</t>
  </si>
  <si>
    <t>Envio doc. Cdigos 310 PCMSO e 311 PGR da empresa AQUARIUS LOG LOCAO DE EQUIPAMENTOS E SERVIOS LTDA e suas respectivas LVs para avaliao.14/11/2025. Foi realizado as alteraes conforme solicitao,</t>
  </si>
  <si>
    <t>RO-217/2025</t>
  </si>
  <si>
    <t>Os somatrios desde incio at o prazo final da SS dos acmulos de hora parada e meteorolgicas no final da SS a Petrobras ir analisar se e cabvel o abono revertido em acrscimo de dias no prazo de entrega da demanda.1. UPCGN-1:Foi programada a PTT conforme pontuado pela contratada, da disciplina de caldeiraria, remoo dos pontaletes do fechamento lateral e desmontagem da estrutura em solo.2. SECGN:PT de pintura no foi programada, atividade paralisada no dia 05/11 devido aos acidentes recorrentes com outra empresa na atividade de pintura com irata, aguardando adequao no transporte das latas de tinta com aquisio das bolsas apropriadas e liberao do SMS.A equipe de caldeiraria (iratas) dando sequncia na montagem da estrutura, com PTT.Equipe de eltrica dando incio na atividade de adequao da rede eltrica do galpo.3. UPGN-3:Foi programada as PTT's de caldeiraria convencional, eltrica, pintura e irata.As equipes se dividiram no galpo, caldeiraria atuou na instalao das venezianas; a eltrica atuou na passagem dos circuitos e cabeamento das tomadas do galpo at o painel; os iratas atuaram na instalao de perfis da cobertura e a equipe de pintura atuou nos retoques da passarela.4. K-15:Atividade de pintura programada para tratamento e pintura de alvenaria do galpo.05. K-04:No K-04 a equipe de civil atuou na instalao de roda forro e tratamento das paredes internas da sala.Faltou anexar a SS do K-04 no RDO.6. K-14:Equipe de eltrica atuou na remoo das luminrias do galpo, atividade finalizada no dia 11/11.RO aceito pela fiscalizao.</t>
  </si>
  <si>
    <t>RO DIRIO DE OBRA - SS-5/2025 (SECGN)  &amp;gt; INSTALAO DE PERFIS GALVANIZADOS - [MOD: 05 | PEMT: ] PT: 20867585 (HR SOLIC 07:45 | HR LIB 08:00 | ATRASO 00:00) - (HR ENC 16:30 | ATRASO 00:00) &amp;gt; INSTALAO DE INFRA ESTRUTURAS ELETRICA - [MOD: 02 | PEMT: 01]PT: 20212220 (HR SOLIC 08:00 | HR LIB 08:00 | ATRASO 00:00) - (HR ENC 16:30 | ATRASO 00:00)  A ATIVIDADE DE PINTURA COM IRATA ESTA PARALIZADA PELO SMS PETROBRAS DEVIDO ACIDENTE COM QUEDA DE MATERIAIS DE OUTRA CONTRATADA.  &amp;gt;&amp;gt; CONDIES CLIMTICAS:: TEMPO BOM  &amp;gt;&amp;gt;&amp;gt; IMPEDIMENTOS ACUMULADOS LIBERAO PT/PTT: 03:39 = 0,46d CONDIES CLIMTICAS: 36:50 = 3,85d PETROBRAS: 05:30 = 0,81d OUTROS: 00:00 = 0,00d RO DIRIO DE OBRA - SS-6/2025 (GALPO K-14)  &amp;gt; TRATAMENTO E PINTUTA DA ESTRUTURA DE CONCRETO - [MOD: 0| PEMT-0]  SEM EXECUO DAS ATIVIDADES&amp;gt; DESMONTAGEM DE INFRA ESTRUTURAS ELETRICA - [MOD: 02 | PEMT: 01]PT: 20887494 (HR SOLIC 08:00 | HR LIB 08:17 | ATRASO 00:00) - (HR ENC 16:30 | ATRASO 00:00   &amp;gt;&amp;gt; CONDIES CLIMTICAS:TEMPO BOM  &amp;gt;&amp;gt;&amp;gt; IMPEDIMENTOS ACUMULADOS LIBERAO PT/PTT: 00:00 = 0,00d CONDIES CLIMTICAS: 00:00 = 0,00d PETROBRAS: 00:00 = 0,00d OUTROS: 00:00 = 0,00d  RO DIRIO DE OBRA - SS-7/2025 (GALPO K-15)  &amp;gt; TRATAMENTO E PINTURA DA ESTRUTURA DE CONCRETO- [MOD: 02 | PEMT: 1] PT: 20887474 (HR SOLIC 09:00 | HR LIB 09:00 | ATRASO 00:00) - (HR ENC 16:30 | ATRASO 00:00)  &amp;gt;&amp;gt; CONDIES CLIMTICAS:TEMPO BOM  &amp;gt;&amp;gt;&amp;gt; IMPEDIMENTOS ACUMULADOS LIBERAO PT/PTT: 07:40 = 0,85d CONDIES CLIMTICAS: 14:50 = 0,84d PETROBRAS: 00:00 = 0,00d OUTROS: 00:00 = 0,00d RO DIRIO DE OBRA - SS-9/2025 (UPGN-3)  &amp;gt; REALIZANDO INSTALAO DE VENEZIANAS LATERAIS - [MOD: 04| PEMT-01] PT: 20867402(HR SOLIC 08:00| HR LIB 08:00 | ATRASO 00:00) - (HR ENC 16:30 | ATRASO 00:00)  &amp;gt; REALIZANDO ADEQUAO DO SISTEMA ELETRICO DO GALPO - [MOD: 02| PEMT-01] PT: 20867427 (HR SOLIC 07:55 | HR LIB 08:00 | ATRASO 00:00) - (HR ENC 16:30 | ATRASO 00:00  &amp;gt; TRATAMENTO E PINTURA NA PASSARELA DA PONTE ROLANTE - [MOD: 02 | PEMT: 0] PT: 20867462(HR SOLIC 07:50 | HR LIB 08:00 | ATRASO 00:00) - (HR ENC 16:30 | ATRASO 00:00 ) &amp;gt; REALIZANDO INSTALAO DE PERFIS COM IRATA - [MOD: 04| PEMT-01]PT: 20867484(HR SOLIC 07:55| HR LIB 08:25 | ATRASO 00:00) - (HR ENC 16:30 | ATRASO 00:00) &amp;gt;&amp;gt; CONDIES CLIMTICAS::TEMPO BOM  &amp;gt;&amp;gt;&amp;gt; IMPEDIMENTOS ACUMULADOS LIBERAO PT/PTT: 12:11= 2,06d CONDIES CLIMTICAS: 38:20 = 4,24d PETROBRAS: 00:00 = 0,00d OUTROS: 00:00 = 0,00d RO DIRIO DE OBRA - SS-11/2025 (UPCGN-1)  &amp;gt; DESMONTAGEM DOS PERFIS E RETIRADA DE TELHAS E RETIRADA DE INSERTS - [MOD: 07 | PEMT: 02] PT: 20888335 (HR SOLIC 08:00 | HR LIB 08:30 | ATRASO 00:00) - (HR ENC 16:30 | ATRASO 00:00)  &amp;gt;&amp;gt; CONDIES CLIMTICAS: TEMPO BOM  &amp;gt;&amp;gt;&amp;gt; IMPEDIMENTOS ACUMULADOS LIBERAO PT/PTT: 05:56 = 0,74d CONDIES CLIMTICAS: 61:11 = 6,25d PETROBRAS: 00:00 = 0,00d OUTROS: 00:00 = 0,00d &amp;gt; REFORMA DA SALA INTERNA DO K-04 (ANTIGA SALA TIC) - [MOD: 04 | PEMT: 0] PT: 20892009 (HR SOLIC 07:59| HR LIB 08:00 | ATRASO 00:00) - (HR ENC 16:30 | ATRASO 00:00</t>
  </si>
  <si>
    <t>RO-216/2025</t>
  </si>
  <si>
    <t>de entrega da demanda.1. UPCGN-1:Foi programada a PTT conforme pontuado pela contratada, da disciplina de caldeiraria, com atividade de remoo dos pontaletes do fechamento lateral e desmontagem de estrutura no cho para destinao.2. SECGN:PT de pintura no foi programada, atividade paralisada no dia 05/11 devido aos acidentes recorrentes com outra empresa na atividade de pintura com irata, aguardando adequao no transporte das latas de tinta com aquisio das bolsas apropriadas e liberao do SMS.A equipe de caldeiraria (iratas) dando sequncia na montagem da estrutura, com PTT.3. UPGN-3:Foi programada as PTT's de caldeiraria convencional, eltrica, pintura e irata.As equipes se dividiram no galpo, caldeiraria atuou na instalao das venezianas; a eltrica atuou na passagem dos circuitos e cabeamento das tomadas do galpo at o painel; os iratas atuaram na instalao de perfis da cobertura e a equipe de pintura atuou nos retoques da passarela.4. K-15:Atividade de pintura programada para tratamento e pintura de alvenaria do galpo.05. K-04:No K-04 a equipe de civil atuou na instalao de roda forro e tratamento das paredes internas da sala.Faltou anexar a SS do K-04 no RDO.6. K-14:Equipe de eltrica atuou na remoo das luminrias do galpo.RO aceito pela fiscalizao.</t>
  </si>
  <si>
    <t>RO DIRIO DE OBRA - SS-5/2025 (SECGN)  &amp;gt; INSTALAO DE PERFIS GALVANIZADOS - [MOD: 02 | PEMT: ] PT: 20867585 (HR SOLIC 07:45 | HR LIB 08:00 | ATRASO 00:00) - (HR ENC 16:30 | ATRASO 00:00 A ATIVIDADE DE PINTURA COM IRATA ESTA PARALIZADA PELO SMS PETROBRAS DEVIDO ACIDENTE COM QUEDA DE MATERIAIS DE OUTRA CONTRATADA.  &amp;gt;&amp;gt; CONDIES CLIMTICAS:: TEMPO BOM  &amp;gt;&amp;gt;&amp;gt; IMPEDIMENTOS ACUMULADOS LIBERAO PT/PTT: 03:39 = 0,46d CONDIES CLIMTICAS: 36:50 = 3,85d PETROBRAS: 05:30 = 0,81d OUTROS: 00:00 = 0,00d  RO DIRIO DE OBRA - SS-6/2025 (GALPO K-14)  &amp;gt; REALIZANDO ADEQUAO DO SISTEMA ELETRICO DO GALPO - [MOD: 02| PEMT-01] PT: 20878840(HR SOLIC 08:00 | HR LIB 08:18 | ATRASO 00:00) - (HR ENC 16:30 | ATRASO 00:00 &amp;gt;&amp;gt; CONDIES CLIMTICAS:TEMPO BOM  &amp;gt;&amp;gt;&amp;gt; IMPEDIMENTOS ACUMULADOS LIBERAO PT/PTT: 00:00 = 0,00d CONDIES CLIMTICAS: 00:00 = 0,00d PETROBRAS: 00:00 = 0,00d OUTROS: 00:00 = 0,00d   RO DIRIO DE OBRA - SS-7/2025 (GALPO K-15)  &amp;gt; TRATAMENTO E PINTURA DA ESTRUTURA DE CONCRETO- [MOD: 02 | PEMT: 1] PT: 20878665 (HR SOLIC 08:45 | HR LIB 09:00 | ATRASO 00:00) - (HR ENC 16:30 | ATRASO 00:00)  &amp;gt;&amp;gt; CONDIES CLIMTICAS:TEMPO BOM  &amp;gt;&amp;gt;&amp;gt; IMPEDIMENTOS ACUMULADOS LIBERAO PT/PTT: 07:40 = 0,85d CONDIES CLIMTICAS: 14:50 = 0,84d PETROBRAS: 00:00 = 0,00d OUTROS: 00:00 = 0,00d RO DIRIO DE OBRA - SS-9/2025 (UPGN-3)  &amp;gt; REALIZANDO INSTALAO DE VENEZIANAS LATERAIS - [MOD: 04| PEMT-01] PT: 20867402(HR SOLIC 08:00| HR LIB 08:00 | ATRASO 00:00) - (HR ENC 16:30 | ATRASO 00:00)  &amp;gt; REALIZANDO ADEQUAO DO SISTEMA ELETRICO DO GALPO - [MOD: 02| PEMT-01] PT: 20867427 (HR SOLIC 07:45 | HR LIB 08:00 | ATRASO 00:00) - (HR ENC 16:30 | ATRASO 00:00   &amp;gt; TRATAMENTO E PINTURA NA PASSARELA DA PONTE ROLANTE - [MOD: 02 | PEMT: 0] PT: 20867462(HR SOLIC 07:40 | HR LIB 08:00 | ATRASO 00:00) - (HR ENC 16:30 | ATRASO 00:00 )  &amp;gt; INSTALAO DE PERFIS COM IRATAS - [MOD: 04 | PEMT: 0] PT: 20867484(HR SOLIC 07:40 | HR LIB 08:00 | ATRASO 00:00) - (HR ENC 16:30 | ATRASO 00:00 )   &amp;gt;&amp;gt; CONDIES CLIMTICAS::TEMPO BOM   &amp;gt;&amp;gt;&amp;gt; IMPEDIMENTOS ACUMULADOS LIBERAO PT/PTT: 12:11= 2,06d CONDIES CLIMTICAS: 38:20 = 4,24d PETROBRAS: 00:00 = 0,00d OUTROS: 00:00 = 0,00d RO DIRIO DE OBRA - SS-11/2025 (UPCGN-1)  &amp;gt; DESMONTAGEM DOS PERFIS E RETIRADA DE TELHAS - [MOD: 10 | PEMT: 02] PT: 20867560 (HR SOLIC 07:50 | HR LIB 08:00 | ATRASO 00:00) - (HR ENC 16:30 | ATRASO 00:00)  &amp;gt;&amp;gt; CONDIES CLIMTICAS: TEMPO BOM  &amp;gt;&amp;gt;&amp;gt; IMPEDIMENTOS ACUMULADOS LIBERAO PT/PTT: 05:56 = 0,74d CONDIES CLIMTICAS: 61:11 = 6,25d PETROBRAS: 00:00 = 0,00d OUTROS: 00:00 = 0,00d   &amp;gt; REFORMA DA SALA INTERNA DO K-04 (ANTIGA SALA TIC) - [MOD: 04 | PEMT: 0] PT: 20885240(HR SOLIC 08:00 | HR LIB 08:00 | ATRASO 00:00) - (HR ENC 16:30 | ATRASO 00:00)</t>
  </si>
  <si>
    <t>RO-212/2025</t>
  </si>
  <si>
    <t>RO DIRIO DE OBRA - SS-5/2025 (SECGN)SEM EXPEDIENTE &amp;gt;&amp;gt; CONDIES CLIMTICAS:: TEMPO BOM  &amp;gt;&amp;gt;&amp;gt; IMPEDIMENTOS ACUMULADOS LIBERAO PT/PTT: 03:39 = 0,46d CONDIES CLIMTICAS: 36:50 = 3,85d PETROBRAS: 05:30 = 0,81d OUTROS: 00:00 = 0,00d______________________________________________________ RO DIRIO DE OBRA - SS-6/2025 (GALPO K-14)SEM EXPEDIENTE &amp;gt;&amp;gt; CONDIES CLIMTICAS:TEMPO BOM  &amp;gt;&amp;gt;&amp;gt; IMPEDIMENTOS ACUMULADOS LIBERAO PT/PTT: 00:00 = 0,00d CONDIES CLIMTICAS: 00:00 = 0,00d PETROBRAS: 00:00 = 0,00d OUTROS: 00:00 = 0,00dRO DIRIO DE OBRA - SS-7/2025 (GALPO K-15)SEM EXPEDIENTE  &amp;gt;&amp;gt; CONDIES CLIMTICAS:TEMPO BOM  &amp;gt;&amp;gt;&amp;gt; IMPEDIMENTOS ACUMULADOS LIBERAO PT/PTT: 07:40 = 0,85d CONDIES CLIMTICAS: 14:50 = 0,84d PETROBRAS: 00:00 = 0,00d OUTROS: 00:00 = 0,00d RO DIRIO DE OBRA - SS-9/2025 (UPGN-3) SEM EXPEDIENTE  &amp;gt;&amp;gt; CONDIES CLIMTICAS:TEMPO BOM  &amp;gt;&amp;gt;&amp;gt; IMPEDIMENTOS ACUMULADOS LIBERAO PT/PTT: 12:11= 2,06d CONDIES CLIMTICAS: 38:20 = 4,24d PETROBRAS: 00:00 = 0,00d OUTROS: 00:00 = 0,00d RO DIRIO DE OBRA - SS-11/2025 (UPCGN-1) SEM EXPEDIENTE  &amp;gt;&amp;gt; CONDIES CLIMTICAS: TEMPO BOM  &amp;gt;&amp;gt;&amp;gt; IMPEDIMENTOS ACUMULADOS LIBERAO PT/PTT: 05:56 = 0,74d CONDIES CLIMTICAS: 61:11 = 6,25d PETROBRAS: 00:00 = 0,00d OUTROS: 00:00 = 0,00dSEM EXPEDIENTE&amp;gt; REFORMA DA SALA INTERNA DO K-04 (ANTIGA SALA TIC) -</t>
  </si>
  <si>
    <t>RO-211/2025</t>
  </si>
  <si>
    <t>Os somatrios desde incio at o prazo final da SS dos acmulos de hora parada e meteorolgicas no final da SS a Petrobras ir analisar se e cabvel o abono revertido em acrscimo de dias no prazo de entrega da demanda.1. UPCGN-1:Foi programada a PTT conforme pontuado pela contratada, da disciplina de caldeiraria e programada uma PT para iamento de estrutura.Remoo de perfis e vo inteiro da cobertura.2. SECGN:PT de pintura no foi programada, atividade paralisada no dia 05/11 devido aos acidentes recorrentes com outra empresa na atividade de pintura com irata, aguardando adequao no transporte das latas de tinta com aquisio das bolsas apropriadas e liberao do SMS.A equipe de caldeiraria (iratas) dando sequncia na montagem da estrutura, com PTT.Foi programada PT de iamento de viga, mas a atividade no foi finalizada, pois a lana do guindaste no chegava numa posio boa para conseguirem instalar a viga. Aps tentativas, foi optado por mudar a estratgia, para talha manual (aguardando reviso de OM).3. UPGN-3:Foi programada as PTT's de caldeiraria convencional.A equipe de caldeiraria atuou na instalao das venezianas.4. K-15:Sem atividades programadas, sbado.05. K-04:Sem atividades programadas, sbado.6. K-14:Sem atividades programadas, sbado.RO aceito pela fiscalizao.</t>
  </si>
  <si>
    <t>RO DIRIO DE OBRA - SS-5/2025 (SECGN)  &amp;gt; INSTALAO DE PERFIS GALVANIZADOS - [MOD: 02 | PEMT: ] PT:20867585 (HR SOLIC 07:45 | HR LIB 08:00 | ATRASO 00:00) - (HR ENC 16:30 | ATRASO 00:00)  A ATIVIDADE DE PINTURA COM IRATA ESTA PARALIZADA PELO SMS PETROBRAS DEVIDO ACIDENTE COM QUEDA DE MATERIAIS DE OUTRA CONTRATADA.  &amp;gt;&amp;gt; CONDIES CLIMTICAS:: TEMPO BOM  &amp;gt;&amp;gt;&amp;gt; IMPEDIMENTOS ACUMULADOS LIBERAO PT/PTT: 03:39 = 0,46d CONDIES CLIMTICAS: 36:50 = 3,85d PETROBRAS: 05:30 = 0,81d OUTROS: 00:00 = 0,00d______________________________________________________ RO DIRIO DE OBRA - SS-6/2025 (GALPO K-14)SEM ATIVIDADES PROGRAMADAS &amp;gt;&amp;gt; CONDIES CLIMTICAS:TEMPO BOM  &amp;gt;&amp;gt;&amp;gt; IMPEDIMENTOS ACUMULADOS LIBERAO PT/PTT: 00:00 = 0,00d CONDIES CLIMTICAS: 00:00 = 0,00d PETROBRAS: 00:00 = 0,00d OUTROS: 00:00 = 0,00dRO DIRIO DE OBRA - SS-7/2025 (GALPO K-15)SEM ATIVIDADES PROGRAMADAS  &amp;gt;&amp;gt; CONDIES CLIMTICAS:TEMPO BOM  &amp;gt;&amp;gt;&amp;gt; IMPEDIMENTOS ACUMULADOS LIBERAO PT/PTT: 07:40 = 0,85d CONDIES CLIMTICAS: 14:50 = 0,84d PETROBRAS: 00:00 = 0,00d OUTROS: 00:00 = 0,00d RO DIRIO DE OBRA - SS-9/2025 (UPGN-3)  &amp;gt; REALIZANDO INSTALAO DE VENEZIANAS LATERAIS - [MOD: 04| PEMT-01] PT: 20867402(HR SOLIC 08:00| HR LIB 08:28 | ATRASO 00:00) - (HR ENC 16:30 | ATRASO 00:00)  &amp;gt;&amp;gt; CONDIES CLIMTICAS:TEMPO BOM  &amp;gt;&amp;gt;&amp;gt; IMPEDIMENTOS ACUMULADOS LIBERAO PT/PTT: 12:11= 2,06d CONDIES CLIMTICAS: 38:20 = 4,24d PETROBRAS: 00:00 = 0,00d OUTROS: 00:00 = 0,00d RO DIRIO DE OBRA - SS-11/2025 (UPCGN-1)  &amp;gt; REMOO E IAMENTO DE MODULO - [MOD: 10 | PEMT: 02] PT: 20878597 (HR SOLIC 07:45 | HR LIB 08:00 | ATRASO 00:00) - (HR ENC 16:30 | ATRASO 00:00)&amp;gt; DESMONTAGEM DOS PERFIS E RETIRADA DE TELHAS - [MOD: 10 | PEMT: 02]PT: 20867560(HR SOLIC 07:55 | HR LIB 08:10 | ATRASO 00:00) - (HR ENC 16:30 | ATRASO 00:00)  &amp;gt;&amp;gt; CONDIES CLIMTICAS: TEMPO BOM  &amp;gt;&amp;gt;&amp;gt; IMPEDIMENTOS ACUMULADOS LIBERAO PT/PTT: 05:56 = 0,74d CONDIES CLIMTICAS: 61:11 = 6,25d PETROBRAS: 00:00 = 0,00d OUTROS: 00:00 = 0,00dSEM EXPEDIENTE&amp;gt; REFORMA DA SALA INTERNA DO K-04 (ANTIGA SALA TIC)SEM ATIVIDADE PROGRAMADA</t>
  </si>
  <si>
    <t>RO-210/2025</t>
  </si>
  <si>
    <t>UANDERSON RAMOS SILVA.zip; ROMARIO OLIVEIRA ALVES.zip; JACKSON VIDEO GOMES.zip; EWERTON FLORO DOS SANTOS.zip; AELTON SOUZA BENTO.zip</t>
  </si>
  <si>
    <t>Uanderson: Falta NR 06 e LV de ASO.Ewerton: Falta NR 06 e LV de ASO.Romario: Falta NR 06 e LV de ASO.Aelton: Falta NR 06 e LV de ASO.Jackson: Falta NR 06.11/11: Recebido e arquivado.</t>
  </si>
  <si>
    <t>Conforme solicitado, encaminho em anexo documentao pessoal dos funcionrios ENGEVAL.</t>
  </si>
  <si>
    <t>RO-196/2025</t>
  </si>
  <si>
    <t>Os somatrios desde incio at o prazo final da SS dos acmulos de hora parada e meteorolgicas no final da SS a Petrobras ir analisar se e cabvel o abono revertido em acrscimo de dias no prazo de entrega da demanda.No dia 07/11, algumas frentes de trabalho iniciaram as atividades com PTT, que foram assinadas no dia anterior pela gerncia e cotur, e liberadas no dia 07 pelos operadores de cada mdulo.1. UPCGN-1:Foi programada a PTT conforme pontuado pela contratada, da disciplina de caldeiraria e programada uma PT para iamento de estrutura.Remoo de perfis e vo inteiro da cobertura.2. SECGN:PT de pintura no foi programada, atividade paralisada no dia 05/11 devido aos acidentes recorrentes com outra empresa na atividade de pintura com irata, aguardando adequao no transporte das latas de tinta com aquisio das bolsas apropriadas e liberao do SMS.A equipe de caldeiraria (iratas) dando sequncia na montagem da estrutura, com PTT.3. UPGN-3:Foi programada as PTT's de caldeiraria convencional, eltrica, pintura e irata.As equipes se dividiram no galpo, caldeiraria atuou na instalao das venezianas; a eltrica atuou na passagem dos circuitos e cabeamento das tomadas do galpo at o painel; os iratas atuaram na instalao de perfis da cobertura e a equipe de pintura atuou nos retoques da passarela.4. K-15:Atividade de pintura programada para tratamento e pintura de alvenaria do galpo.05. K-04:No K-04 a equipe de civil atuou na instalao de roda forro e tratamento das paredes internas da sala.Faltou anexar a SS do K-04 no RDO.6. K-14:Incio da demanda. Equipe de eltrica atuou na remoo das luminrias do galpo.RO aceito pela fiscalizao.</t>
  </si>
  <si>
    <t>RO DIRIO DE OBRA - SS-5/2025 (SECGN)&amp;gt; INSTALAO DE PERFIS GALVANIZADOS - [MOD: 02 | PEMT: ] PT:20867585(HR SOLIC 07:45 | HR LIB 08:00 | ATRASO 00:00) - (HR ENC 16:30 | ATRASO 00:00)  &amp;gt;&amp;gt; CONDIES CLIMTICAS: TEMPO BOM  &amp;gt;&amp;gt;&amp;gt; IMPEDIMENTOS ACUMULADOS LIBERAO PT/PTT: 03:39 = 0,46d CONDIES CLIMTICAS: 36:50 = 3,85d PETROBRAS: 05:30 = 0,81d OUTROS: 00:00 = 0,00d_________________________________________________________________RO DIRIO DE OBRA - SS-6/2025 (GALPO K-14) &amp;gt; REALIZANDO ADEQUAO DO SISTEMA ELETRICO DO GALPO - [MOD: 02| PEMT-01] PT: 20211958(HR SOLIC 08:00 | HR LIB 08:18 | ATRASO 00:00) - (HR ENC 16:30 | ATRASO 00:00 &amp;gt;&amp;gt; CONDIES CLIMTICAS:TEMPO BOM  &amp;gt;&amp;gt;&amp;gt; IMPEDIMENTOS ACUMULADOS LIBERAO PT/PTT: 00:00 = 0,00d CONDIES CLIMTICAS: 00:00 = 0,00d PETROBRAS: 00:00 = 0,00d OUTROS: 00:00 = 0,00dRO DIRIO DE OBRA - SS-7/2025 (GALPO K-15) &amp;gt; TRATAMENTO E PINTURA DA ESTRUTURA DE CONCRETO- [MOD: 02 | PEMT: 1] PT: 20871698 (HR SOLIC 07:56 | HR LIB 08:00 | ATRASO 00:00) - (HR ENC 16:30 | ATRASO 00:00)  &amp;gt;&amp;gt; CONDIES CLIMTICAS:TEMPO BOM  &amp;gt;&amp;gt;&amp;gt; IMPEDIMENTOS ACUMULADOS LIBERAO PT/PTT: 07:40 = 0,85d CONDIES CLIMTICAS: 14:50 = 0,84d PETROBRAS: 00:00 = 0,00d OUTROS: 00:00 = 0,00d RO DIRIO DE OBRA - SS-9/2025 (UPGN-3)  &amp;gt; REALIZANDO INSTALAO DE VENEZIANAS LATERAIS - [MOD: 04| PEMT-01] PT: 20867402(HR SOLIC 08:00| HR LIB 08:43 | ATRASO 00:13) - (HR ENC 16:30 | ATRASO 00:00)  &amp;gt; REALIZANDO ADEQUAO DO SISTEMA ELETRICO DO GALPO - [MOD: 02| PEMT-01] PT: 20867427 (HR SOLIC 08:00 | HR LIB 08:28 | ATRASO 00:00) - (HR ENC 16:30 | ATRASO 00:00  &amp;gt; TRATAMENTO E PINTURA NA PASSARELA DA PONTE ROLANTE - [MOD: 02 | PEMT: 0] PT: 20867462(HR SOLIC 08:00 | HR LIB 08:40 | ATRASO 00:10) - (HR ENC 16:30 | ATRASO 00:00 )  &amp;gt; INSTALAO DE PERFIS COM IRATAS - [MOD: 04 | PEMT: 0] PT: 20867484(HR SOLIC 07:45 | HR LIB 08:40 | ATRASO 00:25) - (HR ENC 16:30 | ATRASO 00:00 )  &amp;gt;&amp;gt; CONDIES CLIMTICAS::TEMPO BOM  &amp;gt;&amp;gt;&amp;gt; IMPEDIMENTOS ACUMULADOS LIBERAO PT/PTT: 12:11= 2,06d CONDIES CLIMTICAS: 38:20 = 4,24d PETROBRAS: 00:00 = 0,00d OUTROS: 00:00 = 0,00d RO DIRIO DE OBRA - SS-11/2025 (UPCGN-1)&amp;gt; DESMONTAGEM DOS PERFIS E RETIRADA DE TELHAS - [MOD: 10 | PEMT: 02]PTT: 20867560 (HR SOLIC 07:45 | HR LIB 08:00 | ATRASO 00:00) - (HR ENC 16:30 | ATRASO 00:00)  &amp;gt;IAMENTO E REMOO DE MODULO - [MOD: 10 | PEMT: 02] PT: 20871611 (HR SOLIC 07:45 | HR LIB 08:00 | ATRASO 00:00) - (HR ENC 16:30 | ATRASO 00:00)  &amp;gt;&amp;gt; CONDIES CLIMTICAS: TEMPO BOM  &amp;gt;&amp;gt;&amp;gt; IMPEDIMENTOS ACUMULADOS LIBERAO PT/PTT: 05:56 = 0,74d CONDIES CLIMTICAS: 61:11 = 6,25d PETROBRAS: 00:00 = 0,00d OUTROS: 00:00 = 0,00d&amp;gt; REFORMA DA SALA INTERNA DO K-04 (ANTIGA SALA TIC) - [MOD: 03 | PEMT: 0]PT: 20875424 (HR SOLIC 07:51 | HR LIB 08:00 | ATRASO 00:00) - (HR ENC 16:30 | ATRASO 00:00)</t>
  </si>
  <si>
    <t>RO-195/2025</t>
  </si>
  <si>
    <t>310 - PCMSO ENGEVAL 2025.pdf; 311 PGR - ENGEVAL 2025.pdf; LV-ASO ENGEVAL 07 11 2025 1ª AV.pdf; JACKSON VIDEO GOMES - ASO E EXAMES ADMISSIONAL (1).pdf; ART_-_ENGEVAL_%28EDIVIT%29_2025_assinado (1).pdf; LV PCMSO ENGEVAL 10 11 2025  2ª AV.pdf; LV PGR ENGEVAL  10 11 2025 2ª AV.pdf</t>
  </si>
  <si>
    <t>No foi anexado LV preenchida por parte da contratada onde dever constar aprovao dos documentos.Documentos recebidos, gentileza fazer apenas os ajustes nos dados bsicos das LVS, conforme e-mail.Enviar treinamentos do Jackson, alm das documentaes restantes dos colaboradores que iro atuar.</t>
  </si>
  <si>
    <t>Prezados,Conforme solicitado, encaminho em anexo PGR e PCSMO do subcontratado ENGEVAL.10/11/2025- Envio das LVs dos programas e ASO e tambm ART do PGR.10/11/2025 -Envio das LVs com as adequaes.</t>
  </si>
  <si>
    <t>RO-192/2025</t>
  </si>
  <si>
    <t>Os somatrios desde incio at o prazo final da SS dos acmulos de hora parada e meteorolgicas no final da SS a Petrobras ir analisar se e cabvel o abono revertido em acrscimo de dias no prazo de entrega da demanda.No dia 06/11, houve pela manh um alerta amarelo que em seguida se transformou em vermelho. Houve temporal com descargas de raios e troves at a metade da manh, mas aps os alertas iniciou a chuva. Aps o almoo, incidncia de ventos acima da velocidade de 40km/h. Dia totalmente improdutivo.1. UPCGN-1:Foi programada a PT conforme pontuado pela contratada, da disciplina de caldeiraria.Dia improdutivo devido condies climticas.2. SECGN:PT de pintura no foi programada, atividade paralisada no dia 05/11 devido aos acidentes recorrentes com outra empresa na atividade de pintura com irata, aguardando adequao no transporte das latas de tinta com aquisio das bolsas apropriadas e liberao do SMS.A equipe de caldeiraria (iratas) daria sequncia na montagem da estrutura.Dia improdutivo devido condies climticas.3. UPGN-3:Foi programada as PT's de caldeiraria convencional, eltrica e pintura (20.867.202), mas no foi possvel atuar.A atividade de irata a equipe atuou montando as cantoneiras internas da cobertura - nica atividade do dia da rea, pois era na parte interna do galpo (PT 20.865.592 - 4 colaboradores).Dia improdutivo devido condies climticas.4. K-15:Atividade de pintura programada para tratamento e pintura de alvenaria do galpo.Dia improdutivo devido condies climticas.05. K-04:No K-04 a equipe de civil atuou na instalao de roda forro e tratamento das paredes internas da sala.Faltou anexar a SS do K-04 no RDO.RO aceito pela fiscalizao.</t>
  </si>
  <si>
    <t>RO DIRIO DE OBRA - SS-5/2025 (SECGN) &amp;gt; INSTALAO DE PERFIS GALVANIZADOS - [MOD: 02 | PEMT: ] PT: 20865630(HR SOLIC 08:00 | HR LIB 08:28 | ATRASO 00:00) - (HR ENC 16:30 | ATRASO 00:00)  A ATIVIDADE DE PINTURA COM IRATA ESTA PARALIZADA PELO SMS PETROBRAS DEVIDO ACIDENTE COM QUEDA DE MATERIAIS DE OUTRA CONTRATADA.  &amp;gt;&amp;gt; CONDIES CLIMTICAS:: CHUVOSO (07:30 - 16:30| IMPROD.: 09:00 = 1,00d)  &amp;gt;&amp;gt;&amp;gt; IMPEDIMENTOS ACUMULADOS LIBERAO PT/PTT: 03:39 = 0,46d CONDIES CLIMTICAS: 36:50 = 3,85d PETROBRAS: 05:30 = 0,81d OUTROS: 00:00 = 0,00d  RO DIRIO DE OBRA - SS-7/2025 (GALPO K-15)  &amp;gt; TRATAMENTO E PINTURA DA ESTRUTURA DE CONCRETO- [MOD: 02 | PEMT: 1] PT:20865664(HR SOLIC 08:00 | HR LIB 12::45 | ATRASO 04:15) - (HR ENC 16:30 | ATRASO 00:00)  &amp;gt;&amp;gt; CONDIES CLIMTICAS:: CHUVOSO (07:30 - 16:30| IMPROD.: 09:00 = 1,00d)  &amp;gt;&amp;gt;&amp;gt; IMPEDIMENTOS ACUMULADOS LIBERAO PT/PTT: 07:40 = 0,85d CONDIES CLIMTICAS: 14:50 = 0,84d PETROBRAS: 00:00 = 0,00d OUTROS: 00:00 = 0,00d RO DIRIO DE OBRA - SS-9/2025 (UPGN-3)  &amp;gt; REALIZANDO INSTALAO DE VENEZIANAS LATERAIS - [MOD: 05| PEMT-01] PT: 20865584(HR SOLIC 12:35| HR LIB 13:00 | ATRASO 00:00) - (HR ENC 16:30 | ATRASO 00:00)  &amp;gt; REALIZANDO ADEQUAO DO SISTEMA ELETRICO DO GALPO - [MOD: 03| PEMT-01] PT: 20865562 (HR SOLIC 07:45 | HR LIB 08:15 | ATRASO 00:00) - (HR ENC 16:30 | ATRASO 00:00   &amp;gt;&amp;gt; CONDIES CLIMTICAS:: CHUVOSO (07:30 - 12:00| IMPROD.: 04:30 = 0,37d) &amp;gt;&amp;gt; CONDIES CLIMTICAS:: VENTOS (12:00 - 16:30| IMPROD.: 04:30 = 0,56d)   &amp;gt;&amp;gt;&amp;gt; IMPEDIMENTOS ACUMULADOS LIBERAO PT/PTT: 11:23= 1,96d CONDIES CLIMTICAS: 38:20 = 4,24d PETROBRAS: 00:00 = 0,00d OUTROS: 00:00 = 0,00d  RO DIRIO DE OBRA - SS-11/2025 (UPCGN-1)  &amp;gt; DESMONTAGEM DOS PERFIS E RETIRADA DE TELHAS - [MOD: 12 | PEMT: 02] PT: 20865655 (HR SOLIC 12:20 | HR LIB 12:40 | ATRASO 00:00) - (HR ENC 16:30 | ATRASO 00:00) &amp;gt;&amp;gt; CONDIES CLIMTICAS:: CHUVOSO (07:30 - 12:00| IMPROD.: 04:30 = 0,37d)&amp;gt;&amp;gt; CONDIES CLIMTICAS:: VENTOS (12:00 - 16:30| IMPROD.: 04:30 = 0,56d)  &amp;gt;&amp;gt;&amp;gt; IMPEDIMENTOS ACUMULADOS LIBERAO PT/PTT: 05:56 = 0,74d CONDIES CLIMTICAS: 61:11 = 6,25d PETROBRAS: 00:00 = 0,00d OUTROS: 00:00 = 0,00d &amp;gt; REFORMA DA SALA INTERNA DO K-04( ANTIGA SALA TIC) - [MOD: 03 | PEMT: 0] PT: 20867605 (HR SOLIC 08:00 | HR LIB 08:10 | ATRASO 00:00) - (HR ENC 16:30 | ATRASO 00:00)</t>
  </si>
  <si>
    <t>RO-191/2025</t>
  </si>
  <si>
    <t>Os somatrios desde incio at o prazo final da SS dos acmulos de hora parada e meteorolgicas no final da SS a Petrobras ir analisar se e cabvel o abono revertido em acrscimo de dias no prazo de entrega da demanda.1. UPCGN-1:Foi programada a PT conforme pontuado pela contratada, da disciplina de caldeiraria.A equipe de caldeiraria atuava na parte externa com a remoo perfis metlicos da cobertura e desmontagem das estruturas no cho para destinao e limpeza do local.2. SECGN:Foi programada a PT de pintura, mas o SMS Petrobras paralisou a atividade devido aos acidentes recorrentes com outra empresa na atividade de pintura com irata, e pontuou a necessidade de adequao no transporte das latas de tinta.A equipe de caldeiraria atuou com a montagem dos perfis superiores da cobertura.3. UPGN-3:Foi programada a PT conforme pontuado pela contratada, da disciplina de caldeiraria e a equipe deu continuidade na atividade de instalao das venezianas laterais do wru.Equipe de eltrica deu continuidade nas atividades no galpo para passagem do cabeamento eltrico e as adequaes necessrias.A atividade de irata a equipe deu assistncia  caldeiraria na montagem das venezianas (PT 20.859.118).4. K-15:Atividade de pintura programada para tratamento e pintura de alvenaria do galpo.05. K-04:No K-04 a equipe de civil atuou na instalao de roda forro e tratamento das paredes internas da sala.Faltou anexar a SS do K-04 no RDO.RO aceito pela fiscalizao.</t>
  </si>
  <si>
    <t>RO DIRIO DE OBRA - SS-5/2025 (SECGN)  &amp;gt; TRATAMENTO E PINTURA DA ESTRUTURA DE CONCRETO- [MOD: 02 | PEMT: ] PT: 20858831(HR SOLIC 08:40 | HR LIB 08:51 | ATRASO 00:00) - (HR ENC 16:30 | ATRASO 00:00 )  &amp;gt; INSTALAO DE PERFIS GALVANIZADOS - [MOD: 02 | PEMT: ] PT: 20858936 (HR SOLIC 08:00 | HR LIB 08:48 | ATRASO 00:18) - (HR ENC 16:30 | ATRASO 00:00)  A ATIVIDADE DA PT-20858831 COM IRATA, FOI PARALIZADA PELO SMS PETROBRAS DEVIDO ACIDENTE COM QUEDA DE MATERIAIS DE OUTRA CONTRATADA. HORARIO DE PARALIZAO (10:00 - 16:30| IMPROD.: 05:30 = 0,81d)  &amp;gt;&amp;gt; CONDIES CLIMTICAS:TEMPO BOM  &amp;gt;&amp;gt;&amp;gt; IMPEDIMENTOS ACUMULADOS LIBERAO PT/PTT: 03:39 = 0,46d CONDIES CLIMTICAS: 27:50 = 3,48d PETROBRAS: 05:30 = 0,81d OUTROS: 00:00 = 0,00d  RO DIRIO DE OBRA - SS-7/2025 (GALPO K-15)  &amp;gt; TRATAMENTO E PINTURA DA ESTRUTURA DE CONCRETO- [MOD: 02 | PEMT: 1] PT: 20859196 (HR SOLIC 07:52 | HR LIB 08:00 | ATRASO 00:00) - (HR ENC 16:30 | ATRASO 00:00)  &amp;gt;&amp;gt; CONDIES CLIMTICAS:TEMPO BOM  &amp;gt;&amp;gt;&amp;gt; IMPEDIMENTOS ACUMULADOS LIBERAO PT/PTT: 07:40 = 0,85d CONDIES CLIMTICAS: 05:50 = 0,46d PETROBRAS: 00:00 = 0,00d OUTROS: 00:00 = 0,00d  RO DIRIO DE OBRA - SS-9/2025 (UPGN-3)  &amp;gt; REALIZANDO INSTALAO DE VENEZIANAS LATERAIS - [MOD: 05| PEMT-01] PT: 20859072(HR SOLIC 08:01| HR LIB 08:40 | ATRASO 00:09) - (HR ENC 16:30 | ATRASO 00:00)  &amp;gt; REALIZANDO ADEQUAO DO SISTEMA ELETRICO DO GALPO - [MOD: 03| PEMT-01] PT: 20858992 (HR SOLIC 07:40 | HR LIB 08:40 | ATRASO 00:30) - (HR ENC 16:30 | ATRASO 00:00   &amp;gt;&amp;gt; CONDIES CLIMTICAS:TEMPO BOM   &amp;gt;&amp;gt;&amp;gt; IMPEDIMENTOS ACUMULADOS LIBERAO PT/PTT: 11:23= 1,33d CONDIES CLIMTICAS: 29:20 = 3,31d PETROBRAS: 00:00 = 0,00d OUTROS: 00:00 = 0,00d  RO DIRIO DE OBRA - SS-11/2025 (UPCGN-1)  &amp;gt; DESMONTAGEM DOS PERFIS E RETIRADA DE TELHAS - [MOD: 12 | PEMT: 02] PT: 20859152 (HR SOLIC 07:40 | HR LIB 08:00 | ATRASO 00:00) - (HR ENC 16:30 | ATRASO 00:00)  &amp;gt;&amp;gt; CONDIES CLIMTICAS:TEMPO BOM  &amp;gt;&amp;gt;&amp;gt; IMPEDIMENTOS ACUMULADOS LIBERAO PT/PTT: 05:56 = 0,74d CONDIES CLIMTICAS: 52:11 = 6,25d PETROBRAS: 00:00 = 0,00d OUTROS: 00:00 = 0,00d   &amp;gt; REFORMA DA SALA INTERNA DO K-04( ANTIGA SALA TIC) - [MOD: 03 | PEMT: 0] PT: 20863492 (HR SOLIC 08:06 | HR LIB 08:10 | ATRASO 00:00) - (HR ENC 16:30 | ATRASO 00:00)</t>
  </si>
  <si>
    <t>RO-190/2025</t>
  </si>
  <si>
    <t>SIZERNANDO SILVA SANTOS.zip; THARES GEORGE PEREIRA OLIVEIRA.zip; WEBERSON GONÇALVES.zip</t>
  </si>
  <si>
    <t>Gentileza corrigir a data do perodo de acordo com a data de atendimento ao item.</t>
  </si>
  <si>
    <t>Conforme solicitado, encaminho em anexo documentao pessoal dos funcionrios:THARES GEORGESIZERNANDO SILVAWEBERSON GONALVES</t>
  </si>
  <si>
    <t>RO-182/2025</t>
  </si>
  <si>
    <t>FELIPE KAYAN FAUSTINO FERREIRA.zip; LUCAS BRAGA DE OLIVEIRA.zip; REINALDO FERREIRA BATISTA.zip</t>
  </si>
  <si>
    <t>Conforme solicitado, encaminho em anexo documentao pessoal dos funcionrios:REINALDO BATISTAFELIPE KAYANLUCAS BRAGA</t>
  </si>
  <si>
    <t>RO-181/2025</t>
  </si>
  <si>
    <t>ADENILDO LARANJEIRA DOS SANTOS.zip; ALBERTO COSTA DE JESUS.zip; CARLOS RODRIGO ALMEIDA.zip</t>
  </si>
  <si>
    <t>Conforme solicitado, encaminho em anexo documentao pessoal dos funcionrios:ADENILDO LARANJEIRA DOS SANTOSALBERTO COSTA DE JESUSCARLOS RODRIGO ALMEIDA</t>
  </si>
  <si>
    <t>RO-180/2025</t>
  </si>
  <si>
    <t>Os somatrios desde incio at o prazo final da SS dos acmulos de hora parada e meteorolgicas no final da SS a Petrobras ir analisar se e cabvel o abono revertido em acrscimo de dias no prazo de entrega da demanda.1. UPCGN-1:Foi programada a PT conforme pontuado pela contratada, da disciplina de caldeiraria.A equipe de caldeiraria atuava na parte externa com a remoo perfis metlicos da cobertura e remoo das telhas e tirantes.2. SECGN:Foi programada a PT de irata (20.843.268), mas o irata N3 chegou muito tarde na unidade, no foi possvel executar nada em tempo hbil.3. UPGN-3:Foi programada a PT conforme pontuado pela contratada, da disciplina de caldeiraria e a equipe deu continuidade na atividade de instalao de venezianas de fechamento lateral.Equipe de eltrica deu continuidade nas atividades no galpo para passagem do cabeamento eltrico e as adequaes necessrias.Foi programada tambm a PT de pintura na qual a equipe atuou nos retoques de pintura da passarela.A atividade de irata foi programada (20.843.184), mas o irata N3 chegou muito tarde na unidade, no foi possvel executar nada em tempo hbil.4. K-15:Atividade de pintura programada para tratamento e pintura de alvenaria do galpo.5. K-04:Atividade de remoo de forro PVC.SS no includa no RO, devido status da demanda no samc.RO aceito pela fiscalizao.</t>
  </si>
  <si>
    <t>RO DIRIO DE OBRA - SS-5/2025 (SECGN)ATIVIDADES NO EXECUTADAS NESSA DATA &amp;gt;&amp;gt; CONDIES CLIMTICAS:TEMPO BOM &amp;gt;&amp;gt;&amp;gt; IMPEDIMENTOS ACUMULADOS LIBERAO PT/PTT: 03:21 = 0,42d CONDIES CLIMTICAS: 27:50 = 3,48d PETROBRAS: 00:00 = 0,00d OUTROS: 00:00 = 0,00dRO DIRIO DE OBRA - SS-7/2025 (GALPO K-15)  &amp;gt; TRATAMENTO E PINTURA DA ESTRUTURA DE CONCRETO- [MOD: 02 | PEMT: 1] PT: 20842870 (HR SOLIC 08:49 | HR LIB 08:50 | ATRASO 00:00) - (HR ENC 16:30 | ATRASO 00:00)  &amp;gt;&amp;gt; CONDIES CLIMTICAS:TEMPO BOM  &amp;gt;&amp;gt;&amp;gt; IMPEDIMENTOS ACUMULADOS LIBERAO PT/PTT: 07:40 = 0,85d CONDIES CLIMTICAS: 05:50 = 0,46d PETROBRAS: 00:00 = 0,00d OUTROS: 00:00 = 0,00d  RO DIRIO DE OBRA - SS-9/2025 (UPGN-3)  &amp;gt; REALIZANDO INSTALAO DE TELHAS LATERAIS - [MOD: 04| PEMT-01] PT: 20849220(HR SOLIC 08:20| HR LIB 08:30 | ATRASO 00:00) - (HR ENC 16:30 | ATRASO 00:00)  &amp;gt; REALIZANDO ADEQUAO DO SISTEMA ELETRICO DO GALPO - [MOD: 03| PEMT-01] PT: 20843184 (HR SOLIC 08:13 | HR LIB 09:10 | ATRASO 00:27) - (HR ENC 16:30 | ATRASO 00:00  &amp;gt; TRATAMENTO E PINTURA NA PASSARELA DA PONTE ROLANTE - [MOD: 04 | PEMT: 0] PT: 20843193(HR SOLIC 08:40 | HR LIB 09:00 | ATRASO 00:00) - (HR ENC 16:30 | ATRASO 00:00 )   &amp;gt;&amp;gt; CONDIES CLIMTICAS:TEMPO BOM   &amp;gt;&amp;gt;&amp;gt; IMPEDIMENTOS ACUMULADOS LIBERAO PT/PTT: 10:19= 1,20d CONDIES CLIMTICAS: 29:20 = 3,31d PETROBRAS: 00:00 = 0,00d OUTROS: 00:00 = 0,00d RO DIRIO DE OBRA - SS-11/2025 (UPCGN-1)  &amp;gt; DESMONTAGEM DOS PERFIS E RETIRADA DE TELHAS - [MOD: 07 | PEMT: 02] PT: 20849204 (HR SOLIC 08:00 | HR LIB 08:45 | ATRASO 00:15) - (HR ENC 16:30 | ATRASO 00:00)  &amp;gt;&amp;gt; CONDIES CLIMTICAS:TEMPO BOM  &amp;gt;&amp;gt;&amp;gt; IMPEDIMENTOS ACUMULADOS LIBERAO PT/PTT: 05:06 = 0,64d CONDIES CLIMTICAS: 52:11 = 6,25d PETROBRAS: 00:00 = 0,00d OUTROS: 00:00 = 0,00d &amp;gt; REFORMA DA SALA INTERNA DO K-04( ANTIGA SALA TIC) - [MOD: 03 | PEMT: 0]PT: 20853828 (HR SOLIC 14:12 | HR LIB 14:22 | ATRASO 00:00) - (HR ENC 16:30 | ATRASO 00:00)</t>
  </si>
  <si>
    <t>RO-178/2025</t>
  </si>
  <si>
    <t>007-FDS-FUTURA-AD_PORT.pdf; Cimentcola Flexível Cinza Quartzolit (Tipo AC-III).pdf; FDS 0002.pdf; FDS eucatex-thinner-9800.pdf; FDS Hardtop XP Comp A.pdf; FDS XP Comp B.pdf; Reboco Pronto quartzolit.pdf; COLA PU BISNAGA.pdf; COLA PU.pdf; FDS detergente limpol.pdf; FDS eucatex-thinner-9800.pdf; FDS Hardtop XP Comp A.pdf; FDS Hardtop XP Comp B.pdf; FDS Jotaguard 100 Comp B.pdf; FDS Jotun Thinner No. 17.pdf; FDS MANTA LIQUIDA BAUTECH.pdf; FDS 0002.pdf; Cimentcola Flexível Cinza Quartzolit (Tipo AC-III).pdf</t>
  </si>
  <si>
    <t>Documentos recebidos.Solicito ateno a repetio de documentos.</t>
  </si>
  <si>
    <t>RO-176/2025</t>
  </si>
  <si>
    <t>Os somatrios desde incio at o prazo final da SS dos acmulos de hora parada e meteorolgicas no final da SS a Petrobras ir analisar se e cabvel o abono revertido em acrscimo de dias no prazo de entrega da demanda.1. UPCGN-1:Foi programada a PT conforme pontuado pela contratada, da disciplina de caldeiraria.A equipe de caldeiraria atuava na parte externa com a remoo perfis metlicos da cobertura e remoo das telhas e tirantes.2. SECGN:Foi programada a PT de pintura e a equipe deu continuidade na pintura da estrutura.3. UPGN-3:Foi programada a PT conforme pontuado pela contratada, da disciplina de caldeiraria e a equipe deu continuidade na atividade de instalao das venezianas laterais do wru.Equipe de eltrica deu continuidade nas atividades no galpo para passagem do cabeamento eltrico e as adequaes necessrias.Foi programada tambm a PT de pintura na qual a equipe atuou nos retoques de pintura da passarela (PT 20.852.441).A atividade de irata a equipe deu assistncia  caldeiraria na montagem das venezianas (PT 20.852.453).4. K-15:Atividade de pintura programada para tratamento e pintura de alvenaria do galpo.05. K-04:No K-04 a equipe de civil atuou na remoo do forro de PVC e da ferragem antiga para reinstalao do material novo.Faltou anexar a SS do K-04 no RDO.RO aceito pela fiscalizao.</t>
  </si>
  <si>
    <t>RO DIRIO DE OBRA - SS-5/2025 (SECGN)  &amp;gt; TRATAMENTO E PINTURA DA ESTRUTURA DE CONCRETO- [MOD: 02 | PEMT: ] PT: 20852279(HR SOLIC 09:00 | HR LIB 09:05 | ATRASO 00:00) - (HR ENC 16:30 | ATRASO 00:00 )  &amp;gt;&amp;gt; CONDIES CLIMTICAS:TEMPO BOM  &amp;gt;&amp;gt;&amp;gt; IMPEDIMENTOS ACUMULADOS LIBERAO PT/PTT: 03:21 = 0,42d CONDIES CLIMTICAS: 27:50 = 3,48d PETROBRAS: 00:00 = 0,00d OUTROS: 00:00 = 0,00d   RO DIRIO DE OBRA - SS-7/2025 (GALPO K-15)  &amp;gt; TRATAMENTO E PINTURA DA ESTRUTURA DE CONCRETO- [MOD: 02 | PEMT: 1] PT: 20852388 (HR SOLIC 07:52 | HR LIB 08:00 | ATRASO 00:00) - (HR ENC 16:30 | ATRASO 00:00)  &amp;gt;&amp;gt; CONDIES CLIMTICAS:TEMPO BOM  &amp;gt;&amp;gt;&amp;gt; IMPEDIMENTOS ACUMULADOS LIBERAO PT/PTT: 07:40 = 0,85d CONDIES CLIMTICAS: 05:50 = 0,46d PETROBRAS: 00:00 = 0,00d OUTROS: 00:00 = 0,00d ___________________________________________________________________   RO DIRIO DE OBRA - SS-9/2025 (UPGN-3)  &amp;gt; REALIZANDO INSTALAO DE VENEZIANAS LATERAIS - [MOD: 06| PEMT-01] PT: 20852475(HR SOLIC 08:05| HR LIB 09:00 | ATRASO 00:25) - (HR ENC 16:30 | ATRASO 00:00)  &amp;gt; REALIZANDO ADEQUAO DO SISTEMA ELETRICO DO GALPO - [MOD: 03| PEMT-01] PT: 20852431 (HR SOLIC 08:49 | HR LIB 09:10 | ATRASO 00:00) - (HR ENC 16:30 | ATRASO 00:00   &amp;gt;&amp;gt; CONDIES CLIMTICAS:TEMPO BOM   &amp;gt;&amp;gt;&amp;gt; IMPEDIMENTOS ACUMULADOS LIBERAO PT/PTT: 10:44= 1,25d CONDIES CLIMTICAS: 29:20 = 3,31d PETROBRAS: 00:00 = 0,00d OUTROS: 00:00 = 0,00d  RO DIRIO DE OBRA - SS-11/2025 (UPCGN-1)  &amp;gt; DESMONTAGEM DOS PERFIS E RETIRADA DE TELHAS - [MOD: 07 | PEMT: 02] PT: 20852349 (HR SOLIC 07:40 | HR LIB 09:00 | ATRASO 00:50) - (HR ENC 16:30 | ATRASO 00:00)  &amp;gt;&amp;gt; CONDIES CLIMTICAS:TEMPO BOM  &amp;gt;&amp;gt;&amp;gt; IMPEDIMENTOS ACUMULADOS LIBERAO PT/PTT: 05:56 = 0,74d CONDIES CLIMTICAS: 52:11 = 6,25d PETROBRAS: 00:00 = 0,00d OUTROS: 00:00 = 0,00d________________________________________________&amp;gt; REFORMA DA SALA INTERNA DO K-04( ANTIGA SALA TIC) - [MOD: 03 | PEMT: 0]PT: 20856825 (HR SOLIC 08:01 | HR LIB 08:10 | ATRASO 00:00) - (HR ENC 16:30 | ATRASO 00:00)</t>
  </si>
  <si>
    <t>RO-174/2025</t>
  </si>
  <si>
    <t>RO DIRIO DE OBRA - SS-5/2025 (SECGN) SEM EXPEDIENTE  &amp;gt;&amp;gt;&amp;gt; IMPEDIMENTOS ACUMULADOS LIBERAO PT/PTT: 03:21 = 0,42d CONDIES CLIMTICAS: 27:50 = 3,48d PETROBRAS: 00:00 = 0,00d OUTROS: 00:00 = 0,00d  _________________________________________________________________  RO DIRIO DE OBRA - SS-7/2025 (GALPO K-15)SEM EXPEDIENTE &amp;gt;&amp;gt; CONDIES CLIMTICAS:TEMPO BOM  &amp;gt;&amp;gt;&amp;gt; IMPEDIMENTOS ACUMULADOS LIBERAO PT/PTT: 07:40 = 0,85d CONDIES CLIMTICAS: 05:50 = 0,46d PETROBRAS: 00:00 = 0,00d OUTROS: 00:00 = 0,00d  RO DIRIO DE OBRA - SS-9/2025 (UPGN-3) SEM EXPEDIENTE  &amp;gt;&amp;gt; CONDIES CLIMTICAS:TEMPO BOM   &amp;gt;&amp;gt;&amp;gt; IMPEDIMENTOS ACUMULADOS LIBERAO PT/PTT: 09:52= 1,20d CONDIES CLIMTICAS: 26:30 = 3,31d PETROBRAS: 00:00 = 0,00d OUTROS: 00:00 = 0,00d  RO DIRIO DE OBRA - SS-11/2025 (UPCGN-1) SEM EXPEDIENTE &amp;gt;&amp;gt; CONDIES CLIMTICAS:TEMPO BOM  &amp;gt;&amp;gt;&amp;gt; IMPEDIMENTOS ACUMULADOS LIBERAO PT/PTT: 04:51 = 0,64d CONDIES CLIMTICAS: 52:11 = 6,25d PETROBRAS: 00:00 = 0,00d OUTROS: 00:00 = 0,00d</t>
  </si>
  <si>
    <t>RO-173/2025</t>
  </si>
  <si>
    <t>Os somatrios desde incio at o prazo final da SS dos acmulos de hora parada e meteorolgicas no final da SS a Petrobras ir analisar se e cabvel o abono revertido em acrscimo de dias no prazo de entrega da demanda.1. UPCGN-1:Foi programada a PT conforme pontuado pela contratada, da disciplina de caldeiraria. A equipe de caldeiraria atuava na parte externa com a remoo das telhas.Haviam 2 colaboradores desmontando a estrutura do cho e removendo as telhas para descarte. Tambm realizaram a destinao de resduos e sucatas do local.Houve ocorrncia de vazamento de leo da pemt durante a atividade, e mesma foi paralisada por volta de 14:30.2. SECGN:Foi programada a PT de caldeiraria e a equipe deu continuidade na instalao dos perfis da frente da UPCGN-1.Atividade foi concluda no horrio do almoo e aps o almoo, a equipe deu apoio na UPCGN-1 carregando e transportando o munck com estruturas removidas do galpo.3. UPGN-3:Foi programada a PT conforme pontuado pela contratada, da disciplina de caldeiraria e a equipe deu continuidade na atividade de instalao de telhas de fechamento lateral da fachada 1, finalizando a parte do fechamento, faltando somente as venezianas e acabamento com rufo.4. K-15:Sem atividades programadas.RO aceito pela fiscalizao.</t>
  </si>
  <si>
    <t>RO DIRIO DE OBRA - SS-5/2025 (SECGN)  &amp;gt; PREPARAO DOS PERFIS LATERAIS PARA INSTALAO - [MOD: 05 | PEMT: 1] PT: 20842800 (HR SOLIC 07:50 | HR LIB 08:00 | ATRASO 00:00) - (HR ENC 16:30 | ATRASO 00:00)   &amp;gt;&amp;gt; CONDIES CLIMTICAS:TEMPO BOM  &amp;gt;&amp;gt;&amp;gt; IMPEDIMENTOS ACUMULADOS LIBERAO PT/PTT: 03:21 = 0,42d CONDIES CLIMTICAS: 27:50 = 3,48d PETROBRAS: 00:00 = 0,00d OUTROS: 00:00 = 0,00d  RO DIRIO DE OBRA - SS-9/2025 (UPGN-3)  &amp;gt; REALIZANDO INSTALAO DE TELHAS LATERAIS - [MOD: 05| PEMT-01] PT: 20842767(HR SOLIC 08:01| HR LIB 08:20 | ATRASO 00:00) - (HR ENC 16:30 | ATRASO 00:00)   &amp;gt;&amp;gt; CONDIES CLIMTICAS: TEMPO BOM   &amp;gt;&amp;gt;&amp;gt; IMPEDIMENTOS ACUMULADOS LIBERAO PT/PTT: 09:52= 1,14d CONDIES CLIMTICAS: 29:20 = 3,31d PETROBRAS: 00:00 = 0,00d OUTROS: 00:00 = 0,00d RO DIRIO DE OBRA - SS-11/2025 (UPCGN-1)  &amp;gt; DESMONTAGEM DOS PERFIS E RETIRADA DE TELHAS - [MOD: 07 | PEMT: 02] PT: 20842784 (HR SOLIC 07:40 | HR LIB 08:00 | ATRASO 00:00) - (HR ENC 16:30 | ATRASO 00:00)  &amp;gt;&amp;gt; CONDIES CLIMTICAS:TEMPO BOM  &amp;gt;&amp;gt;&amp;gt; IMPEDIMENTOS ACUMULADOS LIBERAO PT/PTT: 04:51 = 0,61d CONDIES CLIMTICAS: 52:11 = 6,25d PETROBRAS: 00:00 = 0,00d OUTROS: 00:00 = 0,00d</t>
  </si>
  <si>
    <t>RO-172/2025</t>
  </si>
  <si>
    <t>PLANO DE MANUTENÇÃO REV.07 - CLH8G34.pdf; PLANO DE MANUTENÇÃO RKO5D59 REV 06.pdf; MANUAL MS45007 GUINDAUTO.pdf; 115205_LISTAGEM_PLANO_DE_MANUTEN%C3%87%C3%83O_X_PROCEDIMENTOS_MILLS_EQUIPAMENTOS.pdf; 118391_LISTAGEM_PLANO_DE_MANUTEN%C3%87%C3%83O_X_PROCEDIMENTOS_MILLS_EQUIPAMENTOS.PDF; 118573_LISTAGEM_PLANO_DE_MANUTEN%C3%87%C3%83O_X_PROCEDIMENTOS_MILLS_EQUIPAMENTOS.PDF; 118605_LISTAGEM_PLANO_DE_MANUTEN%C3%87%C3%83O_X_PROCEDIMENTOS_MILLS_EQUIPAMENTOS.PDF; 120575_LISTAGEM_PLANO_DE_MANUTEN%C3%87%C3%83O_X_PROCEDIMENTOS_MILLS_EQUIPAMENTOS.PDF; 128579_LISTAGEM_PLANO_DE_MANUTEN%C3%87%C3%83O_X_PROCEDIMENTOS_MILLS_EQUIPAMENTOS.pdf; Manual Genie Z80.60.pdf; Manual JLG 1250AJP_compressed (1).pdf</t>
  </si>
  <si>
    <t>Envio dos doc. CDIGO 362-Plano de manut. preventiva de mquinas e equipamentos e manual de operao NR-12 para avaliao dos equipamentos:1. GUINDASTE 110 T SANY PLACA: CLH8G342. GUINDAUTO MASAL PLACA: RK05D593. PEMT 115205, 118391, 118573, 118605, 120575 e 128579.Obs: O manual do GUINDASTE e pesado no consegui postar, vou tentar reduzir para enviar.</t>
  </si>
  <si>
    <t>RO-170/2025</t>
  </si>
  <si>
    <t>PLANO DE MANUTENÇÃO RKO5D59 REV 06.pdf; MANUAL MS45007 GUINDAUTO.pdf; 115205_LISTAGEM_PLANO_DE_MANUTEN%C3%87%C3%83O_X_PROCEDIMENTOS_MILLS_EQUIPAMENTOS.pdf; 118391_LISTAGEM_PLANO_DE_MANUTEN%C3%87%C3%83O_X_PROCEDIMENTOS_MILLS_EQUIPAMENTOS.PDF; 118573_LISTAGEM_PLANO_DE_MANUTEN%C3%87%C3%83O_X_PROCEDIMENTOS_MILLS_EQUIPAMENTOS.PDF; 118605_LISTAGEM_PLANO_DE_MANUTEN%C3%87%C3%83O_X_PROCEDIMENTOS_MILLS_EQUIPAMENTOS.PDF; Manual Genie Z80.60.pdf; Manual JLG 1250AJP_compressed (3).pdf</t>
  </si>
  <si>
    <t>RO-168/2025</t>
  </si>
  <si>
    <t>358 -Audicomp EDIVIT Out-25.pdf; 358 - AUDICOMP UTGC OUT 2025.pdf</t>
  </si>
  <si>
    <t>Envio do doc. CDIGO 358-Programa de AUDICOMP EDIVIT/UTGC para avaliao.</t>
  </si>
  <si>
    <t>RO-167/2025</t>
  </si>
  <si>
    <t>376- Relatório Mensal de SMS - EDIVIT OUT 2025 ass.pdf; 376 - RMS Relatório Mensal de SMS (conforme modelo Petrobras) UTGC.pdf</t>
  </si>
  <si>
    <t>Gentileza inserir em nomenclatura a unidade e ms que se refere o documento.</t>
  </si>
  <si>
    <t>Envio do doc. CDIGO 376-RMS - Relatrio Mensal de SMS (conforme modelo Petrobras) EDIVIT/UTGC para anlise.</t>
  </si>
  <si>
    <t>RO-166/2025</t>
  </si>
  <si>
    <t>381A-SIGEA EDIVIT APJ -OUT - 25.xlsx; 381A -SIGEA UTGC APJ - OUT -25.xlsx</t>
  </si>
  <si>
    <t>Envio do doc. CDIGO 381 A -SIGEA OUTUBRO 2025 EDIVIT e UTGC para anlise.</t>
  </si>
  <si>
    <t>RO-165/2025</t>
  </si>
  <si>
    <t>381-  REM APJ OUTUBRO 2025 EDIVIT UTGC  rev 03 11 2025.xlsx</t>
  </si>
  <si>
    <t>Envio doc. CDIGO 381-REM e REMe - Relatrio Estatstico Mensal (conforme modelo Petrobras), os dados HHER foram lanados EDIVI e UTGC para anlise, ms de correspondncia OUTUBRO 2025.</t>
  </si>
  <si>
    <t>RO-164/2025</t>
  </si>
  <si>
    <t>Os somatrios desde incio at o prazo final da SS dos acmulos de hora parada e meteorolgicas no final da SS a Petrobras ir analisar se e cabvel o abono revertido em acrscimo de dias no prazo de entrega da demanda.1. UPCGN-1:Foi programada a PT conforme pontuado pela contratada, da disciplina de caldeiraria.A equipe de caldeiraria atuava na parte externa com a remoo perfis metlicos da cobertura e remoo das telhas e tirantes.2. SECGN:Foi programada a PT de caldeiraria e a equipe deu continuidade na instalao dos perfis da frente da UPCGN-1.Atividade teve impacto com a liberao da operao, pois havia chovido pela manh.3. UPGN-3:Foi programada a PT conforme pontuado pela contratada, da disciplina de caldeiraria e a equipe deu continuidade na atividade de instalao de telhas de fechamento lateral.Equipe de eltrica deu continuidade nas atividades no galpo para passagem do cabeamento eltrico e as adequaes necessrias.Foi programada tambm a PT de pintura na qual a equipe atuou nos retoques de pintura da passarela.A atividade de irata no foi liberada, pois o N3 estava em treinamento externo e outro profissional no poderia requisitar a PT.4. K-15:Atividade de pintura programada para tratamento e pintura de alvenaria do galpo.Atividade teve impacto com a liberao da operao, pois havia chovido pela manh, a operao ia cancelar a PT, mas a fiscalizao interveio na solicitao da PT.RO aceito pela fiscalizao.</t>
  </si>
  <si>
    <t>RO DIRIO DE OBRA - SS-5/2025 (SECGN)  &amp;gt; PREPARAO DOS PERFIS LATERAIS PARA INSTALAO - [MOD: 04 | PEMT: 1] PT: 20836495 (HR SOLIC 07:50 | HR LIB 09:00 | ATRASO 00:40) - (HR ENC 16:30 | ATRASO 00:00)   &amp;gt;&amp;gt; CONDIES CLIMTICAS:: CHUVOSO (08:00 - 09:30| IMPROD.: 01:30 = 0,19d) &amp;gt;&amp;gt; CONDIES CLIMTICAS:: CHUVOSO (13:20 - 15:30| IMPROD.: 02:10 = 0,27d)  &amp;gt;&amp;gt;&amp;gt; IMPEDIMENTOS ACUMULADOS LIBERAO PT/PTT: 03:21 = 0,42d CONDIES CLIMTICAS: 27:50 = 3,48d PETROBRAS: 00:00 = 0,00d OUTROS: 00:00 = 0,00d  _________________________________________________________________ RO DIRIO DE OBRA - SS-7/2025 (GALPO K-15)  &amp;gt; TRATAMENTO E PINTURA DA ESTRUTURA DE CONCRETO- [MOD: 02 | PEMT: 0] PT: 20836471 (HR SOLIC 07:30 | HR LIB 12:50 | ATRASO 04:50) - (HR ENC 16:30 | ATRASO 00:00)  &amp;gt;&amp;gt; CONDIES CLIMTICAS:: CHUVOSO (08:00 - 09:30| IMPROD.: 01:30 = 0,19d) &amp;gt;&amp;gt; CONDIES CLIMTICAS:: CHUVOSO (13:20 - 15:30| IMPROD.: 02:10 = 0,27d)  &amp;gt;&amp;gt;&amp;gt; IMPEDIMENTOS ACUMULADOS LIBERAO PT/PTT: 07:40 = 0,85d CONDIES CLIMTICAS: 05:50 = 0,46d PETROBRAS: 00:00 = 0,00d OUTROS: 00:00 = 0,00d __________________________________________________________________ RO DIRIO DE OBRA - SS-9/2025 (UPGN-3)  &amp;gt; REALIZANDO INSTALAO DE TELHAS LATERAIS - [MOD: 04| PEMT-01] PT: 20836541(HR SOLIC 07:50| HR LIB 10:35 | ATRASO 02:15) - (HR ENC 16:30 | ATRASO 00:00)  &amp;gt; REALIZANDO ADEQUAO DO SISTEMA ELETRICO DO GALPO - [MOD: 03| PEMT-01] PT: 20836568 (HR SOLIC 08:00 | HR LIB 10:00 | ATRASO 01:30) - (HR ENC 16:30 | ATRASO 00:00  &amp;gt; TRATAMENTO E PINTURA NA PASSARELA DA PONTE ROLANTE - [MOD: 02 | PEMT: 0] PT: 20836519(HR SOLIC 08:00 | HR LIB 10:20 | ATRASO 01:50) - (HR ENC 16:30 | ATRASO 00:00 )   &amp;gt;&amp;gt; CONDIES CLIMTICAS:: CHUVOSO (08:00 - 09:30| IMPROD.: 01:30 = 0,19d) &amp;gt;&amp;gt; CONDIES CLIMTICAS:: CHUVOSO (13:20 - 15:30| IMPROD.: 02:10 = 0,27d)  &amp;gt;&amp;gt;&amp;gt; IMPEDIMENTOS ACUMULADOS LIBERAO PT/PTT: 09:52= 1,14d CONDIES CLIMTICAS: 29:20 = 3,31d PETROBRAS: 00:00 = 0,00d OUTROS: 00:00 = 0,00d  ___________________________________________________________________  RO DIRIO DE OBRA - SS-11/2025 (UPCGN-1)  &amp;gt; DESMONTAGEM DOS PERFIS E RETIRADA DE TELHAS - [MOD: 07 | PEMT: 02] PT: 20836505 (HR SOLIC 08:00 | HR LIB 09:00 | ATRASO 00:30) - (HR ENC 16:30 | ATRASO 00:00)  &amp;gt;&amp;gt; CONDIES CLIMTICAS:: CHUVOSO (08:00 - 09:30| IMPROD.: 01:30 = 0,19d) &amp;gt;&amp;gt; CONDIES CLIMTICAS:: CHUVOSO (13:20 - 15:30| IMPROD.: 02:10 = 0,27d)  &amp;gt;&amp;gt;&amp;gt; IMPEDIMENTOS ACUMULADOS LIBERAO PT/PTT: 04:51 = 0,61d CONDIES CLIMTICAS: 52:11 = 6,25d PETROBRAS: 00:00 = 0,00d OUTROS: 00:00 = 0,00d</t>
  </si>
  <si>
    <t>RO-163/2025</t>
  </si>
  <si>
    <t>APR 01 -APJ- de  instalação da placa de identificação da obra, adequação do tapume e organização do canteiro de obras.xlsx; APR 02- Movimentação de Carga Manual-Elevador-Veiculo.xlsx; APR 03- CONDUÇÃO DE VEÍCULOS MOTORIZADO.xlsx; APR 05- PE-Operação com Caminhão Poliguindaste.xlsx; APR 07-PE-APJ-MONTAGEM DE ANDAIMES-REV1.xlsx</t>
  </si>
  <si>
    <t>Envio dos doc. CDIGO 375 -AR (anlise de Risco) para avaliao, as AR j foram aprovadas.</t>
  </si>
  <si>
    <t>RO-162/2025</t>
  </si>
  <si>
    <t>PE-01-APJ__INSTALAÇÃO DA PLACA DE IDENTIFICAÇÃO DE OBRAS , ADEQUAÇÃO DO TAPUME E ORGANIZAÇÃO DO CANTEIRO DE OBRAS-APROVADO.docx; PE-02-APJ-_MOVIMENTAÇÃO_MANUAL_CARGAS.docx; PE-03-APJ-_CONDUÇÃO DE VEÍCULOS MOTORIZADOS.docx; PE-05-APJ-MOVIMENTAÇÃO COM POLIGUINDASTE.docx; PE-07-APJ-MONTAGEM E DESMONTAGEM DE ANDAIME-REV01.docx</t>
  </si>
  <si>
    <t>Envio doc. CDIGO 365-Procedimentos para atividades criticas para avaliao.Nota: Os procedimentos j foram aprovados pela fiscalizao</t>
  </si>
  <si>
    <t>RO-158/2025</t>
  </si>
  <si>
    <t>PE-01-APJ__INSTALAÇÃO DA PLACA DE IDENTIFICAÇÃO DE OBRAS , ADEQUAÇÃO DO TAPUME E ORGANIZAÇÃO DO CANTEIRO DE OBRAS-APROVADO.docx; PE-02-APJ-_MOVIMENTAÇÃO_MANUAL_CARGAS.docx; PE-03-APJ-_CONDUÇÃO DE VEÍCULOS MOTORIZADOS.docx; PE-05-APJ-MOVIMENTAÇÃO COM POLIGUINDASTE.docx; PE-06-APJ-ADEQUAÇÃO ACUSTICA CENTRAL UTILIDADE-REV0.docx; PE-07-APJ-MONTAGEM E DESMONTAGEM DE ANDAIME-REV01.docx</t>
  </si>
  <si>
    <t>RO-157/2025</t>
  </si>
  <si>
    <t>PR-VCPAPJ-1011 PROCEMENTO VCP 03 11 2025.pdf</t>
  </si>
  <si>
    <t>Envio doc. CDIGO 360 -Programa de VCP (Verificao Conformidade e Procedimento) para avaliao.</t>
  </si>
  <si>
    <t>RO-156/2025</t>
  </si>
  <si>
    <t>310_-_PCMSO_-_APJ__EDIVIT_.pdf (2).pdf; 310_-_PCMSO_-_APJ__UTGC_.pdf (3).pdf</t>
  </si>
  <si>
    <t>RO-155/2025</t>
  </si>
  <si>
    <t>319 A - DIVULGAÇÃO DA OS E INSTRUÇÕES DE SERVIÇOS.pdf</t>
  </si>
  <si>
    <t>RO-153/2025</t>
  </si>
  <si>
    <t>001 - CARTA APJ ENGENHARIA E CONSTRUÇÕES LTDA- REF. DOC DE SMS ITEM 3 - CÓDIGO 322.pdf</t>
  </si>
  <si>
    <t>Envio do doc. CDIGO 322- Designao formal da empresa para o empregado representante da CIPA NR-5 (Carta) para avaliao.</t>
  </si>
  <si>
    <t>RO-151/2025</t>
  </si>
  <si>
    <t>Envio doc. CDIGO 322-Designao formal da empresa para o empregado representante da CIPA NR-5 (Carta) para avaliao.</t>
  </si>
  <si>
    <t>RO-150/2025</t>
  </si>
  <si>
    <t>FICHA DE EPIs UGTC I_compressed.pdf; FICHA DE EPIs UTGC II_compressed.pdf</t>
  </si>
  <si>
    <t>Envio do doc. CDIGO 354-Ficha de entrega, controle e treinamento de EPI NR-6 UTGC</t>
  </si>
  <si>
    <t>RO-149/2025</t>
  </si>
  <si>
    <t>Os somatrios desde incio at o prazo final da SS dos acmulos de hora parada e meteorolgicas no final da SS a Petrobras ir analisar se e cabvel o abono revertido em acrscimo de dias no prazo de entrega da demanda.1. UPCGN-1:Foi programada a PT conforme pontuado pela contratada, da disciplina de caldeiraria.A equipe de caldeiraria atuava na parte externa com a remoo perfis metlicos da cobertura e remoo das telhas e tirantes.2. SECGN:Foi programada a PT de caldeiraria e a equipe deu continuidade na instalao dos perfis da frente da UPCGN-1.3. UPGN-3:Foi programada a PT conforme pontuado pela contratada, da disciplina de caldeiraria e a equipe deu continuidade na atividade de instalao de telhas de fechamento lateral, equipe atuando com dificuldade na atividade em altura, foi instalado apenas 1 telha.Equipe de eltrica deu continuidade nas atividades no galpo para passagem do cabeamento eltrico e as adequaes necessrias.Foi programada tambm a PT de pintura na qual a equipe atuou nos retoques de pintura da passarela.A atividade de irata no foi liberada, pois o N3 estava em treinamento externo e outro profissional no poderia requisitar a PT.4. K-15:Atividade de pintura programada para tratamento e pintura de alvenaria do galpo.A PT20.834.860 referente s atividades do canteiro.RO aceito pela fiscalizao.</t>
  </si>
  <si>
    <t>RO DIRIO DE OBRA - SS-5/2025 (SECGN)  &amp;gt; FABRICAO DE PEDESTAL PARA ISOLAMENTO DE AREA NO CANTEIRO DE OBRAS - [MOD: 02 | PEMT: 0] PT: 20834860 (HR SOLIC 08:20 | HR LIB 08:30 | ATRASO 00:00) - (HR ENC 16:30 | ATRASO 00:00)  &amp;gt; PREPARAO DOS PERFIS LATERAIS PARA INSTALAO - [MOD: 04 | PEMT: 1] PT: 20831113 (HR SOLIC 07:50 | HR LIB 08:10 | ATRASO 00:00) - (HR ENC 16:30 | ATRASO 00:00)  &amp;gt;&amp;gt; CONDIES CLIMTICAS: TEMPO BOM  &amp;gt;&amp;gt;&amp;gt; IMPEDIMENTOS ACUMULADOS LIBERAO PT/PTT: 02:41 = 0,34d CONDIES CLIMTICAS: 24:10 = 3,02d PETROBRAS: 00:00 = 0,00d OUTROS: 00:00 = 0,00d  RO DIRIO DE OBRA - SS-7/2025 (GALPO K-15)  &amp;gt; TRATAMENTO E PINTURA DA ESTRUTURA DE CONCRETO- [MOD: 05 | PEMT: 0] PT: 20831080 (HR SOLIC 08:10 | HR LIB 08:16 | ATRASO 00:00) - (HR ENC 16:30 | ATRASO 00:00)  &amp;gt; FABRICAO DE PEDESTAL PARA ISOLAMENTO DE AREA NO CANTEIRO DE OBRAS - [MOD: 02 | PEMT: 0] PT: 20834860 (HR SOLIC 08:20 | HR LIB 08:25 | ATRASO 00:00) - (HR ENC 16:30 | ATRASO 00:00)  &amp;gt;&amp;gt; CONDIES CLIMTICAS: TEMPO BOM  &amp;gt;&amp;gt;&amp;gt; IMPEDIMENTOS ACUMULADOS LIBERAO PT/PTT: 02:50 = 0,25d CONDIES CLIMTICAS: 02:10 = 0,27d PETROBRAS: 00:00 = 0,00d OUTROS: 00:00 = 0,00d    RO DIRIO DE OBRA - SS-9/2025 (UPGN-3)  &amp;gt; REALIZANDO INSTALAO DE TELHAS LATERAIS - [MOD: 04| PEMT-01] PT: 20830981 (HR SOLIC 07:51| HR LIB 08:40 | ATRASO 00:19) - (HR ENC 16:30 | ATRASO 00:00)  &amp;gt; FABRICAO DE PEDESTAL PARA ISOLAMENTO DE AREA NO CANTEIRO DE OBRAS - [MOD: 02 | PEMT: 0] PT: 20834860 (HR SOLIC 08:20 | HR LIB 08:25 | ATRASO 00:00) - (HR ENC 16:30 | ATRASO 00:00)  &amp;gt; REALIZANDO ADEQUAO DO SISTEMA ELETRICO DO GALPO - [MOD: 03| PEMT-01] PT: 20831015 (HR SOLIC 08:00 | HR LIB 08:30 | ATRASO 00:00) - (HR ENC 16:30 | ATRASO 00:00  &amp;gt; TRATAMENTO E PINTURA NA PASSARELA DA PONTE ROLANTE - [MOD: 02 | PEMT: 0] PT: 20831000(HR SOLIC 07:50 | HR LIB 08:45 | ATRASO 00:15) - (HR ENC 16:30 | ATRASO 00:00 )  &amp;gt;&amp;gt; CONDIES CLIMTICAS:TEMPO BOM  &amp;gt;&amp;gt;&amp;gt; IMPEDIMENTOS ACUMULADOS LIBERAO PT/PTT: 04:17= 0,72d CONDIES CLIMTICAS: 25:40 = 2,85d PETROBRAS: 00:00 = 0,00d OUTROS: 00:00 = 0,00d  _________________________________________________________  RO DIRIO DE OBRA - SS-11/2025 (UPCGN-1)  &amp;gt; DESMONTAGEM DOS PERFIS E RETIRADA DE TELHAS - [MOD: 07 | PEMT: 02] PT: 20831097 (HR SOLIC 07:30 | HR LIB 08:18 | ATRASO 00:18) - (HR ENC 16:30 | ATRASO 00:00)  &amp;gt; FABRICAO DE PEDESTAL PARA ISOLAMENTO DE AREA NO CANTEIRO DE OBRAS - [MOD: 02 | PEMT: 0] PT:20834860(HR SOLIC 07:45 | HR LIB 08:00 | ATRASO 00:00) - (HR ENC 16:30 | ATRASO 00:00)  &amp;gt;&amp;gt; CONDIES CLIMTICAS: TEMPO BOM  &amp;gt;&amp;gt;&amp;gt; IMPEDIMENTOS ACUMULADOS LIBERAO PT/PTT: 04:21 = 0,55d CONDIES CLIMTICAS: 48:31 = 5,79d PETROBRAS: 00:00 = 0,00d OUTROS: 00:00 = 0,00d</t>
  </si>
  <si>
    <t>RO-148/2025</t>
  </si>
  <si>
    <t>Os somatrios desde incio at o prazo final da SS dos acmulos de hora parada e meteorolgicas no final da SS a Petrobras ir analisar se e cabvel o abono revertido em acrscimo de dias no prazo de entrega da demanda.1. UPCGN-1:Foi programada a PT conforme pontuado pela contratada, da disciplina de caldeiraria.A equipe de caldeiraria atuava na parte externa com a remoo perfis metlicos da cobertura e remoo das telhas e tirantes.A PT 20.828.699  referente s atividades do canteiro.2. SECGN:Foi programada a PT de pintura 20.824.099, mas a equipe no atuou, a PT foi liberada pela operao, mas a atividade no foi executada.A atividade de caldeiraria foi liberada, equipe iniciou as atividades de montagem de perfis com pemt na fachada em frente  UPCGN-1, onde era possvel trabalhar com o acesso disponvel.A PT 20.828.699  referente s atividades do canteiro.3. UPGN-3:Foi programada a PT conforme pontuado pela contratada, da disciplina de caldeiraria e a equipe deu continuidade na atividade de instalao de telhas de fechamento lateral dos fundos.Equipe de eltrica deu continuidade nas atividades no galpo para adequao e instalao do cabeamento eltrico e passagem de fios.Foi programada tambm a PT de pintura na qual a equipe atuou nos retoques de pintura da passarela, com acesso pela escada marinheiro.A atividade de irata no foi liberada, pois o N3 estava em treinamento externo e outro profissional no poderia requisitar a PT.A PT 20.828.699  referente s atividades do canteiro.4. K-15:Foi programada a atividade de pintura e tratamento de alvenaria do galpo. Equipe trabalhando com morosidade.A PT 20.828.699  referente s atividades do canteiro.Alm das atividades acima, foi liberada a PT de movimentao de carga (20.831.884), onde a equipe fez o descarregamento e posicionamento do container alugado pela empresa, para a equipe de TI da unidade.RO aceito pela fiscalizao.</t>
  </si>
  <si>
    <t>RO DIRIO DE OBRA - SS-5/2025 (SECGN)  &amp;gt; TRATAMENTO E PINTURA DA ESTRUTURA DE CONCRETO- [MOD: 03 | PEMT: 1] PT: 20824099(HR SOLIC 08:00 | HR LIB 08:30 | ATRASO 00:00) - (HR ENC 16:30 | ATRASO 00:00 )  &amp;gt; FABRICAO DE PEDESTAL PARA ISOLAMENTO DE AREA NO CANTEIRO DE OBRAS - [MOD: 02 | PEMT: 0] PT: 20828699 (HR SOLIC 07:45 | HR LIB 08:00 | ATRASO 00:00) - (HR ENC 16:30 | ATRASO 00:00)  &amp;gt; PREPARAO DOS PERFIS LATERAIS PARA INSTALAO - [MOD: 03 | PEMT: 1] PT: 20808431 (HR SOLIC 08:30 | HR LIB 10:20 | ATRASO 01:20) - (HR ENC 16:30 | ATRASO 00:00)  &amp;gt;&amp;gt; CONDIES CLIMTICAS: CHUVOSO (07:30 - 09:40 | IMPROD.: 02:10 = 0,27d)  &amp;gt;&amp;gt;&amp;gt; IMPEDIMENTOS ACUMULADOS LIBERAO PT/PTT: 02:41 = 0,34d CONDIES CLIMTICAS: 24:10 = 3,02d PETROBRAS: 00:00 = 0,00d OUTROS: 00:00 = 0,00d    RO DIRIO DE OBRA - SS-7/2025 (GALPO K-15)  &amp;gt; TRATAMENTO E PINTURA DA ESTRUTURA DE CONCRETO- [MOD: 03 | PEMT: 0] PT: 20824067 (HR SOLIC 07:30 | HR LIB 08:45 | ATRASO 00:45) - (HR ENC 16:30 | ATRASO 00:00)  &amp;gt; FABRICAO DE PEDESTAL PARA ISOLAMENTO DE AREA NO CANTEIRO DE OBRAS - [MOD: 02 | PEMT: 0] PT:20828699(HR SOLIC 08:00 | HR LIB 08:10 | ATRASO 00:00) - (HR ENC 16:30 | ATRASO 00:00)  &amp;gt;&amp;gt; CONDIES CLIMTICAS: CHUVOSO (07:30 - 09:40 | IMPROD.: 02:10 = 0,27d)  &amp;gt;&amp;gt;&amp;gt; IMPEDIMENTOS ACUMULADOS LIBERAO PT/PTT: 02:50 = 0,25d CONDIES CLIMTICAS: 02:10 = 0,27d PETROBRAS: 00:00 = 0,00d OUTROS: 00:00 = 0,00d    RO DIRIO DE OBRA - SS-9/2025 (UPGN-3)  &amp;gt; REALIZANDO INSTALAO DE TELHAS LATERAIS - [MOD: 04| PEMT-01] PT: 20824022 (HR SOLIC 08:01| HR LIB 08:17 | ATRASO 00:00) - (HR ENC 16:30 | ATRASO 00:00)  &amp;gt; FABRICAO DE PEDESTAL PARA ISOLAMENTO DE AREA NO CANTEIRO DE OBRAS - [MOD: 02 | PEMT: 0] PT: 20828699 (HR SOLIC 07:45 | HR LIB 08:00 | ATRASO 00:00) - (HR ENC 16:30 | ATRASO 00:00)  &amp;gt; REALIZANDO ADEQUAO DO SISTEMA ELETRICO DO GALPO - [MOD: 05| PEMT-01] PT: 20824052 (HR SOLIC 08:00 | HR LIB 09:20 | ATRASO 00:50) - (HR ENC 16:30 | ATRASO 00:00  &amp;gt; TRATAMENTO E PINTURA NA PASSARELA DA PONTE ROLANTE - [MOD: 02 | PEMT: 0] PT: 20824031 (HR SOLIC 08:30 | HR LIB 09:15 | ATRASO 00:15) - (HR ENC 16:30 | ATRASO 00:00 )  &amp;gt;&amp;gt; CONDIES CLIMTICAS: CHUVOSO (07:30 - 09:40 | IMPROD.: 02:10 = 0,27d)  &amp;gt;&amp;gt;&amp;gt; IMPEDIMENTOS ACUMULADOS LIBERAO PT/PTT: 03:43= 0,63d CONDIES CLIMTICAS: 25:40 = 2,85d PETROBRAS: 00:00 = 0,00d OUTROS: 00:00 = 0,00d   RO DIRIO DE OBRA - SS-11/2025 (UPCGN-1)  &amp;gt; DESMONTAGEM DOS PERFIS E RETIRADA DE TELHAS - [MOD: 07 | PEMT: 02] PT: 20824153 (HR SOLIC 08:01 | HR LIB 08:17 | ATRASO 00:00) - (HR ENC 16:30 | ATRASO 00:00)  &amp;gt; FABRICAO DE PEDESTAL PARA ISOLAMENTO DE AREA NO CANTEIRO DE OBRAS - [MOD: 02 | PEMT: 0] PT: 20828699 (HR SOLIC 07:45 | HR LIB 08:00 | ATRASO 00:00) - (HR ENC 16:30 | ATRASO 00:00)  &amp;gt;&amp;gt; CONDIES CLIMTICAS: CHUVOSO (07:30 - 09:40 | IMPROD.: 02:10 = 0,27d)  VENTOS FORTES (14:00 - 16:30 | IMPROD.: 02:30 = 0,31d)  &amp;gt;&amp;gt;&amp;gt; IMPEDIMENTOS ACUMULADOS LIBERAO PT/PTT: 04:03 = 0,51d CONDIES CLIMTICAS: 48:31 = 5,79d PETROBRAS: 00:00 = 0,00d OUTROS: 00:00 = 0,00d</t>
  </si>
  <si>
    <t>RO-143/2025</t>
  </si>
  <si>
    <t>316 - Plano_de_Resposta_a_Emergencia_-_UTGC_APJ-AT_REV III 30 10 2025.pdf</t>
  </si>
  <si>
    <t>Documento aguardando anlise SAF.</t>
  </si>
  <si>
    <t>Envio do doc. CDIGO 316-PRE (Plano de Resposta a Emergncia Local) compatvel com o da Petrobras UTGC, com as adequaes solicitadas</t>
  </si>
  <si>
    <t>RO-142/2025</t>
  </si>
  <si>
    <t>Matriz de Treinamentos-PRESTSERV- Rev. 06 -29.10.25.xlsx; Matriz de Treinamentos-PRESTSERV- Rev. 07 -29.10.25.xlsx</t>
  </si>
  <si>
    <t>Matriz reprovada.Matriz aprovada.</t>
  </si>
  <si>
    <t>Prezados, boa tarde.Segue para aprovao matriz de treinamentos revisada.30/10: Matriz reenviada conforme comentrios.</t>
  </si>
  <si>
    <t>RO-140/2025</t>
  </si>
  <si>
    <t>Os somatrios desde incio at o prazo final da SS dos acmulos de hora parada e meteorolgicas no final da SS a Petrobras ir analisar se e cabvel o abono revertido em acrscimo de dias no prazo de entrega da demanda.1. UPCGN-1:Foi programada a PT conforme pontuado pela contratada, da disciplina de caldeiraria.A equipe de caldeiraria atuava na parte externa com a remoo perfis metlicos da cobertura e remoo das telhas e tirantes.A PT 20.822.303  referente s atividades do canteiro.2. SECGN:Foi programada a PT de pintura, e a equipe deu continuidade na pintura da alvenaria do galpo para posteriormente a caldeiraria instalar os perfis.A PT 20.822.303  referente s atividades do canteiro.3. UPGN-3:Foi programada a PT conforme pontuado pela contratada, da disciplina de caldeiraria e a equipe deu continuidade na atividade de instalao de telhas de fechamento lateral.Equipe de eltrica deu continuidade nas atividades no galpo para adequao do aterramento do mesmo.Foi programada tambm a PT dde pintura na qual a equipe atuou nos retoques de pintura da passarela.A atividade de irata no foi liberada, pois o N3 estava em treinamento externo e outro profissional no poderia requisitar a PT.A PT 20.822.303  referente s atividades do canteiro.4. K-15:Incio da demanda, atividade de pintura programada para tratamento e pintura de alvenaria do galpo.A PT 20.822.303  referente s atividades do canteiro.RO aceito pela fiscalizao.</t>
  </si>
  <si>
    <t>RO DIRIO DE OBRA - SS-5/2025 (SECGN)  &amp;gt; TRATAMENTO E PINTURA DA ESTRUTURA DE CONCRETO- [MOD: 03 | PEMT: 1] PT: 20817433(HR SOLIC 07:35 | HR LIB 08:50 | ATRASO 00:45) - (HR ENC 16:30 | ATRASO 00:00 )  &amp;gt; FABRICAO DE PEDESTAL PARA ISOLAMENTO DE AREA NO CANTEIRO DE OBRAS - [MOD: 02 | PEMT: 0] PT: 20822303 (HR SOLIC 08:00 | HR LIB 08:10 | ATRASO 00:00) - (HR ENC 16:30 | ATRASO 00:00)  &amp;gt;&amp;gt; CONDIES CLIMTICAS: TEMPO BOM  &amp;gt;&amp;gt;&amp;gt; IMPACTO ACUMULADO LIBERAO PT/PTT: 01:21 = 0,17d INCIDNCIA DE CHUVA: 08:00 = 1,13d INCIDNCIA DE RAIOS: 00:00 = 0,00d INCIDNCIA DE VENTOS: 14:00 = 1,75d IMPEDIMENTOS FISCALIZAO: 00:00 = 0,00d    RO DIRIO DE OBRA - SS-7/2025 (GALPO K-15)  &amp;gt; TRATAMENTO E PINTURA DA ESTRUTURA DE CONCRETO- [MOD: 03 | PEMT: 0] PT: 20817390(HR SOLIC 07:30 | HR LIB 08:50 | ATRASO 00:50) - (HR ENC 16:30 | ATRASO 00:00 )  &amp;gt; FABRICAO DE PEDESTAL PARA ISOLAMENTO DE AREA NO CANTEIRO DE OBRAS - [MOD: 02 | PEMT: 0] PT: 20822303 (HR SOLIC 08:00 | HR LIB 08:10 | ATRASO 00:00) - (HR ENC 16:30 | ATRASO 00:00)  &amp;gt;&amp;gt; CONDIES CLIMTICAS: TEMPO BOM  &amp;gt;&amp;gt;&amp;gt; IMPACTO ACUMULADO LIBERAO PT/PTT: 02:05 = 0,25d INCIDNCIA DE CHUVA: 00:00 = 0,00d INCIDNCIA DE RAIOS: 00:00 = 0,00d INCIDNCIA DE VENTOS: 00:00 = 0,00d IMPEDIMENTOS FISCALIZAO: 00:00 = 0,00d    RO DIRIO DE OBRA - SS-9/2025 (UPGN-3)  &amp;gt; REALIZANDO INSTALAO DE TELHAS LATERAIS - [MOD: 04| PEMT-01] PT: 20817225(HR SOLIC 07:50| HR LIB 08:30 | ATRASO 00:00) - (HR ENC 16:30 | ATRASO 00:00)  &amp;gt; FABRICAO DE PEDESTAL PARA ISOLAMENTO DE AREA NO CANTEIRO DE OBRAS - [MOD: 02 | PEMT: 0] PT: 20822303(HR SOLIC 08:00 | HR LIB 08:10 | ATRASO 00:00) - (HR ENC 16:30 | ATRASO 00:00)  &amp;gt; REALIZANDO ADEQUAO DO SISTEMA ELETRICO DO GALPO - [MOD: 05| PEMT-01] PT: 20817349(HR SOLIC 08:00 | HR LIB 08:40 | ATRASO 00:10) - (HR ENC 16:30 | ATRASO 00:00  &amp;gt; TRATAMENTO E PINTURA NA PASSARELA DA PONTE ROLANTE - [MOD: 02 | PEMT: 0] PT: 20817254(HR SOLIC 09:05 | HR LIB 09:10 | ATRASO 00:00) - (HR ENC 16:30 | ATRASO 00:00 )    &amp;gt;&amp;gt; CONDIES CLIMTICAS:TEMPO BOM    &amp;gt;&amp;gt;&amp;gt; IMPACTO ACUMULADO LIBERAO PT/PTT: 02:38 = 0,36d INCIDNCIA DE CHUVA: 12:30 = 1,57d INCIDNCIA DE RAIOS: 00:00 = 0,00d INCIDNCIA DE VENTOS: 11:00 = 1,37d IMPEDIMENTOS FISCALIZAO: 00:00 = 0,00d   RO DIRIO DE OBRA - SS-11/2025 (UPCGN-1)  &amp;gt; DESMONTAGEM DOS PERFIS E RETIRADA DE TELHAS - [MOD: 08 | PEMT: 02] PT: 20817460(HR SOLIC 07:30 | HR LIB 09:11 | ATRASO 01:11) - (HR ENC 16:30 | ATRASO 00:00)  &amp;gt; FABRICAO DE PEDESTAL PARA ISOLAMENTO DE AREA NO CANTEIRO DE OBRAS - [MOD: 02 | PEMT: 0] PT: 20822303(HR SOLIC 08:00| HR LIB 08:10 | ATRASO 00:00) - (HR ENC 16:30 | ATRASO 00:00)  &amp;gt;&amp;gt; CONDIES CLIMTICAS:TEMPO BOM   &amp;gt;&amp;gt;&amp;gt; IMPACTO ACUMULADO LIBERAO PT/PTT: 04:03 = 0,54d INCIDNCIA DE CHUVA: 23:01 = 2,98d INCIDNCIA DE RAIOS: 00:00 = 0,00d INCIDNCIA DE VENTOS: 20:50=2,8d IMPEDIMENTOS FISCALIZAO: 00:00 = 0,00d</t>
  </si>
  <si>
    <t>RO-139/2025</t>
  </si>
  <si>
    <t>Os somatrios desde incio at o prazo final da SS dos acmulos de hora parada e meteorolgicas no final da SS a Petrobras ir analisar se e cabvel o abono revertido em acrscimo de dias no prazo de entrega da demanda.1. UPCGN-1:Foi programada a PT conforme pontuado pela contratada, da disciplina de caldeiraria.A equipe de caldeiraria atuava na parte externa com a remoo perfis metlicos da cobertura e remoo das telhas e tirantes.A PT 20.806.269  referente s atividades do canteiro.2. SECGN:Foi programada a PT de pintura, e a equipe deu continuidade na pintura da alvenaria do galpo para posteriormente a caldeiraria instalar os perfis.A PT 20.806.269  referente s atividades do canteiro.3. UPGN-3:Foi programada a PT conforme pontuado pela contratada, da disciplina de caldeiraria e a equipe deu continuidade na atividade de instalao de telhas de fechamento lateral.Equipe de eltrica iniciou as atividades no galpo para adequao do aterramento do mesmo.Foi programada tambm a PT dde pintura na qual a equipe iniciou as atividades na passarela.A atividade de irata no foi liberada, pois o N3 estava em treinamento externo e outro profissional no poderia requisitar a PT.A PT 20.806.269  referente s atividades do canteiro.4. K-15:Incio da demanda, atividade de pintura programada para tratamento e pintura de alvenaria do galpo.A PT 20.806.269  referente s atividades do canteiro.RO aceito pela fiscalizao.</t>
  </si>
  <si>
    <t>RO DIRIO DE OBRA - SS-5/2025 (SECGN)  &amp;gt; TRATAMENTO E PINTURA DA ESTRUTURA DE CONCRETO- [MOD: 04 | PEMT: 1] PT: 20808308(HR SOLIC 08:00 | HR LIB 08:05 | ATRASO 00:00) - (HR ENC 16:30 | ATRASO 00:00 )  &amp;gt; FABRICAO DE PEDESTAL PARA ISOLAMENTO DE AREA - [MOD: 02 | PEMT: 0] PT: 20815691 (HR SOLIC 08:30 | HR LIB 08:35 | ATRASO 00:00) - (HR ENC 16:30 | ATRASO 00:00)  &amp;gt;&amp;gt; CONDIES CLIMTICAS: TEMPO BOM  &amp;gt;&amp;gt;&amp;gt; IMPACTO ACUMULADO LIBERAO PT/PTT: 00:36 = 0,08d INCIDNCIA DE CHUVA: 08:00 = 1,13d INCIDNCIA DE RAIOS: 00:00 = 0,00d INCIDNCIA DE VENTOS: 14:00 = 0,00d IMPEDIMENTOS FISCALIZAO: 00:00 = 0,00d ____________________________________________________________ RO DIRIO DE OBRA - SS-7/2025 (GALPO K-15)  &amp;gt; TRATAMENTO E PINTURA DA ESTRUTURA DE CONCRETO- [MOD: 02 | PEMT: 0] PT: 20809306(HR SOLIC 08:00 | HR LIB 09:45 | ATRASO 01:15) - (HR ENC 16:30 | ATRASO 00:00 )  &amp;gt; FABRICAO DE PEDESTAL PARA ISOLAMENTO DE AREA - [MOD: 02 | PEMT: 0] PT: 20815691 (HR SOLIC 08:30 | HR LIB 08:35 | ATRASO 00:00) - (HR ENC 16:30 | ATRASO 00:00)  &amp;gt;&amp;gt; CONDIES CLIMTICAS: TEMPO BOM  &amp;gt;&amp;gt;&amp;gt; IMPACTO ACUMULADO LIBERAO PT/PTT: 01:15 = 0,16d INCIDNCIA DE CHUVA: 00:00 = 0,00d INCIDNCIA DE RAIOS: 00:00 = 0,00d INCIDNCIA DE VENTOS: 00:00 = 0,00d IMPEDIMENTOS FISCALIZAO: 00:00 = 0,00d  _____________________________________________________________________ RO DIRIO DE OBRA - SS-9/2025 (UPGN-3)  &amp;gt; REALIZANDO INSTALAO DE TELHAS LATERAIS - [MOD: 06| PEMT-01] PT: 20808182(HR SOLIC 08:30| HR LIB 08:37 | ATRASO 00:00) - (HR ENC 16:30 | ATRASO 00:00)  &amp;gt; FABRICAO DE PEDESTAL PARA ISOLAMENTO DE AREA NO CANTEIRO DE OBRAS - [MOD: 02 | PEMT: 0] PT: 20815691 (HR SOLIC 08:30 | HR LIB 08:35 | ATRASO 00:00) - (HR ENC 16:30 | ATRASO 00:00)  &amp;gt; REALIZANDO ADEQUAO DO SISTEMA ELETRICO DO GALPO - [MOD: 03| PEMT-1] PT: 20809125(HR SOLIC 08:10 | HR LIB 09:00 | ATRASO 00:20) - (HR ENC 16:30 | ATRASO 00:00  &amp;gt; TRATAMENTO E PINTURA NA PASSARELA DA PONTE ROLANTE - [MOD: 06 | PEMT: 0] PT: 20212588(HR SOLIC 13:00 | HR LIB 13:30 | ATRASO 00:00) - (HR ENC 16:30 | ATRASO 00:00 )    &amp;gt;&amp;gt; CONDIES CLIMTICAS:TEMPO BOM   &amp;gt;&amp;gt;&amp;gt; IMPACTO ACUMULADO LIBERAO PT/PTT: 02:28 = 1,14d INCIDNCIA DE CHUVA: 12:30 = 1,57d INCIDNCIA DE RAIOS: 00:00 = 0,00d INCIDNCIA DE VENTOS: 11:00 = 1,37d IMPEDIMENTOS FISCALIZAO: 00:00 = 0,00d  _____________________________________________________________________ RO DIRIO DE OBRA - SS-11/2025 (UPCGN-1)  &amp;gt; DESMONTAGEM DOS PERFIS E RETIRADA DE TELHAS - [MOD: 07 | PEMT: 02] PT: 20808236(HR SOLIC 08:30 | HR LIB 08:50 | ATRASO 00:00) - (HR ENC 16:30 | ATRASO 00:00)  &amp;gt; FABRICAO DE PEDESTAL PARA ISOLAMENTO DE AREA NO CANTEIRO DE OBRAS - [MOD: 02 | PEMT: 0] PT: 20815691(HR SOLIC 08:30| HR LIB 08:35 | ATRASO 00:00) - (HR ENC 16:30 | ATRASO 00:00)  &amp;gt;&amp;gt; CONDIES CLIMTICAS:TEMPO BOM  &amp;gt;&amp;gt;&amp;gt; IMPACTO ACUMULADO LIBERAO PT/PTT: 02:52 = 0,38d INCIDNCIA DE CHUVA: 23:01 = 2,98d INCIDNCIA DE RAIOS: 00:00 = 0,00d INCIDNCIA DE VENTOS: 20:50 =2,6d IMPEDIMENTOS FISCALIZAO: 00:00 = 0,00d</t>
  </si>
  <si>
    <t>RO-137/2025</t>
  </si>
  <si>
    <t>Os somatrios desde incio at o prazo final da SS dos acmulos de hora parada e meteorolgicas no final da SS a Petrobras ir analisar se e cabvel o abono revertido em acrscimo de dias no prazo de entrega da demanda.Houve incidncia de ventos pela parte da manh e durou at o fim da tarde, conforme pontuado.1. UPCGN-1:Foi programada a PT conforme pontuado pela contratada, da disciplina de caldeiraria.A equipe de caldeiraria atuava na parte externa com a remoo perfis metlicos da cobertura e remoo das telhas e tirantes.A PT 20.806.269  referente s atividades do canteiro.2. SECGN:Foi programada a PT de pintura, e a equipe deu continuidade na pintura da alvenaria do galpo para posteriormente a caldeiraria instalar os perfis.A PT 20.806.269  referente s atividades do canteiro.3. UPGN-3:Foi programada a PT conforme pontuado pela contratada, da disciplina de caldeiraria e a equipe deu continuidade na atividade de instalao de telhas de fechamento lateral.Equipe de eltrica iniciou as atividades no galpo para adequao do aterramento do mesmo.Foi programada tambm a PT de irata (20.802.009), a mesma foi retirada e liberada, equipe continuou as atividades em altura com acesso por cordas.A PT 20.806.269  referente s atividades do canteiro.RO aceito pela fiscalizao.</t>
  </si>
  <si>
    <t>RO DIRIO DE OBRA - SS-5/2025 (SECGN)  &amp;gt; TRATAMENTO E PINTURA DA ESTRUTURA DE CONCRETO- [MOD: 04 | PEMT: 1] PT: 20802032(HR SOLIC 08:00 | HR LIB 08:10 | ATRASO 00:00) - (HR ENC 16:30 | ATRASO 00:00 )  &amp;gt; FABRICAO DE PEDESTAL PARA ISOLAMENTO DE AREA - [MOD: 02 | PEMT: 0] PT: 20806269 (HR SOLIC 08:00 | HR LIB 08:11 | ATRASO 00:00) - (HR ENC 15:45 | ATRASO 00:00)  &amp;gt;&amp;gt; CONDIES CLIMTICAS: TEMPO BOM  &amp;gt;&amp;gt;&amp;gt; IMPACTO ACUMULADO LIBERAO PT/PTT: 00:36 = 0,08d INCIDNCIA DE CHUVA: 08:00 = 1,13d INCIDNCIA DE RAIOS: 00:00 = 0,00d INCIDNCIA DE VENTOS: 14:00 = 0,94d IMPEDIMENTOS FISCALIZAO: 00:00 = 0,00d     RO DIRIO DE OBRA - SS-9/2025 (UPGN-3)  &amp;gt; REALIZANDO INSTALAO DE TELHAS LATERAIS - [MOD: 05 | PEMT-01] PT: 20802013(HR SOLIC 07:459| HR LIB 08:25 | ATRASO 00:00) - (HR ENC 15:45 | ATRASO 00:00)  &amp;gt; FABRICAO DE PEDESTAL PARA ISOLAMENTO DE AREA NO CANTEIRO DE OBRAS - [MOD: 02 | PEMT: 0] PT: 20806269 (HR SOLIC 08:00 | HR LIB 08:11| ATRASO 00:00) - (HR ENC 115:45 | ATRASO 00:00)&amp;gt; TRATAMENTO E PINTURA NA PASSARELA DA PONTE ROLANTE- [MOD: 03 | PEMT: 0]PT: 20802009(HR SOLIC 08:00 | HR LIB 08:28 | ATRASO 00:00) - (HR ENC 16:30 | ATRASO 00:00 )  &amp;gt; REALIZANDO ADEQUAO DO SISTEMA ELETRICO DO GALPO - [MOD: 02| PEMT-0] PT: 20802022(HR SOLIC 08:00 | HR LIB 09:48 | ATRASO 01:18) - (HR ENC 15:45 | ATRASO 00:10  &amp;gt;&amp;gt; CONDIES CLIMTICAS:TEMPO BOM   &amp;gt;&amp;gt;&amp;gt; IMPACTO ACUMULADO LIBERAO PT/PTT: 02:08 = 1,1d INCIDNCIA DE CHUVA: 12:30 = 1,57d INCIDNCIA DE RAIOS: 00:00 = 0,00d INCIDNCIA DE VENTOS: 11:00 = 1,37d IMPEDIMENTOS FISCALIZAO: 00:00 = 0,00d    RO DIRIO DE OBRA - SS-11/2025 (UPCGN-1)  &amp;gt; DESMONTAGEM DOS PERFIS E RETIRADA DE TELHAS - [MOD: 09 | PEMT: 02] PT: 20802049(HR SOLIC 07:45 | HR LIB 08:10 | ATRASO 00:00) - (HR ENC 15:45 | ATRASO 00:00)  &amp;gt; FABRICAO DE PEDESTAL PARA ISOLAMENTO DE AREA NO CANTEIRO DE OBRAS - [MOD: 02 | PEMT: 0] PT: 20806269(HR SOLIC 08:00| HR LIB 08:10 | ATRASO 00:00) - (HR ENC 15:45 | ATRASO 00:00)  &amp;gt;&amp;gt; CONDIES CLIMTICAS:TEMPO BOM   &amp;gt;&amp;gt;&amp;gt; IMPACTO ACUMULADO LIBERAO PT/PTT: 02:52 = 0,35d INCIDNCIA DE CHUVA: 23:01 = 2,98d INCIDNCIA DE RAIOS: 00:00 = 0,00d INCIDNCIA DE VENTOS: 20:50 =2,6d IMPEDIMENTOS FISCALIZAO: 00:00 = 0,00d</t>
  </si>
  <si>
    <t>RO-129/2025</t>
  </si>
  <si>
    <t>327 - CARTA APJ ENGENHARIA E CONSTRUÇÕES LTDA 22 10 2025.pdf</t>
  </si>
  <si>
    <t>Documento recebido e arquivado.</t>
  </si>
  <si>
    <t>Envio doc. CDIGO 327 - Designao formal da empresa para o empregado representante do SESMT NR-4 (Carta) para avaliao.</t>
  </si>
  <si>
    <t>RO-128/2025</t>
  </si>
  <si>
    <t>PGRS-00012025_EDIVIT-UTGC_assinado_assinado (1).pdf</t>
  </si>
  <si>
    <t>Documento em anlise.</t>
  </si>
  <si>
    <t>Envio do doc. CDIGO 390 -Plano de Gerenciamento de Resduos Slidos (PGRS)</t>
  </si>
  <si>
    <t>RO-127/2025</t>
  </si>
  <si>
    <t>ReciboComunicacaoObra APJ Engenharia 24 10 2025.pdf</t>
  </si>
  <si>
    <t>Envio do doc. CDIGO308- Comunicao Prvia a DRT - NR-18 para avaliao.</t>
  </si>
  <si>
    <t>RO-126/2025</t>
  </si>
  <si>
    <t>Os somatrios desde incio at o prazo final da SS dos acmulos de hora parada e meteorolgicas no final da SS a Petrobras ir analisar se e cabvel o abono revertido em acrscimo de dias no prazo de entrega da demanda.Houve incidncia de ventos pela parte da manh e durou at o fim da tarde, conforme pontuado.1. UPCGN-1:Foi programada a PT conforme pontuado pela contratada, da disciplina de caldeiraria.A equipe de caldeiraria atuava na parte externa com a remoo perfis metlicos do lanternin. Efetivo de 9 pessoas e 2 pemts.A PT 20.800.117  referente s atividades do canteiro.2. SECGN:Foi programada a PT de pintura, e a equipe deu continuidade na pintura da alvenaria do galpo para posteriormente a caldeiraria instalar os perfis.A PT 20.800.117  referente s atividades do canteiro.3. UPGN-3:Foi programada a PT conforme pontuado pela contratada, da disciplina de caldeiraria e a equipe deu continuidade na atividade de instalao de telhas de fechamento lateral.Equipe de eltrica iniciou as atividades no galpo para adequao do aterramento do mesmo.Foi programada tambm a PT de irata (20.795.598), a mesma foi retirada e liberada, equipe iniciou as atividades em altura com acesso por cordas.A PT 20.800.117  referente s atividades do canteiro.RO aceito pela fiscalizao.</t>
  </si>
  <si>
    <t>RO DIRIO DE OBRA - SS-5/2025 (SECGN)  &amp;gt; TRATAMENTO E PINTURA DA ESTRUTURA DE CONCRETO- [MOD: 04 | PEMT: 0] PT: 20795639(HR SOLIC 08:00 | HR LIB 08:10 | ATRASO 00:00) - (HR ENC 16:30 | ATRASO 00:00 )  &amp;gt; FABRICAO DE PEDESTAL PARA ISOLAMENTO DE AREA - [MOD: 02 | PEMT: 0] PT: 20800117 (HR SOLIC 08:23 | HR LIB 08:28 | ATRASO 00:00) - (HR ENC 16:30 | ATRASO 00:00) &amp;gt;&amp;gt; CONDIES CLIMTICAS:TEMPO BOM NO PERIODO DA MANH&amp;gt;&amp;gt; CONDIES CLIMTICAS: VENTOS (10:30 - 17:00 | IMPROD.: 06:30 = 0,81d) &amp;gt;&amp;gt;&amp;gt; IMPACTO ACUMULADO LIBERAO PT/PTT: 00:36 = 0,08d INCIDNCIA DE CHUVA: 08:00 = 1,13d INCIDNCIA DE RAIOS: 00:00 = 0,00d INCIDNCIA DE VENTOS: 14:00 = 0,0d IMPEDIMENTOS FISCALIZAO: 00:00 = 0,00d  RO DIRIO DE OBRA - SS-9/2025 (UPGN-3)  &amp;gt; REALIZANDO INSTALAO DE TELHAS LATERAIS - [MOD: 05 | PEMT-01] PT: 20795622(HR SOLIC 07:45 | HR LIB 08:00 | ATRASO 00:00) - (HR ENC 16:30 | ATRASO 00:00)  &amp;gt; FABRICAO DE PEDESTAL PARA ISOLAMENTO DE AREA NO CANTEIRO DE OBRAS - [MOD: 02 | PEMT: 0] PT: 20800117 (HR SOLIC 08:23 | HR LIB 08:28| ATRASO 00:00) - (HR ENC 16:30 | ATRASO 00:00)  &amp;gt; REALIZANDO ADEQUAO DO SISTEMA ELETRICO DO GALPO - [MOD: 02| PEMT-0] PT: 20796613(HR SOLIC 08:00 | HR LIB 08:40 | ATRASO 00:10) - (HR ENC 16:30 | ATRASO 00:00    &amp;gt;&amp;gt; CONDIES CLIMTICAS:TEMPO BOM NO PERIODO DA MANH &amp;gt;&amp;gt; CONDIES CLIMTICAS: VENTOS (10:30 - 17:00 | IMPROD.: 06:30 = 0,81d)  &amp;gt;&amp;gt;&amp;gt; IMPACTO ACUMULADO LIBERAO PT/PTT: 00:50 = 0,10d INCIDNCIA DE CHUVA: 12:30 = 2,38d INCIDNCIA DE RAIOS: 00:00 = 0,00d INCIDNCIA DE VENTOS: 11:00 = 1,37d IMPEDIMENTOS FISCALIZAO: 00:00 = 0,00d   RO DIRIO DE OBRA - SS-11/2025 (UPCGN-1)  &amp;gt; DESMONTAGEM DOS PERFIS E RETIRADA DE TELHAS - [MOD: 08 | PEMT: 02] PT: 20795672(HR SOLIC 07:50 | HR LIB 08:00 | ATRASO 00:00) - (HR ENC 16:30 | ATRASO 00:00)  &amp;gt; FABRICAO DE PEDESTAL PARA ISOLAMENTO DE AREA NO CANTEIRO DE OBRAS - [MOD: 02 | PEMT: 0] PT: 2080117(HR SOLIC 08:32| HR LIB 08:39 | ATRASO 00:00) - (HR ENC 16:30 | ATRASO 00:00)  &amp;gt;&amp;gt; CONDIES CLIMTICAS:TEMPO BOM NO PERIODO DA MANH &amp;gt;&amp;gt; CONDIES CLIMTICAS: VENTOS (10:30 - 17:00 | IMPROD.: 06:30 = 0,81d)   &amp;gt;&amp;gt;&amp;gt; IMPACTO ACUMULADO LIBERAO PT/PTT: 02:52 = 0,35d INCIDNCIA DE CHUVA: 23:01 = 2,98d INCIDNCIA DE RAIOS: 00:00 = 0,00d INCIDNCIA DE VENTOS: 20:50 =2,6d IMPEDIMENTOS FISCALIZAO: 00:00 = 0,00d</t>
  </si>
  <si>
    <t>RO-125/2025</t>
  </si>
  <si>
    <t>Os somatrios desde incio at o prazo final da SS dos acmulos de hora parada e meteorolgicas no final da SS a Petrobras ir analisar se e cabvel o abono revertido em acrscimo de dias no prazo de entrega da demanda.1. UPCGN-1:Foi programada a PT conforme pontuado pela contratada, da disciplina de caldeiraria.A equipe de caldeiraria atuava na parte externa com a remoo perfis metlicos do lanternin. Efetivo de 9 pessoas e 2 pemts.2. SECGN:Foi programada a PT de pintura, e a equipe deu continuidade na pintura da alvenaria do galpo para posteriormente a caldeiraria instalar os perfis.A PT 20793883  referente s atividades do canteiro.3. UPGN-3:Foi programada a PT conforme pontuado pela contratada, da disciplina de caldeiraria e a equipe deu continuidade na atividade de instalao de telhas de fechamento lateral.Foi programada tambm a PT de irata (20.789.988), a mesma foi retirada e liberada, equipe iniciou as atividades em altura com acesso por cordas.A PT 20793883  referente s atividades do canteiro.RO aceito pela fiscalizao.</t>
  </si>
  <si>
    <t>RO DIRIO DE OBRA - SS-5/2025 (SECGN)  &amp;gt; TRATAMENTO E PINTURA DA ESTRUTURA DE CONCRETO- [MOD: 04 | PEMT: 0] PT: 20789966 (HR SOLIC 07:50 | HR LIB 08:56 | ATRASO 00:36) - (HR ENC 16:30 | ATRASO 00:00 )  &amp;gt; FABRICAO DE PEDESTAL PARA ISOLAMENTO DE AREA - [MOD: 02 | PEMT: 0] PT: 20793883 (HR SOLIC 08:32 | HR LIB 08:39 | ATRASO 00:00) - (HR ENC 16:30 | ATRASO 00:00)  &amp;gt;&amp;gt; CONDIES CLIMTICAS: TEMPO BOM  &amp;gt;&amp;gt;&amp;gt; IMPACTO ACUMULADO LIBERAO PT/PTT: 00:36 = 0,08d INCIDNCIA DE CHUVA: 08:00 = 1,13d INCIDNCIA DE RAIOS: 00:00 = 0,00d INCIDNCIA DE VENTOS: 07:30 = 0,94d IMPEDIMENTOS FISCALIZAO: 00:00 = 0,00d  RO DIRIO DE OBRA - SS-9/2025 (UPGN-3)  &amp;gt; REALIZANDO INSTALAO DE TELHAS LATERAIS - [MOD: 05 | PEMT-01] PT: 20790028(HR SOLIC 07:50 | HR LIB 08:00 | ATRASO 00:00) - (HR ENC 16:30 | ATRASO 00:00)  &amp;gt; FABRICAO DE PEDESTAL PARA ISOLAMENTO DE AREA NO CANTEIRO DE OBRAS - [MOD: 02 | PEMT: 0] PT: 20793883 (HR SOLIC 08:32 | HR LIB 08:39| ATRASO 00:00) - (HR ENC 16:30 | ATRASO 00:00)  &amp;gt;&amp;gt; CONDIES CLIMTICAS:TEMPO BOM  &amp;gt;&amp;gt;&amp;gt; IMPACTO ACUMULADO LIBERAO PT/PTT: 00:40 = 0,08d INCIDNCIA DE CHUVA: 12:30 = 1,57d INCIDNCIA DE RAIOS: 00:00 = 0,00d INCIDNCIA DE VENTOS: 04:30 = 0,56d IMPEDIMENTOS FISCALIZAO: 00:00 = 0,00d  RO DIRIO DE OBRA - SS-11/2025 (UPCGN-1)  &amp;gt; DESMONTAGEM DOS PERFIS DO LANTERNIN - [MOD: 08 | PEMT: 02] PT: 20790061(HR SOLIC 07:50 | HR LIB 08:00 | ATRASO 00:00) - (HR ENC 16:30 | ATRASO 00:00)  &amp;gt; FABRICAO DE PEDESTAL PARA ISOLAMENTO DE AREA NO CANTEIRO DE OBRAS - [MOD: 02 | PEMT: 0] PT: 20786991 (HR SOLIC 08:32| HR LIB 08:39 | ATRASO 00:00) - (HR ENC 16:30 | ATRASO 00:00)  &amp;gt;&amp;gt; CONDIES CLIMTICAS: TEMPO BOM  &amp;gt;&amp;gt;&amp;gt; IMPACTO ACUMULADO LIBERAO PT/PTT: 02:52 = 0,35d INCIDNCIA DE CHUVA: 23:01 = 2,98d INCIDNCIA DE RAIOS: 00:00 = 0,00d INCIDNCIA DE VENTOS: 14:20 = 1,79d IMPEDIMENTOS FISCALIZAO: 00:00 = 0,00d</t>
  </si>
  <si>
    <t>RO-122/2025</t>
  </si>
  <si>
    <t>302- Politica_de_Gestao_de_QSMS_.pdf</t>
  </si>
  <si>
    <t>Envio do doc. CDIGO 302-Poltica de SMS com Matriz de Atribuies para avaliao 22 10 2025.</t>
  </si>
  <si>
    <t>RO-121/2025</t>
  </si>
  <si>
    <t>Os somatrios desde incio at o prazo final da SS dos acmulos de hora parada e meteorolgicas no final da SS a Petrobras ir analisar se e cabvel o abono revertido em acrscimo de dias no prazo de entrega da demanda.1. UPCGN-1:Foi programada a PT conforme pontuado pela contratada, da disciplina de caldeiraria.A equipe de caldeiraria atuava na parte externa com a remoo perfis metlicos do lanternin. Efetivo de 11 pessoas e 2 pemts.A PT 20786991  referente s atividades do canteiro.2. SECGN:Foram programadas as PT's de caldeiraria (20.783.430) e pintura, conforme sistema SGO e cronograma, mas a PT de caldeiraria foi cancelada pela operao. A equipe de pintura iniciou a pintura da alvenaria do galpo para posteriormente a caldeiraria instalar os perfis.A PT 20786991  referente s atividades do canteiro.3. UPGN-3:Foi programada a PT conforme pontuado pela contratada, da disciplina de caldeiraria e a equipe deu continuidade na atividade de instalao de telhas de fechamento lateral.Foi programada tambm a PT de irata (20.783.521), a mesma foi retirada e liberada, porm o servio novamente no foi executado, a equipe de irata trabalhou levando o material para a rea e organizando as ferramentas a nvel de piso, pois ainda faltava o plano de ancoragem revisado e a ART da atividade para a liberao.A PT 20786991  referente s atividades do canteiro.RO aceito pela fiscalizao.</t>
  </si>
  <si>
    <t>RO DIRIO DE OBRA - SS-5/2025 (SECGN)  &amp;gt; TRATAMENTO E PINTURA DA ESTRUTURA DE CONCRETO- [MOD: 02 | PEMT: 0] PT: 20783445 (HR SOLIC 08:00 | HR LIB 08:10 | ATRASO 00:00) - (HR ENC 16:30 | ATRASO 00:00)  &amp;gt; FABRICAO DE PEDESTAL PARA ISOLAMENTO DE AREA NO CANTEIRO DE OBRAS - [MOD: 02 | PEMT: 0] PT: 20786991 (HR SOLIC 07:57 | HR LIB 08:10 | ATRASO 00:00) - (HR ENC 16:45 | ATRASO 00:00)  &amp;gt;&amp;gt;&amp;gt; IMPACTO ACUMULADO LIBERAO PT/PTT: 00:00 = 0,00d INCIDNCIA DE CHUVA: 08:00 = 0,00d INCIDNCIA DE RAIOS: 00:00 = 0,00d INCIDNCIA DE VENTOS: 07:30 = 0,94d IMPEDIMENTOS FISCALIZAO: 00:00 = 0,00d  RO DIRIO DE OBRA - SS-9/2025 (UPGN-3)  &amp;gt; REALIZANDO INSTALAO DE TELHAS LATERAIS - [MOD: 05 | PEMT-01] PT:20783548(HR SOLIC 08:05 | HR LIB 08:32 | ATRASO 00:00) - (HR ENC 16:30 | ATRASO 00:00)  &amp;gt; FABRICAO DE PEDESTAL PARA ISOLAMENTO DE AREA NO CANTEIRO DE OBRAS - [MOD: 02 | PEMT: 0] PT: 20786991 (HR SOLIC 07:57 | HR LIB 08:10| ATRASO 00:00) - (HR ENC 16:30 | ATRASO 00:00) &amp;gt;&amp;gt;&amp;gt; IMPACTO ACUMULADO LIBERAO PT/PTT: 00:40 = 0,94d INCIDNCIA DE CHUVA: 12:30 = 1,57d INCIDNCIA DE RAIOS: 00:00 = 0,00d INCIDNCIA DE VENTOS: 04:30 = 0,56d IMPEDIMENTOS FISCALIZAO: 00:00 = 0,00d  RO DIRIO DE OBRA - SS-11/2025 (UPCGN-1)  &amp;gt; DESMONTAGEM DOS PERFIS DO LANTERNIN - [MOD: 08 | PEMT: 02] PT:20783590(HR SOLIC 07:50 | HR LIB 08:10 | ATRASO 00:00) - (HR ENC 16:30 | ATRASO 00:00)  &amp;gt; FABRICAO DE PEDESTAL PARA ISOLAMENTO DE AREA NO CANTEIRO DE OBRAS - [MOD: 03 | PEMT: 0] PT: 20786991 (HR SOLIC 07:57 | HR LIB 08:10| ATRASO 00:00) - (HR ENC 16:30 | ATRASO 00:00) &amp;gt;&amp;gt;&amp;gt; IMPACTO ACUMULADO LIBERAO PT/PTT: 02:52 = 0,35d INCIDNCIA DE CHUVA: 23:01 = 2,98d INCIDNCIA DE RAIOS: 00:00 = 0,00d INCIDNCIA DE VENTOS: 14:20 = 1,79d IMPEDIMENTOS FISCALIZAO: 00:00 = 0,00d</t>
  </si>
  <si>
    <t>RO-119/2025</t>
  </si>
  <si>
    <t>326 - Registro do SESMT NR - 4.pdf</t>
  </si>
  <si>
    <t>Envio doc. CDIGO 326-Registro do SESMT NR-4 para avaliao.</t>
  </si>
  <si>
    <t>RO-117/2025</t>
  </si>
  <si>
    <t>Anexo 03 - Matriz de capacitação para as contratadas - Rev 4 21 10 2025.xlsx; Anexo 03 - Matriz de capacitação para as contratadas - Rev 5  21 10 2025.xlsx</t>
  </si>
  <si>
    <t>Prezados,peo que retiram a carga horria, podem deixar com tracinho.E incluam para operador de mquinas pesadas, porm podem por CN (Conforme Necessidade).</t>
  </si>
  <si>
    <t>Envio doc. CDIGO 302C-Matriz de Treinamentos Legais e Contratuais de SMS (incluir no PRESTSERV aps aprovao), rev. 4 21 10 2025, incluso do Curso Direo Defensiva 16 horas, para operadores de guindauto e guindastes.</t>
  </si>
  <si>
    <t>RO-116/2025</t>
  </si>
  <si>
    <t>Os somatrios desde incio at o prazo final da SS dos acmulos de hora parada e meteorolgicas no final da SS a Petrobras ir analisar se e cabvel o abono revertido em acrscimo de dias no prazo de entrega da demanda.1. UPCGN-1:Foi programada a PT conforme pontuado pela contratada, da disciplina de caldeiraria.A equipe de caldeiraria atuava na parte externa com a remoo perfis metlicos do lanternin.A PT 20780718  referente s atividades do canteiro.2. SECGN:Foram programadas as PT's de caldeiraria (20.774.422) e pintura (20.774.470), conforme sistema SGO e cronograma, mas as mesmas no foram executadas e as PT's foram canceladas pela operao.A PT 20780718  referente s atividades do canteiro.3. UPGN-3:Foi programada a PT conforme pontuado pela contratada, da disciplina de caldeiraria e a equipe retornou com a atividade de instalao de telhas de fechamento lateral.Foi programada tambm a PT de irata (20.212.614), a mesma foi retirada e liberada, porm o servio no foi executada, a equipe de irata trabalhou levando o material para a rea e organizando as ferramentas a nvel de piso, pois ainda faltava o plano de ancoragem revisado e a ART da atividade para a liberao.A PT 20780718  referente s atividades do canteiro.RO aceito pela fiscalizao.</t>
  </si>
  <si>
    <t>RO DIRIO DE OBRA - SS-5/2025 (SECGN) &amp;gt; SEM ATIVIDADES NA AREA DO GALPO DEVIDO CONDIOES CLIMATICAS&amp;gt; FABRICAO DE PEDESTAL PARA ISOLAMENTO DE AREA NO CANTEIRO DE OBRAS - [MOD: 02 | PEMT: 0]PT: 20780718 (HR SOLIC 08:30 | HR LIB 08:35 | ATRASO 00:00) - (HR ENC 16:45 | ATRASO 00:00)&amp;gt;&amp;gt; CONDIES CLIMTICAS: CHUVA (08:00 - 17:00 | IMPROD.: 08:00 = 1,13d)&amp;gt;&amp;gt;&amp;gt; IMPACTO ACUMULADOLIBERAO PT/PTT: 00:00 = 0,00dINCIDNCIA DE CHUVA: 08:00 = 1,13dINCIDNCIA DE RAIOS: 00:00 = 0,00dINCIDNCIA DE VENTOS:00:00 = 0,0dIMPEDIMENTOS FISCALIZAO: 00:00 = 0,00d    RO DIRIO DE OBRA - SS-9/2025 (UPGN-3)  &amp;gt; REALIZANDO PREPARAO PARA INSTALAO DE TELHAS LATERAIS - [MOD: 04 | PEMT-01] PT:20779910(HR SOLIC 08:30 | HR LIB 08:40 | ATRASO 00:00) - (HR ENC 16:00 | ATRASO 00:00)  &amp;gt; FABRICAO DE PEDESTAL PARA ISOLAMENTO DE AREA NO CANTEIRO DE OBRAS - [MOD: 03 | PEMT: 0] PT: 20780718 (HR SOLIC 09:30 | HR LIB 10:40| ATRASO 00:40) - (HR ENC 16:30 | ATRASO 00:00)  &amp;gt;&amp;gt; CONDIES CLIMTICAS: CHUVA (07:00 - 13:00| IMPROD.: 06:00 = 0,75d) &amp;gt;&amp;gt; CONDIES CLIMTICAS: VENTOS (12:30 - 17:00 | IMPROD.: 04:30 = 0,56d) &amp;gt;&amp;gt;&amp;gt; IMPACTO ACUMULADO LIBERAO PT/PTT: 00:40 = 0,08d INCIDNCIA DE CHUVA: 12:30 = 1,57d INCIDNCIA DE RAIOS: 00:00 = 0,00d INCIDNCIA DE VENTOS: 04:30 = 0,56d IMPEDIMENTOS FISCALIZAO: 00:00 = 0,00d  ___________________________________________________________________  RO DIRIO DE OBRA - SS-11/2025 (UPCGN-1)  &amp;gt; DESMONTAGEM DOS PERFIS DO LANTERNIN - [MOD: 08 | PEMT: 03] PT:20779980(HR SOLIC 09:30 | HR LIB 10:40 | ATRASO 00:40) - (HR ENC 16:30 | ATRASO 00:00)  &amp;gt; FABRICAO DE PEDESTAL PARA ISOLAMENTO DE AREA NO CANTEIRO DE OBRAS - [MOD: 03 | PEMT: 0] PT: 20780718 (HR SOLIC 08:30 | HR LIB 08:35| ATRASO 00:00) - (HR ENC 16:30 | ATRASO 00:00)  &amp;gt;&amp;gt; CONDIES CLIMTICAS: CHUVA (07:00 - 13:00| IMPROD.: 06:00 = 0,75d) &amp;gt;&amp;gt; CONDIES CLIMTICAS: VENTOS (12:30 - 17:00 | IMPROD.: 04:30 = 0,56d)  &amp;gt;&amp;gt;&amp;gt; IMPACTO ACUMULADO LIBERAO PT/PTT: 02:52 = 0,35d INCIDNCIA DE CHUVA: 23:01 = 2,98d INCIDNCIA DE RAIOS: 00:00 = 0,00d INCIDNCIA DE VENTOS: 14:20 = 1,79d IMPEDIMENTOS FISCALIZAO: 00:00 = 0,00d</t>
  </si>
  <si>
    <t>RO-115/2025</t>
  </si>
  <si>
    <t>328 - Procedimento de Comunicação e Investigação de acidente .pdf</t>
  </si>
  <si>
    <t>Envio doc. CDIGO 328-Procedimento de Comunicao e Investigao de acidente para avaliao.</t>
  </si>
  <si>
    <t>RO-113/2025</t>
  </si>
  <si>
    <t>NR18 - ADENILDO.pdf; NR18 - ALBERTO COSTA.pdf; NR18 - CARLOS RODRIGO.pdf; NR18 - FELIPE KAYAN.pdf; NR18 - FELIPE CAMPOS.pdf; NR18 - GUSTAVO FRANCO.pdf; NR18 - JALDES BARBOSA.pdf; NR18 - LUCAS BRAGA.pdf; NR18 - REINALDO FERREIRA.pdf; NR18 - RENAN BARBOSA.pdf; NR18 - SIZERNANDO SILVA.pdf; NR18 - THARES GEORGE.pdf; NR18 - THIAGO FERREIRA.pdf; NR18 - WEBERSON GONÇALVES.pdf</t>
  </si>
  <si>
    <t>Envio doc. CDIGO 321 -Comprovao de treinamento sobre condies e meio ambiente de trabalho na construo civil NR-18 para avaliao.</t>
  </si>
  <si>
    <t>01/09/2025</t>
  </si>
  <si>
    <t>RO-112/2025</t>
  </si>
  <si>
    <t>AIRYS SANTOS.pdf; BRAYON LOPES.pdf; DANIEL NUNES.pdf; DIRCEU CARAPINA.pdf; EDICASSIA DUTRA.pdf; ELISEU GOMES.pdf; FELIPE CAMPOS.pdf; GUSTAVO SANTANA.pdf; JALDES BARBOSA.pdf; PEDRO CARDOSO.pdf; RENAN BARBOSA.pdf; RODRIGO FERREIRA.pdf; RUBENS ALBUQUERQUE.pdf; STENIO KIRMSE.pdf; THIAGO FERREIRA.pdf; WANDERSON LEÃO.pdf</t>
  </si>
  <si>
    <t>Envio do doc. CDIGO 354 -Ficha de entrega, controle e treinamento de EPI NR-6 para avaliao</t>
  </si>
  <si>
    <t>RO-111/2025</t>
  </si>
  <si>
    <t>301 - Organograma funcional da Empresa com atribuições em SMS.pdf</t>
  </si>
  <si>
    <t>Envio do doc. CDIGO 301 -Organograma funcional da Empresa com atribuies em SMS.</t>
  </si>
  <si>
    <t>RO-110/2025</t>
  </si>
  <si>
    <t>Os somatrios desde incio at o prazo final da SS dos acmulos de hora parada e meteorolgicas no final da SS a Petrobras ir analisar se e cabvel o abono revertido em acrscimo de dias no prazo de entrega da demanda.Fiscalizao registrou boa produtividade no dia, pois o tempo estava favorvel, sem intercorrncias de chuva ou vento.1. UPCGN-1:Foi programada a PT conforme pontuado pela contratada, da disciplina de caldeiraria.A equipe de caldeiraria atuava na parte externa com a remoo perfis metlicos do lanternin e telhas do mesmo.2. SECGN:Sbado sem atividades programadas.3. UPGN-3:Foi programada a PT conforme pontuado pela contratada, da disciplina de caldeiraria e a equipe retornou com a atividade de instalao de telhas de fechamento lateral.RO aceito pela fiscalizao.</t>
  </si>
  <si>
    <t>RO DIRIO DE OBRA - SS-9/2025 (UPGN-3)  &amp;gt; REALIZANDO PREPARAO PARA INSTALAO DE TELHAS LATERAIS - [MOD: 04 | PEMT-01] PT: 20774283 (HR SOLIC 08:30 | HR LIB 08:40 | ATRASO 00:00) - (HR ENC 16:00 | ATRASO 00:00)   &amp;gt;&amp;gt; CONDIES CLIMTICAS:TEMPO BOM  &amp;gt;&amp;gt;&amp;gt; IMPACTO ACUMULADO LIBERAO PT/PTT: 00:00 = 0,00d INCIDNCIA DE CHUVA: 06:30 = 0,82d INCIDNCIA DE RAIOS: 00:00 = 0,00d INCIDNCIA DE VENTOS: 00:00 = 0,00d IMPEDIMENTOS FISCALIZAO: 00:00 = 0,00d   RO DIRIO DE OBRA - SS-11/2025 (UPCGN-1)  &amp;gt; DESMONTAGEM DOS PERFIS DO LANTERNIN - [MOD: 10 | PEMT: 03] PT: 20774256(HR SOLIC 08:30 | HR LIB 09:15 | ATRASO 00:15) - (HR ENC 15:45 | ATRASO 00:00)   &amp;gt;&amp;gt; CONDIES CLIMTICAS: TEMPO BOM  &amp;gt;&amp;gt;&amp;gt; IMPACTO ACUMULADO LIBERAO PT/PTT: 01:72 = 0,27d INCIDNCIA DE CHUVA: 17:01 = 2,23d INCIDNCIA DE RAIOS: 00:00 = 0,00d INCIDNCIA DE VENTOS: 09:50 = 1,23d IMPEDIMENTOS FISCALIZAO: 00:00 = 0,00d</t>
  </si>
  <si>
    <t>RO-109/2025</t>
  </si>
  <si>
    <t>APJ-OS-AJUDANTE-OBRAS-GUSTAVO.pdf; APJ-OS-AJUDANTE-OBRAS-RENAN.pdf; APJ-OS-AJUDANTE-OBRAS-THIAGO.pdf; APJ-OS-ASSIS-ADM-EDICASSIA.pdf; APJ-OS-AUX-ALMO-DANIEL.pdf; APJ-OS-ELETRICISTA-FELIPE.pdf; APJ-OS-ENCARREGADO-DIRCEU.pdf; APJ-OS-ENG-CIVIL-RUBENS.pdf; APJ-OS-ENG-PLANE-PEDRO.pdf; APJ-OS-GERENTE-CONTRATO-GEISON.pdf; APJ-OS-PEDREIRO-JALDES.pdf; APJ-OS-TEC-PLANEJAMENTO-ELIZEU.pdf; APJ-OS-TST-AIRYS SANTOS.pdf; APJ-OS-TST-BRAYON LPES.pdf; OS-COMPRADOR-STENIO.pdf</t>
  </si>
  <si>
    <t>RO sem anexo.</t>
  </si>
  <si>
    <t>Envio do doc. CDIGO 319 -Ordens e Instrues de Servio NR-01 para avaliao.</t>
  </si>
  <si>
    <t>RO-106/2025</t>
  </si>
  <si>
    <t>Os somatrios desde incio at o prazo final da SS dos acmulos de hora parada e meteorolgicas no final da SS a Petrobras ir analisar se e cabvel o abono revertido em acrscimo de dias no prazo de entrega da demanda.Fiscalizao registrou boa produtividade no dia, pois o tempo estava favorvel, sem intercorrncias de chuva ou vento.1. UPCGN-1:Foi programada a PT conforme pontuado pela contratada, da disciplina de caldeiraria.A equipe de caldeiraria atuava na parte externa com a remoo perfis metlicos do lanternin e telhas do mesmo. A atividade de eltrica foi finalizada no dia anterior (16/10).A PT 20771060 referente  atividade realizada no canteiro, de fabricao de pedestais para isolamento da rea.2. SECGN:Sem atividades, equipe no disponvel para atuar diretamente na demanda.3. UPGN-3:Foi programada a PT conforme pontuado pela contratada, da disciplina de caldeiraria e a equipe retornou com a atividade de instalao de telhas de fechamento lateral.A PT20771060 referente  atividade realizada no canteiro, de fabricao de pedestais para isolamento da rea.RO aceito pela fiscalizao.</t>
  </si>
  <si>
    <t>RO DIRIO DE OBRA - SS-5/2025 (SECGN)  &amp;gt; SEM ATIVIDADES  &amp;gt;&amp;gt;&amp;gt; IMPACTO ACUMULADO LIBERAO PT/PTT: 00:00 = 0,00d INCIDNCIA DE CHUVA: 00:00 = 0,00d INCIDNCIA DE RAIOS: 00:00 = 0,00d INCIDNCIA DE VENTOS: 07:30 = 0,94d IMPEDIMENTOS FISCALIZAO: 00:00 = 0,00d    RO DIRIO DE OBRA - SS-9/2025 (UPGN-3)  &amp;gt; REALIZANDO INSTALAO DE TELHAS LATERAIS - [MOD: 03 | PEMT-01] PT: 20767779 (HR SOLIC 08:10 | HR LIB 08:30 | ATRASO 00:00) - (HR ENC 15:45 | ATRASO 00:00)  &amp;gt; FABRICAO DE PEDESTAL PARA ISOLAMENTO DE AREA - [MOD: 02 | PEMT: 0] PT: 20771060 (HR SOLIC 08:00 | HR LIB 08:10 | ATRASO 00:00) - (HR ENC 16:45 | ATRASO 00:00)  &amp;gt;&amp;gt; CONDIES CLIMTICAS:TEMPO BOM  &amp;gt;&amp;gt;&amp;gt; IMPACTO ACUMULADO LIBERAO PT/PTT: 00:00 = 0,00d INCIDNCIA DE CHUVA: 06:30 = 0,82d INCIDNCIA DE RAIOS: 00:00 = 0,00d INCIDNCIA DE VENTOS: 00:00 = 0,00d IMPEDIMENTOS FISCALIZAO: 00:00 = 0,00d   RO DIRIO DE OBRA - SS-11/2025 (UPCGN-1)  &amp;gt; DESMONTAGEM DOS PERFIS DO LANTERNIN - [MOD: 05 | PEMT: 02] PT: 20767835(HR SOLIC 08:10 | HR LIB 08:30 | ATRASO 00:00) - (HR ENC 15:45 | ATRASO 00:00)   &amp;gt; FABRICAO DE PEDESTAL PARA ISOLAMENTO DE AREA - [MOD: 02 | PEMT: 0] PT: 20771060 (HR SOLIC 08:00 | HR LIB 08:10 | ATRASO 00:00) - (HR ENC 15:45 | ATRASO 00:00)  &amp;gt;&amp;gt; CONDIES CLIMTICAS: TEMPO BOM  &amp;gt;&amp;gt;&amp;gt; IMPACTO ACUMULADO LIBERAO PT/PTT: 01:57 = 0,24d INCIDNCIA DE CHUVA: 17:01 = 2,23d INCIDNCIA DE RAIOS: 00:00 = 0,00d INCIDNCIA DE VENTOS: 09:50 = 1,23d IMPEDIMENTOS FISCALIZAO: 00:00 = 0,00d</t>
  </si>
  <si>
    <t>RO-104/2025</t>
  </si>
  <si>
    <t>BM-02-OUT-2025-UTGC-UNIFICADO-26-09-2025 A 25-10-2025-REV02.pdf; BM-02-OUT-2025-UTGC-UNIFICADO-26-09-2025 A 25-10-2025-REV02.xlsx; MC-02-OUT-2025-UTGC-09-2025 A 25-10-2025-REV01.pdf; Planilha IDF Outubro 2025.xlsx; ATA DE REUNIÃO APJ - 2025 OUTUBRO.pdf</t>
  </si>
  <si>
    <t>669,910</t>
  </si>
  <si>
    <t>Segue pleito de medio 002 referente a UTGC</t>
  </si>
  <si>
    <t>RO-103/2025</t>
  </si>
  <si>
    <t>1.211,060</t>
  </si>
  <si>
    <t>3.099,940</t>
  </si>
  <si>
    <t>528,270</t>
  </si>
  <si>
    <t>118,730</t>
  </si>
  <si>
    <t>1.300,310</t>
  </si>
  <si>
    <t>250,520</t>
  </si>
  <si>
    <t>385,710</t>
  </si>
  <si>
    <t>496,040</t>
  </si>
  <si>
    <t>PE-01-APJ__INSTALAÇÃO DA PLACA DE IDENTIFICAÇÃO DE OBRAS , ADEQUAÇÃO DO TAPUME E ORGANIZAÇÃO DO CANTEIRO DE OBRAS-APROVADO.docx; PE-02-APJ-_MOVIMENTAÇÃO_MANUAL_CARGAS.docx; PE-03-APJ-_CONDUÇÃO DE VEÍCULOS MOTORIZADOS.docx; PE-05-APJ-MOVIMENTAÇÃO COM POLIGUINDASTE.docx</t>
  </si>
  <si>
    <t>RO-101/2025</t>
  </si>
  <si>
    <t>353 - Relação de EPI por risco, atividade e sua descrição NR6.pdf; 353 - Relação de EPI por risco, atividade e sua descrição NR6 rev I.pdf</t>
  </si>
  <si>
    <t>Prezados, no item 8, faltou a informao do ano de vencimento.</t>
  </si>
  <si>
    <t>Envio do doc. CDIGO 353 -Relao de EPI por risco, atividade e sua descrio NR-6 para avaliao.Envio do doc. CDIGO 353 -Relao de EPI por risco, atividade e sua descrio NR-6 para avaliao revisado, 20 10 2025</t>
  </si>
  <si>
    <t>RO-99/2025</t>
  </si>
  <si>
    <t>BM-02-OUT-2025-EDIVIT-UNIFICADO-26-08-2025 A 25-09-2025_REV02.xlsx; Ata Reunião Mensal de Medição-APJ Engenharia - Out. 25.pdf; BM-02-OUT-2025-EDIVIT-UNIFICADO-26-08-2025 A 25-09-2025_REV02.pdf; MC-BM-02-OUT-2025-EDIVIT-UNIFICADO-26-08-2025 A 25-09-2025_REV02.pdf; Planilha IDF APJ -  OUT 25.xlsx</t>
  </si>
  <si>
    <t>2.004,282</t>
  </si>
  <si>
    <t>A fiscalizao se encontra ciente e de acordo com o referido pleito de medio.</t>
  </si>
  <si>
    <t>Segue pleito de medio 002 referente ao EDIVIT.</t>
  </si>
  <si>
    <t>RO-98/2025</t>
  </si>
  <si>
    <t>62,0</t>
  </si>
  <si>
    <t>1001422802 10</t>
  </si>
  <si>
    <t>18,0</t>
  </si>
  <si>
    <t>230,945</t>
  </si>
  <si>
    <t>560,211</t>
  </si>
  <si>
    <t>Os somatrios desde incio at o prazo final da SS dos acmulos de hora parada e meteorolgicas no final da SS a Petrobras ir analisar se e cabvel o abono revertido em acrscimo de dias no prazo de entrega da demanda.Fiscalizao registrou baixa produtividade no dia, devido s chuvas intermitentes.1. UPCGN-1:Foram programadas as PT's conforme pontuado pela contratada, das disciplinas de eltrica e caldeiraria.As equipes deram continuidade nas atividades de desmontagem dos eletrodutos e remoo das luminrias do galpo, enquanto a equipe de caldeiraria atuava na parte externa com a remoo perfis metlicos do lanternin.PT informada pela contratada20765641 referente  atividade realizada no canteiro.2. SECGN:Sem atividades, equipe no disponvel para atuar diretamente na demanda.PT informada pela contratada20765641 referente  atividade realizada no canteiro.3. UPGN-3:Foi programada a PT conforme pontuado pela contratada, da disciplina de caldeiraria (para organizao e limpeza do local da obra e separao do material para retorno da atividade de instalao de telhas e venezianas).PT informada pela contratada20765641 referente  atividade realizada no canteiro.RO aceito pela fiscalizao.</t>
  </si>
  <si>
    <t>RO DIRIO DE OBRA - SS-5/2025 (SECGN)  &amp;gt; SEM ATIVIDADES&amp;gt; FABRICAO DE PEDESTAL PARA ISOLAMENTO DE AREA - [MOD: 02]PT: 20765641 (HR SOLIC 08:46 | HR LIB 08:50 | ATRASO 00:00) - (HR ENC 16:45 | ATRASO 00:00)&amp;gt;&amp;gt;&amp;gt; IMPACTO ACUMULADO LIBERAO PT/PTT: 00:00 = 0,00d INCIDNCIA DE CHUVA: 00:00 = 0,00d INCIDNCIA DE RAIOS: 00:00 = 0,00d INCIDNCIA DE VENTOS: 07:30 = 0,94d IMPEDIMENTOS FISCALIZAO: 00:00 = 0,00d_______________________________________________________________________________RO DIRIO DE OBRA - SS-9/2025 (UPGN-3)  &amp;gt; REALIZANDO PREPARAO PARA INSTALAO DE TELHAS LATERAIS - [MOD: 04 | PEMT-01] PT: 20761130 (HR SOLIC 08:00 | HR LIB 08:45 | ATRASO 00:00) - (HR ENC 16:30 | ATRASO 00:00)  &amp;gt; FABRICAO DE PEDESTAL PARA ISOLAMENTO DE AREA - [MOD: 02] PT: 20765641 (HR SOLIC 08:46 | HR LIB 08:50 | ATRASO 00:00) - (HR ENC 16:45 | ATRASO 00:00)  &amp;gt;&amp;gt; CONDIES CLIMTICAS: CHUVA (08:40 - 10:10 | IMPROD.: 01:30 = 0,19d)  &amp;gt;&amp;gt;&amp;gt; IMPACTO ACUMULADO LIBERAO PT/PTT: 00:00 = 0,00d INCIDNCIA DE CHUVA: 06:30 = 0,82d INCIDNCIA DE RAIOS: 00:00 = 0,00d INCIDNCIA DE VENTOS: 00:00 = 0,00d IMPEDIMENTOS FISCALIZAO: 00:00 = 0,00d_______________________________________________________________________________RO DIRIO DE OBRA - SS-11/2025 (UPCGN-1)  &amp;gt; DESMONTAGEM DOS PERFIS DO LANTERNIN - [MOD: 04 | PEMT: 01] PT: 20761161(HR SOLIC 08:30 | HR LIB 08:50 | ATRASO 00:00) - (HR ENC 16:30 | ATRASO 00:00)  &amp;gt; DESMONTAGEM DE ELETRODUTOS E LUMINRIAS - [MOD: 03 | PEMT: 01] PT: 20761152 (HR SOLIC 08:10 | HR LIB 09:00 | ATRASO 00:20) - (HR ENC 16:30 | ATRASO 00:00)  &amp;gt; FABRICAO DE PEDESTAL PARA ISOLAMENTO DE AREA - [MOD: 02] PT: 20765641 (HR SOLIC 08:46 | HR LIB 08:50 | ATRASO 00:00) - (HR ENC 16:45 | ATRASO 00:00)  &amp;gt;&amp;gt; CONDIES CLIMTICAS: CHUVA (08:40 - 10:10 | IMPROD.: 01:30 = 0,19d) &amp;gt;&amp;gt; CONDIES CLIMTICAS: CHUVA (11:51 - 12:40 | IMPROD.: 00:50 = 0,10d)  &amp;gt;&amp;gt;&amp;gt; IMPACTO ACUMULADO LIBERAO PT/PTT: 01:57 = 0,24d INCIDNCIA DE CHUVA: 17:01 = 2,23d INCIDNCIA DE RAIOS: 00:00 = 0,00d INCIDNCIA DE VENTOS: 09:50 = 1,23d IMPEDIMENTOS FISCALIZAO: 00:00 = 0,00d</t>
  </si>
  <si>
    <t>RO-96/2025</t>
  </si>
  <si>
    <t>STENIO KIRMSE - OK.zip; THIAGO FERREIRA DA COSTA - OK.zip</t>
  </si>
  <si>
    <t>Conforme solicitado, encaminho em anexo documentao pessoal dos funcionrios:STENIO KIRMSETHIAGO FERREIRA DA COSTA</t>
  </si>
  <si>
    <t>RO-94/2025</t>
  </si>
  <si>
    <t>RENAN BARBOSA DOS SANTOS - OK.zip; RUBENS FREITAS ALBUQUERQUE - OK.zip</t>
  </si>
  <si>
    <t>Conforme solicitado, encaminho em anexo documentao pessoal dos funcionrios:RENAN BARBOSA DOS SANTOSRUBENS FREITAS ALBUQUERQUE.</t>
  </si>
  <si>
    <t>RO-93/2025</t>
  </si>
  <si>
    <t>PEDRO LUIZ LINS CARDOSO - OK.zip; JALDES BARBOSA ANDRADE - OK.zip</t>
  </si>
  <si>
    <t>Conforme solicitado, encaminho em anexo documentao pessoal dos funcionrios:PEDRO LUIZJALDES BARBOSA</t>
  </si>
  <si>
    <t>RO-92/2025</t>
  </si>
  <si>
    <t>ELISEU GOMES - OK.zip; GUSTAVO FRANCO DE SANTANA - OK.zip</t>
  </si>
  <si>
    <t>Conforme solicitado, encaminho em anexo documentao pessoal dos funcionrios:</t>
  </si>
  <si>
    <t>RO-91/2025</t>
  </si>
  <si>
    <t>DANIEL NUNES MOTA - OK.zip; EDCASSIA RIBEIRO GOMES DUTRA - OK.zip</t>
  </si>
  <si>
    <t>Conforme solicitado, encaminho em anexo documentao pessoal dos funcionrios:DANIEL NUNES MOTAEDCASSIA DUTRA</t>
  </si>
  <si>
    <t>RO-90/2025</t>
  </si>
  <si>
    <t>AIRYS DAVIDSON PEREIRA DOS SANTOS - OK.zip; BRAYON LOPES DA SILVA - OK.zip</t>
  </si>
  <si>
    <t>Conforme solicitado, encaminho em anexo documentao pessoal dos funcionrios:airys dos santosbrayon lopes da silva</t>
  </si>
  <si>
    <t>RO-89/2025</t>
  </si>
  <si>
    <t>Os somatrios desde incio at o prazo final da SS dos acmulos de hora parada e meteorolgicas no final da SS a Petrobras ir analisar se e cabvel o abono revertido em acrscimo de dias no prazo de entrega da demanda.Fiscalizao registrou baixa produtividade no dia, devido s chuvas intermitentes.1. UPCGN-1:Foram programadas as PT's conforme pontuado pela contratada, das disciplinas de eltrica e caldeiraria.As equipes deram continuidade nas atividades de desmontagem dos eletrodutos e remoo das luminrias do galpo, enquanto a equipe de caldeiraria atuava na parte externa com a remoo perfis metlicos do lanternin.2. SECGN:Sem atividades, equipe no disponvel para atuar na demanda.3. UPGN-3:Foram programadas as PT's conforme pontuado pela contratada, da disciplina de caldeiraria (para organizao e limpeza do local da obra).A equipe de caldeiraria atuava na parte externa com aa OLA do entorno do galpo.RO aceito pela fiscalizao.</t>
  </si>
  <si>
    <t>RO DIRIO DE OBRA - SS-5/2025 (SECGN)  &amp;gt; SEM ATIVIDADES  &amp;gt;&amp;gt;&amp;gt; IMPACTO ACUMULADO LIBERAO PT/PTT: 00:00 = 0,00d INCIDNCIA DE CHUVA: 00:00 = 0,00d INCIDNCIA DE RAIOS: 00:00 = 0,00d INCIDNCIA DE VENTOS: 07:30 = 0,94d IMPEDIMENTOS FISCALIZAO: 00:00 = 0,00d____________________________________________________RO DIRIO DE OBRA - SS-9/2025 (UPGN-3)  &amp;gt; ORGANIZAO E LIMPEZA - [MOD: 02] PT: 20755740 (HR SOLIC 08:00 | HR LIB 08:10 | ATRASO 00:00) - (HR ENC 16:30 | ATRASO 00:00)  &amp;gt;&amp;gt; CONDIES CLIMTICAS: CHUVA (09:00 - 14:00 | IMPROD.: 05:00 = 0,63d)  &amp;gt;&amp;gt;&amp;gt; IMPACTO ACUMULADO LIBERAO PT/PTT: 00:00 = 0,00d INCIDNCIA DE CHUVA: 05:00 = 0,63d INCIDNCIA DE RAIOS: 00:00 = 0,00d INCIDNCIA DE VENTOS: 00:00 = 0,00d IMPEDIMENTOS FISCALIZAO: 00:00 = 0,00d____________________________________________________________________________________RO DIRIO DE OBRA - SS-11/2025 (UPCGN-1)  &amp;gt; DESMONTAGEM DOS PERFIS DO LANTERNIN - [MOD: 08 | PEMT: 02] PT: 20755536 (HR SOLIC 07:50 | HR LIB 08:02 | ATRASO 00:00) - (HR ENC 16:30 | ATRASO 00:00)  &amp;gt; DESMONTAGEM DE ELETRODUTOS E LUMINRIAS - [MOD: 05 | PEMT: 01] PT: 20755507 (HR SOLIC 07:50 | HR LIB 08:00 | ATRASO 00:00) - (HR ENC 16:30 | ATRASO 00:00)  &amp;gt;&amp;gt; CONDIES CLIMTICAS: CHUVA (09:00 - 14:00 | IMPROD.: 05:00 = 0,63d)  &amp;gt;&amp;gt;&amp;gt; IMPACTO ACUMULADO LIBERAO PT/PTT: 01:37 = 0,20d INCIDNCIA DE CHUVA: 15:30 = 1,94d INCIDNCIA DE RAIOS: 00:00 = 0,00d INCIDNCIA DE VENTOS: 09:50 = 1,23d IMPEDIMENTOS FISCALIZAO: 00:00 = 0,00d</t>
  </si>
  <si>
    <t>RO-88/2025</t>
  </si>
  <si>
    <t>Os somatrios desde incio at o prazo final da SS dos acmulos de hora parada e meteorolgicas no final da SS a Petrobras ir analisar se e cabvel o abono revertido em acrscimo de dias no prazo de entrega da demanda.1. UPCGN-1:Foram programadas as PT's conforme pontuado pela contratada, das disciplinas de eltrica e caldeiraria.As equipes deram continuidade nas atividades de desmontagem dos eletrodutos e remoo das luminrias do galpo, enquanto a equipe de caldeiraria atuava na parte externa com a remoo perfis metlicos do lanternin. Equipe atuando com 2 PEMT's.A numerao das PT's est trocada (20.749.101 - eltrica) e (20.749.117 - caldeiraria).2. SECGN:Sem atividades, equipe no disponvel para atuar na demanda.3. UPGN-3:Foram programadas as PT's conforme pontuado pela contratada, da disciplina de caldeiraria (para organizao e limpeza do local da obra).A equipe de caldeiraria atuava na parte externa com aa OLA do entorno do galpo.RO aceito pela fiscalizao.</t>
  </si>
  <si>
    <t>RO DIRIO DE OBRA - SS-5/2025 (SECGN)  &amp;gt; SEM ATIVIDADES  &amp;gt;&amp;gt;&amp;gt; IMPACTO ACUMULADO LIBERAO PT/PTT: 00:00 = 0,00d INCIDNCIA DE CHUVA: 00:00 = 0,00d INCIDNCIA DE RAIOS: 00:00 = 0,00d INCIDNCIA DE VENTOS: 07:30 = 0,94d IMPEDIMENTOS FISCALIZAO: 00:00 = 0,00d __________________________________________________________________________________ RO DIRIO DE OBRA - SS-9/2025 (UPGN-3)  &amp;gt; ORGANIZAO E LIMPEZA - [MOD: 05] PT: 20749045 (HR SOLIC 08:15 | HR LIB 09:20 | ATRASO 00:35) - (HR ENC 16:30 | ATRASO 00:00)  &amp;gt;&amp;gt; CONDIES CLIMTICAS: TEMPO BOM  &amp;gt;&amp;gt;&amp;gt; IMPACTO ACUMULADO LIBERAO PT/PTT: 00:00 = 0,00d INCIDNCIA DE CHUVA: 00:00 = 0,00d INCIDNCIA DE RAIOS: 00:00 = 0,00d INCIDNCIA DE VENTOS: 00:00 = 0,00d IMPEDIMENTOS FISCALIZAO: 00:00 = 0,00d _____________________________________________________________________________________________  RO DIRIO DE OBRA - SS-11/2025 (UPCGN-1)  &amp;gt; DESMONTAGEM DE TELHAS DA COBERTURA - [MOD: 03 | PEMT: 01] PT: 20749101 (HR SOLIC 07:50 | HR LIB 08:10 | ATRASO 00:00 - (HR ENC 16:30 | ATRASO 00:00)  &amp;gt; DESMONTAGEM DE ELETRODUTOS E LUMINRIAS - [MOD: 05 | PEMT: 01] PT: 20749117 (HR SOLIC 07:50 | HR LIB 08:10 | ATRASO 00:00 - (HR ENC 16:30 | ATRASO 00:00)  &amp;gt;&amp;gt; CONDIES CLIMTICAS: TEMPO BOM  &amp;gt;&amp;gt;&amp;gt; IMPACTO ACUMULADO LIBERAO PT/PTT: 01:37 = 0,20d INCIDNCIA DE CHUVA: 10:30 = 1,31d INCIDNCIA DE RAIOS: 00:00 = 0,00d INCIDNCIA DE VENTOS: 09:50 = 1,23d IMPEDIMENTOS FISCALIZAO: 00:00 = 0,00d</t>
  </si>
  <si>
    <t>RO-86/2025</t>
  </si>
  <si>
    <t>DIRCEU CARAPINA - OK.zip; FELIPE SOARES CAMPOS - OK.zip</t>
  </si>
  <si>
    <t>Conforme solicitado, encaminho em anexo documentao pessoal dos funcionrios:FELIPE SOARES CAMPOSDIRCEU CARAPINA</t>
  </si>
  <si>
    <t>RO-85/2025</t>
  </si>
  <si>
    <t>WENDELL DOS SANTOS CARLOS OK.rar; WILTON SOUZA OK.rar</t>
  </si>
  <si>
    <t>Conforme solicitado, encaminho em anexo documentao pessoal dos funcionrios:WENDELL CARLOSWILTON SOUZA</t>
  </si>
  <si>
    <t>RO-84/2025</t>
  </si>
  <si>
    <t>THIAGO FIORETE MOREIRA OK.rar; WALLACE DOS SANTOS NASCIMENTO OK.rar</t>
  </si>
  <si>
    <t>Conforme solicitado, encaminho em anexo documentao pessoal dos funcionrios:thiago fioretewallace nascimento</t>
  </si>
  <si>
    <t>RO-83/2025</t>
  </si>
  <si>
    <t>RO-82/2025</t>
  </si>
  <si>
    <t>ROMÁRIO DE SOUZA VIANA OK.rar; RULIANO DE SOUZA MOREIRA OK.rar</t>
  </si>
  <si>
    <t>Conforme solicitado, encaminho em anexo documentao pessoal dos funcionrios:ROMARIO DE SOUZA VIANARULIANO DE SOUZA MOREIRA</t>
  </si>
  <si>
    <t>RO-81/2025</t>
  </si>
  <si>
    <t>ROBERTO DE JESUS SANTOS OK.rar; RODRIGO COSTA DE JESUS OK.rar</t>
  </si>
  <si>
    <t>Conforme solicitado, encaminho em anexo documentao pessoal dos funcionrios:ROBERTO DE JESUS SANTOSRODRIGO COSTA DE JESUS</t>
  </si>
  <si>
    <t>RO-80/2025</t>
  </si>
  <si>
    <t>ONÉSSIMO AMORIM OK.rar; RAFAEL BARREIRA DA CONCEIÇÃO OK.rar</t>
  </si>
  <si>
    <t>Conforme solicitado, encaminho em anexo documentao pessoal dos funcionrios:ONESSIMO AMORIMRAFAEL BARREIRA DA CONCEICAO</t>
  </si>
  <si>
    <t>RO-79/2025</t>
  </si>
  <si>
    <t>MARCIO ROGERIO NUNES ok.rar; MATHEUS LUCAS RODRIGUES DA SILVA ok.rar</t>
  </si>
  <si>
    <t>Conforme solicitado, encaminho em anexo documentao pessoal dos funcionrios:MARCIO ROGERIO NUNESMATHEUS LUCAS DA SILVA</t>
  </si>
  <si>
    <t>RO-78/2025</t>
  </si>
  <si>
    <t>LUCAS RONIELE RIBEIRO MARCAL OK.rar; MARCELO DOS SANTOS MATOS ok.rar; MARCIANO TITO DEUS OK.rar</t>
  </si>
  <si>
    <t>Conforme solicitado, encaminho em anexo documentao pessoal dos funcionrios:LUCAS RONIELE;MARCELO DOS SANTOS MATOS;MARCIANO TITO DEUS.</t>
  </si>
  <si>
    <t>RO-77/2025</t>
  </si>
  <si>
    <t>JOEL DANILO DANTAS SILVA ok.rar; JONATHAN LOPES DOS SANTOS ok.rar</t>
  </si>
  <si>
    <t>Conforme solicitado, encaminho em anexo documentao pessoal dos funcionrios:JOEL SILVAJONATHAN DOS SANTOS</t>
  </si>
  <si>
    <t>RO-76/2025</t>
  </si>
  <si>
    <t>IVO SANTOS DE OLIVEIRA OK.rar; JOBERT DA SILVA SAMPAIO ok.rar</t>
  </si>
  <si>
    <t>Conforme solicitado, encaminho em anexo documentao pessoal dos funcionrios:IVO SANTOS DE OLIVEIRA;JOBERT DA SILVA SAMPAIO</t>
  </si>
  <si>
    <t>RO-75/2025</t>
  </si>
  <si>
    <t>GEILSON CARLOS ok.rar; GILIS FLORO COSTA OK.rar</t>
  </si>
  <si>
    <t>Conforme solicitado, encaminho em anexo documentao pessoal dos funcionrios:GEILSON CARLOS;GILIS FLORO COSTA.</t>
  </si>
  <si>
    <t>RO-74/2025</t>
  </si>
  <si>
    <t>DEYVID ALAN OLIVEIRA MUNIZ ok.rar; DIEKSON VALERIANO DOS REIS ok.rar; 11-ASO DEYVID ALAN MUNIZ-REV1.pdf; 11-ASO DIEKSON VALERIANO DOS REIS-REV1.pdf; 3-CTPS-DIEKSON DOS REIS.pdf; 3-CTPS-DEYVID ALAN.pdf</t>
  </si>
  <si>
    <t>Deyvid: Enviar CTPS que conste o vnculo com a APJ.Aso: Sem nome e CRM do mdico coordenador,Diekson: Enviar CTPS que conste o vnculo com a APJ.Aso: Sem nome e CRM do mdico coordenador, Riscos divergentes do PCMSOPrazo: 25/10</t>
  </si>
  <si>
    <t>Conforme solicitado, encaminho em anexo documentao pessoal dos funcionrios:DEYVID MUNIZ;DIEKSON DOS REIS18/11: SEGUE DOCUMENTACAO REVISADA.</t>
  </si>
  <si>
    <t>RO-73/2025</t>
  </si>
  <si>
    <t>314 - PROGRANA DE DDSMS.pdf</t>
  </si>
  <si>
    <t>Envio do arquivo doc. CDIGO 314 - PROGRAMA DE DDSMS para avaliao item 3 DOCUMETAO DE SMS</t>
  </si>
  <si>
    <t>RO-70/2025</t>
  </si>
  <si>
    <t>300 - CARTA APJ ENGENHARIA E CONSTRUÇÕES LTDA 10 10 2025 (1).pdf; 300 - CARTA APJ ENGENHARIA E CONSTRUÇÕES LTDA 22 10 2025 .pdf</t>
  </si>
  <si>
    <t>17/10: Prezados, ajustar perodo do RO conforme data de envio (Estando dentro do prazo do contrato)</t>
  </si>
  <si>
    <t>Enviado para analise o arquivo doc. CDIGO 300 - CARTA DESIGNAO FORMAL DA EMPRESA PARA O EMPREGADO RESPONSVEL PELO SMS DE TODOS OS PROFISSIONAIS. rev. 22 10 2025, alterado o perodo conforme solicitado.</t>
  </si>
  <si>
    <t>RO-69/2025</t>
  </si>
  <si>
    <t>355 - CA DOS EPIs NR -6.pdf</t>
  </si>
  <si>
    <t>Enviado para avaliao o doc CDI 355 - CA DOS EPIs NR-6 13 10 2025.</t>
  </si>
  <si>
    <t>RO-68/2025</t>
  </si>
  <si>
    <t>Os somatrios desde incio at o prazo final da SS dos acmulos de hora parada e meteorolgicas no final da SS a Petrobras ir analisar se e cabvel o abono revertido em acrscimo de dias no prazo de entrega da demanda.No dia 13/10/2025 a fiscalizao registrou baixa produtividade da empresa contratada, pois conforme pontuado no RO, houve incidncia de ventos com velocidade acima do normal durante todo o dia, no sendo possvel realizar as atividades em altura.Somente na parte da UPGN-3 foi possvel atuar, visto que eram atividades a nvel de piso.1. UPCGN-1:Foram programadas as PT's conforme pontuado pela contratada, das disciplinas de eltrica e caldeiraria.As equipes deram continuidade nas atividades de desmontagem dos eletrodutos e remoo das luminrias do galpo, enquanto a equipe de caldeiraria atuava na parte externa com a remoo dos rufos soltos e telhas soltas do galpo, bem como a remoo dos perfis metlicos do lanternin. Equipe atuando com 2 PEMT's.2. SECGN:Foi programada a PT conforme pontuado pela contratada, da disciplina de caldeiraria para organizao e limpeza do local da obra.Incio da demanda do SECGN.1. UPGN-3:Foram programadas as PT's conforme pontuado pela contratada, das disciplinas de eltrica e caldeiraria (para organizao e limpeza do local da obra).A equipe de eltrica fez as adequaes do aterramento do galpo. Enquanto a equipe de caldeiraria atuava na parte externa com aa OLA do entorno do galpo.Incio da demanda da UPGN-3.RO aceito pela fiscalizao.</t>
  </si>
  <si>
    <t>RO DIRIO DE OBRA - SS-5/2025 (SECGN)  &amp;gt; ORGANIZAO E LIMPEZA - [MOD: 05] PT: 20212194 (HR SOLIC 13:00 | HR LIB 13:20 | ATRASO 00:00) - (HR ENC 16:30 | ATRASO 00:00)  &amp;gt;&amp;gt; CONDIES CLIMTICAS: VENTOS (09:30 - 17:00 | IMPROD.: 07:30 = 0,94d)  &amp;gt;&amp;gt;&amp;gt; IMPACTO ACUMULADO LIBERAO PT/PTT: 00:00 = 0,00d INCIDNCIA DE CHUVA: 00:00 = 0,00d INCIDNCIA DE RAIOS: 00:00 = 0,00d INCIDNCIA DE VENTOS: 07:30 = 0,94d IMPEDIMENTOS FISCALIZAO: 00:00 = 0,00d __________________________________________________________________________________ RO DIRIO DE OBRA - SS-9/2025 (UPGN-3)  &amp;gt; ORGANIZAO E LIMPEZA - [MOD: 05] PT: 20212495 (HR SOLIC 13:00 | HR LIB 13:20 | ATRASO 00:00) - (HR ENC 16:30 | ATRASO 00:00)  &amp;gt; ADEQUAO DE ELTRICA DO GALPO - [MOD: 03] PT: 20173524 (HR SOLIC 12:50 | HR LIB 12:50 | ATRASO 00:00) - (HR ENC 16:30 | ATRASO 00:00)  &amp;gt;&amp;gt; CONDIES CLIMTICAS: VENTOS FORTES, PORM SEM IMPACTO NESTA DEMANDA  &amp;gt;&amp;gt;&amp;gt; IMPACTO ACUMULADO LIBERAO PT/PTT: 00:00 = 0,00d INCIDNCIA DE CHUVA: 00:00 = 0,00d INCIDNCIA DE RAIOS: 00:00 = 0,00d INCIDNCIA DE VENTOS: 00:00 = 0,00d IMPEDIMENTOS FISCALIZAO: 00:00 = 0,00d__________________________________________________________________________________  RO DIRIO DE OBRA - SS-11/2025 (UPCGN-1)  &amp;gt; DESMONTAGEM DE TELHAS DA COBERTURA - [MOD: 04 | PEMT: 01] PT: 20744751 (HR SOLIC 08:10 | HR LIB 09:25 | ATRASO 00:45 - (HR ENC 16:30 | ATRASO 00:00)  &amp;gt; DESMONTAGEM DE ELETRODUTOS E LUMINRIAS - [MOD: 03 | PEMT: 01] PT: 20744729 (HR SOLIC 08:10 | HR LIB 09:20 | ATRASO 00:40) - (HR ENC 16:30 | ATRASO 00:00)  &amp;gt;&amp;gt; CONDIES CLIMTICAS: VENTOS (09:30 - 17:00 | IMPROD.: 07:30 = 0,94d)  &amp;gt;&amp;gt;&amp;gt; IMPACTO ACUMULADO LIBERAO PT/PTT: 01:37 = 0,20d INCIDNCIA DE CHUVA: 10:30 = 1,31d INCIDNCIA DE RAIOS: 00:00 = 0,00d INCIDNCIA DE VENTOS: 09:50 = 1,23d IMPEDIMENTOS FISCALIZAO: 00:00 = 0,00d</t>
  </si>
  <si>
    <t>RO-67/2025</t>
  </si>
  <si>
    <t>Os somatrios desde incio at o prazo final da SS dos acmulos de hora parada e meteorolgicas no final da SS a Petrobras ir analisar se e cabvel o abono revertido em acrscimo de dias no prazo de entrega da demanda.1. UPCGN-1:Sbado a equipe programou atividades para a demanda da UPCGN-1. Foram programadas as PT's conforme pontuado pela contratada, das disciplinas de eltrica e caldeiraria.As equipes deram continuidade nas atividades de desmontagem dos eletrodutos e remoo das luminrias do galpo, enquanto a equipe de caldeiraria atuava na parte externa com a remoo dos rufos soltos e telhas soltas do galpo, bem como a remoo dos perfis metlicos do lanternin. Equipe atuando com 2 PEMT's.RO aceito pela fiscalizao.</t>
  </si>
  <si>
    <t>RO DIRIO DE OBRA - SS-11/2025 (UPCGN-1)  &amp;gt; DESMONTAGEM DE TELHAS DA COBERTURA - [MOD: 04 | PEMT: 01] PT: 20734286 (HR SOLIC 08:00 | HR LIB 08:34 | ATRASO 00:04) - (HR ENC 16:30 | ATRASO 00:00)  &amp;gt; DESMONTAGEM DE ELETRODUTOS E LUMINRIAS - [MOD: 03 | PEMT: 01] PT: 20734276 (HR SOLIC 08:00 | HR LIB 08:29 | ATRASO 00:00) - (HR ENC 16:30 | ATRASO 00:00)  &amp;gt;&amp;gt; CONDIES CLIMTICAS: TEMPO BOM  &amp;gt;&amp;gt;&amp;gt; IMPACTO ACUMULADO LIBERAO PT/PTT: 00:52 = 0,11d INCIDNCIA DE CHUVA: 10:30 = 1,31d INCIDNCIA DE RAIOS: 00:00 = 0,00d INCIDNCIA DE VENTOS: 02:20 = 0,29d IMPEDIMENTOS FISCALIZAO: 00:00 = 0,00d</t>
  </si>
  <si>
    <t>RO-66/2025</t>
  </si>
  <si>
    <t>Os somatrios desde incio at o prazo final da SS dos acmulos de hora parada e meteorolgicas no final da SS a Petrobras ir analisar se e cabvel o abono revertido em acrscimo de dias no prazo de entrega da demanda.1. UPCGN-1:Foi programada a PT 20.734.276 da disciplina de caldeiraria e a PT 20.734.286 da disciplina de eltrica, referente  demanda de desmontagem da cobertura da UPCGN-1.As equipes deram continuidade nas atividades de desmontagem dos eletrodutos e remoo das luminrias do galpo, enquanto a equipe de caldeiraria atuava na parte externa com a remoo dos rufos soltos e telhas soltas do galpo, bem como a remoo dos perfis metlicos. Houve atraso na liberao das PT's pois o SPT apresentou um erro geral, as PT's foram impressas como documento para consulta e liberadas pela OP para darem celeridade nas atividades e as mesmas poderem ser executadas.RO aceito pela fiscalizao.</t>
  </si>
  <si>
    <t>RO DIRIO DE OBRA - SS-11/2025 (UPCGN-1)  &amp;gt; DESMONTAGEM DE TELHAS DA COBERTURA - [MOD: 04 | PEMT: 01] PT: 20734286 (HR SOLIC 08:00 | HR LIB 09:18 | ATRASO 00:48) - (HR ENC 16:30 | ATRASO 00:00)  &amp;gt; DESMONTAGEM DE ELETRODUTOS E LUMINRIAS - [MOD: 03 | PEMT: 01] PT: 20734276 (HR SOLIC 08:00 | HR LIB 09:18 | ATRASO 00:48) - (HR ENC 16:30 | ATRASO 00:00)  &amp;gt;&amp;gt; CONDIES CLIMTICAS: TEMPO BOM  &amp;gt;&amp;gt;&amp;gt; IMPACTO ACUMULADO LIBERAO PT/PTT: 00:48 = 0,10d INCIDNCIA DE CHUVA: 10:30 = 1,31d INCIDNCIA DE RAIOS: 00:00 = 0,00d INCIDNCIA DE VENTOS: 02:20 = 0,29d IMPEDIMENTOS FISCALIZAO: 00:00 = 0,00d</t>
  </si>
  <si>
    <t>RO-65/2025</t>
  </si>
  <si>
    <t>PABLO ALVES ZAMBI.zip; IARA MARIA TEIXEIRA.zip; RAFAEL DOS SANTOS ARAUJO.zip; RAFAEL RIBEIRO DE CASTRO.zip; RODRIGO FERREIRA DOS SANTOS.rar; ROMERIO PEREIRA DOS SANTOS.zip; VALDELIO JOSÉ ALVES SILVA.zip; VALDEMIR MACHADO JARDIM.zip; VINICIUS SYLVESTRE.zip; DOC.24.10.zip</t>
  </si>
  <si>
    <t>Alterar o tipo de RO para SMS.14/10:Pablo: CTPS sem cargoASO sem nome e crm do mdico coordenador, riscos divergentes do PCMSO e exames divergentes do PCMSO.Rafael Araujo: ASO sem nome e crm do mdico coordenador, riscos divergentes do PCMSO e exames divergentes do PCMSO.Rafael Ribeiro:ASO sem nome e crm do mdico coordenador, riscos divergentes do PCMSO e exames divergentes do PCMSO.Certificado de NR 20 no apresentado.Rodrigo: CTPS sem cargoASO com riscos divergentes do PCMSO e exames divergentes do PCMSO.Romerio: CTPS sem cargoASO sem nome e crm do mdico coordenador, riscos divergentes do PCMSO e exames divergentes do PCMSO.Valdelio: ASO com assinaturas cortadas, sem nome e crm do mdico coordenador, riscos divergentes do PCMSO.Valdemir: ASO sem nome e crm do mdico coordenador e riscos divergentes do PCMSO.Vinicius: Enviar CTPS atualizada.ASO sem nome e crm do mdico coordenador e riscos divergentes do PCMSO e exames divergentes do PCMSO.Prazo: 20/10</t>
  </si>
  <si>
    <t>Conforme solicitado, encaminho em anexo documentao pessoal dos funcionrios:IARA MARIA TEIXEIRA;PABLO ALVES ZAMBI;RAFAEL DOS SANTOS ARAUJO;RAFAEL RIBEIRO DE CASTRO;RODRIGO FERREIRA DOS SANTOS;ROMERIO PEREIRA DA SILVA;VALDELIO JOSE ALVES SILVA;VALDEMIR MACHADO JARDIMVINICIUS SYLVESTRE.24/10: Segue documentao para atendimento aos comentrios.</t>
  </si>
  <si>
    <t>RO-60/2025</t>
  </si>
  <si>
    <t>TREINAMENTOS-GEISON.zip; TREINAMENTOS-KERGINALDO.zip; TREINAMENTOS-WANDERSON.zip; TREINAMENTOS-YGOR.zip; 271-NR20 - WANDERSON.pdf; NR 17 - GEISON.pdf</t>
  </si>
  <si>
    <t>Alterar o tipo de RO para SMS.13/10: Sem evidncia de treinamento de NR 17 para o colaborador Geison.Sem evidncia de treinamento de NR 20 para o colaborador Wanderson.Prazo: 14/10Documentos recebidos.</t>
  </si>
  <si>
    <t>Prezados,Em complemento ao RO N 58, encaminho em anexo documentao de funcionrios:Geison de Oliveira BezerraKerginaldo Victor,Wanderson LeoYgor Gabriel;Parte II13/10: Treinamentos enviados.</t>
  </si>
  <si>
    <t>RO-59/2025</t>
  </si>
  <si>
    <t>GEISON DE OLIVEIRA BEZERRA.zip; KERGINALDO VICTOR FILHO.zip; YGOR GABRIEL DE SOUZA.zip; WANDERSON LEAO DA SILVA.zip; 11- ASO ADMISSIONAL - YGOR.pdf; 11-ASO ADMISSIONAL-KERGINALDO VICTOR.pdf; 3-CTPS-WANDERSON LEAO.pdf; 11-ASO ADMISSIONAL-KERGINALDO VICTOR.pdf; 11 - ASO - WANDERSON LEAO.pdf</t>
  </si>
  <si>
    <t>Alterar o tipo de RO para SMS.13/10:Ygor: ASO e CTPS com cargos divergentes. Funo descrita na CTPS no consta na tabela de funcionrios do PGR e PCMSO.Wanderson: CTPS no consta cargo. Falta envio de ASO.Kerginaldo: ASO no consta risco da funo, conforme PGR, no contempla assinatura do mdico examinador e no consta nome e CRM do mdico responsvel pelo PCMSO.Prazo: 20/1017/10: Wanderson: Falta ASOCTPS OKYgor: ASO OKKerginaldo: No consta nome e CRM do mdico responsvel pelo PCMSO.</t>
  </si>
  <si>
    <t>Prezados,Conforme solicitado, encaminho em anexo documentao de funcionrios:Geison de Oliveira BezerraKerginaldo Victor,Wanderson LeaoYgor Gabriel;Parte I16/10: Segue documentao revisada para atendimento aos comentrios.21/10: Segue documentao solicitada.</t>
  </si>
  <si>
    <t>RO-58/2025</t>
  </si>
  <si>
    <t>AGUINALDO KRULL CUSTODIO OK.rar; CARLOS DA CONCEIÇÃO DE SOUZA OK.rar; 3-CTPS-AGUINALDO KRULL.pdf; 11-ASO AGUINALDO KRULL-REV1.pdf; 3-CTPS-CARLOS DA CONCEICAO.pdf; 11-ASO CARLOS DA CONCEICAO DE SOUZA.pdf</t>
  </si>
  <si>
    <t>Agnaldo: Enviar CTPS que conste o vnculo com a APJ.Aso: Sem nome e CRM do mdico coordenador,Carlos da Conceio: Enviar CTPS que conste o vnculo com a APJ.Aso: Sem nome e CRM do mdico coordenador,Prazo: 25/10</t>
  </si>
  <si>
    <t>Segue anexo documentao dos funcionrios conforme solicitado.18/11: Segue documentao revisada.</t>
  </si>
  <si>
    <t>RO-57/2025</t>
  </si>
  <si>
    <t>Os somatrios desde incio at o prazo final da SS dos acmulos de hora parada e meteorolgicas no final da SS a Petrobras ir analisar se e cabvel o abono revertido em acrscimo de dias no prazo de entrega da demanda.Dia 09/10/2025, equipe iniciou as atividades na rea operacional.1. UPCGN-1:Foi programada a PT 20.728.748 da disciplina de caldeiraria e programada a PT 20.728.690 da disciplina de eltrica, referente  demanda de desmontagem da cobertura da UPCGN-1.As equipes deram continuidade nas atividades de desmontagem dos eletrodutos e remoo das luminrias do galpo, enquanto a equipe de caldeiraria atuava na parte externa com a remoo dos rufos soltos e telhas soltas do galpo, bem como a remoo dos perfis metlicos. Houve ocorrncia de chuva durante a parte da manh e aps as atividades iniciarem, houve tambm ocorrncia de ventos. Houve baixa produtividade devido s condies climticas do dia.RO aceito pela fiscalizao.</t>
  </si>
  <si>
    <t>RO DIRIO DE OBRA - SS-11/2025 (UPCGN-1)  &amp;gt; DESMONTAGEM DE TELHAS DA COBERTURA - [MOD: 05 | PEMT: 01] PT: 20728690 (HR SOLIC 13:30 | HR LIB 13:30 | ATRASO 00:00) - (HR ENC 16:30 | ATRASO 00:00)  &amp;gt; DESMONTAGEM DE ELETRODUTOS E LUMINRIAS - [MOD: 03 | PEMT: 01] PT: 20728748 (HR SOLIC 13:30 | HR LIB 13:30 | ATRASO 00:00) - (HR ENC 16:30 | ATRASO 00:00)  &amp;gt;&amp;gt; CONDIES CLIMTICAS: CHUVA (07:30 - 13:30 | IMPROD.: 06:00 = 0,75d)  VENTOS (14:40 - 17:00 | IMPROD.: 02:20 = 0,29d)  &amp;gt;&amp;gt;&amp;gt; IMPACTO ACUMULADO LIBERAO PT/PTT: 00:00 = 0,00d INCIDNCIA DE CHUVA: 10:30 = 1,31d INCIDNCIA DE RAIOS: 00:00 = 0,00d INCIDNCIA DE VENTOS: 02:20 = 0,29d IMPEDIMENTOS FISCALIZAO: 00:00 = 0,00d</t>
  </si>
  <si>
    <t>RO-56/2025</t>
  </si>
  <si>
    <t>Os somatrios desde incio at o prazo final da SS dos acmulos de hora parada e meteorolgicas no final da SS a Petrobras ir analisar se e cabvel o abono revertido em acrscimo de dias no prazo de entrega da demanda.Dia 08/10/2025, equipe iniciou as atividades na rea operacional.1. UPCGN-1:Foi reprogramada a PT 20.688.030 da disciplina de caldeiraria e programada a PT 20.723.552 da disciplina de eltrica, referente  demanda de desmontagem da cobertura da UPCGN-1.As equipes iniciaram as atividades de desmontagem dos eletrodutos e remoo das luminrias do galpo, enquanto a equipe de caldeiraria atuava na parte externa com a remoo dos rufos soltos e telhas soltas do galpo. Houve chuva durante toda a manh e as PEMT's precisavam ser abastecidas, dessa forma as atividades iniciaram aps o almoo.RO aceito pela fiscalizao.</t>
  </si>
  <si>
    <t>RO DIRIO DE OBRA - SS-11/2025 (UPCGN-1)  &amp;gt; DESMONTAGEM DE TELHAS DA COBERTURA - [MOD: 05 | PEMT: 01] PT: 20688030 (HR SOLIC 12:00 | HR LIB 12:00 | ATRASO 00:00) - (HR ENC 16:30 | ATRASO 00:00)  &amp;gt; DESMONTAGEM DE ELETRODUTOS E LUMINRIAS - [MOD: 03 | PEMT: 01] PT: 20723552 (HR SOLIC 12:00 | HR LIB 12:00 | ATRASO 00:00) - (HR ENC 16:30 | ATRASO 00:00)  &amp;gt;&amp;gt; CONDIES CLIMTICAS: CHUVA (07:30 - 12:00 | IMPROD.: 04:30 = 0,56d)  &amp;gt;&amp;gt;&amp;gt; IMPACTO ACUMULADO LIBERAO PT/PTT: 00:00 = 0,00d INCIDNCIA DE CHUVA: 04:30 = 0,56d INCIDNCIA DE RAIOS: 00:00 = 0,00d INCIDNCIA DE VENTOS: 00:00 = 0,00d IMPEDIMENTOS FISCALIZAO: 00:00 = 0,00d</t>
  </si>
  <si>
    <t>RO-54/2025</t>
  </si>
  <si>
    <t>REM 09.2025.zip; REM E SEUS ANEXOS - SETEMBRO 2025.rar</t>
  </si>
  <si>
    <t>Prezados, bom dia! Para um bom entendimento e recebimento das documentaes via SAMC, peo que faam alguns ajustes para melhor controle e visualizao. Sendo assim, ns recebemos para o ms de Setembro, pasta zipada com nome de REM, porm no se trata apenas do REM no anexo, peo que ajustem a nomenclatura.  No foi recebido relao de funcionrios, este documento deve ser atendido conforme modelo Petrobrs.  Alm disso, tambm no foi recebido as evidncias dos DDS, informados no checklist.   Peo ateno aos arquivos zipados e as nomenclaturas.   Aguardo retorno 07/10 at s 12h. Recebido.</t>
  </si>
  <si>
    <t>Prezados,Em ateno a UTGC, encaminho o REM e seus anexos referente ao ms setembro/202507/10: Segue conforme solicitado.</t>
  </si>
  <si>
    <t>RO-41/2025</t>
  </si>
  <si>
    <t>11- Evidências ASOS - Adminissional-APJ.pdf; Evidência-APJ- integração-30 09 25.pdf; 910-Evidência DDS setembro.pdf; 376-RMS-Relatório Mensal de SMS ( conforme modelo Petrobras ).pdf; Evidência-APJ-Integração- 19 09 2025.pdf; 900-Relação de Funcionários-APJ-SET.xlsx; 381-REM_Template -APJ-Setembro.xlsx; Evidencia treinamento PT-APJ.docx; 910 - Controle DDS APJ - SET -25.xlsx; 911 - Controle CHECKLIST APJ- SET -25.xlsx</t>
  </si>
  <si>
    <t>Prezados, gentileza corrigir o documento "Evidncia funcionrio" este assunto deve ser tratado como "900-Relao de Funcionrios'' - Conforme modelo Petrobrs.Corrigir nomenclatura do arquivo 391.Documentos recebidos.</t>
  </si>
  <si>
    <t>DOCUMENTAO MENSAL DE SMS REFERENTE AO MES DE SETEMBRO/2025.</t>
  </si>
  <si>
    <t>RO-40/2025</t>
  </si>
  <si>
    <t>316A - RELATÓRIO DE SIMULADO DE EMERGÊNCIA.pdf; 316A- Relatório de simulado de emergência rev 10 10 2025.pdf; 316 A - DIVULGAÇÃO DO PRE UTGC.pdf; 316 A- Divulgação PRE EDIVIT.pdf</t>
  </si>
  <si>
    <t>Gentileza fazer os ajustes tratados com SMS e reenviar para arquivo.Ajustar nomenclatura de acordo com anexo documental.10/10: Por gentileza atender o preenchimento do formulrio enviado pela fiscalizao atravs do e-mail.04/11/25: Enviar evidncia de simulado UTGC.</t>
  </si>
  <si>
    <t>CRONOGRAMA DE SIMULADOS - EVIDNCIA DE SIMULADO PRTICO - RCP COM POKET MASK - BASE EDIVIT.</t>
  </si>
  <si>
    <t>RO-32/2025</t>
  </si>
  <si>
    <t>SLJ8</t>
  </si>
  <si>
    <t>PROPOSTA - APJ UTGC N°668967 ASSINADO.pdf; DE-9540.01-8120-991-APJ-002 - CANTEIRO 02 UTGC. rev01.pdf; DE-9540.01-8120-991-LG3-001 - CANTEIRO 01 UTGC.pdf; BM01-26-08-2025 A 25-09-2025 rev.01.pdf; BM01-26-08-2025 A 25-09-2025 rev.02.xlsx; MC-SS02.2025-26-08-2025 A 25-09-2025 rev.02.pdf; Planilha IDF setembro 2025.xlsx; ATA DE REUNIÃO APJ - SETEMBRO 2025.pdf</t>
  </si>
  <si>
    <t>25,5</t>
  </si>
  <si>
    <t>6.429,380</t>
  </si>
  <si>
    <t>Medio analisada e confirmada pela Fiscalizao de campo.Todos os anexos assinados e conferidos.</t>
  </si>
  <si>
    <t>pleito de medio referente ao perodo 26/08/2025 a 25/09/2025.</t>
  </si>
  <si>
    <t>Segue pleito de medio 001 referente a UTGC.</t>
  </si>
  <si>
    <t>26/08/2025</t>
  </si>
  <si>
    <t>RO-15/2025</t>
  </si>
  <si>
    <t>4,0</t>
  </si>
  <si>
    <t>10,5</t>
  </si>
  <si>
    <t>21,0</t>
  </si>
  <si>
    <t>260,480</t>
  </si>
  <si>
    <t>240,150</t>
  </si>
  <si>
    <t>213,380</t>
  </si>
  <si>
    <t>C9M0</t>
  </si>
  <si>
    <t>ANEXO 1 - CONTRATO N°668965.pdf; Ata Reunião Mensal - AGO 25.pdf; BM001-SS01.2025-26-08-2025 A 25-09-2025_REV02.pdf; BM001-SS01.2025-26-08-2025 A 25-09-2025_REV02.xlsx; MC-BM001-SS01.2025-26-08-2025 A 25-09-2025_REV02.pdf; MC-BM001-SS01.2025-26-08-2025 A 25-09-2025_REV02.pdf; Planilha IDF Set 25.xlsx</t>
  </si>
  <si>
    <t>1.893,880</t>
  </si>
  <si>
    <t>A fiscalizao est de acordo com o pleito apresentado em anexo.</t>
  </si>
  <si>
    <t>Segue pleito de medio 001 referente ao EDIVIT.</t>
  </si>
  <si>
    <t>RO-14/2025</t>
  </si>
  <si>
    <t>BR9V</t>
  </si>
  <si>
    <t>Anexo 03 - Matriz de capacitação para as contratadas - Rev0.xlsx; Cópia de Anexo 03 - Matriz de capacitação para as contratadas - Rev0 Respondida.xlsx; Anexo 03 - Matriz de capacitação para as contratadas - Rev2.xlsx; Matriz de capacitação para as contratadas - Rev3.xlsx</t>
  </si>
  <si>
    <t>Prezados,Matriz de treinamento REPROVADA.Segue incompatibilidades:-Funes da Matriz divergentes do PGR-Falta treinamento de AR - Anlise de Riscos para TST-Falta treinamento de NR 17 - Ergonomia-Falta treinamento de NR 11 - Movimentao de cargas (Manual)-Falta treinamento de NR 11 - Movimentao de cargas (Mecanizada)-Funes e treinamentos de IRATA-Falta treinamento de NR 05 - CIPA-No  permitido agrupar funes, cada funo deve ser descrita SEPARADAMENTE.-Se o Engenheiro Civil for PREPOSTO, dever ter treinamento de Trilha de Conhecimento-Gentileza justificar e/ou ajustar treinamentos especficos da funo ASG-O ponto de interrogao foi includo para possvel justificativa da contratada, caso o treinamento seja realmente necessrio para a funo-Gentileza verificar se h escopo de trabalho em espao confinado no contrato-Os treinamentos em vermelho, como Audicomp, gentileza retirar da matrizOs itens em vermelho precisaro ser ajustados.A letra "F" no documento em anexo se trata de "FALTANTE" para as respectivas funes sinalizadas.Qualquer duvida, contatar a fiscalizao de SMS.17/09: Gentileza postar matriz no PrestServ. E incluir NR 05 como CN para todos.17/09: Matriz aprovada.</t>
  </si>
  <si>
    <t>Prezados, boa tarde.Segue matriz de treinamentos para nova anlise.Ressalto alm da separao das funes (ex: engenheiro), realizamos o ajuste em determinadas nomenclaturas (ex: Ajudante de Obras).Reitero que os devidos ajustes tambm esto sendo realizados no PGR e PCMSO.</t>
  </si>
  <si>
    <t>12/09/2025</t>
  </si>
  <si>
    <t>RO-12/2025</t>
  </si>
  <si>
    <t>PCMSO - APJ (2025-2026) EDIVIT.pdf; 310 - PCMSO - APJ EDIVIT.pdf</t>
  </si>
  <si>
    <t>Prezados, gentileza adequar nomenclatura do documento e nos reenviar para anlise aps aprovao do PGR.09/10: Documento enviado para anlise SAF. Devolutiva ser enviada por e-mail.</t>
  </si>
  <si>
    <t>Segue anexo PCMSO EDIVIT para aprovao.25/09: Segue documento revisado para anlise.</t>
  </si>
  <si>
    <t>11/09/2025</t>
  </si>
  <si>
    <t>RO-10/2025</t>
  </si>
  <si>
    <t>PCMSO - APJ (2025-2026) UTGC.pdf; 310 - PCMSO - APJ UTGC.pdf</t>
  </si>
  <si>
    <t>Prezados, gentileza adequar nomenclatura do documento e nos reenviar para anlise aps aprovao do PGR.10/10 - Documento em anlise SAF.Devolutiva ser encaminhada por e-mail.</t>
  </si>
  <si>
    <t>Segue anexo PCMSO UTGC para aprovao.25/09: Segue PCMSO revisado para anlise.</t>
  </si>
  <si>
    <t>RO-9/2025</t>
  </si>
  <si>
    <t>PGR - UTGC - 2025_2026.pdf; LV 1a análise PGR  4600684819 NÃO CONFORME - SMS0302451.pdf; 311-PGR NR 01 APJ UTGC.pdf; LV 2a análise PGR  UTGC 4600684819 NÃO CONFORME - SMS0305861.pdf; 311-PGR NR 01 APJ UTGC.pdf; LV 3a análise PGR UTGC 4600684819 NÃO CONFORME - SMS0308715.pdf; 311-PGR-APJ-UTGC.pdf; 311-PGR-APJ-UTGC Rev. 4 AP SMS0312759.pdf; LV 4a análise PGR UTGC 4600684819 CONFORME SMS0312759.pdf</t>
  </si>
  <si>
    <t>16/09 - Documento REPROVADO pelo SAF.Gentileza realizar adequao do documento.Peo que por gentileza que faa a renomeao do documento de acordo com numerao e nomenclatura do Anexo de Documentao enviado para empresa contratada.22/09- Prezados, informo que este no  o cdigo do PGR, gentileza ajustar e nos enviar com urgncia.22/09- Documento em anlise SAF.24/09- Documento reprovado pelo SAF.03/10/2025 - - Documento reprovado pelo SAF.08/10 - Em reanlise SAF.09/10/2025 - Documento em anexo pela fiscalizao aprovado.</t>
  </si>
  <si>
    <t>PREZADOS,SEGUE ANEXO310-PGR NR 01 APJ UTGC PARA NOVA AVALIAO.22/09: Segue anexo documento para aprovao.26/09: Segue documento revisado para anlise.07/10: Segue documento assinado digitalmente, conforme a ltima LV.</t>
  </si>
  <si>
    <t>RO-8/2025</t>
  </si>
  <si>
    <t>LV PRE 1°avaliacao (NC) UTGC SMS0302197.pdf; 316 - Plano_de_Resposta_a_Emergencia_-_UTGC_APJ-AT_assinado.pdf</t>
  </si>
  <si>
    <t>Documento em anlise SAF. Devolutiva ser enviada por e-mail.</t>
  </si>
  <si>
    <t>Segue o PRE referente a unidade UTGC para aprovao.</t>
  </si>
  <si>
    <t>RO-7/2025</t>
  </si>
  <si>
    <t>LV PRE 1°avaliacao (NC) EDIVIT SMS0302196.pdf; 316 - Plano_de_Resposta_a_Emergencia_-_EDIVIT_APJ-AT_assinado.pdf</t>
  </si>
  <si>
    <t>Documento em anlise SAF.29/09/2025- Documento reprovado pelo SAF. LV em anexo.Gentileza ajustar nomenclatura aps correo do documento.03/10/2025 - Documento em reanlise SAF. Devolutiva ser enviada por e-mail.</t>
  </si>
  <si>
    <t>Segue para avaliao o PRE do EDIVIT.</t>
  </si>
  <si>
    <t>RO-6/2025</t>
  </si>
  <si>
    <t>PGR APJ 2025-2026.pdf; LV 1a análise PGR  EDIVIT 4600684819 NÃO CONFORME - SMS0302195.pdf; 311-PGR NR 01 APJ EDIVIT.pdf; 311 - PGR NR 01-APJ EDIVIT.pdf; LV 2a análise PGR EDIVIT 4600684819 NÃO CONFORME - SMS0308707.pdf; 311-PGR-APJ-EDIVIT.pdf; LV 3a análise PGR EDIVIT 4600684819 CONFORME - SMS0312747.pdf; 311-PGR-APJ-EDIVIT Rev. 3 - AP SMS0312747.pdf</t>
  </si>
  <si>
    <t>16/09 - Documento REPROVADO pelo SAF.Gentileza realizar adequao do documento.Peo que por gentileza que faa a renomeao do documento de acordo com numerao e nomenclatura do Anexo de Documentao enviado para empresa contratada.22/09- Prezados, documento com a nomenclatura incorreta, gentileza corrigir e enviar para reanlise.25/09- Documento em anlise SAF. Portando solicito que corrijam o tipo de RO para ajustarmos o fluxo.29/09- Documento em anlise SAF.08/10/2025 - Em reanlise SAF.09/10/2025- Documento aprovado, LV em anexo.</t>
  </si>
  <si>
    <t>Segue anexo PGR para aprovao.APJ informa:PGR -EDIVIT - Revisado22/09: Prezados, segue documento para aprovao.25/09: Reenvio o PGR para aprovao.07/10: Segue documento assinado digitalmente conforme LV anterior.</t>
  </si>
  <si>
    <t>RO-5/2025</t>
  </si>
  <si>
    <t>Tipo de RO</t>
  </si>
  <si>
    <t>Descrição do Serviço</t>
  </si>
  <si>
    <t>Confirmado</t>
  </si>
  <si>
    <t>Elaborado</t>
  </si>
  <si>
    <t>Anexos</t>
  </si>
  <si>
    <t>Classif Contábil - obj de custo</t>
  </si>
  <si>
    <t>Classif Contábil - tipo</t>
  </si>
  <si>
    <t>Classif Contábil - percentual</t>
  </si>
  <si>
    <t>Classif Contábil - qtde</t>
  </si>
  <si>
    <t>Qntd aprovada</t>
  </si>
  <si>
    <t>Qntd confirmada</t>
  </si>
  <si>
    <t>Qntd executada</t>
  </si>
  <si>
    <t>Qntd disponível</t>
  </si>
  <si>
    <t>Qntd planejada</t>
  </si>
  <si>
    <t>Fator de Equivalência</t>
  </si>
  <si>
    <t>Número Detalhamento EAC</t>
  </si>
  <si>
    <t>Descrição da EAC</t>
  </si>
  <si>
    <t>EAC</t>
  </si>
  <si>
    <t>Registros da Petrobras</t>
  </si>
  <si>
    <t>Registros da Contratada</t>
  </si>
  <si>
    <t>Observação da RO</t>
  </si>
  <si>
    <t>Observação da SS</t>
  </si>
  <si>
    <t>Descrição do Item</t>
  </si>
  <si>
    <t>Item</t>
  </si>
  <si>
    <t>Organização de Compras</t>
  </si>
  <si>
    <t>Efetivo registrado</t>
  </si>
  <si>
    <t>Número SS</t>
  </si>
  <si>
    <t>Nº serviço externo</t>
  </si>
  <si>
    <t>Descrição da linha</t>
  </si>
  <si>
    <t>Linha</t>
  </si>
  <si>
    <t>Notas Gerais Petrobras</t>
  </si>
  <si>
    <t>Notas Gerais Contratada</t>
  </si>
  <si>
    <t>Periodicidade</t>
  </si>
  <si>
    <t>Período Fim</t>
  </si>
  <si>
    <t>Período Início</t>
  </si>
  <si>
    <t>Local</t>
  </si>
  <si>
    <t>Status RO</t>
  </si>
  <si>
    <t>Contrato</t>
  </si>
  <si>
    <t>Número RO</t>
  </si>
  <si>
    <t>CONTROLE DE RO</t>
  </si>
  <si>
    <t>CONTROLE DE RA</t>
  </si>
  <si>
    <t>Número da SP</t>
  </si>
  <si>
    <t>Status</t>
  </si>
  <si>
    <t>Descrição</t>
  </si>
  <si>
    <t>Prazo Atendimento</t>
  </si>
  <si>
    <t>Data Atendimento</t>
  </si>
  <si>
    <t>Status Atendimento</t>
  </si>
  <si>
    <t>Resposta</t>
  </si>
  <si>
    <t>Data da Resposta</t>
  </si>
  <si>
    <t>Elaborado Por</t>
  </si>
  <si>
    <t>Atendido Por</t>
  </si>
  <si>
    <t>Concluído Por</t>
  </si>
  <si>
    <t>RA-1/2025-SP-1</t>
  </si>
  <si>
    <t>Atendido</t>
  </si>
  <si>
    <t>Encaminhar organograma conforme contrato</t>
  </si>
  <si>
    <t>19/09/2025</t>
  </si>
  <si>
    <t>17/09/2025</t>
  </si>
  <si>
    <t>Registrado com Pendência</t>
  </si>
  <si>
    <t>Prezados, boa noite conforme solicitado segue em anexo o organograma solicitado</t>
  </si>
  <si>
    <t>Organograma Contratual (APJ Engenharia) (6).pdf</t>
  </si>
  <si>
    <t>RA-2/2025-SP-1</t>
  </si>
  <si>
    <t>Enviar o pacote de planejamento inicial conforme previsto em contrato até o dia 01/10/25.</t>
  </si>
  <si>
    <t>Pacote de Planejamento enviado, conforme e-mail anexo.</t>
  </si>
  <si>
    <t>RESPOSTA RA-2.2025_SP-1 (SS-12.2025).pdf</t>
  </si>
  <si>
    <t>FGCW</t>
  </si>
  <si>
    <t>RA-3/2025-SP-1</t>
  </si>
  <si>
    <t>Em Atendimento</t>
  </si>
  <si>
    <t>Providenciar o envio dos documentos já inseridos no PRESTSERV, conforme orientado pela Fiscalização. Entendendo que a Contratada já possui tais documentos, não encontramos motivo para o não atendimento como solicitado.</t>
  </si>
  <si>
    <t>RA-4/2025-SP-2</t>
  </si>
  <si>
    <t>Concluido</t>
  </si>
  <si>
    <t>Enviar o pacote de planejamento inicial conforme previsto em contrato até o dia 06/10/25.</t>
  </si>
  <si>
    <t>Registrado sem Pendência</t>
  </si>
  <si>
    <t>RESPOSTA RA-4.2025_SP-2 (SS-14.2025).pdf</t>
  </si>
  <si>
    <t>RA-5/2025-SP-2</t>
  </si>
  <si>
    <t>RESPOSTA RA-5.2025_SP-2 (SS-15.2025).pdf</t>
  </si>
  <si>
    <t>RA-1/2026-SP-1</t>
  </si>
  <si>
    <t>- Regularizar todos as não conformidades e responder o relatório fotográfico com as trataivas e evidencias</t>
  </si>
  <si>
    <t>tima tarde!Todas;as no conformidades identificadas e registradas no;RA-1/2026/SP-1, foram;tratadas de imediato com a equipe da APJ da unidade UTGC,; devido ao limite de;;caracteres, segue abaixo; a relao das evidencias e a carta de resposta e tratativas:;ADVERTENCIAS;CARTA DE RESPOSTA AO ATENTIMENTO;DDSMS GERAL COM EQUIPE; 27 02 2026PLANO DE AO DO RELATRIO DA INSPEO.Desde j muito obrigado e permaneo a disposio!Wanderson LeoCoord. SMS.</t>
  </si>
  <si>
    <t>PLANO DE AÇÃO RA 01 2026 27 02 2026 UTGC LINHARES.pdf, ADVERTENCIAS  UTGC - 02.2026.pdf, DDSMS GERAL 27 02 26  Atenção ao  OLA  nos canteiros e nas frentes de serviços de trabalho e containers.pdf, 001 - CARTA APJ ENGENHARIA E CONSTRUÇÕES LTDA- REF. RESPOSTA E ATENDIMENTO RA 1 2026.pdf</t>
  </si>
  <si>
    <t>C/ Pend</t>
  </si>
  <si>
    <t>S/ Pend</t>
  </si>
  <si>
    <t>GERAL</t>
  </si>
  <si>
    <t>Nome do recurso</t>
  </si>
  <si>
    <t>Trabalho</t>
  </si>
  <si>
    <t>Ajustado</t>
  </si>
  <si>
    <t>Aux. De Serviços Gerais</t>
  </si>
  <si>
    <t>4.117,08 hrs</t>
  </si>
  <si>
    <t>Caldeireiro</t>
  </si>
  <si>
    <t>1.168 hrs</t>
  </si>
  <si>
    <t>Caldeireiro Alpinista</t>
  </si>
  <si>
    <t>96 hrs</t>
  </si>
  <si>
    <t>Eletricista</t>
  </si>
  <si>
    <t>368 hrs</t>
  </si>
  <si>
    <t>Mecânico Montador</t>
  </si>
  <si>
    <t>1.600 hrs</t>
  </si>
  <si>
    <t>Pedreiro</t>
  </si>
  <si>
    <t>352 hrs</t>
  </si>
  <si>
    <t>Pintor</t>
  </si>
  <si>
    <t>1.342 hrs</t>
  </si>
  <si>
    <t>Soldador</t>
  </si>
  <si>
    <t>73,14 hrs</t>
  </si>
  <si>
    <t>464 hrs</t>
  </si>
  <si>
    <t>680 hrs</t>
  </si>
  <si>
    <t>232 hrs</t>
  </si>
  <si>
    <t>176 hrs</t>
  </si>
  <si>
    <t>256 hrs</t>
  </si>
  <si>
    <t>772 hrs</t>
  </si>
  <si>
    <t>284 hrs</t>
  </si>
  <si>
    <t>120 hrs</t>
  </si>
  <si>
    <t>136 hrs</t>
  </si>
  <si>
    <t>396 hrs</t>
  </si>
  <si>
    <t>808 hrs</t>
  </si>
  <si>
    <t>288 hrs</t>
  </si>
  <si>
    <t>112 hrs</t>
  </si>
  <si>
    <t>128 hrs</t>
  </si>
  <si>
    <t>376 hrs</t>
  </si>
  <si>
    <t>426 hrs</t>
  </si>
  <si>
    <t>186 hrs</t>
  </si>
  <si>
    <t>48 hrs</t>
  </si>
  <si>
    <t>568 hrs</t>
  </si>
  <si>
    <t>160 hrs</t>
  </si>
  <si>
    <t>152 hrs</t>
  </si>
  <si>
    <t>24 hrs</t>
  </si>
  <si>
    <t>460 hrs</t>
  </si>
  <si>
    <t>184 hrs</t>
  </si>
  <si>
    <t>192 hrs</t>
  </si>
  <si>
    <t>56 hrs</t>
  </si>
  <si>
    <t>224 hrs</t>
  </si>
  <si>
    <t>32 hrs</t>
  </si>
  <si>
    <t>416 hrs</t>
  </si>
  <si>
    <t>40 hrs</t>
  </si>
  <si>
    <t>982 hrs</t>
  </si>
  <si>
    <t>198 hrs</t>
  </si>
  <si>
    <t>264 hrs</t>
  </si>
  <si>
    <t>190 hrs</t>
  </si>
  <si>
    <t>356 hrs</t>
  </si>
  <si>
    <t>4.880 hrs</t>
  </si>
  <si>
    <t>4.639,2 hrs</t>
  </si>
  <si>
    <t>54,2 hrs</t>
  </si>
  <si>
    <t>548 hrs</t>
  </si>
  <si>
    <t>472 hrs</t>
  </si>
  <si>
    <t>300 hrs</t>
  </si>
  <si>
    <t>72 hrs</t>
  </si>
  <si>
    <t>104 hrs</t>
  </si>
  <si>
    <t>16 hrs</t>
  </si>
  <si>
    <t>914,16 hrs</t>
  </si>
  <si>
    <t>404 hrs</t>
  </si>
  <si>
    <t>276 hrs</t>
  </si>
  <si>
    <t>84 hrs</t>
  </si>
  <si>
    <t>366 hrs</t>
  </si>
  <si>
    <t>350 hrs</t>
  </si>
  <si>
    <t>105,2 hrs</t>
  </si>
  <si>
    <t>50,4 hrs</t>
  </si>
  <si>
    <t>40,4 hrs</t>
  </si>
  <si>
    <t>1.499,2 hrs</t>
  </si>
  <si>
    <t>816 hrs</t>
  </si>
  <si>
    <t>168 hrs</t>
  </si>
  <si>
    <t>172 hrs</t>
  </si>
  <si>
    <t>202 hrs</t>
  </si>
  <si>
    <t>116 hrs</t>
  </si>
  <si>
    <t>18,8 hrs</t>
  </si>
  <si>
    <t>1.552 hrs</t>
  </si>
  <si>
    <t>800 hrs</t>
  </si>
  <si>
    <t>204 hrs</t>
  </si>
  <si>
    <t>1.187,2 hrs</t>
  </si>
  <si>
    <t>280 hrs</t>
  </si>
  <si>
    <t>248 hrs</t>
  </si>
  <si>
    <t>296 hrs</t>
  </si>
  <si>
    <t>180 hrs</t>
  </si>
  <si>
    <t>2.602 hrs</t>
  </si>
  <si>
    <t>1.080 hrs</t>
  </si>
  <si>
    <t>448 hrs</t>
  </si>
  <si>
    <t>203,2 hrs</t>
  </si>
  <si>
    <t>486,5 hrs</t>
  </si>
  <si>
    <t>240 hrs</t>
  </si>
  <si>
    <t>114,67 hrs</t>
  </si>
  <si>
    <t>64 hrs</t>
  </si>
  <si>
    <t>795,2 hrs</t>
  </si>
  <si>
    <t>752 hrs</t>
  </si>
  <si>
    <t>632 hrs</t>
  </si>
  <si>
    <t>200 hrs</t>
  </si>
  <si>
    <t>DISCIPLINA</t>
  </si>
  <si>
    <t>MEC</t>
  </si>
  <si>
    <t>CIVIL</t>
  </si>
  <si>
    <t>ELÉT</t>
  </si>
  <si>
    <t>PINT</t>
  </si>
  <si>
    <t>SS-00/2026</t>
  </si>
  <si>
    <t>ASG</t>
  </si>
  <si>
    <t>Hh DISC</t>
  </si>
  <si>
    <t>COD-COLUNA</t>
  </si>
  <si>
    <t>SS-04/2025UTGCMEC</t>
  </si>
  <si>
    <t>SS-04/2025UTGCCIVIL</t>
  </si>
  <si>
    <t>SS-04/2025UTGCELÉT</t>
  </si>
  <si>
    <t>SS-04/2025UTGCPINT</t>
  </si>
  <si>
    <t>SS-05/2025UTGCMEC</t>
  </si>
  <si>
    <t>SS-05/2025UTGCCIVIL</t>
  </si>
  <si>
    <t>SS-05/2025UTGCELÉT</t>
  </si>
  <si>
    <t>SS-05/2025UTGCPINT</t>
  </si>
  <si>
    <t>SS-06/2025UTGCMEC</t>
  </si>
  <si>
    <t>SS-06/2025UTGCCIVIL</t>
  </si>
  <si>
    <t>SS-06/2025UTGCELÉT</t>
  </si>
  <si>
    <t>SS-06/2025UTGCPINT</t>
  </si>
  <si>
    <t>SS-07/2025UTGCMEC</t>
  </si>
  <si>
    <t>SS-07/2025UTGCCIVIL</t>
  </si>
  <si>
    <t>SS-07/2025UTGCELÉT</t>
  </si>
  <si>
    <t>SS-07/2025UTGCPINT</t>
  </si>
  <si>
    <t>SS-08/2025UTGCMEC</t>
  </si>
  <si>
    <t>SS-08/2025UTGCCIVIL</t>
  </si>
  <si>
    <t>SS-08/2025UTGCELÉT</t>
  </si>
  <si>
    <t>SS-08/2025UTGCPINT</t>
  </si>
  <si>
    <t>SS-09/2025UTGCMEC</t>
  </si>
  <si>
    <t>SS-09/2025UTGCCIVIL</t>
  </si>
  <si>
    <t>SS-09/2025UTGCELÉT</t>
  </si>
  <si>
    <t>SS-09/2025UTGCPINT</t>
  </si>
  <si>
    <t>SS-10/2025UTGCMEC</t>
  </si>
  <si>
    <t>SS-10/2025UTGCCIVIL</t>
  </si>
  <si>
    <t>SS-10/2025UTGCELÉT</t>
  </si>
  <si>
    <t>SS-10/2025UTGCPINT</t>
  </si>
  <si>
    <t>SS-11/2025UTGCMEC</t>
  </si>
  <si>
    <t>SS-11/2025UTGCCIVIL</t>
  </si>
  <si>
    <t>SS-11/2025UTGCELÉT</t>
  </si>
  <si>
    <t>SS-11/2025UTGCPINT</t>
  </si>
  <si>
    <t>SS-12/2025UTGCMEC</t>
  </si>
  <si>
    <t>SS-12/2025UTGCCIVIL</t>
  </si>
  <si>
    <t>SS-12/2025UTGCELÉT</t>
  </si>
  <si>
    <t>SS-12/2025UTGCPINT</t>
  </si>
  <si>
    <t>SS-14/2025EDIVITMEC</t>
  </si>
  <si>
    <t>SS-14/2025EDIVITCIVIL</t>
  </si>
  <si>
    <t>SS-14/2025EDIVITELÉT</t>
  </si>
  <si>
    <t>SS-14/2025EDIVITPINT</t>
  </si>
  <si>
    <t>SS-15/2025EDIVITMEC</t>
  </si>
  <si>
    <t>SS-15/2025EDIVITCIVIL</t>
  </si>
  <si>
    <t>SS-15/2025EDIVITELÉT</t>
  </si>
  <si>
    <t>SS-15/2025EDIVITPINT</t>
  </si>
  <si>
    <t>SS-16/2025EDIVITMEC</t>
  </si>
  <si>
    <t>SS-16/2025EDIVITCIVIL</t>
  </si>
  <si>
    <t>SS-16/2025EDIVITELÉT</t>
  </si>
  <si>
    <t>SS-16/2025EDIVITPINT</t>
  </si>
  <si>
    <t>SS-17/2025EDIVITMEC</t>
  </si>
  <si>
    <t>SS-17/2025EDIVITCIVIL</t>
  </si>
  <si>
    <t>SS-17/2025EDIVITELÉT</t>
  </si>
  <si>
    <t>SS-17/2025EDIVITPINT</t>
  </si>
  <si>
    <t>SS-18/2025UTGCMEC</t>
  </si>
  <si>
    <t>SS-18/2025UTGCCIVIL</t>
  </si>
  <si>
    <t>SS-18/2025UTGCELÉT</t>
  </si>
  <si>
    <t>SS-18/2025UTGCPINT</t>
  </si>
  <si>
    <t>SS-19/2025EDIVITMEC</t>
  </si>
  <si>
    <t>SS-19/2025EDIVITCIVIL</t>
  </si>
  <si>
    <t>SS-19/2025EDIVITELÉT</t>
  </si>
  <si>
    <t>SS-19/2025EDIVITPINT</t>
  </si>
  <si>
    <t>SS-20/2025UTGCMEC</t>
  </si>
  <si>
    <t>SS-20/2025UTGCCIVIL</t>
  </si>
  <si>
    <t>SS-20/2025UTGCELÉT</t>
  </si>
  <si>
    <t>SS-20/2025UTGCPINT</t>
  </si>
  <si>
    <t>SS-21/2025UTGCMEC</t>
  </si>
  <si>
    <t>SS-21/2025UTGCCIVIL</t>
  </si>
  <si>
    <t>SS-21/2025UTGCELÉT</t>
  </si>
  <si>
    <t>SS-21/2025UTGCPINT</t>
  </si>
  <si>
    <t>SS-22/2025UTGSULMEC</t>
  </si>
  <si>
    <t>SS-22/2025UTGSULCIVIL</t>
  </si>
  <si>
    <t>SS-22/2025UTGSULELÉT</t>
  </si>
  <si>
    <t>SS-22/2025UTGSULPINT</t>
  </si>
  <si>
    <t>SS-23/2025UTGCMEC</t>
  </si>
  <si>
    <t>SS-23/2025UTGCCIVIL</t>
  </si>
  <si>
    <t>SS-23/2025UTGCELÉT</t>
  </si>
  <si>
    <t>SS-23/2025UTGCPINT</t>
  </si>
  <si>
    <t>SS-24/2025EDIVITMEC</t>
  </si>
  <si>
    <t>SS-24/2025EDIVITCIVIL</t>
  </si>
  <si>
    <t>SS-24/2025EDIVITELÉT</t>
  </si>
  <si>
    <t>SS-24/2025EDIVITPINT</t>
  </si>
  <si>
    <t>SS-25/2025UTGCMEC</t>
  </si>
  <si>
    <t>SS-25/2025UTGCCIVIL</t>
  </si>
  <si>
    <t>SS-25/2025UTGCELÉT</t>
  </si>
  <si>
    <t>SS-25/2025UTGCPINT</t>
  </si>
  <si>
    <t>SS-26/2025UTGCMEC</t>
  </si>
  <si>
    <t>SS-26/2025UTGCCIVIL</t>
  </si>
  <si>
    <t>SS-26/2025UTGCELÉT</t>
  </si>
  <si>
    <t>SS-26/2025UTGCPINT</t>
  </si>
  <si>
    <t>SS-27/2025UTGCMEC</t>
  </si>
  <si>
    <t>SS-27/2025UTGCCIVIL</t>
  </si>
  <si>
    <t>SS-27/2025UTGCELÉT</t>
  </si>
  <si>
    <t>SS-27/2025UTGCPINT</t>
  </si>
  <si>
    <t>SS-28/2025UTGCMEC</t>
  </si>
  <si>
    <t>SS-28/2025UTGCCIVIL</t>
  </si>
  <si>
    <t>SS-28/2025UTGCELÉT</t>
  </si>
  <si>
    <t>SS-28/2025UTGCPINT</t>
  </si>
  <si>
    <t>SS-29/2025UTGCMEC</t>
  </si>
  <si>
    <t>SS-29/2025UTGCCIVIL</t>
  </si>
  <si>
    <t>SS-29/2025UTGCELÉT</t>
  </si>
  <si>
    <t>SS-29/2025UTGCPINT</t>
  </si>
  <si>
    <t>SS-30/2025EDIVITMEC</t>
  </si>
  <si>
    <t>SS-30/2025EDIVITCIVIL</t>
  </si>
  <si>
    <t>SS-30/2025EDIVITELÉT</t>
  </si>
  <si>
    <t>SS-30/2025EDIVITPINT</t>
  </si>
  <si>
    <t>SS-31/2025UTGCMEC</t>
  </si>
  <si>
    <t>SS-31/2025UTGCCIVIL</t>
  </si>
  <si>
    <t>SS-31/2025UTGCELÉT</t>
  </si>
  <si>
    <t>SS-31/2025UTGCPINT</t>
  </si>
  <si>
    <t>SS-32/2025UTGCMEC</t>
  </si>
  <si>
    <t>SS-32/2025UTGCCIVIL</t>
  </si>
  <si>
    <t>SS-32/2025UTGCELÉT</t>
  </si>
  <si>
    <t>SS-32/2025UTGCPINT</t>
  </si>
  <si>
    <t>SS-33/2025EDIVITMEC</t>
  </si>
  <si>
    <t>SS-33/2025EDIVITCIVIL</t>
  </si>
  <si>
    <t>SS-33/2025EDIVITELÉT</t>
  </si>
  <si>
    <t>SS-33/2025EDIVITPINT</t>
  </si>
  <si>
    <t>SS-01/2026UTGCMEC</t>
  </si>
  <si>
    <t>SS-01/2026UTGCCIVIL</t>
  </si>
  <si>
    <t>SS-01/2026UTGCELÉT</t>
  </si>
  <si>
    <t>SS-01/2026UTGCPINT</t>
  </si>
  <si>
    <t>SS-02/2026UTGCMEC</t>
  </si>
  <si>
    <t>SS-02/2026UTGCCIVIL</t>
  </si>
  <si>
    <t>SS-02/2026UTGCELÉT</t>
  </si>
  <si>
    <t>SS-02/2026UTGCPINT</t>
  </si>
  <si>
    <t>SS-03/2026UTGCMEC</t>
  </si>
  <si>
    <t>SS-03/2026UTGCCIVIL</t>
  </si>
  <si>
    <t>SS-03/2026UTGCELÉT</t>
  </si>
  <si>
    <t>SS-03/2026UTGCPINT</t>
  </si>
  <si>
    <t>SS-04/2026UTGCMEC</t>
  </si>
  <si>
    <t>SS-04/2026UTGCCIVIL</t>
  </si>
  <si>
    <t>SS-04/2026UTGCELÉT</t>
  </si>
  <si>
    <t>SS-04/2026UTGCPINT</t>
  </si>
  <si>
    <t>SS-05/2026UTGCMEC</t>
  </si>
  <si>
    <t>SS-05/2026UTGCCIVIL</t>
  </si>
  <si>
    <t>SS-05/2026UTGCELÉT</t>
  </si>
  <si>
    <t>SS-05/2026UTGCPINT</t>
  </si>
  <si>
    <t>SS-06/2026EDIVITMEC</t>
  </si>
  <si>
    <t>SS-06/2026EDIVITCIVIL</t>
  </si>
  <si>
    <t>SS-06/2026EDIVITELÉT</t>
  </si>
  <si>
    <t>SS-06/2026EDIVITPINT</t>
  </si>
  <si>
    <t>SS-07/2026UTGCMEC</t>
  </si>
  <si>
    <t>SS-07/2026UTGCCIVIL</t>
  </si>
  <si>
    <t>SS-07/2026UTGCELÉT</t>
  </si>
  <si>
    <t>SS-07/2026UTGCPINT</t>
  </si>
  <si>
    <t>CÁLCULO</t>
  </si>
  <si>
    <t>930,4 hrs</t>
  </si>
  <si>
    <t>COD-AUX</t>
  </si>
  <si>
    <t>MECÂNICA</t>
  </si>
  <si>
    <t>ORÇADO</t>
  </si>
  <si>
    <t>PLANEJ</t>
  </si>
  <si>
    <t>REALIZ</t>
  </si>
  <si>
    <t>ELÉTRICA</t>
  </si>
  <si>
    <t>PINTURA</t>
  </si>
  <si>
    <t>PEDREIRO &gt; PINTOR</t>
  </si>
  <si>
    <t>ORÇ DIG</t>
  </si>
  <si>
    <t>REALIZ2</t>
  </si>
  <si>
    <t>ORÇADO3</t>
  </si>
  <si>
    <t>ORÇADO2</t>
  </si>
  <si>
    <t>ORÇ DIG3</t>
  </si>
  <si>
    <t>ORÇADO1</t>
  </si>
  <si>
    <t>ORÇ DIG1</t>
  </si>
  <si>
    <t>PLANEJ1</t>
  </si>
  <si>
    <t>REALIZ1</t>
  </si>
  <si>
    <t>ORÇ DIG2</t>
  </si>
  <si>
    <t>PLANEJ2</t>
  </si>
  <si>
    <t>PLANEJ3</t>
  </si>
  <si>
    <t>REALIZ3</t>
  </si>
  <si>
    <t>0,01 hrs</t>
  </si>
  <si>
    <t>REALIZ4</t>
  </si>
  <si>
    <t>% EXEC</t>
  </si>
  <si>
    <t>DESVIO ANT (%)
ANT</t>
  </si>
  <si>
    <t>DESVIO ATUAL (%)
ATUAL</t>
  </si>
  <si>
    <t>FÍSICO</t>
  </si>
  <si>
    <t>CONTR HH</t>
  </si>
  <si>
    <t>STATUS ENVIO</t>
  </si>
  <si>
    <t xml:space="preserve">STATUS ENVIO </t>
  </si>
  <si>
    <t>SS-08/2026</t>
  </si>
  <si>
    <t>24-0308-ES - ADEQUAÇÃO DAS CALHAS DA COBERTURA DO K-39</t>
  </si>
  <si>
    <t>SS-03/2026ETP.01</t>
  </si>
  <si>
    <t>SS-03/2026ETP.02</t>
  </si>
  <si>
    <t>SS-03/2026ETP.03</t>
  </si>
  <si>
    <t>SS-03/2026ETP.04</t>
  </si>
  <si>
    <t>SS-03/2026ENTR.</t>
  </si>
  <si>
    <t>TELHADO K-24</t>
  </si>
  <si>
    <t>CHILLERS</t>
  </si>
  <si>
    <t>CLIMATIZAÇÃO K-24</t>
  </si>
  <si>
    <t>COBERTURA K-39</t>
  </si>
  <si>
    <t>SS-05/2026VALOR</t>
  </si>
  <si>
    <t>SS-05/2026JAN.27</t>
  </si>
  <si>
    <t>SS-05/2026FEV.262</t>
  </si>
  <si>
    <t>SS-06/2026VALOR</t>
  </si>
  <si>
    <t>SS-06/2026JAN.27</t>
  </si>
  <si>
    <t>SS-06/2026FEV.262</t>
  </si>
  <si>
    <t>SS-06/2026PLAN</t>
  </si>
  <si>
    <t>SS-06/2026MOB</t>
  </si>
  <si>
    <t>SS-06/2026ETP.01</t>
  </si>
  <si>
    <t>SS-06/2026ETP.02</t>
  </si>
  <si>
    <t>SS-06/2026ETP.03</t>
  </si>
  <si>
    <t>SS-06/2026ETP.04</t>
  </si>
  <si>
    <t>SS-06/2026ENTR.</t>
  </si>
  <si>
    <t>SS-07/2026VALOR</t>
  </si>
  <si>
    <t>SS-07/2026JAN.27</t>
  </si>
  <si>
    <t>SS-07/2026FEV.262</t>
  </si>
  <si>
    <t>SS-08/2026VALOR</t>
  </si>
  <si>
    <t>SS-08/2026JAN.27</t>
  </si>
  <si>
    <t>SS-08/2026FEV.262</t>
  </si>
  <si>
    <t>83,2 hrs</t>
  </si>
  <si>
    <t>43,2 hrs</t>
  </si>
  <si>
    <t>344 hrs</t>
  </si>
  <si>
    <t>ORÇADO4</t>
  </si>
  <si>
    <t>PLANEJ4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</si>
</sst>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8" formatCode="&quot;R$&quot;\ #,##0.00;[Red]\-&quot;R$&quot;\ #,##0.00"/>
    <numFmt numFmtId="44" formatCode="_-&quot;R$&quot;\ * #,##0.00_-;\-&quot;R$&quot;\ * #,##0.00_-;_-&quot;R$&quot;\ * &quot;-&quot;??_-;_-@_-"/>
    <numFmt numFmtId="43" formatCode="_-* #,##0.00_-;\-* #,##0.00_-;_-* &quot;-&quot;??_-;_-@_-"/>
    <numFmt numFmtId="164" formatCode="dd/mm/yy;@"/>
    <numFmt numFmtId="165" formatCode="00\ &quot;dias&quot;"/>
    <numFmt numFmtId="166" formatCode="&quot;R$&quot;\ #,###,,\ &quot;M&quot;"/>
    <numFmt numFmtId="167" formatCode="&quot;R$&quot;\ ##,##0,,\ &quot;M&quot;"/>
    <numFmt numFmtId="168" formatCode="_-* #,##0.000_-;\-* #,##0.000_-;_-* &quot;-&quot;??_-;_-@_-"/>
    <numFmt numFmtId="169" formatCode="#,##0.000"/>
    <numFmt numFmtId="170" formatCode="0.0000%"/>
    <numFmt numFmtId="171" formatCode="0.000%"/>
  </numFmts>
  <fonts count="34"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sz val="10"/>
      <name val="Arial"/>
      <family val="2"/>
    </font>
    <font>
      <b/>
      <sz val="12"/>
      <color theme="0"/>
      <name val="Calibri"/>
      <family val="2"/>
      <scheme val="minor"/>
    </font>
    <font>
      <b/>
      <sz val="11"/>
      <color theme="0"/>
      <name val="Calibri"/>
      <family val="2"/>
      <scheme val="minor"/>
    </font>
    <font>
      <b/>
      <sz val="11"/>
      <color theme="4" tint="-0.499984740745262"/>
      <name val="Calibri"/>
      <family val="2"/>
      <scheme val="minor"/>
    </font>
    <font>
      <sz val="11"/>
      <name val="Calibri"/>
      <family val="2"/>
      <scheme val="minor"/>
    </font>
    <font>
      <b/>
      <sz val="14"/>
      <color theme="0"/>
      <name val="Calibri"/>
      <family val="2"/>
      <scheme val="minor"/>
    </font>
    <font>
      <sz val="11"/>
      <color rgb="FF000000"/>
      <name val="Calibri"/>
      <family val="2"/>
    </font>
    <font>
      <b/>
      <sz val="11"/>
      <color theme="4" tint="0.39997558519241921"/>
      <name val="Calibri"/>
      <family val="2"/>
      <scheme val="minor"/>
    </font>
    <font>
      <b/>
      <sz val="26"/>
      <color theme="0"/>
      <name val="Calibri"/>
      <family val="2"/>
      <scheme val="minor"/>
    </font>
    <font>
      <b/>
      <sz val="14"/>
      <color theme="1"/>
      <name val="Calibri"/>
      <family val="2"/>
      <scheme val="minor"/>
    </font>
    <font>
      <b/>
      <u/>
      <sz val="11"/>
      <color theme="0"/>
      <name val="Calibri"/>
      <family val="2"/>
      <scheme val="minor"/>
    </font>
    <font>
      <sz val="11"/>
      <color rgb="FFFF0000"/>
      <name val="Calibri"/>
      <family val="2"/>
      <scheme val="minor"/>
    </font>
    <font>
      <b/>
      <sz val="11"/>
      <name val="Calibri"/>
      <family val="2"/>
      <scheme val="minor"/>
    </font>
    <font>
      <sz val="11"/>
      <color theme="0"/>
      <name val="Calibri"/>
      <family val="2"/>
      <scheme val="minor"/>
    </font>
    <font>
      <b/>
      <sz val="11"/>
      <color theme="4"/>
      <name val="Calibri"/>
      <family val="2"/>
      <scheme val="minor"/>
    </font>
    <font>
      <sz val="11"/>
      <name val="Calibri"/>
      <family val="2"/>
    </font>
    <font>
      <sz val="11"/>
      <color theme="1"/>
      <name val="Arial"/>
      <family val="2"/>
    </font>
    <font>
      <b/>
      <i/>
      <sz val="11"/>
      <color theme="1"/>
      <name val="Calibri"/>
      <family val="2"/>
      <scheme val="minor"/>
    </font>
    <font>
      <b/>
      <sz val="11"/>
      <color theme="3"/>
      <name val="Calibri"/>
      <family val="2"/>
      <scheme val="minor"/>
    </font>
    <font>
      <sz val="11"/>
      <color theme="3"/>
      <name val="Calibri"/>
      <family val="2"/>
      <scheme val="minor"/>
    </font>
    <font>
      <b/>
      <sz val="10"/>
      <color theme="0"/>
      <name val="Calibri"/>
      <family val="2"/>
      <scheme val="minor"/>
    </font>
    <font>
      <b/>
      <sz val="10"/>
      <name val="Calibri"/>
      <family val="2"/>
      <scheme val="minor"/>
    </font>
    <font>
      <b/>
      <sz val="16"/>
      <color rgb="FFFFC000"/>
      <name val="Calibri"/>
      <family val="2"/>
      <scheme val="minor"/>
    </font>
    <font>
      <b/>
      <sz val="11"/>
      <color theme="4" tint="-0.249977111117893"/>
      <name val="Calibri"/>
      <family val="2"/>
      <scheme val="minor"/>
    </font>
    <font>
      <b/>
      <sz val="10"/>
      <name val="Arial"/>
      <family val="2"/>
    </font>
    <font>
      <b/>
      <sz val="10"/>
      <color theme="0"/>
      <name val="Arial"/>
      <family val="2"/>
    </font>
    <font>
      <b/>
      <sz val="11"/>
      <color theme="0"/>
      <name val="Arial"/>
      <family val="2"/>
    </font>
    <font>
      <b/>
      <sz val="11"/>
      <color rgb="FFC00000"/>
      <name val="Calibri"/>
      <family val="2"/>
      <scheme val="minor"/>
    </font>
    <font>
      <b/>
      <sz val="11"/>
      <color rgb="FFFF0000"/>
      <name val="Calibri"/>
      <family val="2"/>
      <scheme val="minor"/>
    </font>
    <font>
      <b/>
      <sz val="11"/>
      <color theme="5"/>
      <name val="Calibri"/>
      <family val="2"/>
      <scheme val="minor"/>
    </font>
  </fonts>
  <fills count="32">
    <fill>
      <patternFill patternType="none"/>
    </fill>
    <fill>
      <patternFill patternType="gray125"/>
    </fill>
    <fill>
      <patternFill patternType="solid">
        <fgColor theme="4" tint="-0.499984740745262"/>
        <bgColor indexed="64"/>
      </patternFill>
    </fill>
    <fill>
      <patternFill patternType="solid">
        <fgColor theme="4" tint="-0.249977111117893"/>
        <bgColor indexed="64"/>
      </patternFill>
    </fill>
    <fill>
      <patternFill patternType="solid">
        <fgColor theme="9"/>
        <bgColor indexed="64"/>
      </patternFill>
    </fill>
    <fill>
      <patternFill patternType="solid">
        <fgColor theme="4" tint="0.39997558519241921"/>
        <bgColor indexed="64"/>
      </patternFill>
    </fill>
    <fill>
      <patternFill patternType="solid">
        <fgColor theme="7"/>
        <bgColor indexed="64"/>
      </patternFill>
    </fill>
    <fill>
      <patternFill patternType="solid">
        <fgColor theme="0" tint="-0.14999847407452621"/>
        <bgColor theme="0" tint="-0.14999847407452621"/>
      </patternFill>
    </fill>
    <fill>
      <patternFill patternType="solid">
        <fgColor theme="7" tint="0.79998168889431442"/>
        <bgColor indexed="64"/>
      </patternFill>
    </fill>
    <fill>
      <patternFill patternType="solid">
        <fgColor theme="3"/>
        <bgColor indexed="64"/>
      </patternFill>
    </fill>
    <fill>
      <patternFill patternType="solid">
        <fgColor theme="4"/>
        <bgColor theme="4"/>
      </patternFill>
    </fill>
    <fill>
      <patternFill patternType="solid">
        <fgColor theme="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A7A7"/>
        <bgColor indexed="64"/>
      </patternFill>
    </fill>
    <fill>
      <patternFill patternType="solid">
        <fgColor theme="9" tint="0.59999389629810485"/>
        <bgColor indexed="64"/>
      </patternFill>
    </fill>
    <fill>
      <patternFill patternType="solid">
        <fgColor rgb="FF9C0006"/>
        <bgColor indexed="64"/>
      </patternFill>
    </fill>
    <fill>
      <patternFill patternType="solid">
        <fgColor rgb="FF7030A0"/>
        <bgColor indexed="64"/>
      </patternFill>
    </fill>
    <fill>
      <patternFill patternType="solid">
        <fgColor rgb="FF11FF7D"/>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C9FDE5"/>
        <bgColor indexed="64"/>
      </patternFill>
    </fill>
    <fill>
      <patternFill patternType="solid">
        <fgColor rgb="FF00B0F0"/>
        <bgColor indexed="64"/>
      </patternFill>
    </fill>
    <fill>
      <patternFill patternType="solid">
        <fgColor rgb="FFBF95DF"/>
        <bgColor indexed="64"/>
      </patternFill>
    </fill>
    <fill>
      <patternFill patternType="solid">
        <fgColor rgb="FFE4E905"/>
        <bgColor indexed="64"/>
      </patternFill>
    </fill>
    <fill>
      <patternFill patternType="solid">
        <fgColor theme="8" tint="0.59999389629810485"/>
        <bgColor indexed="64"/>
      </patternFill>
    </fill>
    <fill>
      <patternFill patternType="solid">
        <fgColor theme="4"/>
        <bgColor indexed="64"/>
      </patternFill>
    </fill>
    <fill>
      <patternFill patternType="solid">
        <fgColor theme="8" tint="-0.49998474074526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5"/>
        <bgColor indexed="64"/>
      </patternFill>
    </fill>
  </fills>
  <borders count="161">
    <border>
      <left/>
      <right/>
      <top/>
      <bottom/>
      <diagonal/>
    </border>
    <border>
      <left style="medium">
        <color auto="1"/>
      </left>
      <right/>
      <top/>
      <bottom/>
      <diagonal/>
    </border>
    <border>
      <left style="thin">
        <color theme="0"/>
      </left>
      <right style="thin">
        <color theme="0"/>
      </right>
      <top/>
      <bottom/>
      <diagonal/>
    </border>
    <border>
      <left/>
      <right style="thin">
        <color theme="0"/>
      </right>
      <top/>
      <bottom/>
      <diagonal/>
    </border>
    <border>
      <left style="thin">
        <color theme="0"/>
      </left>
      <right/>
      <top/>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left>
      <right/>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4" tint="-0.499984740745262"/>
      </bottom>
      <diagonal/>
    </border>
    <border>
      <left/>
      <right/>
      <top/>
      <bottom style="thin">
        <color theme="0"/>
      </bottom>
      <diagonal/>
    </border>
    <border>
      <left style="medium">
        <color auto="1"/>
      </left>
      <right style="thin">
        <color theme="0"/>
      </right>
      <top style="thin">
        <color theme="0"/>
      </top>
      <bottom style="thin">
        <color theme="4" tint="-0.499984740745262"/>
      </bottom>
      <diagonal/>
    </border>
    <border>
      <left style="thin">
        <color theme="0"/>
      </left>
      <right style="medium">
        <color auto="1"/>
      </right>
      <top style="thin">
        <color theme="0"/>
      </top>
      <bottom style="thin">
        <color theme="4" tint="-0.499984740745262"/>
      </bottom>
      <diagonal/>
    </border>
    <border>
      <left style="medium">
        <color auto="1"/>
      </left>
      <right style="thin">
        <color theme="0"/>
      </right>
      <top/>
      <bottom/>
      <diagonal/>
    </border>
    <border>
      <left style="thin">
        <color theme="0"/>
      </left>
      <right style="medium">
        <color auto="1"/>
      </right>
      <top/>
      <bottom/>
      <diagonal/>
    </border>
    <border>
      <left style="medium">
        <color auto="1"/>
      </left>
      <right style="thin">
        <color theme="0" tint="-0.34998626667073579"/>
      </right>
      <top/>
      <bottom style="thin">
        <color theme="0" tint="-0.34998626667073579"/>
      </bottom>
      <diagonal/>
    </border>
    <border>
      <left style="thin">
        <color theme="0" tint="-0.34998626667073579"/>
      </left>
      <right style="medium">
        <color auto="1"/>
      </right>
      <top/>
      <bottom style="thin">
        <color theme="0" tint="-0.34998626667073579"/>
      </bottom>
      <diagonal/>
    </border>
    <border>
      <left style="medium">
        <color auto="1"/>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auto="1"/>
      </right>
      <top style="thin">
        <color theme="0" tint="-0.34998626667073579"/>
      </top>
      <bottom style="thin">
        <color theme="0" tint="-0.34998626667073579"/>
      </bottom>
      <diagonal/>
    </border>
    <border>
      <left style="thin">
        <color theme="0"/>
      </left>
      <right/>
      <top style="thin">
        <color theme="0"/>
      </top>
      <bottom style="thin">
        <color theme="4" tint="-0.499984740745262"/>
      </bottom>
      <diagonal/>
    </border>
    <border>
      <left style="medium">
        <color auto="1"/>
      </left>
      <right style="thin">
        <color theme="0"/>
      </right>
      <top/>
      <bottom style="thin">
        <color theme="0"/>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style="thin">
        <color theme="0"/>
      </bottom>
      <diagonal/>
    </border>
    <border>
      <left/>
      <right/>
      <top/>
      <bottom style="thin">
        <color theme="0" tint="-0.34998626667073579"/>
      </bottom>
      <diagonal/>
    </border>
    <border>
      <left/>
      <right/>
      <top style="thin">
        <color theme="0" tint="-0.34998626667073579"/>
      </top>
      <bottom style="thin">
        <color theme="0" tint="-0.34998626667073579"/>
      </bottom>
      <diagonal/>
    </border>
    <border>
      <left style="thin">
        <color theme="0"/>
      </left>
      <right/>
      <top style="medium">
        <color theme="1"/>
      </top>
      <bottom/>
      <diagonal/>
    </border>
    <border>
      <left/>
      <right style="thin">
        <color theme="0"/>
      </right>
      <top style="medium">
        <color theme="1"/>
      </top>
      <bottom/>
      <diagonal/>
    </border>
    <border>
      <left style="medium">
        <color auto="1"/>
      </left>
      <right/>
      <top style="thin">
        <color theme="0"/>
      </top>
      <bottom style="thin">
        <color theme="4" tint="-0.499984740745262"/>
      </bottom>
      <diagonal/>
    </border>
    <border>
      <left style="thin">
        <color theme="0"/>
      </left>
      <right/>
      <top style="thin">
        <color theme="0"/>
      </top>
      <bottom style="thin">
        <color theme="0"/>
      </bottom>
      <diagonal/>
    </border>
    <border>
      <left style="thin">
        <color theme="0"/>
      </left>
      <right style="medium">
        <color auto="1"/>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theme="4" tint="0.39994506668294322"/>
      </top>
      <bottom/>
      <diagonal/>
    </border>
    <border>
      <left style="thin">
        <color theme="0"/>
      </left>
      <right/>
      <top style="thin">
        <color theme="0"/>
      </top>
      <bottom/>
      <diagonal/>
    </border>
    <border>
      <left style="thin">
        <color theme="0"/>
      </left>
      <right/>
      <top style="thin">
        <color theme="4" tint="0.39994506668294322"/>
      </top>
      <bottom/>
      <diagonal/>
    </border>
    <border>
      <left/>
      <right style="thin">
        <color theme="0"/>
      </right>
      <top style="thin">
        <color theme="0"/>
      </top>
      <bottom/>
      <diagonal/>
    </border>
    <border>
      <left/>
      <right style="thin">
        <color theme="0"/>
      </right>
      <top style="thin">
        <color theme="4" tint="0.39994506668294322"/>
      </top>
      <bottom/>
      <diagonal/>
    </border>
    <border>
      <left style="thin">
        <color theme="0"/>
      </left>
      <right style="medium">
        <color auto="1"/>
      </right>
      <top style="thin">
        <color theme="4" tint="0.39994506668294322"/>
      </top>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medium">
        <color theme="1"/>
      </left>
      <right/>
      <top/>
      <bottom/>
      <diagonal/>
    </border>
    <border>
      <left style="medium">
        <color auto="1"/>
      </left>
      <right style="thin">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thin">
        <color auto="1"/>
      </left>
      <right/>
      <top style="medium">
        <color auto="1"/>
      </top>
      <bottom/>
      <diagonal/>
    </border>
    <border>
      <left/>
      <right style="medium">
        <color auto="1"/>
      </right>
      <top style="medium">
        <color auto="1"/>
      </top>
      <bottom/>
      <diagonal/>
    </border>
    <border>
      <left style="thin">
        <color auto="1"/>
      </left>
      <right/>
      <top/>
      <bottom style="hair">
        <color auto="1"/>
      </bottom>
      <diagonal/>
    </border>
    <border>
      <left/>
      <right style="medium">
        <color auto="1"/>
      </right>
      <top/>
      <bottom style="hair">
        <color auto="1"/>
      </bottom>
      <diagonal/>
    </border>
    <border>
      <left style="thin">
        <color auto="1"/>
      </left>
      <right/>
      <top style="medium">
        <color auto="1"/>
      </top>
      <bottom style="hair">
        <color auto="1"/>
      </bottom>
      <diagonal/>
    </border>
    <border>
      <left/>
      <right style="thin">
        <color auto="1"/>
      </right>
      <top style="medium">
        <color auto="1"/>
      </top>
      <bottom style="hair">
        <color auto="1"/>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medium">
        <color auto="1"/>
      </left>
      <right style="thin">
        <color theme="0" tint="-0.34998626667073579"/>
      </right>
      <top style="thin">
        <color theme="0" tint="-0.34998626667073579"/>
      </top>
      <bottom/>
      <diagonal/>
    </border>
    <border>
      <left/>
      <right style="medium">
        <color auto="1"/>
      </right>
      <top/>
      <bottom style="thin">
        <color theme="0" tint="-0.34998626667073579"/>
      </bottom>
      <diagonal/>
    </border>
    <border>
      <left style="medium">
        <color auto="1"/>
      </left>
      <right style="thin">
        <color theme="0" tint="-0.34998626667073579"/>
      </right>
      <top/>
      <bottom style="medium">
        <color auto="1"/>
      </bottom>
      <diagonal/>
    </border>
    <border>
      <left style="thin">
        <color theme="0" tint="-0.34998626667073579"/>
      </left>
      <right style="thin">
        <color theme="0" tint="-0.34998626667073579"/>
      </right>
      <top style="thin">
        <color theme="0" tint="-0.34998626667073579"/>
      </top>
      <bottom style="medium">
        <color auto="1"/>
      </bottom>
      <diagonal/>
    </border>
    <border>
      <left/>
      <right style="medium">
        <color auto="1"/>
      </right>
      <top/>
      <bottom style="medium">
        <color auto="1"/>
      </bottom>
      <diagonal/>
    </border>
    <border>
      <left style="thin">
        <color theme="0" tint="-0.34998626667073579"/>
      </left>
      <right style="thin">
        <color theme="0" tint="-0.34998626667073579"/>
      </right>
      <top style="medium">
        <color auto="1"/>
      </top>
      <bottom style="thin">
        <color theme="0" tint="-0.34998626667073579"/>
      </bottom>
      <diagonal/>
    </border>
    <border>
      <left style="thin">
        <color theme="0" tint="-0.34998626667073579"/>
      </left>
      <right/>
      <top style="thin">
        <color theme="0" tint="-0.34998626667073579"/>
      </top>
      <bottom style="medium">
        <color auto="1"/>
      </bottom>
      <diagonal/>
    </border>
    <border>
      <left style="thin">
        <color theme="0" tint="-0.34998626667073579"/>
      </left>
      <right style="thin">
        <color theme="0" tint="-0.34998626667073579"/>
      </right>
      <top/>
      <bottom style="medium">
        <color auto="1"/>
      </bottom>
      <diagonal/>
    </border>
    <border>
      <left style="medium">
        <color auto="1"/>
      </left>
      <right style="thin">
        <color theme="0" tint="-0.34998626667073579"/>
      </right>
      <top style="medium">
        <color auto="1"/>
      </top>
      <bottom/>
      <diagonal/>
    </border>
    <border>
      <left style="thin">
        <color theme="0" tint="-0.34998626667073579"/>
      </left>
      <right style="thin">
        <color theme="0" tint="-0.34998626667073579"/>
      </right>
      <top style="medium">
        <color auto="1"/>
      </top>
      <bottom/>
      <diagonal/>
    </border>
    <border>
      <left style="thin">
        <color theme="0" tint="-0.34998626667073579"/>
      </left>
      <right style="medium">
        <color auto="1"/>
      </right>
      <top style="medium">
        <color auto="1"/>
      </top>
      <bottom/>
      <diagonal/>
    </border>
    <border>
      <left style="medium">
        <color auto="1"/>
      </left>
      <right style="thin">
        <color theme="0" tint="-0.34998626667073579"/>
      </right>
      <top/>
      <bottom/>
      <diagonal/>
    </border>
    <border>
      <left style="thin">
        <color theme="0" tint="-0.34998626667073579"/>
      </left>
      <right style="thin">
        <color theme="0" tint="-0.34998626667073579"/>
      </right>
      <top/>
      <bottom/>
      <diagonal/>
    </border>
    <border>
      <left style="thin">
        <color theme="0" tint="-0.34998626667073579"/>
      </left>
      <right style="medium">
        <color auto="1"/>
      </right>
      <top/>
      <bottom/>
      <diagonal/>
    </border>
    <border>
      <left style="thin">
        <color theme="0" tint="-0.34998626667073579"/>
      </left>
      <right style="medium">
        <color auto="1"/>
      </right>
      <top/>
      <bottom style="medium">
        <color auto="1"/>
      </bottom>
      <diagonal/>
    </border>
    <border>
      <left style="medium">
        <color rgb="FF000000"/>
      </left>
      <right style="thin">
        <color theme="0" tint="-0.34998626667073579"/>
      </right>
      <top style="medium">
        <color rgb="FF000000"/>
      </top>
      <bottom style="thin">
        <color theme="0" tint="-0.34998626667073579"/>
      </bottom>
      <diagonal/>
    </border>
    <border>
      <left style="thin">
        <color theme="0" tint="-0.34998626667073579"/>
      </left>
      <right style="thin">
        <color theme="0" tint="-0.34998626667073579"/>
      </right>
      <top style="medium">
        <color rgb="FF000000"/>
      </top>
      <bottom style="thin">
        <color theme="0" tint="-0.34998626667073579"/>
      </bottom>
      <diagonal/>
    </border>
    <border>
      <left style="thin">
        <color theme="0" tint="-0.34998626667073579"/>
      </left>
      <right style="medium">
        <color rgb="FF000000"/>
      </right>
      <top style="medium">
        <color rgb="FF000000"/>
      </top>
      <bottom style="thin">
        <color theme="0" tint="-0.34998626667073579"/>
      </bottom>
      <diagonal/>
    </border>
    <border>
      <left style="medium">
        <color rgb="FF000000"/>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rgb="FF000000"/>
      </right>
      <top style="thin">
        <color theme="0" tint="-0.34998626667073579"/>
      </top>
      <bottom style="thin">
        <color theme="0" tint="-0.34998626667073579"/>
      </bottom>
      <diagonal/>
    </border>
    <border>
      <left style="thin">
        <color theme="0"/>
      </left>
      <right/>
      <top/>
      <bottom style="thick">
        <color theme="0"/>
      </bottom>
      <diagonal/>
    </border>
    <border>
      <left style="medium">
        <color auto="1"/>
      </left>
      <right style="thin">
        <color theme="0" tint="-0.34998626667073579"/>
      </right>
      <top style="medium">
        <color auto="1"/>
      </top>
      <bottom style="thin">
        <color theme="0" tint="-0.34998626667073579"/>
      </bottom>
      <diagonal/>
    </border>
    <border>
      <left style="thin">
        <color theme="0" tint="-0.34998626667073579"/>
      </left>
      <right style="medium">
        <color auto="1"/>
      </right>
      <top style="medium">
        <color auto="1"/>
      </top>
      <bottom style="thin">
        <color theme="0" tint="-0.34998626667073579"/>
      </bottom>
      <diagonal/>
    </border>
    <border>
      <left/>
      <right style="thin">
        <color theme="0" tint="-0.34998626667073579"/>
      </right>
      <top style="medium">
        <color auto="1"/>
      </top>
      <bottom style="thin">
        <color theme="0" tint="-0.34998626667073579"/>
      </bottom>
      <diagonal/>
    </border>
    <border>
      <left style="thin">
        <color theme="0" tint="-0.34998626667073579"/>
      </left>
      <right/>
      <top style="medium">
        <color auto="1"/>
      </top>
      <bottom style="thin">
        <color theme="0" tint="-0.34998626667073579"/>
      </bottom>
      <diagonal/>
    </border>
    <border>
      <left/>
      <right/>
      <top style="medium">
        <color auto="1"/>
      </top>
      <bottom style="thin">
        <color theme="0" tint="-0.34998626667073579"/>
      </bottom>
      <diagonal/>
    </border>
    <border>
      <left/>
      <right style="thin">
        <color theme="0" tint="-0.34998626667073579"/>
      </right>
      <top style="thin">
        <color theme="0" tint="-0.34998626667073579"/>
      </top>
      <bottom style="medium">
        <color auto="1"/>
      </bottom>
      <diagonal/>
    </border>
    <border>
      <left style="medium">
        <color auto="1"/>
      </left>
      <right style="thin">
        <color theme="0" tint="-0.34998626667073579"/>
      </right>
      <top style="thin">
        <color theme="0" tint="-0.34998626667073579"/>
      </top>
      <bottom style="medium">
        <color auto="1"/>
      </bottom>
      <diagonal/>
    </border>
    <border>
      <left/>
      <right/>
      <top style="thin">
        <color theme="0" tint="-0.34998626667073579"/>
      </top>
      <bottom style="medium">
        <color auto="1"/>
      </bottom>
      <diagonal/>
    </border>
    <border>
      <left style="thin">
        <color theme="0" tint="-0.34998626667073579"/>
      </left>
      <right style="medium">
        <color auto="1"/>
      </right>
      <top style="thin">
        <color theme="0" tint="-0.34998626667073579"/>
      </top>
      <bottom style="medium">
        <color auto="1"/>
      </bottom>
      <diagonal/>
    </border>
    <border>
      <left style="medium">
        <color auto="1"/>
      </left>
      <right style="thin">
        <color theme="0"/>
      </right>
      <top style="thin">
        <color theme="0"/>
      </top>
      <bottom/>
      <diagonal/>
    </border>
    <border>
      <left style="thin">
        <color theme="0"/>
      </left>
      <right style="thin">
        <color theme="4"/>
      </right>
      <top/>
      <bottom style="thick">
        <color theme="0"/>
      </bottom>
      <diagonal/>
    </border>
    <border>
      <left style="thin">
        <color theme="4"/>
      </left>
      <right style="thin">
        <color theme="0"/>
      </right>
      <top/>
      <bottom style="thick">
        <color theme="0"/>
      </bottom>
      <diagonal/>
    </border>
    <border>
      <left style="medium">
        <color auto="1"/>
      </left>
      <right style="medium">
        <color auto="1"/>
      </right>
      <top/>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right/>
      <top/>
      <bottom style="thick">
        <color theme="0"/>
      </bottom>
      <diagonal/>
    </border>
    <border>
      <left/>
      <right/>
      <top style="thin">
        <color theme="0"/>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theme="0"/>
      </right>
      <top style="thin">
        <color theme="0"/>
      </top>
      <bottom style="thin">
        <color theme="4" tint="-0.499984740745262"/>
      </bottom>
      <diagonal/>
    </border>
    <border>
      <left style="medium">
        <color auto="1"/>
      </left>
      <right style="medium">
        <color auto="1"/>
      </right>
      <top style="thin">
        <color theme="0" tint="-0.34998626667073579"/>
      </top>
      <bottom style="medium">
        <color auto="1"/>
      </bottom>
      <diagonal/>
    </border>
    <border>
      <left/>
      <right/>
      <top style="thin">
        <color theme="1"/>
      </top>
      <bottom/>
      <diagonal/>
    </border>
    <border>
      <left style="medium">
        <color auto="1"/>
      </left>
      <right style="medium">
        <color auto="1"/>
      </right>
      <top style="medium">
        <color auto="1"/>
      </top>
      <bottom style="thin">
        <color theme="0" tint="-0.34998626667073579"/>
      </bottom>
      <diagonal/>
    </border>
    <border>
      <left/>
      <right style="medium">
        <color theme="1"/>
      </right>
      <top/>
      <bottom/>
      <diagonal/>
    </border>
    <border>
      <left style="medium">
        <color auto="1"/>
      </left>
      <right style="thin">
        <color theme="0"/>
      </right>
      <top style="medium">
        <color auto="1"/>
      </top>
      <bottom style="thin">
        <color theme="0"/>
      </bottom>
      <diagonal/>
    </border>
    <border>
      <left style="thin">
        <color theme="0"/>
      </left>
      <right style="thin">
        <color theme="0"/>
      </right>
      <top style="medium">
        <color auto="1"/>
      </top>
      <bottom style="thin">
        <color theme="0"/>
      </bottom>
      <diagonal/>
    </border>
    <border>
      <left style="thin">
        <color theme="0"/>
      </left>
      <right/>
      <top style="medium">
        <color auto="1"/>
      </top>
      <bottom style="thin">
        <color theme="0"/>
      </bottom>
      <diagonal/>
    </border>
    <border>
      <left style="medium">
        <color auto="1"/>
      </left>
      <right/>
      <top style="medium">
        <color auto="1"/>
      </top>
      <bottom style="thin">
        <color theme="0"/>
      </bottom>
      <diagonal/>
    </border>
    <border>
      <left/>
      <right/>
      <top style="medium">
        <color auto="1"/>
      </top>
      <bottom style="thin">
        <color theme="0"/>
      </bottom>
      <diagonal/>
    </border>
    <border>
      <left/>
      <right style="medium">
        <color auto="1"/>
      </right>
      <top style="medium">
        <color auto="1"/>
      </top>
      <bottom style="thin">
        <color theme="0"/>
      </bottom>
      <diagonal/>
    </border>
    <border>
      <left/>
      <right style="thin">
        <color theme="0"/>
      </right>
      <top style="medium">
        <color auto="1"/>
      </top>
      <bottom style="thin">
        <color theme="0"/>
      </bottom>
      <diagonal/>
    </border>
    <border>
      <left style="thin">
        <color theme="0"/>
      </left>
      <right style="medium">
        <color auto="1"/>
      </right>
      <top style="medium">
        <color auto="1"/>
      </top>
      <bottom style="thin">
        <color theme="0"/>
      </bottom>
      <diagonal/>
    </border>
    <border>
      <left style="medium">
        <color theme="0"/>
      </left>
      <right/>
      <top style="medium">
        <color theme="0"/>
      </top>
      <bottom/>
      <diagonal/>
    </border>
    <border>
      <left/>
      <right/>
      <top style="medium">
        <color theme="0"/>
      </top>
      <bottom/>
      <diagonal/>
    </border>
    <border>
      <left style="thin">
        <color theme="0"/>
      </left>
      <right style="medium">
        <color theme="0"/>
      </right>
      <top style="medium">
        <color theme="0"/>
      </top>
      <bottom/>
      <diagonal/>
    </border>
    <border>
      <left style="medium">
        <color theme="0"/>
      </left>
      <right/>
      <top/>
      <bottom style="medium">
        <color theme="0"/>
      </bottom>
      <diagonal/>
    </border>
    <border>
      <left/>
      <right/>
      <top/>
      <bottom style="medium">
        <color theme="0"/>
      </bottom>
      <diagonal/>
    </border>
    <border>
      <left style="thin">
        <color theme="0"/>
      </left>
      <right style="medium">
        <color theme="0"/>
      </right>
      <top/>
      <bottom style="medium">
        <color theme="0"/>
      </bottom>
      <diagonal/>
    </border>
    <border>
      <left style="medium">
        <color auto="1"/>
      </left>
      <right/>
      <top style="medium">
        <color auto="1"/>
      </top>
      <bottom style="thin">
        <color theme="0" tint="-0.34998626667073579"/>
      </bottom>
      <diagonal/>
    </border>
    <border>
      <left style="medium">
        <color auto="1"/>
      </left>
      <right/>
      <top style="thin">
        <color theme="0" tint="-0.34998626667073579"/>
      </top>
      <bottom style="thin">
        <color theme="0" tint="-0.34998626667073579"/>
      </bottom>
      <diagonal/>
    </border>
    <border>
      <left style="medium">
        <color auto="1"/>
      </left>
      <right style="medium">
        <color auto="1"/>
      </right>
      <top style="thin">
        <color theme="0" tint="-0.34998626667073579"/>
      </top>
      <bottom style="thin">
        <color theme="0" tint="-0.34998626667073579"/>
      </bottom>
      <diagonal/>
    </border>
    <border>
      <left/>
      <right style="medium">
        <color auto="1"/>
      </right>
      <top style="thin">
        <color theme="0" tint="-0.34998626667073579"/>
      </top>
      <bottom style="medium">
        <color auto="1"/>
      </bottom>
      <diagonal/>
    </border>
    <border>
      <left/>
      <right/>
      <top/>
      <bottom style="medium">
        <color theme="0" tint="-0.14996795556505021"/>
      </bottom>
      <diagonal/>
    </border>
    <border>
      <left style="medium">
        <color auto="1"/>
      </left>
      <right/>
      <top style="thin">
        <color theme="0" tint="-0.34998626667073579"/>
      </top>
      <bottom/>
      <diagonal/>
    </border>
    <border>
      <left/>
      <right/>
      <top style="thin">
        <color theme="0" tint="-0.34998626667073579"/>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theme="1"/>
      </left>
      <right/>
      <top style="thin">
        <color theme="1"/>
      </top>
      <bottom/>
      <diagonal/>
    </border>
    <border>
      <left style="thin">
        <color theme="0"/>
      </left>
      <right style="medium">
        <color theme="1"/>
      </right>
      <top style="thin">
        <color theme="0"/>
      </top>
      <bottom/>
      <diagonal/>
    </border>
    <border>
      <left style="thin">
        <color theme="0"/>
      </left>
      <right/>
      <top style="thin">
        <color theme="0"/>
      </top>
      <bottom style="thin">
        <color theme="4" tint="-0.24994659260841701"/>
      </bottom>
      <diagonal/>
    </border>
    <border>
      <left style="thin">
        <color theme="0"/>
      </left>
      <right/>
      <top style="thin">
        <color theme="0"/>
      </top>
      <bottom style="thin">
        <color theme="4" tint="0.39994506668294322"/>
      </bottom>
      <diagonal/>
    </border>
    <border>
      <left style="thin">
        <color theme="0"/>
      </left>
      <right style="thin">
        <color theme="0"/>
      </right>
      <top style="thin">
        <color theme="0"/>
      </top>
      <bottom style="thin">
        <color theme="4" tint="-0.24994659260841701"/>
      </bottom>
      <diagonal/>
    </border>
    <border>
      <left style="thin">
        <color theme="0"/>
      </left>
      <right style="thin">
        <color theme="0"/>
      </right>
      <top style="thin">
        <color theme="0"/>
      </top>
      <bottom style="thin">
        <color theme="4" tint="0.39994506668294322"/>
      </bottom>
      <diagonal/>
    </border>
    <border>
      <left style="thin">
        <color theme="0"/>
      </left>
      <right/>
      <top/>
      <bottom style="medium">
        <color auto="1"/>
      </bottom>
      <diagonal/>
    </border>
    <border>
      <left style="thin">
        <color theme="0"/>
      </left>
      <right style="thin">
        <color theme="0"/>
      </right>
      <top/>
      <bottom style="medium">
        <color auto="1"/>
      </bottom>
      <diagonal/>
    </border>
    <border>
      <left style="thin">
        <color theme="0"/>
      </left>
      <right style="medium">
        <color auto="1"/>
      </right>
      <top style="thin">
        <color theme="0"/>
      </top>
      <bottom style="thin">
        <color theme="4" tint="-0.24994659260841701"/>
      </bottom>
      <diagonal/>
    </border>
    <border>
      <left style="thin">
        <color theme="0"/>
      </left>
      <right style="medium">
        <color auto="1"/>
      </right>
      <top style="thin">
        <color theme="0"/>
      </top>
      <bottom style="thin">
        <color theme="4" tint="0.39994506668294322"/>
      </bottom>
      <diagonal/>
    </border>
    <border>
      <left/>
      <right style="medium">
        <color auto="1"/>
      </right>
      <top style="thin">
        <color theme="0"/>
      </top>
      <bottom style="thin">
        <color theme="4" tint="-0.499984740745262"/>
      </bottom>
      <diagonal/>
    </border>
    <border>
      <left/>
      <right style="medium">
        <color auto="1"/>
      </right>
      <top/>
      <bottom/>
      <diagonal/>
    </border>
    <border>
      <left style="medium">
        <color auto="1"/>
      </left>
      <right style="thin">
        <color theme="0"/>
      </right>
      <top style="thin">
        <color theme="0"/>
      </top>
      <bottom style="thin">
        <color theme="4" tint="-0.24994659260841701"/>
      </bottom>
      <diagonal/>
    </border>
    <border>
      <left style="medium">
        <color auto="1"/>
      </left>
      <right style="thin">
        <color theme="0"/>
      </right>
      <top/>
      <bottom style="medium">
        <color auto="1"/>
      </bottom>
      <diagonal/>
    </border>
    <border>
      <left style="thin">
        <color theme="0"/>
      </left>
      <right style="medium">
        <color auto="1"/>
      </right>
      <top/>
      <bottom style="medium">
        <color auto="1"/>
      </bottom>
      <diagonal/>
    </border>
    <border>
      <left style="medium">
        <color auto="1"/>
      </left>
      <right/>
      <top style="thin">
        <color theme="0"/>
      </top>
      <bottom style="thin">
        <color theme="4" tint="0.39994506668294322"/>
      </bottom>
      <diagonal/>
    </border>
    <border>
      <left style="medium">
        <color auto="1"/>
      </left>
      <right/>
      <top/>
      <bottom style="medium">
        <color auto="1"/>
      </bottom>
      <diagonal/>
    </border>
    <border>
      <left style="medium">
        <color auto="1"/>
      </left>
      <right/>
      <top style="thin">
        <color theme="0"/>
      </top>
      <bottom style="thin">
        <color theme="4" tint="-0.24994659260841701"/>
      </bottom>
      <diagonal/>
    </border>
    <border>
      <left/>
      <right style="thin">
        <color theme="0"/>
      </right>
      <top style="thin">
        <color theme="0"/>
      </top>
      <bottom style="thin">
        <color theme="4" tint="0.39994506668294322"/>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style="thin">
        <color theme="5"/>
      </bottom>
      <diagonal/>
    </border>
    <border>
      <left style="medium">
        <color auto="1"/>
      </left>
      <right style="medium">
        <color auto="1"/>
      </right>
      <top style="medium">
        <color auto="1"/>
      </top>
      <bottom style="thin">
        <color theme="5"/>
      </bottom>
      <diagonal/>
    </border>
    <border>
      <left style="medium">
        <color auto="1"/>
      </left>
      <right style="medium">
        <color auto="1"/>
      </right>
      <top style="thin">
        <color theme="5"/>
      </top>
      <bottom style="thin">
        <color theme="5"/>
      </bottom>
      <diagonal/>
    </border>
    <border>
      <left style="medium">
        <color auto="1"/>
      </left>
      <right style="medium">
        <color auto="1"/>
      </right>
      <top style="thin">
        <color theme="5"/>
      </top>
      <bottom style="medium">
        <color auto="1"/>
      </bottom>
      <diagonal/>
    </border>
    <border>
      <left style="medium">
        <color theme="1"/>
      </left>
      <right style="medium">
        <color theme="1"/>
      </right>
      <top style="medium">
        <color theme="1"/>
      </top>
      <bottom/>
      <diagonal/>
    </border>
    <border>
      <left style="medium">
        <color theme="1"/>
      </left>
      <right style="medium">
        <color theme="1"/>
      </right>
      <top/>
      <bottom style="medium">
        <color auto="1"/>
      </bottom>
      <diagonal/>
    </border>
    <border>
      <left style="medium">
        <color auto="1"/>
      </left>
      <right style="medium">
        <color auto="1"/>
      </right>
      <top style="thin">
        <color theme="0" tint="-0.34998626667073579"/>
      </top>
      <bottom/>
      <diagonal/>
    </border>
    <border>
      <left style="thin">
        <color theme="0" tint="-0.34998626667073579"/>
      </left>
      <right style="medium">
        <color auto="1"/>
      </right>
      <top style="thin">
        <color theme="0" tint="-0.34998626667073579"/>
      </top>
      <bottom/>
      <diagonal/>
    </border>
  </borders>
  <cellStyleXfs count="8">
    <xf numFmtId="0" fontId="0"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44" fontId="4" fillId="0" borderId="0" applyFont="0" applyFill="0" applyBorder="0" applyAlignment="0" applyProtection="0"/>
    <xf numFmtId="0" fontId="4" fillId="0" borderId="0"/>
    <xf numFmtId="9" fontId="4" fillId="0" borderId="0" applyFont="0" applyFill="0" applyBorder="0" applyAlignment="0" applyProtection="0"/>
    <xf numFmtId="43" fontId="3" fillId="0" borderId="0" applyFont="0" applyFill="0" applyBorder="0" applyAlignment="0" applyProtection="0"/>
  </cellStyleXfs>
  <cellXfs count="530">
    <xf numFmtId="0" fontId="0" fillId="0" borderId="0" xfId="0"/>
    <xf numFmtId="44" fontId="0" fillId="0" borderId="0" xfId="2" applyFont="1"/>
    <xf numFmtId="0" fontId="0" fillId="0" borderId="0" xfId="0" applyAlignment="1">
      <alignment vertical="center"/>
    </xf>
    <xf numFmtId="0" fontId="1" fillId="0" borderId="0" xfId="0" applyFont="1" applyAlignment="1">
      <alignment vertical="center"/>
    </xf>
    <xf numFmtId="44" fontId="6" fillId="2" borderId="12" xfId="2" applyFont="1" applyFill="1" applyBorder="1" applyAlignment="1" applyProtection="1">
      <alignment horizontal="center" vertical="center"/>
    </xf>
    <xf numFmtId="44" fontId="6" fillId="2" borderId="15" xfId="2" applyFont="1" applyFill="1" applyBorder="1" applyAlignment="1" applyProtection="1">
      <alignment horizontal="center" vertical="center"/>
    </xf>
    <xf numFmtId="44" fontId="6" fillId="2" borderId="14" xfId="2" applyFont="1" applyFill="1" applyBorder="1" applyAlignment="1" applyProtection="1">
      <alignment horizontal="center" vertical="center"/>
    </xf>
    <xf numFmtId="44" fontId="0" fillId="0" borderId="0" xfId="2" applyFont="1" applyAlignment="1" applyProtection="1">
      <alignment vertical="center"/>
    </xf>
    <xf numFmtId="44" fontId="7" fillId="2" borderId="16" xfId="2" applyFont="1" applyFill="1" applyBorder="1" applyAlignment="1" applyProtection="1">
      <alignment horizontal="center" vertical="center"/>
    </xf>
    <xf numFmtId="44" fontId="7" fillId="2" borderId="2" xfId="2" applyFont="1" applyFill="1" applyBorder="1" applyAlignment="1" applyProtection="1">
      <alignment horizontal="center" vertical="center"/>
    </xf>
    <xf numFmtId="44" fontId="7" fillId="2" borderId="17" xfId="2" applyFont="1" applyFill="1" applyBorder="1" applyAlignment="1" applyProtection="1">
      <alignment horizontal="center" vertical="center"/>
    </xf>
    <xf numFmtId="44" fontId="0" fillId="2" borderId="25" xfId="2" applyFont="1" applyFill="1" applyBorder="1" applyAlignment="1" applyProtection="1">
      <alignment vertical="center"/>
    </xf>
    <xf numFmtId="166" fontId="0" fillId="0" borderId="0" xfId="2" applyNumberFormat="1" applyFont="1" applyProtection="1"/>
    <xf numFmtId="167" fontId="0" fillId="0" borderId="0" xfId="2" applyNumberFormat="1" applyFont="1" applyProtection="1"/>
    <xf numFmtId="0" fontId="0" fillId="2" borderId="0" xfId="0" applyFill="1"/>
    <xf numFmtId="165" fontId="0" fillId="0" borderId="8" xfId="0" applyNumberFormat="1" applyBorder="1" applyAlignment="1">
      <alignment horizontal="center" vertical="center"/>
    </xf>
    <xf numFmtId="0" fontId="0" fillId="0" borderId="18" xfId="0" applyBorder="1" applyAlignment="1">
      <alignment vertical="center"/>
    </xf>
    <xf numFmtId="0" fontId="0" fillId="0" borderId="20" xfId="0" applyBorder="1" applyAlignment="1">
      <alignment vertical="center"/>
    </xf>
    <xf numFmtId="0" fontId="0" fillId="0" borderId="8" xfId="0" applyBorder="1" applyAlignment="1">
      <alignment vertical="center"/>
    </xf>
    <xf numFmtId="0" fontId="9" fillId="2" borderId="24" xfId="0" applyFont="1" applyFill="1" applyBorder="1" applyAlignment="1">
      <alignment horizontal="center" vertical="center"/>
    </xf>
    <xf numFmtId="0" fontId="0" fillId="2" borderId="25" xfId="0" applyFill="1" applyBorder="1" applyAlignment="1">
      <alignment vertical="center"/>
    </xf>
    <xf numFmtId="0" fontId="9" fillId="2" borderId="44" xfId="0" applyFont="1" applyFill="1" applyBorder="1" applyAlignment="1">
      <alignment horizontal="center" vertical="center"/>
    </xf>
    <xf numFmtId="0" fontId="0" fillId="2" borderId="0" xfId="0" applyFill="1" applyAlignment="1">
      <alignment vertical="center"/>
    </xf>
    <xf numFmtId="0" fontId="0" fillId="0" borderId="13" xfId="0" applyBorder="1" applyAlignment="1">
      <alignment vertical="center"/>
    </xf>
    <xf numFmtId="0" fontId="0" fillId="2" borderId="13" xfId="0" applyFill="1" applyBorder="1" applyAlignment="1">
      <alignment vertical="center"/>
    </xf>
    <xf numFmtId="0" fontId="6" fillId="2" borderId="14" xfId="0" applyFont="1" applyFill="1" applyBorder="1" applyAlignment="1">
      <alignment vertical="center"/>
    </xf>
    <xf numFmtId="0" fontId="6" fillId="2" borderId="32"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5" borderId="39" xfId="0" applyFont="1" applyFill="1" applyBorder="1" applyAlignment="1">
      <alignment horizontal="center" vertical="center" wrapText="1"/>
    </xf>
    <xf numFmtId="0" fontId="6" fillId="5" borderId="35" xfId="0" applyFont="1" applyFill="1" applyBorder="1" applyAlignment="1">
      <alignment horizontal="center" vertical="center" wrapText="1"/>
    </xf>
    <xf numFmtId="0" fontId="6" fillId="5" borderId="37" xfId="0" applyFont="1" applyFill="1" applyBorder="1" applyAlignment="1">
      <alignment horizontal="center" vertical="center" wrapText="1"/>
    </xf>
    <xf numFmtId="0" fontId="7" fillId="2" borderId="14" xfId="0" applyFont="1" applyFill="1" applyBorder="1" applyAlignment="1">
      <alignment horizontal="center" vertical="center"/>
    </xf>
    <xf numFmtId="0" fontId="7" fillId="2" borderId="16"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1" fillId="5" borderId="41" xfId="0" applyFont="1" applyFill="1" applyBorder="1" applyAlignment="1">
      <alignment horizontal="center" vertical="center"/>
    </xf>
    <xf numFmtId="0" fontId="11" fillId="5" borderId="40" xfId="0" applyFont="1" applyFill="1" applyBorder="1" applyAlignment="1">
      <alignment horizontal="center" vertical="center"/>
    </xf>
    <xf numFmtId="0" fontId="11" fillId="5" borderId="36" xfId="0" applyFont="1" applyFill="1" applyBorder="1" applyAlignment="1">
      <alignment horizontal="center" vertical="center"/>
    </xf>
    <xf numFmtId="0" fontId="11" fillId="5" borderId="38" xfId="0" applyFont="1" applyFill="1" applyBorder="1" applyAlignment="1">
      <alignment horizontal="center" vertical="center"/>
    </xf>
    <xf numFmtId="0" fontId="6" fillId="2" borderId="23" xfId="0" applyFont="1" applyFill="1" applyBorder="1" applyAlignment="1">
      <alignment vertical="center"/>
    </xf>
    <xf numFmtId="0" fontId="6" fillId="2" borderId="15"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2" borderId="17" xfId="0" applyFont="1" applyFill="1" applyBorder="1" applyAlignment="1">
      <alignment horizontal="center" vertical="center"/>
    </xf>
    <xf numFmtId="0" fontId="9" fillId="2" borderId="26" xfId="0" applyFont="1" applyFill="1" applyBorder="1" applyAlignment="1">
      <alignment vertical="center"/>
    </xf>
    <xf numFmtId="0" fontId="6" fillId="2" borderId="14"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0" fillId="0" borderId="18" xfId="0" applyBorder="1" applyAlignment="1">
      <alignment horizontal="center" vertical="center"/>
    </xf>
    <xf numFmtId="164" fontId="0" fillId="0" borderId="6" xfId="0" applyNumberFormat="1" applyBorder="1" applyAlignment="1">
      <alignment horizontal="center" vertical="center"/>
    </xf>
    <xf numFmtId="0" fontId="9" fillId="2" borderId="31" xfId="0" applyFont="1" applyFill="1" applyBorder="1" applyAlignment="1">
      <alignment vertical="center"/>
    </xf>
    <xf numFmtId="0" fontId="12" fillId="2" borderId="3" xfId="0" applyFont="1" applyFill="1" applyBorder="1" applyAlignment="1">
      <alignment vertical="center"/>
    </xf>
    <xf numFmtId="44" fontId="0" fillId="2" borderId="0" xfId="0" applyNumberFormat="1" applyFill="1"/>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xf>
    <xf numFmtId="0" fontId="13" fillId="8" borderId="45" xfId="0" applyFont="1" applyFill="1" applyBorder="1" applyAlignment="1">
      <alignment horizontal="center" vertical="center"/>
    </xf>
    <xf numFmtId="0" fontId="1" fillId="0" borderId="46" xfId="0" applyFont="1" applyBorder="1" applyAlignment="1">
      <alignment horizontal="center" vertical="center"/>
    </xf>
    <xf numFmtId="0" fontId="1" fillId="0" borderId="47" xfId="0" applyFont="1" applyBorder="1" applyAlignment="1">
      <alignment horizontal="center" vertical="center"/>
    </xf>
    <xf numFmtId="0" fontId="0" fillId="0" borderId="47" xfId="0" applyBorder="1" applyAlignment="1">
      <alignment horizontal="left"/>
    </xf>
    <xf numFmtId="0" fontId="0" fillId="0" borderId="48" xfId="0" applyBorder="1"/>
    <xf numFmtId="0" fontId="0" fillId="0" borderId="47" xfId="0" applyBorder="1" applyAlignment="1">
      <alignment horizontal="center" vertical="center"/>
    </xf>
    <xf numFmtId="14" fontId="0" fillId="0" borderId="47" xfId="0" applyNumberFormat="1" applyBorder="1" applyAlignment="1">
      <alignment horizontal="center" vertical="center"/>
    </xf>
    <xf numFmtId="14" fontId="0" fillId="0" borderId="47" xfId="0" applyNumberFormat="1" applyBorder="1" applyAlignment="1">
      <alignment horizontal="left"/>
    </xf>
    <xf numFmtId="0" fontId="0" fillId="0" borderId="50" xfId="0" applyBorder="1" applyAlignment="1">
      <alignment horizontal="center" vertical="center"/>
    </xf>
    <xf numFmtId="14" fontId="0" fillId="0" borderId="50" xfId="0" applyNumberFormat="1" applyBorder="1" applyAlignment="1">
      <alignment horizontal="left"/>
    </xf>
    <xf numFmtId="0" fontId="0" fillId="0" borderId="51" xfId="0" applyBorder="1"/>
    <xf numFmtId="0" fontId="0" fillId="0" borderId="46" xfId="0" applyBorder="1" applyAlignment="1">
      <alignment horizontal="center"/>
    </xf>
    <xf numFmtId="0" fontId="0" fillId="0" borderId="49" xfId="0" applyBorder="1" applyAlignment="1">
      <alignment horizontal="center"/>
    </xf>
    <xf numFmtId="0" fontId="0" fillId="9" borderId="0" xfId="0" applyFill="1"/>
    <xf numFmtId="0" fontId="0" fillId="0" borderId="59" xfId="0" applyBorder="1" applyAlignment="1">
      <alignment vertical="center"/>
    </xf>
    <xf numFmtId="0" fontId="0" fillId="7" borderId="18" xfId="0" applyFill="1" applyBorder="1" applyAlignment="1">
      <alignment vertical="center"/>
    </xf>
    <xf numFmtId="0" fontId="0" fillId="7" borderId="8" xfId="0" applyFill="1" applyBorder="1" applyAlignment="1">
      <alignment vertical="center"/>
    </xf>
    <xf numFmtId="164" fontId="0" fillId="7" borderId="61" xfId="0" applyNumberFormat="1" applyFill="1" applyBorder="1" applyAlignment="1">
      <alignment horizontal="center" vertical="center"/>
    </xf>
    <xf numFmtId="164" fontId="0" fillId="0" borderId="61" xfId="0" applyNumberFormat="1" applyBorder="1" applyAlignment="1">
      <alignment horizontal="center" vertical="center"/>
    </xf>
    <xf numFmtId="0" fontId="0" fillId="0" borderId="60" xfId="0" applyBorder="1" applyAlignment="1">
      <alignment vertical="center"/>
    </xf>
    <xf numFmtId="164" fontId="8" fillId="0" borderId="61" xfId="0" applyNumberFormat="1" applyFont="1" applyBorder="1" applyAlignment="1">
      <alignment horizontal="center" vertical="center"/>
    </xf>
    <xf numFmtId="0" fontId="0" fillId="0" borderId="62" xfId="0" applyBorder="1" applyAlignment="1">
      <alignment vertical="center"/>
    </xf>
    <xf numFmtId="0" fontId="0" fillId="0" borderId="63" xfId="0" applyBorder="1" applyAlignment="1">
      <alignment vertical="center"/>
    </xf>
    <xf numFmtId="0" fontId="0" fillId="7" borderId="6" xfId="0" applyFill="1" applyBorder="1" applyAlignment="1">
      <alignment vertical="center"/>
    </xf>
    <xf numFmtId="0" fontId="0" fillId="7" borderId="65" xfId="0" applyFill="1" applyBorder="1" applyAlignment="1">
      <alignment vertical="center"/>
    </xf>
    <xf numFmtId="0" fontId="0" fillId="7" borderId="7" xfId="0" applyFill="1" applyBorder="1" applyAlignment="1">
      <alignment vertical="center"/>
    </xf>
    <xf numFmtId="0" fontId="0" fillId="0" borderId="9" xfId="0" applyBorder="1" applyAlignment="1">
      <alignment vertical="center"/>
    </xf>
    <xf numFmtId="0" fontId="0" fillId="7" borderId="9" xfId="0" applyFill="1" applyBorder="1" applyAlignment="1">
      <alignment vertical="center"/>
    </xf>
    <xf numFmtId="0" fontId="8" fillId="7" borderId="9" xfId="0" applyFont="1" applyFill="1" applyBorder="1" applyAlignment="1">
      <alignment vertical="center"/>
    </xf>
    <xf numFmtId="0" fontId="0" fillId="0" borderId="66" xfId="0" applyBorder="1" applyAlignment="1">
      <alignment vertical="center"/>
    </xf>
    <xf numFmtId="164" fontId="0" fillId="7" borderId="65" xfId="0" applyNumberFormat="1" applyFill="1" applyBorder="1" applyAlignment="1">
      <alignment horizontal="center" vertical="center"/>
    </xf>
    <xf numFmtId="164" fontId="0" fillId="7" borderId="6" xfId="0" applyNumberFormat="1" applyFill="1" applyBorder="1" applyAlignment="1">
      <alignment horizontal="center" vertical="center"/>
    </xf>
    <xf numFmtId="164" fontId="8" fillId="0" borderId="6" xfId="0" applyNumberFormat="1" applyFont="1" applyBorder="1" applyAlignment="1">
      <alignment horizontal="center" vertical="center"/>
    </xf>
    <xf numFmtId="164" fontId="0" fillId="0" borderId="67" xfId="0" applyNumberFormat="1" applyBorder="1" applyAlignment="1">
      <alignment horizontal="center" vertical="center"/>
    </xf>
    <xf numFmtId="164" fontId="0" fillId="0" borderId="64" xfId="0" applyNumberFormat="1" applyBorder="1" applyAlignment="1">
      <alignment horizontal="center" vertical="center"/>
    </xf>
    <xf numFmtId="8" fontId="0" fillId="0" borderId="0" xfId="0" applyNumberFormat="1" applyAlignment="1">
      <alignment vertical="center"/>
    </xf>
    <xf numFmtId="0" fontId="0" fillId="0" borderId="46" xfId="0" applyBorder="1" applyAlignment="1">
      <alignment horizontal="center" wrapText="1"/>
    </xf>
    <xf numFmtId="10" fontId="8" fillId="0" borderId="8" xfId="1" applyNumberFormat="1" applyFont="1" applyFill="1" applyBorder="1" applyAlignment="1" applyProtection="1">
      <alignment horizontal="center" vertical="center"/>
    </xf>
    <xf numFmtId="0" fontId="1" fillId="0" borderId="0" xfId="0" applyFont="1" applyAlignment="1">
      <alignment horizontal="center" vertical="center"/>
    </xf>
    <xf numFmtId="44" fontId="1" fillId="0" borderId="0" xfId="2" applyFont="1" applyAlignment="1">
      <alignment horizontal="center" vertical="center"/>
    </xf>
    <xf numFmtId="44" fontId="0" fillId="0" borderId="0" xfId="2" applyFont="1" applyFill="1"/>
    <xf numFmtId="44" fontId="1" fillId="10" borderId="80" xfId="2" applyFont="1" applyFill="1" applyBorder="1" applyAlignment="1">
      <alignment horizontal="center" vertical="center"/>
    </xf>
    <xf numFmtId="0" fontId="15" fillId="0" borderId="0" xfId="0" applyFont="1"/>
    <xf numFmtId="43" fontId="0" fillId="0" borderId="33" xfId="2" applyNumberFormat="1" applyFont="1" applyFill="1" applyBorder="1"/>
    <xf numFmtId="9" fontId="0" fillId="0" borderId="33" xfId="1" applyFont="1" applyFill="1" applyBorder="1" applyAlignment="1">
      <alignment horizontal="center" vertical="center"/>
    </xf>
    <xf numFmtId="164" fontId="0" fillId="0" borderId="0" xfId="0" applyNumberFormat="1" applyAlignment="1">
      <alignment horizontal="center"/>
    </xf>
    <xf numFmtId="0" fontId="1" fillId="4" borderId="0" xfId="0" applyFont="1" applyFill="1" applyAlignment="1">
      <alignment horizontal="center" vertical="center"/>
    </xf>
    <xf numFmtId="9" fontId="0" fillId="12" borderId="0" xfId="1" applyFont="1" applyFill="1" applyAlignment="1">
      <alignment horizontal="center"/>
    </xf>
    <xf numFmtId="9" fontId="0" fillId="13" borderId="0" xfId="1" applyFont="1" applyFill="1" applyAlignment="1">
      <alignment horizontal="center"/>
    </xf>
    <xf numFmtId="0" fontId="0" fillId="0" borderId="81" xfId="0" applyBorder="1" applyAlignment="1">
      <alignment vertical="center"/>
    </xf>
    <xf numFmtId="0" fontId="0" fillId="0" borderId="65" xfId="0" applyBorder="1" applyAlignment="1">
      <alignment vertical="center"/>
    </xf>
    <xf numFmtId="0" fontId="0" fillId="0" borderId="65" xfId="0" applyBorder="1" applyAlignment="1">
      <alignment horizontal="center" vertical="center"/>
    </xf>
    <xf numFmtId="165" fontId="0" fillId="0" borderId="65" xfId="0" applyNumberFormat="1" applyBorder="1" applyAlignment="1">
      <alignment horizontal="center" vertical="center"/>
    </xf>
    <xf numFmtId="10" fontId="3" fillId="0" borderId="65" xfId="1" applyNumberFormat="1" applyFont="1" applyFill="1" applyBorder="1" applyAlignment="1" applyProtection="1">
      <alignment horizontal="center" vertical="center"/>
    </xf>
    <xf numFmtId="44" fontId="0" fillId="0" borderId="82" xfId="2" applyFont="1" applyFill="1" applyBorder="1" applyAlignment="1" applyProtection="1">
      <alignment vertical="center"/>
    </xf>
    <xf numFmtId="165" fontId="0" fillId="0" borderId="63" xfId="0" applyNumberFormat="1" applyBorder="1" applyAlignment="1">
      <alignment horizontal="center" vertical="center"/>
    </xf>
    <xf numFmtId="0" fontId="7" fillId="2" borderId="90" xfId="0" applyFont="1" applyFill="1" applyBorder="1" applyAlignment="1">
      <alignment horizontal="center" vertical="center"/>
    </xf>
    <xf numFmtId="0" fontId="0" fillId="0" borderId="84" xfId="0" applyBorder="1" applyAlignment="1">
      <alignment vertical="center"/>
    </xf>
    <xf numFmtId="0" fontId="0" fillId="0" borderId="81" xfId="0" applyBorder="1" applyAlignment="1">
      <alignment horizontal="center" vertical="center"/>
    </xf>
    <xf numFmtId="164" fontId="0" fillId="0" borderId="65" xfId="0" applyNumberFormat="1" applyBorder="1" applyAlignment="1">
      <alignment horizontal="center" vertical="center"/>
    </xf>
    <xf numFmtId="0" fontId="0" fillId="0" borderId="84" xfId="0" applyBorder="1" applyAlignment="1">
      <alignment horizontal="center" vertical="center"/>
    </xf>
    <xf numFmtId="164" fontId="0" fillId="0" borderId="84" xfId="0" applyNumberFormat="1" applyBorder="1" applyAlignment="1">
      <alignment horizontal="center" vertical="center"/>
    </xf>
    <xf numFmtId="0" fontId="0" fillId="0" borderId="82" xfId="0" applyBorder="1" applyAlignment="1">
      <alignment horizontal="center" vertical="center"/>
    </xf>
    <xf numFmtId="164" fontId="0" fillId="0" borderId="83" xfId="0" applyNumberFormat="1" applyBorder="1" applyAlignment="1">
      <alignment horizontal="center" vertical="center"/>
    </xf>
    <xf numFmtId="10" fontId="8" fillId="0" borderId="65" xfId="1" applyNumberFormat="1" applyFont="1" applyFill="1" applyBorder="1" applyAlignment="1" applyProtection="1">
      <alignment horizontal="center" vertical="center"/>
    </xf>
    <xf numFmtId="10" fontId="8" fillId="0" borderId="63" xfId="1" applyNumberFormat="1" applyFont="1" applyFill="1" applyBorder="1" applyAlignment="1" applyProtection="1">
      <alignment horizontal="center" vertical="center"/>
    </xf>
    <xf numFmtId="0" fontId="9" fillId="2" borderId="25" xfId="0" applyFont="1" applyFill="1" applyBorder="1" applyAlignment="1">
      <alignment horizontal="center" vertical="center"/>
    </xf>
    <xf numFmtId="0" fontId="9" fillId="2" borderId="27" xfId="0" applyFont="1" applyFill="1" applyBorder="1" applyAlignment="1">
      <alignment horizontal="center" vertical="center"/>
    </xf>
    <xf numFmtId="0" fontId="8" fillId="0" borderId="0" xfId="0" applyFont="1"/>
    <xf numFmtId="0" fontId="8" fillId="14" borderId="0" xfId="0" applyFont="1" applyFill="1"/>
    <xf numFmtId="44" fontId="8" fillId="14" borderId="0" xfId="2" applyFont="1" applyFill="1"/>
    <xf numFmtId="43" fontId="8" fillId="14" borderId="33" xfId="2" applyNumberFormat="1" applyFont="1" applyFill="1" applyBorder="1"/>
    <xf numFmtId="9" fontId="0" fillId="0" borderId="33" xfId="1" applyFont="1" applyFill="1" applyBorder="1" applyAlignment="1">
      <alignment horizontal="center"/>
    </xf>
    <xf numFmtId="9" fontId="8" fillId="14" borderId="33" xfId="1" applyFont="1" applyFill="1" applyBorder="1" applyAlignment="1">
      <alignment horizontal="center"/>
    </xf>
    <xf numFmtId="0" fontId="0" fillId="15" borderId="0" xfId="0" applyFill="1"/>
    <xf numFmtId="44" fontId="0" fillId="15" borderId="0" xfId="2" applyFont="1" applyFill="1"/>
    <xf numFmtId="0" fontId="8" fillId="15" borderId="0" xfId="0" applyFont="1" applyFill="1"/>
    <xf numFmtId="44" fontId="8" fillId="15" borderId="0" xfId="2" applyFont="1" applyFill="1"/>
    <xf numFmtId="9" fontId="0" fillId="15" borderId="33" xfId="1" applyFont="1" applyFill="1" applyBorder="1" applyAlignment="1">
      <alignment horizontal="center"/>
    </xf>
    <xf numFmtId="43" fontId="0" fillId="15" borderId="33" xfId="2" applyNumberFormat="1" applyFont="1" applyFill="1" applyBorder="1"/>
    <xf numFmtId="0" fontId="18" fillId="10" borderId="91" xfId="2" applyNumberFormat="1" applyFont="1" applyFill="1" applyBorder="1" applyAlignment="1">
      <alignment horizontal="center" vertical="center"/>
    </xf>
    <xf numFmtId="44" fontId="1" fillId="10" borderId="92" xfId="2" applyFont="1" applyFill="1" applyBorder="1" applyAlignment="1">
      <alignment horizontal="center" vertical="center"/>
    </xf>
    <xf numFmtId="9" fontId="8" fillId="14" borderId="0" xfId="1" applyFont="1" applyFill="1" applyAlignment="1">
      <alignment horizontal="center"/>
    </xf>
    <xf numFmtId="44" fontId="16" fillId="11" borderId="94" xfId="2" applyFont="1" applyFill="1" applyBorder="1" applyAlignment="1">
      <alignment horizontal="center" vertical="center"/>
    </xf>
    <xf numFmtId="43" fontId="8" fillId="11" borderId="95" xfId="2" applyNumberFormat="1" applyFont="1" applyFill="1" applyBorder="1"/>
    <xf numFmtId="43" fontId="15" fillId="11" borderId="95" xfId="2" applyNumberFormat="1" applyFont="1" applyFill="1" applyBorder="1"/>
    <xf numFmtId="43" fontId="8" fillId="11" borderId="96" xfId="2" applyNumberFormat="1" applyFont="1" applyFill="1" applyBorder="1"/>
    <xf numFmtId="44" fontId="1" fillId="10" borderId="97" xfId="2" applyFont="1" applyFill="1" applyBorder="1" applyAlignment="1">
      <alignment horizontal="center" vertical="center"/>
    </xf>
    <xf numFmtId="44" fontId="16" fillId="11" borderId="99" xfId="2" applyFont="1" applyFill="1" applyBorder="1" applyAlignment="1">
      <alignment horizontal="center" vertical="center"/>
    </xf>
    <xf numFmtId="44" fontId="8" fillId="11" borderId="100" xfId="2" applyFont="1" applyFill="1" applyBorder="1"/>
    <xf numFmtId="44" fontId="15" fillId="11" borderId="100" xfId="2" applyFont="1" applyFill="1" applyBorder="1"/>
    <xf numFmtId="44" fontId="8" fillId="11" borderId="101" xfId="2" applyFont="1" applyFill="1" applyBorder="1"/>
    <xf numFmtId="9" fontId="0" fillId="0" borderId="42" xfId="1" applyFont="1" applyFill="1" applyBorder="1" applyAlignment="1">
      <alignment horizontal="center" vertical="center"/>
    </xf>
    <xf numFmtId="9" fontId="8" fillId="14" borderId="42" xfId="1" applyFont="1" applyFill="1" applyBorder="1" applyAlignment="1">
      <alignment horizontal="center" vertical="center"/>
    </xf>
    <xf numFmtId="0" fontId="8" fillId="11" borderId="100" xfId="0" applyFont="1" applyFill="1" applyBorder="1"/>
    <xf numFmtId="0" fontId="16" fillId="11" borderId="100" xfId="2" applyNumberFormat="1" applyFont="1" applyFill="1" applyBorder="1" applyAlignment="1">
      <alignment horizontal="center" vertical="center"/>
    </xf>
    <xf numFmtId="44" fontId="19" fillId="11" borderId="100" xfId="2" applyFont="1" applyFill="1" applyBorder="1" applyAlignment="1">
      <alignment horizontal="center" vertical="center"/>
    </xf>
    <xf numFmtId="0" fontId="6" fillId="9" borderId="0" xfId="0" applyFont="1" applyFill="1"/>
    <xf numFmtId="9" fontId="0" fillId="0" borderId="3" xfId="1" applyFont="1" applyFill="1" applyBorder="1" applyAlignment="1">
      <alignment horizontal="center" vertical="center"/>
    </xf>
    <xf numFmtId="44" fontId="19" fillId="11" borderId="101" xfId="2" applyFont="1" applyFill="1" applyBorder="1" applyAlignment="1">
      <alignment horizontal="center" vertical="center"/>
    </xf>
    <xf numFmtId="9" fontId="8" fillId="0" borderId="42" xfId="1" applyFont="1" applyFill="1" applyBorder="1" applyAlignment="1">
      <alignment horizontal="center" vertical="center"/>
    </xf>
    <xf numFmtId="44" fontId="8" fillId="0" borderId="0" xfId="2" applyFont="1" applyFill="1"/>
    <xf numFmtId="43" fontId="8" fillId="0" borderId="33" xfId="2" applyNumberFormat="1" applyFont="1" applyFill="1" applyBorder="1"/>
    <xf numFmtId="9" fontId="8" fillId="0" borderId="33" xfId="1" applyFont="1" applyFill="1" applyBorder="1" applyAlignment="1">
      <alignment horizontal="center"/>
    </xf>
    <xf numFmtId="0" fontId="21" fillId="0" borderId="0" xfId="0" applyFont="1" applyAlignment="1">
      <alignment horizontal="center" vertical="center" wrapText="1"/>
    </xf>
    <xf numFmtId="0" fontId="21" fillId="0" borderId="0" xfId="0" applyFont="1" applyAlignment="1">
      <alignment horizontal="center" vertical="center"/>
    </xf>
    <xf numFmtId="168" fontId="0" fillId="15" borderId="42" xfId="2" applyNumberFormat="1" applyFont="1" applyFill="1" applyBorder="1"/>
    <xf numFmtId="168" fontId="0" fillId="15" borderId="33" xfId="2" applyNumberFormat="1" applyFont="1" applyFill="1" applyBorder="1"/>
    <xf numFmtId="168" fontId="8" fillId="15" borderId="42" xfId="2" applyNumberFormat="1" applyFont="1" applyFill="1" applyBorder="1"/>
    <xf numFmtId="168" fontId="8" fillId="15" borderId="33" xfId="2" applyNumberFormat="1" applyFont="1" applyFill="1" applyBorder="1"/>
    <xf numFmtId="168" fontId="0" fillId="0" borderId="42" xfId="2" applyNumberFormat="1" applyFont="1" applyFill="1" applyBorder="1"/>
    <xf numFmtId="168" fontId="0" fillId="0" borderId="33" xfId="2" applyNumberFormat="1" applyFont="1" applyFill="1" applyBorder="1"/>
    <xf numFmtId="168" fontId="0" fillId="0" borderId="98" xfId="2" applyNumberFormat="1" applyFont="1" applyFill="1" applyBorder="1"/>
    <xf numFmtId="168" fontId="0" fillId="0" borderId="37" xfId="2" applyNumberFormat="1" applyFont="1" applyFill="1" applyBorder="1"/>
    <xf numFmtId="168" fontId="0" fillId="0" borderId="0" xfId="2" applyNumberFormat="1" applyFont="1" applyFill="1" applyBorder="1" applyAlignment="1">
      <alignment horizontal="center"/>
    </xf>
    <xf numFmtId="168" fontId="8" fillId="14" borderId="42" xfId="2" applyNumberFormat="1" applyFont="1" applyFill="1" applyBorder="1"/>
    <xf numFmtId="168" fontId="8" fillId="14" borderId="33" xfId="2" applyNumberFormat="1" applyFont="1" applyFill="1" applyBorder="1"/>
    <xf numFmtId="168" fontId="8" fillId="0" borderId="42" xfId="2" applyNumberFormat="1" applyFont="1" applyFill="1" applyBorder="1"/>
    <xf numFmtId="168" fontId="8" fillId="0" borderId="33" xfId="2" applyNumberFormat="1" applyFont="1" applyFill="1" applyBorder="1"/>
    <xf numFmtId="44" fontId="6" fillId="2" borderId="102" xfId="2" applyFont="1" applyFill="1" applyBorder="1" applyAlignment="1" applyProtection="1">
      <alignment horizontal="center" vertical="center"/>
    </xf>
    <xf numFmtId="44" fontId="7" fillId="2" borderId="3" xfId="2" applyFont="1" applyFill="1" applyBorder="1" applyAlignment="1" applyProtection="1">
      <alignment horizontal="center" vertical="center"/>
    </xf>
    <xf numFmtId="4" fontId="0" fillId="0" borderId="65" xfId="0" applyNumberFormat="1" applyBorder="1" applyAlignment="1">
      <alignment horizontal="center" vertical="center"/>
    </xf>
    <xf numFmtId="10" fontId="8" fillId="0" borderId="58" xfId="1" applyNumberFormat="1" applyFont="1" applyFill="1" applyBorder="1" applyAlignment="1" applyProtection="1">
      <alignment horizontal="center" vertical="center"/>
    </xf>
    <xf numFmtId="10" fontId="8" fillId="0" borderId="9" xfId="1" applyNumberFormat="1" applyFont="1" applyFill="1" applyBorder="1" applyAlignment="1" applyProtection="1">
      <alignment horizontal="center" vertical="center"/>
    </xf>
    <xf numFmtId="0" fontId="20" fillId="0" borderId="0" xfId="0" applyFont="1" applyAlignment="1">
      <alignment vertical="center"/>
    </xf>
    <xf numFmtId="9" fontId="20" fillId="0" borderId="0" xfId="1" applyFont="1" applyAlignment="1">
      <alignment horizontal="center" vertical="center"/>
    </xf>
    <xf numFmtId="0" fontId="20" fillId="26" borderId="0" xfId="0" applyFont="1" applyFill="1" applyAlignment="1">
      <alignment vertical="center"/>
    </xf>
    <xf numFmtId="9" fontId="20" fillId="26" borderId="0" xfId="1" applyFont="1" applyFill="1" applyAlignment="1">
      <alignment horizontal="center" vertical="center"/>
    </xf>
    <xf numFmtId="0" fontId="20" fillId="13" borderId="0" xfId="0" applyFont="1" applyFill="1" applyAlignment="1">
      <alignment vertical="center"/>
    </xf>
    <xf numFmtId="9" fontId="20" fillId="13" borderId="0" xfId="1" applyFont="1" applyFill="1" applyAlignment="1">
      <alignment horizontal="center" vertical="center"/>
    </xf>
    <xf numFmtId="44" fontId="1" fillId="10" borderId="4" xfId="2" applyFont="1" applyFill="1" applyBorder="1" applyAlignment="1">
      <alignment horizontal="center" vertical="center"/>
    </xf>
    <xf numFmtId="9" fontId="17" fillId="16" borderId="0" xfId="1" applyFont="1" applyFill="1" applyBorder="1" applyAlignment="1">
      <alignment horizontal="center" vertical="center"/>
    </xf>
    <xf numFmtId="9" fontId="17" fillId="17" borderId="0" xfId="1" applyFont="1" applyFill="1" applyBorder="1" applyAlignment="1">
      <alignment horizontal="center" vertical="center"/>
    </xf>
    <xf numFmtId="9" fontId="0" fillId="18" borderId="0" xfId="1" applyFont="1" applyFill="1" applyBorder="1" applyAlignment="1">
      <alignment horizontal="center" vertical="center"/>
    </xf>
    <xf numFmtId="9" fontId="17" fillId="19" borderId="0" xfId="1" applyFont="1" applyFill="1" applyBorder="1" applyAlignment="1">
      <alignment horizontal="center" vertical="center"/>
    </xf>
    <xf numFmtId="9" fontId="17" fillId="20" borderId="0" xfId="1" applyFont="1" applyFill="1" applyBorder="1" applyAlignment="1">
      <alignment horizontal="center" vertical="center"/>
    </xf>
    <xf numFmtId="9" fontId="17" fillId="21" borderId="0" xfId="1" applyFont="1" applyFill="1" applyBorder="1" applyAlignment="1">
      <alignment horizontal="center" vertical="center"/>
    </xf>
    <xf numFmtId="9" fontId="0" fillId="8" borderId="0" xfId="1" applyFont="1" applyFill="1" applyBorder="1" applyAlignment="1">
      <alignment horizontal="center" vertical="center"/>
    </xf>
    <xf numFmtId="9" fontId="0" fillId="24" borderId="0" xfId="1" applyFont="1" applyFill="1" applyBorder="1" applyAlignment="1">
      <alignment horizontal="center" vertical="center"/>
    </xf>
    <xf numFmtId="9" fontId="0" fillId="22" borderId="0" xfId="1" applyFont="1" applyFill="1" applyBorder="1" applyAlignment="1">
      <alignment horizontal="center" vertical="center"/>
    </xf>
    <xf numFmtId="9" fontId="0" fillId="0" borderId="0" xfId="1" applyFont="1" applyFill="1" applyBorder="1" applyAlignment="1">
      <alignment horizontal="center" vertical="center"/>
    </xf>
    <xf numFmtId="9" fontId="0" fillId="23" borderId="0" xfId="1" applyFont="1" applyFill="1" applyBorder="1" applyAlignment="1">
      <alignment horizontal="center" vertical="center"/>
    </xf>
    <xf numFmtId="9" fontId="0" fillId="6" borderId="0" xfId="1" applyFont="1" applyFill="1" applyBorder="1" applyAlignment="1">
      <alignment horizontal="center" vertical="center"/>
    </xf>
    <xf numFmtId="9" fontId="8" fillId="14" borderId="0" xfId="1" applyFont="1" applyFill="1" applyBorder="1" applyAlignment="1">
      <alignment horizontal="center" vertical="center"/>
    </xf>
    <xf numFmtId="9" fontId="8" fillId="0" borderId="0" xfId="1" applyFont="1" applyFill="1" applyBorder="1" applyAlignment="1">
      <alignment horizontal="center" vertical="center"/>
    </xf>
    <xf numFmtId="9" fontId="0" fillId="0" borderId="0" xfId="1" applyFont="1"/>
    <xf numFmtId="9" fontId="0" fillId="0" borderId="0" xfId="1" applyFont="1" applyAlignment="1">
      <alignment horizontal="center"/>
    </xf>
    <xf numFmtId="9" fontId="0" fillId="14" borderId="33" xfId="1" applyFont="1" applyFill="1" applyBorder="1" applyAlignment="1">
      <alignment horizontal="center" vertical="center"/>
    </xf>
    <xf numFmtId="9" fontId="20" fillId="14" borderId="0" xfId="1" applyFont="1" applyFill="1" applyAlignment="1">
      <alignment horizontal="center" vertical="center"/>
    </xf>
    <xf numFmtId="0" fontId="20" fillId="14" borderId="0" xfId="0" applyFont="1" applyFill="1" applyAlignment="1">
      <alignment vertical="center"/>
    </xf>
    <xf numFmtId="17" fontId="0" fillId="0" borderId="0" xfId="0" applyNumberFormat="1"/>
    <xf numFmtId="0" fontId="23" fillId="9" borderId="0" xfId="0" applyFont="1" applyFill="1"/>
    <xf numFmtId="14" fontId="22" fillId="9" borderId="0" xfId="0" applyNumberFormat="1" applyFont="1" applyFill="1"/>
    <xf numFmtId="0" fontId="6" fillId="9" borderId="0" xfId="0" applyFont="1" applyFill="1" applyAlignment="1">
      <alignment horizontal="right" indent="1"/>
    </xf>
    <xf numFmtId="0" fontId="0" fillId="0" borderId="43" xfId="0" applyBorder="1"/>
    <xf numFmtId="9" fontId="0" fillId="6" borderId="43" xfId="1" applyFont="1" applyFill="1" applyBorder="1" applyAlignment="1">
      <alignment horizontal="center" vertical="center"/>
    </xf>
    <xf numFmtId="9" fontId="17" fillId="16" borderId="43" xfId="1" applyFont="1" applyFill="1" applyBorder="1" applyAlignment="1">
      <alignment horizontal="center" vertical="center"/>
    </xf>
    <xf numFmtId="9" fontId="17" fillId="17" borderId="43" xfId="1" applyFont="1" applyFill="1" applyBorder="1" applyAlignment="1">
      <alignment horizontal="center" vertical="center"/>
    </xf>
    <xf numFmtId="9" fontId="0" fillId="18" borderId="43" xfId="1" applyFont="1" applyFill="1" applyBorder="1" applyAlignment="1">
      <alignment horizontal="center" vertical="center"/>
    </xf>
    <xf numFmtId="9" fontId="17" fillId="19" borderId="43" xfId="1" applyFont="1" applyFill="1" applyBorder="1" applyAlignment="1">
      <alignment horizontal="center" vertical="center"/>
    </xf>
    <xf numFmtId="9" fontId="17" fillId="20" borderId="43" xfId="1" applyFont="1" applyFill="1" applyBorder="1" applyAlignment="1">
      <alignment horizontal="center" vertical="center"/>
    </xf>
    <xf numFmtId="9" fontId="17" fillId="21" borderId="43" xfId="1" applyFont="1" applyFill="1" applyBorder="1" applyAlignment="1">
      <alignment horizontal="center" vertical="center"/>
    </xf>
    <xf numFmtId="9" fontId="0" fillId="8" borderId="43" xfId="1" applyFont="1" applyFill="1" applyBorder="1" applyAlignment="1">
      <alignment horizontal="center" vertical="center"/>
    </xf>
    <xf numFmtId="9" fontId="0" fillId="24" borderId="43" xfId="1" applyFont="1" applyFill="1" applyBorder="1" applyAlignment="1">
      <alignment horizontal="center" vertical="center"/>
    </xf>
    <xf numFmtId="9" fontId="0" fillId="22" borderId="43" xfId="1" applyFont="1" applyFill="1" applyBorder="1" applyAlignment="1">
      <alignment horizontal="center" vertical="center"/>
    </xf>
    <xf numFmtId="9" fontId="0" fillId="23" borderId="43" xfId="1" applyFont="1" applyFill="1" applyBorder="1" applyAlignment="1">
      <alignment horizontal="center" vertical="center"/>
    </xf>
    <xf numFmtId="9" fontId="0" fillId="25" borderId="43" xfId="1" applyFont="1" applyFill="1" applyBorder="1" applyAlignment="1">
      <alignment horizontal="center" vertical="center"/>
    </xf>
    <xf numFmtId="9" fontId="8" fillId="0" borderId="33" xfId="1" applyFont="1" applyFill="1" applyBorder="1" applyAlignment="1">
      <alignment horizontal="center" vertical="center"/>
    </xf>
    <xf numFmtId="9" fontId="19" fillId="14" borderId="42" xfId="1" applyFont="1" applyFill="1" applyBorder="1" applyAlignment="1">
      <alignment horizontal="center" vertical="center"/>
    </xf>
    <xf numFmtId="9" fontId="8" fillId="0" borderId="37" xfId="1" applyFont="1" applyFill="1" applyBorder="1" applyAlignment="1">
      <alignment horizontal="center" vertical="center"/>
    </xf>
    <xf numFmtId="9" fontId="0" fillId="0" borderId="37" xfId="1" applyFont="1" applyFill="1" applyBorder="1" applyAlignment="1">
      <alignment horizontal="center" vertical="center"/>
    </xf>
    <xf numFmtId="9" fontId="19" fillId="14" borderId="98" xfId="1" applyFont="1" applyFill="1" applyBorder="1" applyAlignment="1">
      <alignment horizontal="center" vertical="center"/>
    </xf>
    <xf numFmtId="9" fontId="19" fillId="0" borderId="0" xfId="1" applyFont="1" applyFill="1" applyBorder="1" applyAlignment="1">
      <alignment horizontal="center" vertical="center"/>
    </xf>
    <xf numFmtId="9" fontId="17" fillId="0" borderId="43" xfId="1" applyFont="1" applyFill="1" applyBorder="1" applyAlignment="1">
      <alignment horizontal="center" vertical="center"/>
    </xf>
    <xf numFmtId="43" fontId="0" fillId="0" borderId="0" xfId="7" applyFont="1"/>
    <xf numFmtId="43" fontId="8" fillId="0" borderId="0" xfId="7" applyFont="1"/>
    <xf numFmtId="43" fontId="8" fillId="14" borderId="0" xfId="7" applyFont="1" applyFill="1"/>
    <xf numFmtId="169" fontId="0" fillId="15" borderId="0" xfId="0" applyNumberFormat="1" applyFill="1" applyAlignment="1">
      <alignment horizontal="center"/>
    </xf>
    <xf numFmtId="169" fontId="8" fillId="15" borderId="0" xfId="0" applyNumberFormat="1" applyFont="1" applyFill="1" applyAlignment="1">
      <alignment horizontal="center"/>
    </xf>
    <xf numFmtId="169" fontId="0" fillId="0" borderId="0" xfId="0" applyNumberFormat="1" applyAlignment="1">
      <alignment horizontal="center"/>
    </xf>
    <xf numFmtId="169" fontId="8" fillId="14" borderId="0" xfId="0" applyNumberFormat="1" applyFont="1" applyFill="1" applyAlignment="1">
      <alignment horizontal="center"/>
    </xf>
    <xf numFmtId="169" fontId="8" fillId="0" borderId="0" xfId="0" applyNumberFormat="1" applyFont="1" applyAlignment="1">
      <alignment horizontal="center"/>
    </xf>
    <xf numFmtId="43" fontId="6" fillId="11" borderId="0" xfId="7" applyFont="1" applyFill="1" applyAlignment="1">
      <alignment horizontal="center"/>
    </xf>
    <xf numFmtId="0" fontId="1" fillId="11" borderId="0" xfId="0" applyFont="1" applyFill="1"/>
    <xf numFmtId="43" fontId="6" fillId="11" borderId="93" xfId="7" applyFont="1" applyFill="1" applyBorder="1" applyAlignment="1">
      <alignment horizontal="center"/>
    </xf>
    <xf numFmtId="0" fontId="1" fillId="0" borderId="0" xfId="0" applyFont="1"/>
    <xf numFmtId="9" fontId="20" fillId="0" borderId="0" xfId="1" applyFont="1" applyFill="1" applyAlignment="1">
      <alignment horizontal="center" vertical="center"/>
    </xf>
    <xf numFmtId="10" fontId="8" fillId="0" borderId="86" xfId="1" applyNumberFormat="1" applyFont="1" applyFill="1" applyBorder="1" applyAlignment="1" applyProtection="1">
      <alignment horizontal="center" vertical="center"/>
    </xf>
    <xf numFmtId="10" fontId="8" fillId="0" borderId="66" xfId="1" applyNumberFormat="1" applyFont="1" applyFill="1" applyBorder="1" applyAlignment="1" applyProtection="1">
      <alignment horizontal="center" vertical="center"/>
    </xf>
    <xf numFmtId="14" fontId="0" fillId="0" borderId="0" xfId="0" applyNumberFormat="1"/>
    <xf numFmtId="43" fontId="0" fillId="0" borderId="0" xfId="7" applyFont="1" applyAlignment="1">
      <alignment horizontal="center"/>
    </xf>
    <xf numFmtId="0" fontId="0" fillId="27" borderId="0" xfId="0" applyFill="1" applyAlignment="1">
      <alignment horizontal="center"/>
    </xf>
    <xf numFmtId="43" fontId="0" fillId="27" borderId="0" xfId="7" applyFont="1" applyFill="1" applyAlignment="1">
      <alignment horizontal="center"/>
    </xf>
    <xf numFmtId="17" fontId="1" fillId="0" borderId="104" xfId="0" applyNumberFormat="1" applyFont="1" applyBorder="1" applyAlignment="1">
      <alignment horizontal="center"/>
    </xf>
    <xf numFmtId="14" fontId="1" fillId="0" borderId="0" xfId="0" applyNumberFormat="1" applyFont="1" applyAlignment="1">
      <alignment vertical="center"/>
    </xf>
    <xf numFmtId="43" fontId="1" fillId="0" borderId="0" xfId="0" applyNumberFormat="1" applyFont="1" applyAlignment="1">
      <alignment horizontal="center" vertical="center"/>
    </xf>
    <xf numFmtId="0" fontId="9" fillId="2" borderId="30" xfId="0" applyFont="1" applyFill="1" applyBorder="1" applyAlignment="1">
      <alignment horizontal="center" vertical="center"/>
    </xf>
    <xf numFmtId="10" fontId="20" fillId="0" borderId="0" xfId="1" applyNumberFormat="1" applyFont="1" applyAlignment="1">
      <alignment horizontal="center" vertical="center"/>
    </xf>
    <xf numFmtId="170" fontId="0" fillId="0" borderId="0" xfId="0" applyNumberFormat="1" applyAlignment="1">
      <alignment horizontal="center"/>
    </xf>
    <xf numFmtId="44" fontId="0" fillId="0" borderId="83" xfId="2" applyFont="1" applyFill="1" applyBorder="1" applyAlignment="1" applyProtection="1">
      <alignment vertical="center"/>
    </xf>
    <xf numFmtId="44" fontId="0" fillId="0" borderId="105" xfId="2" applyFont="1" applyFill="1" applyBorder="1" applyAlignment="1" applyProtection="1">
      <alignment vertical="center"/>
    </xf>
    <xf numFmtId="43" fontId="0" fillId="0" borderId="0" xfId="7" applyFont="1" applyFill="1"/>
    <xf numFmtId="43" fontId="8" fillId="0" borderId="0" xfId="7" applyFont="1" applyFill="1"/>
    <xf numFmtId="43" fontId="6" fillId="28" borderId="0" xfId="7" applyFont="1" applyFill="1" applyAlignment="1">
      <alignment horizontal="center"/>
    </xf>
    <xf numFmtId="0" fontId="1" fillId="28" borderId="0" xfId="0" applyFont="1" applyFill="1"/>
    <xf numFmtId="0" fontId="6" fillId="28" borderId="0" xfId="0" applyFont="1" applyFill="1" applyAlignment="1">
      <alignment horizontal="right"/>
    </xf>
    <xf numFmtId="0" fontId="12" fillId="6" borderId="4" xfId="0" applyFont="1" applyFill="1" applyBorder="1" applyAlignment="1">
      <alignment horizontal="center" vertical="center"/>
    </xf>
    <xf numFmtId="44" fontId="0" fillId="2" borderId="0" xfId="2" applyFont="1" applyFill="1" applyBorder="1" applyAlignment="1" applyProtection="1">
      <alignment vertical="center"/>
    </xf>
    <xf numFmtId="0" fontId="9" fillId="2" borderId="106" xfId="0" applyFont="1" applyFill="1" applyBorder="1" applyAlignment="1">
      <alignment vertical="center"/>
    </xf>
    <xf numFmtId="10" fontId="1" fillId="7" borderId="108" xfId="1" applyNumberFormat="1" applyFont="1" applyFill="1" applyBorder="1" applyAlignment="1" applyProtection="1">
      <alignment horizontal="center" vertical="center"/>
    </xf>
    <xf numFmtId="0" fontId="1" fillId="7" borderId="108" xfId="0" applyFont="1" applyFill="1" applyBorder="1" applyAlignment="1">
      <alignment horizontal="center" vertical="center"/>
    </xf>
    <xf numFmtId="44" fontId="5" fillId="2" borderId="113" xfId="2" applyFont="1" applyFill="1" applyBorder="1" applyAlignment="1" applyProtection="1">
      <alignment horizontal="center" vertical="center"/>
    </xf>
    <xf numFmtId="44" fontId="5" fillId="2" borderId="114" xfId="2" applyFont="1" applyFill="1" applyBorder="1" applyAlignment="1" applyProtection="1">
      <alignment horizontal="center" vertical="center"/>
    </xf>
    <xf numFmtId="0" fontId="8" fillId="0" borderId="20" xfId="0" applyFont="1" applyBorder="1" applyAlignment="1">
      <alignment vertical="center"/>
    </xf>
    <xf numFmtId="0" fontId="8" fillId="0" borderId="6" xfId="0" applyFont="1" applyBorder="1" applyAlignment="1">
      <alignment vertical="center"/>
    </xf>
    <xf numFmtId="0" fontId="8" fillId="0" borderId="8" xfId="0" applyFont="1" applyBorder="1" applyAlignment="1">
      <alignment vertical="center"/>
    </xf>
    <xf numFmtId="0" fontId="19" fillId="0" borderId="0" xfId="2" applyNumberFormat="1" applyFont="1" applyFill="1" applyAlignment="1" applyProtection="1">
      <alignment vertical="center"/>
    </xf>
    <xf numFmtId="0" fontId="8" fillId="0" borderId="87" xfId="0" applyFont="1" applyBorder="1" applyAlignment="1">
      <alignment vertical="center"/>
    </xf>
    <xf numFmtId="0" fontId="8" fillId="0" borderId="63" xfId="0" applyFont="1" applyBorder="1" applyAlignment="1">
      <alignment vertical="center"/>
    </xf>
    <xf numFmtId="0" fontId="8" fillId="0" borderId="6" xfId="0" applyFont="1" applyBorder="1" applyAlignment="1">
      <alignment horizontal="center" vertical="center"/>
    </xf>
    <xf numFmtId="0" fontId="8" fillId="0" borderId="9" xfId="0" applyFont="1" applyBorder="1" applyAlignment="1">
      <alignment vertical="center"/>
    </xf>
    <xf numFmtId="0" fontId="8" fillId="0" borderId="20" xfId="0" applyFont="1" applyBorder="1" applyAlignment="1">
      <alignment horizontal="center" vertical="center"/>
    </xf>
    <xf numFmtId="164" fontId="8" fillId="0" borderId="8" xfId="0" applyNumberFormat="1" applyFont="1" applyBorder="1" applyAlignment="1">
      <alignment horizontal="center" vertical="center"/>
    </xf>
    <xf numFmtId="0" fontId="8" fillId="0" borderId="8" xfId="0" applyFont="1" applyBorder="1" applyAlignment="1">
      <alignment horizontal="center" vertical="center"/>
    </xf>
    <xf numFmtId="0" fontId="8" fillId="0" borderId="87" xfId="0" applyFont="1" applyBorder="1" applyAlignment="1">
      <alignment horizontal="center" vertical="center"/>
    </xf>
    <xf numFmtId="164" fontId="8" fillId="0" borderId="63" xfId="0" applyNumberFormat="1" applyFont="1" applyBorder="1" applyAlignment="1">
      <alignment horizontal="center" vertical="center"/>
    </xf>
    <xf numFmtId="0" fontId="8" fillId="0" borderId="63" xfId="0" applyFont="1" applyBorder="1" applyAlignment="1">
      <alignment horizontal="center" vertical="center"/>
    </xf>
    <xf numFmtId="44" fontId="8" fillId="0" borderId="19" xfId="2" applyFont="1" applyFill="1" applyBorder="1" applyAlignment="1" applyProtection="1">
      <alignment vertical="center"/>
    </xf>
    <xf numFmtId="0" fontId="8" fillId="0" borderId="21" xfId="0" applyFont="1" applyBorder="1" applyAlignment="1">
      <alignment horizontal="center" vertical="center"/>
    </xf>
    <xf numFmtId="0" fontId="8" fillId="0" borderId="9" xfId="0" applyFont="1" applyBorder="1" applyAlignment="1">
      <alignment horizontal="center" vertical="center"/>
    </xf>
    <xf numFmtId="164" fontId="8" fillId="0" borderId="9" xfId="0" applyNumberFormat="1" applyFont="1" applyBorder="1" applyAlignment="1">
      <alignment horizontal="center" vertical="center"/>
    </xf>
    <xf numFmtId="164" fontId="8" fillId="0" borderId="58" xfId="0" applyNumberFormat="1" applyFont="1" applyBorder="1" applyAlignment="1">
      <alignment horizontal="center" vertical="center"/>
    </xf>
    <xf numFmtId="165" fontId="8" fillId="0" borderId="8" xfId="0" applyNumberFormat="1" applyFont="1" applyBorder="1" applyAlignment="1">
      <alignment horizontal="center" vertical="center"/>
    </xf>
    <xf numFmtId="4" fontId="8" fillId="0" borderId="8" xfId="0" applyNumberFormat="1" applyFont="1" applyBorder="1" applyAlignment="1">
      <alignment horizontal="center" vertical="center"/>
    </xf>
    <xf numFmtId="0" fontId="8" fillId="0" borderId="58" xfId="0" applyFont="1" applyBorder="1" applyAlignment="1">
      <alignment horizontal="center" vertical="center"/>
    </xf>
    <xf numFmtId="0" fontId="8" fillId="0" borderId="89" xfId="0" applyFont="1" applyBorder="1" applyAlignment="1">
      <alignment horizontal="center" vertical="center"/>
    </xf>
    <xf numFmtId="164" fontId="8" fillId="0" borderId="66" xfId="0" applyNumberFormat="1" applyFont="1" applyBorder="1" applyAlignment="1">
      <alignment horizontal="center" vertical="center"/>
    </xf>
    <xf numFmtId="164" fontId="8" fillId="0" borderId="86" xfId="0" applyNumberFormat="1" applyFont="1" applyBorder="1" applyAlignment="1">
      <alignment horizontal="center" vertical="center"/>
    </xf>
    <xf numFmtId="165" fontId="8" fillId="0" borderId="63" xfId="0" applyNumberFormat="1" applyFont="1" applyBorder="1" applyAlignment="1">
      <alignment horizontal="center" vertical="center"/>
    </xf>
    <xf numFmtId="0" fontId="8" fillId="0" borderId="86" xfId="0" applyFont="1" applyBorder="1" applyAlignment="1">
      <alignment horizontal="center" vertical="center"/>
    </xf>
    <xf numFmtId="4" fontId="8" fillId="0" borderId="63" xfId="0" applyNumberFormat="1" applyFont="1" applyBorder="1" applyAlignment="1">
      <alignment horizontal="center" vertical="center"/>
    </xf>
    <xf numFmtId="44" fontId="8" fillId="0" borderId="103" xfId="2" applyFont="1" applyFill="1" applyBorder="1" applyAlignment="1" applyProtection="1">
      <alignment vertical="center"/>
    </xf>
    <xf numFmtId="44" fontId="8" fillId="0" borderId="86" xfId="2" applyFont="1" applyFill="1" applyBorder="1" applyAlignment="1" applyProtection="1">
      <alignment vertical="center"/>
    </xf>
    <xf numFmtId="44" fontId="8" fillId="0" borderId="89" xfId="2" applyFont="1" applyFill="1" applyBorder="1" applyAlignment="1" applyProtection="1">
      <alignment vertical="center"/>
    </xf>
    <xf numFmtId="0" fontId="8" fillId="0" borderId="18" xfId="0" applyFont="1" applyBorder="1" applyAlignment="1">
      <alignment vertical="center"/>
    </xf>
    <xf numFmtId="0" fontId="8" fillId="0" borderId="19" xfId="0" applyFont="1" applyBorder="1" applyAlignment="1">
      <alignment vertical="center"/>
    </xf>
    <xf numFmtId="164" fontId="8" fillId="0" borderId="5" xfId="0" applyNumberFormat="1" applyFont="1" applyBorder="1" applyAlignment="1" applyProtection="1">
      <alignment horizontal="center" vertical="center"/>
      <protection locked="0"/>
    </xf>
    <xf numFmtId="164" fontId="8" fillId="0" borderId="6" xfId="0" applyNumberFormat="1" applyFont="1" applyBorder="1" applyAlignment="1" applyProtection="1">
      <alignment horizontal="center" vertical="center"/>
      <protection locked="0"/>
    </xf>
    <xf numFmtId="164" fontId="8" fillId="0" borderId="8" xfId="0" applyNumberFormat="1" applyFont="1" applyBorder="1" applyAlignment="1" applyProtection="1">
      <alignment horizontal="center" vertical="center"/>
      <protection locked="0"/>
    </xf>
    <xf numFmtId="0" fontId="8" fillId="0" borderId="9" xfId="0" applyFont="1" applyBorder="1" applyAlignment="1" applyProtection="1">
      <alignment horizontal="center" vertical="center"/>
      <protection locked="0"/>
    </xf>
    <xf numFmtId="44" fontId="8" fillId="0" borderId="75" xfId="2" applyFont="1" applyFill="1" applyBorder="1" applyAlignment="1" applyProtection="1">
      <alignment vertical="center"/>
    </xf>
    <xf numFmtId="44" fontId="8" fillId="0" borderId="76" xfId="2" applyFont="1" applyFill="1" applyBorder="1" applyAlignment="1" applyProtection="1">
      <alignment vertical="center"/>
    </xf>
    <xf numFmtId="44" fontId="8" fillId="0" borderId="77" xfId="2" applyFont="1" applyFill="1" applyBorder="1" applyAlignment="1" applyProtection="1">
      <alignment vertical="center"/>
    </xf>
    <xf numFmtId="44" fontId="8" fillId="0" borderId="78" xfId="2" applyFont="1" applyFill="1" applyBorder="1" applyAlignment="1" applyProtection="1">
      <alignment vertical="center"/>
    </xf>
    <xf numFmtId="44" fontId="8" fillId="0" borderId="8" xfId="2" applyFont="1" applyFill="1" applyBorder="1" applyAlignment="1" applyProtection="1">
      <alignment vertical="center"/>
    </xf>
    <xf numFmtId="44" fontId="8" fillId="0" borderId="79" xfId="2" applyFont="1" applyFill="1" applyBorder="1" applyAlignment="1" applyProtection="1">
      <alignment vertical="center"/>
    </xf>
    <xf numFmtId="0" fontId="8" fillId="0" borderId="21" xfId="0" applyFont="1" applyBorder="1" applyAlignment="1">
      <alignment vertical="center"/>
    </xf>
    <xf numFmtId="164" fontId="8" fillId="0" borderId="20" xfId="0" applyNumberFormat="1" applyFont="1" applyBorder="1" applyAlignment="1" applyProtection="1">
      <alignment horizontal="center" vertical="center"/>
      <protection locked="0"/>
    </xf>
    <xf numFmtId="0" fontId="8" fillId="0" borderId="8" xfId="0" applyFont="1" applyBorder="1" applyAlignment="1" applyProtection="1">
      <alignment horizontal="center" vertical="center"/>
      <protection locked="0"/>
    </xf>
    <xf numFmtId="0" fontId="8" fillId="0" borderId="19" xfId="0" applyFont="1" applyBorder="1" applyAlignment="1" applyProtection="1">
      <alignment vertical="center"/>
      <protection locked="0"/>
    </xf>
    <xf numFmtId="0" fontId="8" fillId="0" borderId="7" xfId="0" applyFont="1" applyBorder="1" applyAlignment="1" applyProtection="1">
      <alignment horizontal="center" vertical="center"/>
      <protection locked="0"/>
    </xf>
    <xf numFmtId="44" fontId="8" fillId="0" borderId="18" xfId="2" applyFont="1" applyFill="1" applyBorder="1" applyAlignment="1" applyProtection="1">
      <alignment vertical="center"/>
    </xf>
    <xf numFmtId="0" fontId="8" fillId="0" borderId="21" xfId="0" applyFont="1" applyBorder="1" applyAlignment="1" applyProtection="1">
      <alignment vertical="center"/>
      <protection locked="0"/>
    </xf>
    <xf numFmtId="44" fontId="8" fillId="0" borderId="20" xfId="2" applyFont="1" applyFill="1" applyBorder="1" applyAlignment="1" applyProtection="1">
      <alignment vertical="center"/>
    </xf>
    <xf numFmtId="0" fontId="8" fillId="0" borderId="8" xfId="0" applyFont="1" applyBorder="1" applyAlignment="1" applyProtection="1">
      <alignment vertical="center"/>
      <protection locked="0"/>
    </xf>
    <xf numFmtId="0" fontId="0" fillId="2" borderId="115" xfId="0" applyFill="1" applyBorder="1"/>
    <xf numFmtId="0" fontId="0" fillId="2" borderId="116" xfId="0" applyFill="1" applyBorder="1"/>
    <xf numFmtId="0" fontId="9" fillId="3" borderId="117" xfId="0" applyFont="1" applyFill="1" applyBorder="1" applyAlignment="1">
      <alignment horizontal="center" vertical="center"/>
    </xf>
    <xf numFmtId="0" fontId="0" fillId="2" borderId="118" xfId="0" applyFill="1" applyBorder="1"/>
    <xf numFmtId="0" fontId="0" fillId="2" borderId="119" xfId="0" applyFill="1" applyBorder="1"/>
    <xf numFmtId="0" fontId="12" fillId="6" borderId="120" xfId="0" applyFont="1" applyFill="1" applyBorder="1" applyAlignment="1">
      <alignment horizontal="center" vertical="center"/>
    </xf>
    <xf numFmtId="0" fontId="1" fillId="0" borderId="43" xfId="0" applyFont="1" applyBorder="1" applyAlignment="1">
      <alignment vertical="center"/>
    </xf>
    <xf numFmtId="0" fontId="10" fillId="0" borderId="121" xfId="2" applyNumberFormat="1" applyFont="1" applyFill="1" applyBorder="1" applyAlignment="1" applyProtection="1">
      <alignment vertical="center"/>
    </xf>
    <xf numFmtId="0" fontId="10" fillId="0" borderId="122" xfId="2" applyNumberFormat="1" applyFont="1" applyFill="1" applyBorder="1" applyAlignment="1" applyProtection="1">
      <alignment vertical="center"/>
    </xf>
    <xf numFmtId="0" fontId="0" fillId="0" borderId="20" xfId="0" applyBorder="1" applyAlignment="1">
      <alignment horizontal="center" vertical="center"/>
    </xf>
    <xf numFmtId="164" fontId="0" fillId="0" borderId="8"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164" fontId="0" fillId="0" borderId="9" xfId="0" applyNumberFormat="1" applyBorder="1" applyAlignment="1">
      <alignment horizontal="center" vertical="center"/>
    </xf>
    <xf numFmtId="0" fontId="0" fillId="0" borderId="21" xfId="0" applyBorder="1" applyAlignment="1">
      <alignment horizontal="center" vertical="center"/>
    </xf>
    <xf numFmtId="164" fontId="0" fillId="0" borderId="58" xfId="0" applyNumberFormat="1" applyBorder="1" applyAlignment="1">
      <alignment horizontal="center" vertical="center"/>
    </xf>
    <xf numFmtId="10" fontId="3" fillId="0" borderId="8" xfId="1" applyNumberFormat="1" applyFont="1" applyFill="1" applyBorder="1" applyAlignment="1" applyProtection="1">
      <alignment horizontal="center" vertical="center"/>
    </xf>
    <xf numFmtId="4" fontId="0" fillId="0" borderId="8" xfId="0" applyNumberFormat="1" applyBorder="1" applyAlignment="1">
      <alignment horizontal="center" vertical="center"/>
    </xf>
    <xf numFmtId="44" fontId="0" fillId="0" borderId="123" xfId="2" applyFont="1" applyFill="1" applyBorder="1" applyAlignment="1" applyProtection="1">
      <alignment vertical="center"/>
    </xf>
    <xf numFmtId="44" fontId="0" fillId="0" borderId="58" xfId="2" applyFont="1" applyFill="1" applyBorder="1" applyAlignment="1" applyProtection="1">
      <alignment vertical="center"/>
    </xf>
    <xf numFmtId="44" fontId="0" fillId="0" borderId="21" xfId="2" applyFont="1" applyFill="1" applyBorder="1" applyAlignment="1" applyProtection="1">
      <alignment vertical="center"/>
    </xf>
    <xf numFmtId="0" fontId="19" fillId="0" borderId="122" xfId="2" applyNumberFormat="1" applyFont="1" applyFill="1" applyBorder="1" applyAlignment="1" applyProtection="1">
      <alignment vertical="center"/>
    </xf>
    <xf numFmtId="44" fontId="8" fillId="0" borderId="123" xfId="2" applyFont="1" applyFill="1" applyBorder="1" applyAlignment="1" applyProtection="1">
      <alignment vertical="center"/>
    </xf>
    <xf numFmtId="44" fontId="8" fillId="0" borderId="58" xfId="2" applyFont="1" applyFill="1" applyBorder="1" applyAlignment="1" applyProtection="1">
      <alignment vertical="center"/>
    </xf>
    <xf numFmtId="44" fontId="8" fillId="0" borderId="21" xfId="2" applyFont="1" applyFill="1" applyBorder="1" applyAlignment="1" applyProtection="1">
      <alignment vertical="center"/>
    </xf>
    <xf numFmtId="0" fontId="19" fillId="0" borderId="29" xfId="2" applyNumberFormat="1" applyFont="1" applyFill="1" applyBorder="1" applyAlignment="1" applyProtection="1">
      <alignment vertical="center"/>
    </xf>
    <xf numFmtId="0" fontId="19" fillId="0" borderId="28" xfId="2" applyNumberFormat="1" applyFont="1" applyFill="1" applyBorder="1" applyAlignment="1" applyProtection="1">
      <alignment vertical="center"/>
    </xf>
    <xf numFmtId="164" fontId="8" fillId="0" borderId="58" xfId="0" applyNumberFormat="1" applyFont="1" applyBorder="1" applyAlignment="1" applyProtection="1">
      <alignment horizontal="center" vertical="center"/>
      <protection locked="0"/>
    </xf>
    <xf numFmtId="171" fontId="20" fillId="0" borderId="0" xfId="1" applyNumberFormat="1" applyFont="1" applyAlignment="1">
      <alignment horizontal="center" vertical="center"/>
    </xf>
    <xf numFmtId="44" fontId="1" fillId="10" borderId="0" xfId="2" applyFont="1" applyFill="1" applyBorder="1" applyAlignment="1">
      <alignment horizontal="center" vertical="center"/>
    </xf>
    <xf numFmtId="9" fontId="0" fillId="14" borderId="0" xfId="1" applyFont="1" applyFill="1" applyBorder="1" applyAlignment="1">
      <alignment horizontal="center" vertical="center"/>
    </xf>
    <xf numFmtId="9" fontId="8" fillId="0" borderId="0" xfId="1" applyFont="1" applyFill="1" applyAlignment="1">
      <alignment horizontal="center"/>
    </xf>
    <xf numFmtId="9" fontId="0" fillId="0" borderId="43" xfId="1" applyFont="1" applyFill="1" applyBorder="1" applyAlignment="1">
      <alignment horizontal="center" vertical="center"/>
    </xf>
    <xf numFmtId="43" fontId="25" fillId="26" borderId="0" xfId="7" applyFont="1" applyFill="1" applyAlignment="1">
      <alignment horizontal="center" vertical="center"/>
    </xf>
    <xf numFmtId="168" fontId="25" fillId="26" borderId="0" xfId="7" applyNumberFormat="1" applyFont="1" applyFill="1" applyAlignment="1">
      <alignment horizontal="center" vertical="center"/>
    </xf>
    <xf numFmtId="9" fontId="20" fillId="29" borderId="0" xfId="1" applyFont="1" applyFill="1" applyAlignment="1">
      <alignment horizontal="center" vertical="center"/>
    </xf>
    <xf numFmtId="10" fontId="20" fillId="29" borderId="0" xfId="1" applyNumberFormat="1" applyFont="1" applyFill="1" applyAlignment="1">
      <alignment horizontal="center" vertical="center"/>
    </xf>
    <xf numFmtId="43" fontId="6" fillId="2" borderId="0" xfId="0" applyNumberFormat="1" applyFont="1" applyFill="1" applyAlignment="1">
      <alignment horizontal="center" vertical="center"/>
    </xf>
    <xf numFmtId="43" fontId="6" fillId="3" borderId="125" xfId="0" applyNumberFormat="1" applyFont="1" applyFill="1" applyBorder="1" applyAlignment="1">
      <alignment horizontal="center" vertical="center"/>
    </xf>
    <xf numFmtId="44" fontId="26" fillId="11" borderId="125" xfId="2" applyFont="1" applyFill="1" applyBorder="1" applyAlignment="1">
      <alignment horizontal="center" vertical="top" wrapText="1"/>
    </xf>
    <xf numFmtId="44" fontId="26" fillId="11" borderId="0" xfId="2" applyFont="1" applyFill="1" applyBorder="1" applyAlignment="1">
      <alignment horizontal="center" wrapText="1"/>
    </xf>
    <xf numFmtId="0" fontId="19" fillId="0" borderId="126" xfId="2" applyNumberFormat="1" applyFont="1" applyFill="1" applyBorder="1" applyAlignment="1" applyProtection="1">
      <alignment vertical="center"/>
    </xf>
    <xf numFmtId="0" fontId="8" fillId="0" borderId="58" xfId="0" applyFont="1" applyBorder="1" applyAlignment="1">
      <alignment vertical="center"/>
    </xf>
    <xf numFmtId="0" fontId="8" fillId="0" borderId="20" xfId="2" applyNumberFormat="1" applyFont="1" applyFill="1" applyBorder="1" applyAlignment="1" applyProtection="1">
      <alignment vertical="center"/>
    </xf>
    <xf numFmtId="0" fontId="19" fillId="0" borderId="127" xfId="2" applyNumberFormat="1" applyFont="1" applyFill="1" applyBorder="1" applyAlignment="1" applyProtection="1">
      <alignment vertical="center"/>
    </xf>
    <xf numFmtId="0" fontId="4" fillId="0" borderId="0" xfId="5" applyAlignment="1">
      <alignment horizontal="left" vertical="center"/>
    </xf>
    <xf numFmtId="0" fontId="4" fillId="0" borderId="0" xfId="5"/>
    <xf numFmtId="9" fontId="0" fillId="0" borderId="0" xfId="6" applyFont="1" applyAlignment="1">
      <alignment horizontal="left" vertical="center"/>
    </xf>
    <xf numFmtId="9" fontId="28" fillId="30" borderId="100" xfId="6" applyFont="1" applyFill="1" applyBorder="1" applyAlignment="1">
      <alignment horizontal="center" vertical="center"/>
    </xf>
    <xf numFmtId="0" fontId="28" fillId="30" borderId="100" xfId="5" applyFont="1" applyFill="1" applyBorder="1" applyAlignment="1">
      <alignment horizontal="center" vertical="center"/>
    </xf>
    <xf numFmtId="0" fontId="4" fillId="0" borderId="100" xfId="5" applyBorder="1" applyAlignment="1">
      <alignment horizontal="center" vertical="center"/>
    </xf>
    <xf numFmtId="0" fontId="28" fillId="0" borderId="100" xfId="5" applyFont="1" applyBorder="1" applyAlignment="1">
      <alignment horizontal="left" vertical="center"/>
    </xf>
    <xf numFmtId="0" fontId="29" fillId="2" borderId="100" xfId="5" applyFont="1" applyFill="1" applyBorder="1" applyAlignment="1">
      <alignment horizontal="center" vertical="center"/>
    </xf>
    <xf numFmtId="0" fontId="28" fillId="0" borderId="0" xfId="5" applyFont="1" applyAlignment="1">
      <alignment horizontal="left" vertical="center"/>
    </xf>
    <xf numFmtId="0" fontId="28" fillId="0" borderId="0" xfId="0" applyFont="1" applyAlignment="1">
      <alignment horizontal="left" vertical="center"/>
    </xf>
    <xf numFmtId="0" fontId="0" fillId="0" borderId="0" xfId="0" applyAlignment="1">
      <alignment horizontal="left" vertical="center"/>
    </xf>
    <xf numFmtId="4" fontId="0" fillId="0" borderId="0" xfId="7" applyNumberFormat="1" applyFont="1" applyFill="1" applyAlignment="1">
      <alignment horizontal="center"/>
    </xf>
    <xf numFmtId="0" fontId="9" fillId="0" borderId="132" xfId="0" applyFont="1" applyBorder="1"/>
    <xf numFmtId="0" fontId="9" fillId="0" borderId="0" xfId="0" applyFont="1"/>
    <xf numFmtId="0" fontId="9" fillId="0" borderId="0" xfId="0" applyFont="1" applyAlignment="1">
      <alignment horizontal="center"/>
    </xf>
    <xf numFmtId="2" fontId="0" fillId="0" borderId="0" xfId="0" applyNumberFormat="1"/>
    <xf numFmtId="4" fontId="0" fillId="0" borderId="0" xfId="0" applyNumberFormat="1"/>
    <xf numFmtId="0" fontId="31" fillId="0" borderId="0" xfId="0" applyFont="1"/>
    <xf numFmtId="4" fontId="31" fillId="0" borderId="0" xfId="7" applyNumberFormat="1" applyFont="1" applyFill="1" applyAlignment="1">
      <alignment horizontal="center"/>
    </xf>
    <xf numFmtId="4" fontId="8" fillId="0" borderId="0" xfId="7" applyNumberFormat="1" applyFont="1" applyFill="1" applyAlignment="1">
      <alignment horizontal="center"/>
    </xf>
    <xf numFmtId="0" fontId="6" fillId="3" borderId="134" xfId="0" applyFont="1" applyFill="1" applyBorder="1" applyAlignment="1">
      <alignment horizontal="center" vertical="center" wrapText="1"/>
    </xf>
    <xf numFmtId="0" fontId="6" fillId="5" borderId="135" xfId="0" applyFont="1" applyFill="1" applyBorder="1" applyAlignment="1">
      <alignment horizontal="center" vertical="center" wrapText="1"/>
    </xf>
    <xf numFmtId="0" fontId="0" fillId="29" borderId="0" xfId="0" applyFill="1"/>
    <xf numFmtId="4" fontId="0" fillId="29" borderId="0" xfId="7" applyNumberFormat="1" applyFont="1" applyFill="1" applyAlignment="1">
      <alignment horizontal="center"/>
    </xf>
    <xf numFmtId="4" fontId="0" fillId="29" borderId="0" xfId="0" applyNumberFormat="1" applyFill="1"/>
    <xf numFmtId="0" fontId="11" fillId="5" borderId="2" xfId="0" applyFont="1" applyFill="1" applyBorder="1" applyAlignment="1">
      <alignment horizontal="center" vertical="center"/>
    </xf>
    <xf numFmtId="0" fontId="6" fillId="3" borderId="136" xfId="0" applyFont="1" applyFill="1" applyBorder="1" applyAlignment="1">
      <alignment horizontal="center" vertical="center" wrapText="1"/>
    </xf>
    <xf numFmtId="0" fontId="11" fillId="5" borderId="4" xfId="0" applyFont="1" applyFill="1" applyBorder="1" applyAlignment="1">
      <alignment horizontal="center" vertical="center"/>
    </xf>
    <xf numFmtId="0" fontId="6" fillId="5" borderId="137" xfId="0" applyFont="1" applyFill="1" applyBorder="1" applyAlignment="1">
      <alignment horizontal="center" vertical="center" wrapText="1"/>
    </xf>
    <xf numFmtId="0" fontId="11" fillId="5" borderId="138" xfId="0" applyFont="1" applyFill="1" applyBorder="1" applyAlignment="1">
      <alignment horizontal="center" vertical="center"/>
    </xf>
    <xf numFmtId="0" fontId="11" fillId="5" borderId="3" xfId="0" applyFont="1" applyFill="1" applyBorder="1" applyAlignment="1">
      <alignment horizontal="center" vertical="center"/>
    </xf>
    <xf numFmtId="0" fontId="6" fillId="5" borderId="137" xfId="0" applyFont="1" applyFill="1" applyBorder="1" applyAlignment="1">
      <alignment horizontal="center" vertical="center"/>
    </xf>
    <xf numFmtId="0" fontId="6" fillId="3" borderId="140" xfId="0" applyFont="1" applyFill="1" applyBorder="1" applyAlignment="1">
      <alignment horizontal="center" vertical="center" wrapText="1"/>
    </xf>
    <xf numFmtId="0" fontId="32" fillId="29" borderId="134" xfId="0" applyFont="1" applyFill="1" applyBorder="1" applyAlignment="1">
      <alignment horizontal="center" vertical="center" wrapText="1"/>
    </xf>
    <xf numFmtId="4" fontId="0" fillId="0" borderId="83" xfId="0" applyNumberFormat="1" applyBorder="1" applyAlignment="1">
      <alignment horizontal="center" vertical="center"/>
    </xf>
    <xf numFmtId="4" fontId="0" fillId="0" borderId="58" xfId="0" applyNumberFormat="1" applyBorder="1" applyAlignment="1">
      <alignment horizontal="center" vertical="center"/>
    </xf>
    <xf numFmtId="4" fontId="8" fillId="0" borderId="58" xfId="0" applyNumberFormat="1" applyFont="1" applyBorder="1" applyAlignment="1">
      <alignment horizontal="center" vertical="center"/>
    </xf>
    <xf numFmtId="4" fontId="8" fillId="0" borderId="86" xfId="0" applyNumberFormat="1" applyFont="1" applyBorder="1" applyAlignment="1">
      <alignment horizontal="center" vertical="center"/>
    </xf>
    <xf numFmtId="4" fontId="0" fillId="0" borderId="82" xfId="0" applyNumberFormat="1" applyBorder="1" applyAlignment="1">
      <alignment horizontal="center" vertical="center"/>
    </xf>
    <xf numFmtId="4" fontId="0" fillId="0" borderId="21" xfId="0" applyNumberFormat="1" applyBorder="1" applyAlignment="1">
      <alignment horizontal="center" vertical="center"/>
    </xf>
    <xf numFmtId="4" fontId="8" fillId="0" borderId="21" xfId="0" applyNumberFormat="1" applyFont="1" applyBorder="1" applyAlignment="1">
      <alignment horizontal="center" vertical="center"/>
    </xf>
    <xf numFmtId="4" fontId="8" fillId="0" borderId="89" xfId="0" applyNumberFormat="1" applyFont="1" applyBorder="1" applyAlignment="1">
      <alignment horizontal="center" vertical="center"/>
    </xf>
    <xf numFmtId="0" fontId="8" fillId="0" borderId="66" xfId="0" applyFont="1" applyBorder="1" applyAlignment="1">
      <alignment horizontal="center" vertical="center"/>
    </xf>
    <xf numFmtId="4" fontId="8" fillId="0" borderId="20" xfId="0" applyNumberFormat="1" applyFont="1" applyBorder="1" applyAlignment="1">
      <alignment horizontal="center" vertical="center"/>
    </xf>
    <xf numFmtId="4" fontId="8" fillId="0" borderId="87" xfId="0" applyNumberFormat="1" applyFont="1" applyBorder="1" applyAlignment="1">
      <alignment horizontal="center" vertical="center"/>
    </xf>
    <xf numFmtId="0" fontId="6" fillId="5" borderId="90" xfId="0" applyFont="1" applyFill="1" applyBorder="1" applyAlignment="1">
      <alignment horizontal="center" vertical="center" wrapText="1"/>
    </xf>
    <xf numFmtId="0" fontId="6" fillId="5" borderId="133" xfId="0" applyFont="1" applyFill="1" applyBorder="1" applyAlignment="1">
      <alignment horizontal="center" vertical="center" wrapText="1"/>
    </xf>
    <xf numFmtId="0" fontId="6" fillId="5" borderId="34" xfId="0" applyFont="1" applyFill="1" applyBorder="1" applyAlignment="1">
      <alignment horizontal="center" vertical="center" wrapText="1"/>
    </xf>
    <xf numFmtId="0" fontId="27" fillId="3" borderId="138" xfId="0" applyFont="1" applyFill="1" applyBorder="1" applyAlignment="1">
      <alignment horizontal="center" vertical="center"/>
    </xf>
    <xf numFmtId="0" fontId="27" fillId="3" borderId="139" xfId="0" applyFont="1" applyFill="1" applyBorder="1" applyAlignment="1">
      <alignment horizontal="center" vertical="center"/>
    </xf>
    <xf numFmtId="0" fontId="6" fillId="5" borderId="141" xfId="0" applyFont="1" applyFill="1" applyBorder="1" applyAlignment="1">
      <alignment horizontal="center" vertical="center" wrapText="1"/>
    </xf>
    <xf numFmtId="9" fontId="0" fillId="0" borderId="85" xfId="1" applyFont="1" applyBorder="1" applyAlignment="1">
      <alignment horizontal="center" vertical="center"/>
    </xf>
    <xf numFmtId="9" fontId="0" fillId="0" borderId="29" xfId="1" applyFont="1" applyBorder="1" applyAlignment="1">
      <alignment horizontal="center" vertical="center"/>
    </xf>
    <xf numFmtId="9" fontId="16" fillId="0" borderId="29" xfId="1" applyFont="1" applyBorder="1" applyAlignment="1">
      <alignment horizontal="center" vertical="center"/>
    </xf>
    <xf numFmtId="9" fontId="16" fillId="0" borderId="88" xfId="1" applyFont="1" applyBorder="1" applyAlignment="1">
      <alignment horizontal="center" vertical="center"/>
    </xf>
    <xf numFmtId="4" fontId="0" fillId="0" borderId="81" xfId="0" applyNumberFormat="1" applyBorder="1" applyAlignment="1">
      <alignment horizontal="center" vertical="center"/>
    </xf>
    <xf numFmtId="4" fontId="0" fillId="0" borderId="20" xfId="0" applyNumberFormat="1" applyBorder="1" applyAlignment="1">
      <alignment horizontal="center" vertical="center"/>
    </xf>
    <xf numFmtId="0" fontId="1" fillId="7" borderId="109" xfId="0" applyFont="1" applyFill="1" applyBorder="1" applyAlignment="1">
      <alignment horizontal="center" vertical="center"/>
    </xf>
    <xf numFmtId="44" fontId="5" fillId="2" borderId="112" xfId="2" applyFont="1" applyFill="1" applyBorder="1" applyAlignment="1" applyProtection="1">
      <alignment horizontal="center" vertical="center"/>
    </xf>
    <xf numFmtId="44" fontId="6" fillId="2" borderId="142" xfId="2" applyFont="1" applyFill="1" applyBorder="1" applyAlignment="1" applyProtection="1">
      <alignment horizontal="center" vertical="center"/>
    </xf>
    <xf numFmtId="44" fontId="7" fillId="2" borderId="143" xfId="2" applyFont="1" applyFill="1" applyBorder="1" applyAlignment="1" applyProtection="1">
      <alignment horizontal="center" vertical="center"/>
    </xf>
    <xf numFmtId="0" fontId="6" fillId="3" borderId="144" xfId="0" applyFont="1" applyFill="1" applyBorder="1" applyAlignment="1">
      <alignment horizontal="center" vertical="center" wrapText="1"/>
    </xf>
    <xf numFmtId="0" fontId="27" fillId="3" borderId="145" xfId="0" applyFont="1" applyFill="1" applyBorder="1" applyAlignment="1">
      <alignment horizontal="center" vertical="center"/>
    </xf>
    <xf numFmtId="0" fontId="27" fillId="3" borderId="146" xfId="0" applyFont="1" applyFill="1" applyBorder="1" applyAlignment="1">
      <alignment horizontal="center" vertical="center"/>
    </xf>
    <xf numFmtId="0" fontId="6" fillId="5" borderId="147" xfId="0" applyFont="1" applyFill="1" applyBorder="1" applyAlignment="1">
      <alignment horizontal="center" vertical="center" wrapText="1"/>
    </xf>
    <xf numFmtId="0" fontId="11" fillId="5" borderId="148" xfId="0" applyFont="1" applyFill="1" applyBorder="1" applyAlignment="1">
      <alignment horizontal="center" vertical="center"/>
    </xf>
    <xf numFmtId="0" fontId="11" fillId="5" borderId="146" xfId="0" applyFont="1" applyFill="1" applyBorder="1" applyAlignment="1">
      <alignment horizontal="center" vertical="center"/>
    </xf>
    <xf numFmtId="0" fontId="6" fillId="3" borderId="149" xfId="0" applyFont="1" applyFill="1" applyBorder="1" applyAlignment="1">
      <alignment horizontal="center" vertical="center" wrapText="1"/>
    </xf>
    <xf numFmtId="0" fontId="27" fillId="3" borderId="148" xfId="0" applyFont="1" applyFill="1" applyBorder="1" applyAlignment="1">
      <alignment horizontal="center" vertical="center"/>
    </xf>
    <xf numFmtId="0" fontId="6" fillId="5" borderId="150" xfId="0" applyFont="1" applyFill="1" applyBorder="1" applyAlignment="1">
      <alignment horizontal="center" vertical="center"/>
    </xf>
    <xf numFmtId="0" fontId="16" fillId="31" borderId="151" xfId="0" applyFont="1" applyFill="1" applyBorder="1" applyAlignment="1">
      <alignment horizontal="center" vertical="center"/>
    </xf>
    <xf numFmtId="0" fontId="33" fillId="31" borderId="152" xfId="0" applyFont="1" applyFill="1" applyBorder="1" applyAlignment="1">
      <alignment horizontal="center" vertical="center"/>
    </xf>
    <xf numFmtId="0" fontId="16" fillId="31" borderId="153" xfId="0" applyFont="1" applyFill="1" applyBorder="1" applyAlignment="1">
      <alignment horizontal="center" vertical="center" wrapText="1"/>
    </xf>
    <xf numFmtId="0" fontId="0" fillId="0" borderId="154" xfId="0" applyBorder="1" applyAlignment="1">
      <alignment horizontal="center" vertical="center"/>
    </xf>
    <xf numFmtId="0" fontId="0" fillId="0" borderId="155" xfId="0" applyBorder="1" applyAlignment="1">
      <alignment horizontal="center" vertical="center"/>
    </xf>
    <xf numFmtId="0" fontId="8" fillId="0" borderId="155" xfId="0" applyFont="1" applyBorder="1" applyAlignment="1">
      <alignment horizontal="center" vertical="center"/>
    </xf>
    <xf numFmtId="0" fontId="8" fillId="29" borderId="155" xfId="0" applyFont="1" applyFill="1" applyBorder="1" applyAlignment="1">
      <alignment horizontal="center" vertical="center"/>
    </xf>
    <xf numFmtId="0" fontId="8" fillId="0" borderId="156" xfId="0" applyFont="1" applyBorder="1" applyAlignment="1">
      <alignment horizontal="center" vertical="center"/>
    </xf>
    <xf numFmtId="0" fontId="33" fillId="31" borderId="151" xfId="0" applyFont="1" applyFill="1" applyBorder="1" applyAlignment="1">
      <alignment horizontal="center" vertical="center"/>
    </xf>
    <xf numFmtId="0" fontId="19" fillId="0" borderId="0" xfId="2" applyNumberFormat="1" applyFont="1" applyFill="1" applyBorder="1" applyAlignment="1" applyProtection="1">
      <alignment vertical="center"/>
    </xf>
    <xf numFmtId="0" fontId="8" fillId="0" borderId="60" xfId="2" applyNumberFormat="1" applyFont="1" applyFill="1" applyBorder="1" applyAlignment="1" applyProtection="1">
      <alignment vertical="center"/>
    </xf>
    <xf numFmtId="0" fontId="0" fillId="0" borderId="103" xfId="0" applyBorder="1" applyAlignment="1">
      <alignment vertical="center"/>
    </xf>
    <xf numFmtId="0" fontId="8" fillId="0" borderId="60" xfId="0" applyFont="1" applyBorder="1" applyAlignment="1">
      <alignment vertical="center"/>
    </xf>
    <xf numFmtId="0" fontId="8" fillId="0" borderId="59" xfId="0" applyFont="1" applyBorder="1" applyAlignment="1">
      <alignment vertical="center"/>
    </xf>
    <xf numFmtId="0" fontId="8" fillId="0" borderId="59" xfId="0" applyFont="1" applyBorder="1" applyAlignment="1" applyProtection="1">
      <alignment vertical="center"/>
      <protection locked="0"/>
    </xf>
    <xf numFmtId="164" fontId="8" fillId="0" borderId="60" xfId="0" applyNumberFormat="1" applyFont="1" applyBorder="1" applyAlignment="1" applyProtection="1">
      <alignment horizontal="center" vertical="center"/>
      <protection locked="0"/>
    </xf>
    <xf numFmtId="164" fontId="8" fillId="0" borderId="59" xfId="0" applyNumberFormat="1" applyFont="1" applyBorder="1" applyAlignment="1" applyProtection="1">
      <alignment horizontal="center" vertical="center"/>
      <protection locked="0"/>
    </xf>
    <xf numFmtId="0" fontId="8" fillId="0" borderId="59" xfId="0" applyFont="1" applyBorder="1" applyAlignment="1">
      <alignment horizontal="center" vertical="center"/>
    </xf>
    <xf numFmtId="0" fontId="8" fillId="0" borderId="59" xfId="0" applyFont="1" applyBorder="1" applyAlignment="1" applyProtection="1">
      <alignment horizontal="center" vertical="center"/>
      <protection locked="0"/>
    </xf>
    <xf numFmtId="44" fontId="8" fillId="0" borderId="159" xfId="2" applyFont="1" applyFill="1" applyBorder="1" applyAlignment="1" applyProtection="1">
      <alignment vertical="center"/>
    </xf>
    <xf numFmtId="44" fontId="8" fillId="0" borderId="160" xfId="2" applyFont="1" applyFill="1" applyBorder="1" applyAlignment="1" applyProtection="1">
      <alignment vertical="center"/>
    </xf>
    <xf numFmtId="0" fontId="0" fillId="0" borderId="124" xfId="2" applyNumberFormat="1" applyFont="1" applyFill="1" applyBorder="1" applyAlignment="1" applyProtection="1">
      <alignment vertical="center"/>
    </xf>
    <xf numFmtId="0" fontId="10" fillId="0" borderId="127" xfId="2" applyNumberFormat="1" applyFont="1" applyFill="1" applyBorder="1" applyAlignment="1" applyProtection="1">
      <alignment vertical="center"/>
    </xf>
    <xf numFmtId="0" fontId="0" fillId="0" borderId="103" xfId="2" applyNumberFormat="1" applyFont="1" applyFill="1" applyBorder="1" applyAlignment="1" applyProtection="1">
      <alignment vertical="center"/>
    </xf>
    <xf numFmtId="44" fontId="15" fillId="0" borderId="100" xfId="2" applyFont="1" applyFill="1" applyBorder="1"/>
    <xf numFmtId="0" fontId="0" fillId="2" borderId="0" xfId="0" applyFill="1" applyAlignment="1">
      <alignment horizontal="left"/>
    </xf>
    <xf numFmtId="44" fontId="0" fillId="0" borderId="0" xfId="0" applyNumberFormat="1"/>
    <xf numFmtId="0" fontId="0" fillId="31" borderId="0" xfId="0" applyFill="1"/>
    <xf numFmtId="0" fontId="8" fillId="31" borderId="0" xfId="0" applyFont="1" applyFill="1"/>
    <xf numFmtId="169" fontId="0" fillId="0" borderId="0" xfId="2" applyNumberFormat="1" applyFont="1" applyFill="1" applyAlignment="1">
      <alignment horizontal="center"/>
    </xf>
    <xf numFmtId="168" fontId="0" fillId="0" borderId="0" xfId="2" applyNumberFormat="1" applyFont="1" applyFill="1" applyAlignment="1">
      <alignment horizontal="center"/>
    </xf>
    <xf numFmtId="9" fontId="19" fillId="14" borderId="0" xfId="1" applyFont="1" applyFill="1" applyBorder="1" applyAlignment="1">
      <alignment horizontal="center" vertical="center"/>
    </xf>
    <xf numFmtId="0" fontId="0" fillId="14" borderId="0" xfId="0" applyFill="1"/>
    <xf numFmtId="169" fontId="0" fillId="14" borderId="0" xfId="0" applyNumberFormat="1" applyFill="1" applyAlignment="1">
      <alignment horizontal="center"/>
    </xf>
    <xf numFmtId="44" fontId="0" fillId="14" borderId="0" xfId="2" applyFont="1" applyFill="1"/>
    <xf numFmtId="169" fontId="0" fillId="14" borderId="0" xfId="2" applyNumberFormat="1" applyFont="1" applyFill="1" applyAlignment="1">
      <alignment horizontal="center"/>
    </xf>
    <xf numFmtId="43" fontId="15" fillId="14" borderId="95" xfId="2" applyNumberFormat="1" applyFont="1" applyFill="1" applyBorder="1"/>
    <xf numFmtId="44" fontId="0" fillId="14" borderId="0" xfId="2" applyFont="1" applyFill="1" applyBorder="1"/>
    <xf numFmtId="169" fontId="0" fillId="14" borderId="0" xfId="2" applyNumberFormat="1" applyFont="1" applyFill="1" applyBorder="1" applyAlignment="1">
      <alignment horizontal="center"/>
    </xf>
    <xf numFmtId="0" fontId="8" fillId="29" borderId="8" xfId="0" applyFont="1" applyFill="1" applyBorder="1" applyAlignment="1">
      <alignment vertical="center"/>
    </xf>
    <xf numFmtId="0" fontId="8" fillId="29" borderId="20" xfId="0" applyFont="1" applyFill="1" applyBorder="1" applyAlignment="1">
      <alignment vertical="center"/>
    </xf>
    <xf numFmtId="0" fontId="8" fillId="0" borderId="20" xfId="0" applyFont="1" applyFill="1" applyBorder="1" applyAlignment="1">
      <alignment vertical="center"/>
    </xf>
    <xf numFmtId="0" fontId="8" fillId="0" borderId="8" xfId="0" applyFont="1" applyFill="1" applyBorder="1" applyAlignment="1">
      <alignment vertical="center"/>
    </xf>
    <xf numFmtId="0" fontId="8" fillId="0" borderId="9" xfId="0" applyFont="1" applyFill="1" applyBorder="1" applyAlignment="1">
      <alignment vertical="center"/>
    </xf>
    <xf numFmtId="0" fontId="8" fillId="0" borderId="58" xfId="0" applyFont="1" applyFill="1" applyBorder="1" applyAlignment="1">
      <alignment vertical="center"/>
    </xf>
    <xf numFmtId="0" fontId="6" fillId="2" borderId="109" xfId="0" applyFont="1" applyFill="1" applyBorder="1" applyAlignment="1">
      <alignment horizontal="center" vertical="center"/>
    </xf>
    <xf numFmtId="0" fontId="6" fillId="2" borderId="22" xfId="0" applyFont="1" applyFill="1" applyBorder="1" applyAlignment="1">
      <alignment horizontal="center" vertical="center"/>
    </xf>
    <xf numFmtId="0" fontId="6" fillId="3" borderId="110" xfId="0" applyFont="1" applyFill="1" applyBorder="1" applyAlignment="1">
      <alignment horizontal="center" vertical="center" wrapText="1"/>
    </xf>
    <xf numFmtId="0" fontId="6" fillId="3" borderId="111" xfId="0" applyFont="1" applyFill="1" applyBorder="1" applyAlignment="1">
      <alignment horizontal="center" vertical="center" wrapText="1"/>
    </xf>
    <xf numFmtId="0" fontId="6" fillId="3" borderId="112" xfId="0" applyFont="1" applyFill="1" applyBorder="1" applyAlignment="1">
      <alignment horizontal="center" vertical="center" wrapText="1"/>
    </xf>
    <xf numFmtId="0" fontId="6" fillId="5" borderId="110" xfId="0" applyFont="1" applyFill="1" applyBorder="1" applyAlignment="1">
      <alignment horizontal="center" vertical="center" wrapText="1"/>
    </xf>
    <xf numFmtId="0" fontId="6" fillId="5" borderId="111" xfId="0" applyFont="1" applyFill="1" applyBorder="1" applyAlignment="1">
      <alignment horizontal="center" vertical="center" wrapText="1"/>
    </xf>
    <xf numFmtId="0" fontId="6" fillId="5" borderId="112" xfId="0" applyFont="1" applyFill="1" applyBorder="1" applyAlignment="1">
      <alignment horizontal="center" vertical="center" wrapText="1"/>
    </xf>
    <xf numFmtId="0" fontId="6" fillId="5" borderId="111" xfId="0" applyFont="1" applyFill="1" applyBorder="1" applyAlignment="1">
      <alignment horizontal="center" vertical="center"/>
    </xf>
    <xf numFmtId="0" fontId="6" fillId="5" borderId="113" xfId="0" applyFont="1" applyFill="1" applyBorder="1" applyAlignment="1">
      <alignment horizontal="center" vertical="center"/>
    </xf>
    <xf numFmtId="0" fontId="6" fillId="2" borderId="108"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23" xfId="0" applyFont="1" applyFill="1" applyBorder="1" applyAlignment="1">
      <alignment horizontal="center" vertical="center"/>
    </xf>
    <xf numFmtId="0" fontId="6" fillId="2" borderId="14" xfId="0" applyFont="1" applyFill="1" applyBorder="1" applyAlignment="1">
      <alignment horizontal="center" vertical="center"/>
    </xf>
    <xf numFmtId="0" fontId="6" fillId="2" borderId="107" xfId="0" applyFont="1" applyFill="1" applyBorder="1" applyAlignment="1">
      <alignment horizontal="center" vertical="center"/>
    </xf>
    <xf numFmtId="0" fontId="9" fillId="31" borderId="157" xfId="0" applyFont="1" applyFill="1" applyBorder="1" applyAlignment="1">
      <alignment horizontal="center" vertical="center" textRotation="90"/>
    </xf>
    <xf numFmtId="0" fontId="9" fillId="31" borderId="158" xfId="0" applyFont="1" applyFill="1" applyBorder="1" applyAlignment="1">
      <alignment horizontal="center" vertical="center" textRotation="90"/>
    </xf>
    <xf numFmtId="0" fontId="6" fillId="2" borderId="110" xfId="0" applyFont="1" applyFill="1" applyBorder="1" applyAlignment="1">
      <alignment horizontal="center" vertical="center"/>
    </xf>
    <xf numFmtId="0" fontId="6" fillId="2" borderId="111" xfId="0" applyFont="1" applyFill="1" applyBorder="1" applyAlignment="1">
      <alignment horizontal="center" vertical="center"/>
    </xf>
    <xf numFmtId="0" fontId="6" fillId="2" borderId="112" xfId="0" applyFont="1" applyFill="1" applyBorder="1" applyAlignment="1">
      <alignment horizontal="center" vertical="center"/>
    </xf>
    <xf numFmtId="0" fontId="12" fillId="6" borderId="4" xfId="0" applyFont="1" applyFill="1" applyBorder="1" applyAlignment="1">
      <alignment horizontal="center" vertical="center"/>
    </xf>
    <xf numFmtId="0" fontId="12" fillId="6" borderId="10" xfId="0" applyFont="1" applyFill="1" applyBorder="1" applyAlignment="1">
      <alignment horizontal="center" vertical="center"/>
    </xf>
    <xf numFmtId="44" fontId="5" fillId="2" borderId="16" xfId="2" applyFont="1" applyFill="1" applyBorder="1" applyAlignment="1" applyProtection="1">
      <alignment horizontal="center" vertical="center"/>
    </xf>
    <xf numFmtId="44" fontId="5" fillId="2" borderId="23" xfId="2" applyFont="1" applyFill="1" applyBorder="1" applyAlignment="1" applyProtection="1">
      <alignment horizontal="center" vertical="center"/>
    </xf>
    <xf numFmtId="44" fontId="5" fillId="2" borderId="0" xfId="2" applyFont="1" applyFill="1" applyBorder="1" applyAlignment="1" applyProtection="1">
      <alignment horizontal="center" vertical="center"/>
    </xf>
    <xf numFmtId="44" fontId="5" fillId="2" borderId="13" xfId="2" applyFont="1" applyFill="1" applyBorder="1" applyAlignment="1" applyProtection="1">
      <alignment horizontal="center" vertical="center"/>
    </xf>
    <xf numFmtId="44" fontId="5" fillId="2" borderId="2" xfId="2" applyFont="1" applyFill="1" applyBorder="1" applyAlignment="1" applyProtection="1">
      <alignment horizontal="center" vertical="center"/>
    </xf>
    <xf numFmtId="44" fontId="5" fillId="2" borderId="11" xfId="2" applyFont="1" applyFill="1" applyBorder="1" applyAlignment="1" applyProtection="1">
      <alignment horizontal="center" vertical="center"/>
    </xf>
    <xf numFmtId="0" fontId="6" fillId="2" borderId="69" xfId="0" applyFont="1" applyFill="1" applyBorder="1" applyAlignment="1">
      <alignment horizontal="center" vertical="center" wrapText="1"/>
    </xf>
    <xf numFmtId="0" fontId="6" fillId="2" borderId="72" xfId="0" applyFont="1" applyFill="1" applyBorder="1" applyAlignment="1">
      <alignment horizontal="center" vertical="center" wrapText="1"/>
    </xf>
    <xf numFmtId="0" fontId="6" fillId="2" borderId="67" xfId="0" applyFont="1" applyFill="1" applyBorder="1" applyAlignment="1">
      <alignment horizontal="center" vertical="center" wrapText="1"/>
    </xf>
    <xf numFmtId="0" fontId="6" fillId="2" borderId="70" xfId="0" applyFont="1" applyFill="1" applyBorder="1" applyAlignment="1">
      <alignment horizontal="center" vertical="center" wrapText="1"/>
    </xf>
    <xf numFmtId="0" fontId="6" fillId="2" borderId="73" xfId="0" applyFont="1" applyFill="1" applyBorder="1" applyAlignment="1">
      <alignment horizontal="center" vertical="center" wrapText="1"/>
    </xf>
    <xf numFmtId="0" fontId="6" fillId="2" borderId="74" xfId="0" applyFont="1" applyFill="1" applyBorder="1" applyAlignment="1">
      <alignment horizontal="center" vertical="center" wrapText="1"/>
    </xf>
    <xf numFmtId="0" fontId="6" fillId="2" borderId="68" xfId="0" applyFont="1" applyFill="1" applyBorder="1" applyAlignment="1">
      <alignment horizontal="center" vertical="center" wrapText="1"/>
    </xf>
    <xf numFmtId="0" fontId="6" fillId="2" borderId="71" xfId="0" applyFont="1" applyFill="1" applyBorder="1" applyAlignment="1">
      <alignment horizontal="center" vertical="center" wrapText="1"/>
    </xf>
    <xf numFmtId="0" fontId="6" fillId="2" borderId="62" xfId="0" applyFont="1" applyFill="1" applyBorder="1" applyAlignment="1">
      <alignment horizontal="center" vertical="center" wrapText="1"/>
    </xf>
    <xf numFmtId="0" fontId="6" fillId="2" borderId="56" xfId="0" applyFont="1" applyFill="1" applyBorder="1" applyAlignment="1">
      <alignment horizontal="center" vertical="center" wrapText="1"/>
    </xf>
    <xf numFmtId="0" fontId="6" fillId="2" borderId="57" xfId="0" applyFont="1" applyFill="1" applyBorder="1" applyAlignment="1">
      <alignment horizontal="center" vertical="center" wrapText="1"/>
    </xf>
    <xf numFmtId="0" fontId="6" fillId="2" borderId="52" xfId="0" applyFont="1" applyFill="1" applyBorder="1" applyAlignment="1">
      <alignment horizontal="center" vertical="center" wrapText="1"/>
    </xf>
    <xf numFmtId="0" fontId="6" fillId="2" borderId="53" xfId="0" applyFont="1" applyFill="1" applyBorder="1" applyAlignment="1">
      <alignment horizontal="center" vertical="center" wrapText="1"/>
    </xf>
    <xf numFmtId="0" fontId="6" fillId="2" borderId="54" xfId="0" applyFont="1" applyFill="1" applyBorder="1" applyAlignment="1">
      <alignment horizontal="center" vertical="center" wrapText="1"/>
    </xf>
    <xf numFmtId="0" fontId="6" fillId="2" borderId="55" xfId="0" applyFont="1" applyFill="1" applyBorder="1" applyAlignment="1">
      <alignment horizontal="center" vertical="center" wrapText="1"/>
    </xf>
    <xf numFmtId="44" fontId="6" fillId="28" borderId="0" xfId="2" applyFont="1" applyFill="1" applyAlignment="1">
      <alignment horizontal="center" vertical="center"/>
    </xf>
    <xf numFmtId="43" fontId="6" fillId="28" borderId="0" xfId="7" applyFont="1" applyFill="1" applyAlignment="1">
      <alignment horizontal="center" vertical="center"/>
    </xf>
    <xf numFmtId="43" fontId="24" fillId="28" borderId="0" xfId="7" applyFont="1" applyFill="1" applyAlignment="1">
      <alignment horizontal="center" vertical="center"/>
    </xf>
    <xf numFmtId="0" fontId="30" fillId="2" borderId="130" xfId="5" applyFont="1" applyFill="1" applyBorder="1" applyAlignment="1">
      <alignment horizontal="center" vertical="center"/>
    </xf>
    <xf numFmtId="0" fontId="30" fillId="2" borderId="131" xfId="5" applyFont="1" applyFill="1" applyBorder="1" applyAlignment="1">
      <alignment horizontal="center" vertical="center"/>
    </xf>
    <xf numFmtId="0" fontId="29" fillId="2" borderId="129" xfId="5" applyFont="1" applyFill="1" applyBorder="1" applyAlignment="1">
      <alignment horizontal="center" vertical="center"/>
    </xf>
    <xf numFmtId="0" fontId="29" fillId="2" borderId="128" xfId="5" applyFont="1" applyFill="1" applyBorder="1" applyAlignment="1">
      <alignment horizontal="center" vertical="center"/>
    </xf>
    <xf numFmtId="0" fontId="29" fillId="2" borderId="100" xfId="5" applyFont="1" applyFill="1" applyBorder="1" applyAlignment="1">
      <alignment horizontal="center" vertical="center"/>
    </xf>
  </cellXfs>
  <cellStyles count="8">
    <cellStyle name="Moeda" xfId="2" builtinId="4"/>
    <cellStyle name="Moeda 2 4" xfId="4" xr:uid="{F0FDDF69-E95A-4DE0-B663-B0EAE51AFF00}"/>
    <cellStyle name="Normal" xfId="0" builtinId="0"/>
    <cellStyle name="Normal 10 2" xfId="5" xr:uid="{34454E82-4379-472A-8409-77E4A6055B9B}"/>
    <cellStyle name="Normal 9 3" xfId="3" xr:uid="{B8BEB59A-26E7-4ACF-A7E4-0FCC478B73D8}"/>
    <cellStyle name="Porcentagem" xfId="1" builtinId="5"/>
    <cellStyle name="Porcentagem 10 2" xfId="6" xr:uid="{9030DE05-B707-483A-8908-B967855BE73F}"/>
    <cellStyle name="Vírgula" xfId="7" builtinId="3"/>
  </cellStyles>
  <dxfs count="1017">
    <dxf>
      <font>
        <b/>
      </font>
      <numFmt numFmtId="35" formatCode="_-* #,##0.00_-;\-* #,##0.00_-;_-* &quot;-&quot;??_-;_-@_-"/>
      <alignment horizontal="center" vertical="center" textRotation="0" wrapText="0" indent="0" justifyLastLine="0" shrinkToFit="0" readingOrder="0"/>
    </dxf>
    <dxf>
      <font>
        <b/>
      </font>
      <numFmt numFmtId="35" formatCode="_-* #,##0.00_-;\-* #,##0.00_-;_-* &quot;-&quot;??_-;_-@_-"/>
      <alignment horizontal="center" vertical="center" textRotation="0" wrapText="0" indent="0" justifyLastLine="0" shrinkToFit="0" readingOrder="0"/>
    </dxf>
    <dxf>
      <font>
        <b/>
      </font>
      <numFmt numFmtId="35" formatCode="_-* #,##0.00_-;\-* #,##0.00_-;_-* &quot;-&quot;??_-;_-@_-"/>
      <alignment horizontal="center" vertical="center" textRotation="0" wrapText="0" indent="0" justifyLastLine="0" shrinkToFit="0" readingOrder="0"/>
    </dxf>
    <dxf>
      <font>
        <b/>
      </font>
      <numFmt numFmtId="35" formatCode="_-* #,##0.00_-;\-* #,##0.00_-;_-* &quot;-&quot;??_-;_-@_-"/>
      <alignment horizontal="center" vertical="center" textRotation="0" wrapText="0" indent="0" justifyLastLine="0" shrinkToFit="0" readingOrder="0"/>
    </dxf>
    <dxf>
      <font>
        <b/>
      </font>
      <numFmt numFmtId="35" formatCode="_-* #,##0.00_-;\-* #,##0.00_-;_-* &quot;-&quot;??_-;_-@_-"/>
      <alignment horizontal="center" vertical="center" textRotation="0" wrapText="0" indent="0" justifyLastLine="0" shrinkToFit="0" readingOrder="0"/>
    </dxf>
    <dxf>
      <font>
        <b/>
      </font>
      <numFmt numFmtId="35" formatCode="_-* #,##0.00_-;\-* #,##0.00_-;_-* &quot;-&quot;??_-;_-@_-"/>
      <alignment horizontal="center" vertical="center" textRotation="0" wrapText="0" indent="0" justifyLastLine="0" shrinkToFit="0" readingOrder="0"/>
    </dxf>
    <dxf>
      <font>
        <b/>
      </font>
      <numFmt numFmtId="35" formatCode="_-* #,##0.00_-;\-* #,##0.00_-;_-* &quot;-&quot;??_-;_-@_-"/>
      <alignment horizontal="center" vertical="center" textRotation="0" wrapText="0" indent="0" justifyLastLine="0" shrinkToFit="0" readingOrder="0"/>
    </dxf>
    <dxf>
      <font>
        <b/>
      </font>
      <numFmt numFmtId="35" formatCode="_-* #,##0.00_-;\-* #,##0.00_-;_-* &quot;-&quot;??_-;_-@_-"/>
      <alignment horizontal="center" vertical="center" textRotation="0" wrapText="0" indent="0" justifyLastLine="0" shrinkToFit="0" readingOrder="0"/>
    </dxf>
    <dxf>
      <font>
        <b/>
      </font>
      <numFmt numFmtId="35" formatCode="_-* #,##0.00_-;\-* #,##0.00_-;_-* &quot;-&quot;??_-;_-@_-"/>
      <alignment horizontal="center" vertical="center" textRotation="0" wrapText="0" indent="0" justifyLastLine="0" shrinkToFit="0" readingOrder="0"/>
    </dxf>
    <dxf>
      <font>
        <b/>
      </font>
      <numFmt numFmtId="35" formatCode="_-* #,##0.00_-;\-* #,##0.00_-;_-* &quot;-&quot;??_-;_-@_-"/>
      <alignment horizontal="center" vertical="center" textRotation="0" wrapText="0" indent="0" justifyLastLine="0" shrinkToFit="0" readingOrder="0"/>
    </dxf>
    <dxf>
      <font>
        <b/>
      </font>
      <numFmt numFmtId="35" formatCode="_-* #,##0.00_-;\-* #,##0.00_-;_-* &quot;-&quot;??_-;_-@_-"/>
      <alignment horizontal="center" vertical="center" textRotation="0" wrapText="0" indent="0" justifyLastLine="0" shrinkToFit="0" readingOrder="0"/>
    </dxf>
    <dxf>
      <font>
        <b/>
      </font>
      <numFmt numFmtId="35" formatCode="_-* #,##0.00_-;\-* #,##0.00_-;_-* &quot;-&quot;??_-;_-@_-"/>
      <alignment horizontal="center" vertical="center" textRotation="0" wrapText="0" indent="0" justifyLastLine="0" shrinkToFit="0" readingOrder="0"/>
    </dxf>
    <dxf>
      <font>
        <b/>
      </font>
      <numFmt numFmtId="35" formatCode="_-* #,##0.00_-;\-* #,##0.00_-;_-* &quot;-&quot;??_-;_-@_-"/>
      <alignment horizontal="center" vertical="center" textRotation="0" wrapText="0" indent="0" justifyLastLine="0" shrinkToFit="0" readingOrder="0"/>
    </dxf>
    <dxf>
      <font>
        <b/>
      </font>
      <numFmt numFmtId="35" formatCode="_-* #,##0.00_-;\-* #,##0.00_-;_-* &quot;-&quot;??_-;_-@_-"/>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general" vertical="center" textRotation="0" wrapText="0" indent="0" justifyLastLine="0" shrinkToFit="0" readingOrder="0"/>
    </dxf>
    <dxf>
      <font>
        <b/>
      </font>
      <alignment horizontal="general" vertical="center" textRotation="0" wrapText="0" indent="0" justifyLastLine="0" shrinkToFit="0" readingOrder="0"/>
    </dxf>
    <dxf>
      <font>
        <b/>
      </font>
      <alignment horizontal="general" vertical="center" textRotation="0" wrapText="0" indent="0" justifyLastLine="0" shrinkToFit="0" readingOrder="0"/>
    </dxf>
    <dxf>
      <font>
        <b/>
      </font>
      <alignment horizontal="general" vertical="center" textRotation="0" wrapText="0" indent="0" justifyLastLine="0" shrinkToFit="0" readingOrder="0"/>
    </dxf>
    <dxf>
      <font>
        <strike val="0"/>
        <outline val="0"/>
        <shadow val="0"/>
        <u val="none"/>
        <vertAlign val="baseline"/>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FA7A7"/>
        </patternFill>
      </fill>
      <alignment horizontal="center" vertical="center" textRotation="0" wrapText="0" indent="0" justifyLastLine="0" shrinkToFit="0" readingOrder="0"/>
    </dxf>
    <dxf>
      <font>
        <strike val="0"/>
        <outline val="0"/>
        <shadow val="0"/>
        <u val="none"/>
        <vertAlign val="baseline"/>
        <name val="Arial"/>
        <family val="2"/>
        <scheme val="none"/>
      </font>
      <alignment horizontal="center" vertical="center" textRotation="0" wrapText="0" indent="0" justifyLastLine="0" shrinkToFit="0" readingOrder="0"/>
    </dxf>
    <dxf>
      <font>
        <strike val="0"/>
        <outline val="0"/>
        <shadow val="0"/>
        <u val="none"/>
        <vertAlign val="baseline"/>
        <name val="Arial"/>
        <family val="2"/>
        <scheme val="none"/>
      </font>
      <alignment horizontal="center" vertical="center" textRotation="0" wrapText="0" indent="0" justifyLastLine="0" shrinkToFit="0" readingOrder="0"/>
    </dxf>
    <dxf>
      <font>
        <strike val="0"/>
        <outline val="0"/>
        <shadow val="0"/>
        <u val="none"/>
        <vertAlign val="baseline"/>
        <name val="Arial"/>
        <family val="2"/>
        <scheme val="none"/>
      </font>
      <alignment horizontal="center" vertical="center" textRotation="0" wrapText="0" indent="0" justifyLastLine="0" shrinkToFit="0" readingOrder="0"/>
    </dxf>
    <dxf>
      <font>
        <strike val="0"/>
        <outline val="0"/>
        <shadow val="0"/>
        <u val="none"/>
        <vertAlign val="baseline"/>
        <name val="Arial"/>
        <family val="2"/>
        <scheme val="none"/>
      </font>
      <alignment horizontal="center" vertical="center" textRotation="0" wrapText="0" indent="0" justifyLastLine="0" shrinkToFit="0" readingOrder="0"/>
    </dxf>
    <dxf>
      <font>
        <strike val="0"/>
        <outline val="0"/>
        <shadow val="0"/>
        <u val="none"/>
        <vertAlign val="baseline"/>
        <name val="Arial"/>
        <family val="2"/>
        <scheme val="none"/>
      </font>
      <alignment horizontal="center" vertical="center" textRotation="0" wrapText="0" indent="0" justifyLastLine="0" shrinkToFit="0" readingOrder="0"/>
    </dxf>
    <dxf>
      <font>
        <strike val="0"/>
        <outline val="0"/>
        <shadow val="0"/>
        <u val="none"/>
        <vertAlign val="baseline"/>
        <name val="Arial"/>
        <family val="2"/>
        <scheme val="none"/>
      </font>
      <alignment horizontal="center" vertical="center" textRotation="0" wrapText="0" indent="0" justifyLastLine="0" shrinkToFit="0" readingOrder="0"/>
    </dxf>
    <dxf>
      <font>
        <strike val="0"/>
        <outline val="0"/>
        <shadow val="0"/>
        <u val="none"/>
        <vertAlign val="baseline"/>
        <name val="Arial"/>
        <family val="2"/>
        <scheme val="none"/>
      </font>
      <alignment horizontal="center" vertical="center" textRotation="0" wrapText="0" indent="0" justifyLastLine="0" shrinkToFit="0" readingOrder="0"/>
    </dxf>
    <dxf>
      <font>
        <strike val="0"/>
        <outline val="0"/>
        <shadow val="0"/>
        <u val="none"/>
        <vertAlign val="baseline"/>
        <name val="Arial"/>
        <family val="2"/>
        <scheme val="none"/>
      </font>
      <alignment horizontal="center" vertical="center" textRotation="0" wrapText="0" indent="0" justifyLastLine="0" shrinkToFit="0" readingOrder="0"/>
    </dxf>
    <dxf>
      <font>
        <strike val="0"/>
        <outline val="0"/>
        <shadow val="0"/>
        <u val="none"/>
        <vertAlign val="baseline"/>
        <name val="Arial"/>
        <family val="2"/>
        <scheme val="none"/>
      </font>
      <alignment horizontal="center" vertical="center" textRotation="0" wrapText="0" indent="0" justifyLastLine="0" shrinkToFit="0" readingOrder="0"/>
    </dxf>
    <dxf>
      <font>
        <strike val="0"/>
        <outline val="0"/>
        <shadow val="0"/>
        <u val="none"/>
        <vertAlign val="baseline"/>
        <name val="Arial"/>
        <family val="2"/>
        <scheme val="none"/>
      </font>
      <alignment horizontal="center" vertical="center" textRotation="0" wrapText="0" indent="0" justifyLastLine="0" shrinkToFit="0" readingOrder="0"/>
    </dxf>
    <dxf>
      <font>
        <strike val="0"/>
        <outline val="0"/>
        <shadow val="0"/>
        <u val="none"/>
        <vertAlign val="baseline"/>
        <name val="Arial"/>
        <family val="2"/>
        <scheme val="none"/>
      </font>
      <alignment horizontal="center" vertical="center" textRotation="0" wrapText="0" indent="0" justifyLastLine="0" shrinkToFit="0" readingOrder="0"/>
    </dxf>
    <dxf>
      <font>
        <strike val="0"/>
        <outline val="0"/>
        <shadow val="0"/>
        <u val="none"/>
        <vertAlign val="baseline"/>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3" formatCode="0%"/>
      <fill>
        <patternFill patternType="solid">
          <fgColor indexed="64"/>
          <bgColor theme="8" tint="0.59999389629810485"/>
        </patternFill>
      </fill>
      <alignment horizontal="center" vertical="center" textRotation="0" wrapText="0" indent="0" justifyLastLine="0" shrinkToFit="0" readingOrder="0"/>
    </dxf>
    <dxf>
      <font>
        <strike val="0"/>
        <outline val="0"/>
        <shadow val="0"/>
        <u val="none"/>
        <vertAlign val="baseline"/>
        <name val="Arial"/>
        <family val="2"/>
        <scheme val="none"/>
      </font>
      <fill>
        <patternFill patternType="solid">
          <fgColor indexed="64"/>
          <bgColor theme="8" tint="0.59999389629810485"/>
        </patternFill>
      </fill>
      <alignment vertical="center" textRotation="0" wrapText="0" indent="0" justifyLastLine="0" shrinkToFit="0" readingOrder="0"/>
    </dxf>
    <dxf>
      <font>
        <strike val="0"/>
        <outline val="0"/>
        <shadow val="0"/>
        <u val="none"/>
        <vertAlign val="baseline"/>
        <name val="Arial"/>
        <family val="2"/>
        <scheme val="none"/>
      </font>
      <fill>
        <patternFill patternType="solid">
          <fgColor indexed="64"/>
          <bgColor theme="8" tint="0.59999389629810485"/>
        </patternFill>
      </fill>
      <alignment vertical="center" textRotation="0" wrapText="0" indent="0" justifyLastLine="0" shrinkToFit="0" readingOrder="0"/>
    </dxf>
    <dxf>
      <font>
        <strike val="0"/>
        <outline val="0"/>
        <shadow val="0"/>
        <u val="none"/>
        <vertAlign val="baseline"/>
        <name val="Arial"/>
        <family val="2"/>
        <scheme val="none"/>
      </font>
      <alignment vertical="center" textRotation="0" wrapText="0" indent="0" justifyLastLine="0" shrinkToFit="0" readingOrder="0"/>
    </dxf>
    <dxf>
      <font>
        <strike val="0"/>
        <outline val="0"/>
        <shadow val="0"/>
        <u val="none"/>
        <vertAlign val="baseline"/>
        <name val="Arial"/>
        <family val="2"/>
        <scheme val="none"/>
      </font>
      <alignment vertical="center" textRotation="0" wrapText="0" indent="0" justifyLastLine="0" shrinkToFit="0" readingOrder="0"/>
    </dxf>
    <dxf>
      <numFmt numFmtId="0" formatCode="General"/>
    </dxf>
    <dxf>
      <font>
        <b val="0"/>
        <i val="0"/>
        <strike val="0"/>
        <condense val="0"/>
        <extend val="0"/>
        <outline val="0"/>
        <shadow val="0"/>
        <u val="none"/>
        <vertAlign val="baseline"/>
        <sz val="11"/>
        <color theme="1"/>
        <name val="Calibri"/>
        <family val="2"/>
        <scheme val="minor"/>
      </font>
    </dxf>
    <dxf>
      <alignment horizontal="center" vertical="bottom" textRotation="0" wrapText="0" indent="0" justifyLastLine="0" shrinkToFit="0" readingOrder="0"/>
    </dxf>
    <dxf>
      <numFmt numFmtId="0" formatCode="General"/>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35" formatCode="_-* #,##0.00_-;\-* #,##0.00_-;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4" formatCode="#,##0.00"/>
    </dxf>
    <dxf>
      <numFmt numFmtId="0" formatCode="General"/>
    </dxf>
    <dxf>
      <numFmt numFmtId="0" formatCode="General"/>
    </dxf>
    <dxf>
      <numFmt numFmtId="0" formatCode="General"/>
    </dxf>
    <dxf>
      <numFmt numFmtId="4" formatCode="#,##0.00"/>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indexed="65"/>
        </patternFill>
      </fill>
    </dxf>
    <dxf>
      <numFmt numFmtId="0" formatCode="General"/>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4"/>
        <color theme="0"/>
        <name val="Calibri"/>
        <family val="2"/>
        <scheme val="minor"/>
      </font>
      <fill>
        <patternFill patternType="none">
          <fgColor indexed="64"/>
          <bgColor auto="1"/>
        </patternFill>
      </fill>
    </dxf>
    <dxf>
      <fill>
        <patternFill>
          <bgColor theme="8" tint="0.59996337778862885"/>
        </patternFill>
      </fill>
    </dxf>
    <dxf>
      <fill>
        <patternFill>
          <bgColor theme="8" tint="0.59996337778862885"/>
        </patternFill>
      </fill>
    </dxf>
    <dxf>
      <font>
        <b val="0"/>
        <i val="0"/>
        <strike val="0"/>
        <condense val="0"/>
        <extend val="0"/>
        <outline val="0"/>
        <shadow val="0"/>
        <u val="none"/>
        <vertAlign val="baseline"/>
        <sz val="11"/>
        <color auto="1"/>
        <name val="Calibri"/>
        <family val="2"/>
        <scheme val="none"/>
      </font>
      <fill>
        <patternFill patternType="solid">
          <fgColor indexed="64"/>
          <bgColor rgb="FFFFA7A7"/>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FFA7A7"/>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FFA7A7"/>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FFA7A7"/>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FFA7A7"/>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FFA7A7"/>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FFA7A7"/>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FFA7A7"/>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FFA7A7"/>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FFA7A7"/>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FFA7A7"/>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FFA7A7"/>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FFA7A7"/>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FFA7A7"/>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3" formatCode="0%"/>
      <fill>
        <patternFill patternType="solid">
          <fgColor indexed="64"/>
          <bgColor rgb="FFFFA7A7"/>
        </patternFill>
      </fill>
      <alignment horizontal="center" vertical="center" textRotation="0" wrapText="0"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1"/>
        <color auto="1"/>
        <name val="Calibri"/>
        <family val="2"/>
        <scheme val="none"/>
      </font>
      <fill>
        <patternFill patternType="solid">
          <fgColor indexed="64"/>
          <bgColor theme="1"/>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style="thin">
          <color auto="1"/>
        </horizontal>
      </border>
    </dxf>
    <dxf>
      <font>
        <b val="0"/>
        <i val="0"/>
        <strike val="0"/>
        <condense val="0"/>
        <extend val="0"/>
        <outline val="0"/>
        <shadow val="0"/>
        <u val="none"/>
        <vertAlign val="baseline"/>
        <sz val="11"/>
        <color theme="1"/>
        <name val="Calibri"/>
        <family val="2"/>
        <scheme val="minor"/>
      </font>
      <fill>
        <patternFill patternType="solid">
          <fgColor indexed="64"/>
          <bgColor rgb="FFFFA7A7"/>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FA7A7"/>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0" indent="0" justifyLastLine="0" shrinkToFit="0" readingOrder="0"/>
      <border outline="0">
        <left/>
        <right style="thin">
          <color theme="0"/>
        </right>
      </border>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0" indent="0" justifyLastLine="0" shrinkToFit="0" readingOrder="0"/>
      <border outline="0">
        <left/>
        <right style="thin">
          <color theme="0"/>
        </right>
      </border>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0" indent="0" justifyLastLine="0" shrinkToFit="0" readingOrder="0"/>
      <border outline="0">
        <left/>
        <right style="thin">
          <color theme="0"/>
        </right>
      </border>
    </dxf>
    <dxf>
      <font>
        <b val="0"/>
        <i val="0"/>
        <strike val="0"/>
        <condense val="0"/>
        <extend val="0"/>
        <outline val="0"/>
        <shadow val="0"/>
        <u val="none"/>
        <vertAlign val="baseline"/>
        <sz val="11"/>
        <color theme="1"/>
        <name val="Calibri"/>
        <family val="2"/>
        <scheme val="minor"/>
      </font>
      <numFmt numFmtId="13" formatCode="0%"/>
      <fill>
        <patternFill patternType="none">
          <bgColor auto="1"/>
        </patternFill>
      </fill>
      <alignment horizontal="center" vertical="center" textRotation="0" wrapText="0" indent="0" justifyLastLine="0" shrinkToFit="0" readingOrder="0"/>
      <border>
        <left/>
        <right style="thin">
          <color theme="0"/>
        </right>
      </border>
    </dxf>
    <dxf>
      <font>
        <b val="0"/>
        <i val="0"/>
        <strike val="0"/>
        <condense val="0"/>
        <extend val="0"/>
        <outline val="0"/>
        <shadow val="0"/>
        <u val="none"/>
        <vertAlign val="baseline"/>
        <sz val="11"/>
        <color theme="1"/>
        <name val="Calibri"/>
        <family val="2"/>
        <scheme val="minor"/>
      </font>
      <numFmt numFmtId="13" formatCode="0%"/>
      <fill>
        <patternFill patternType="none">
          <bgColor auto="1"/>
        </patternFill>
      </fill>
      <alignment horizontal="center" vertical="center" textRotation="0" wrapText="0" indent="0" justifyLastLine="0" shrinkToFit="0" readingOrder="0"/>
      <border>
        <left/>
        <right style="thin">
          <color theme="0"/>
        </right>
      </border>
    </dxf>
    <dxf>
      <font>
        <b val="0"/>
        <i val="0"/>
        <strike val="0"/>
        <condense val="0"/>
        <extend val="0"/>
        <outline val="0"/>
        <shadow val="0"/>
        <u val="none"/>
        <vertAlign val="baseline"/>
        <sz val="11"/>
        <color theme="1"/>
        <name val="Calibri"/>
        <family val="2"/>
        <scheme val="minor"/>
      </font>
      <numFmt numFmtId="13" formatCode="0%"/>
      <fill>
        <patternFill patternType="none">
          <bgColor auto="1"/>
        </patternFill>
      </fill>
      <alignment horizontal="center" vertical="center" textRotation="0" wrapText="0" indent="0" justifyLastLine="0" shrinkToFit="0" readingOrder="0"/>
      <border>
        <left/>
        <right style="thin">
          <color theme="0"/>
        </right>
      </border>
    </dxf>
    <dxf>
      <font>
        <b val="0"/>
        <i val="0"/>
        <strike val="0"/>
        <condense val="0"/>
        <extend val="0"/>
        <outline val="0"/>
        <shadow val="0"/>
        <u val="none"/>
        <vertAlign val="baseline"/>
        <sz val="11"/>
        <color theme="1"/>
        <name val="Calibri"/>
        <family val="2"/>
        <scheme val="minor"/>
      </font>
      <numFmt numFmtId="13" formatCode="0%"/>
      <fill>
        <patternFill patternType="none">
          <bgColor auto="1"/>
        </patternFill>
      </fill>
      <alignment horizontal="center" vertical="center" textRotation="0" wrapText="0" indent="0" justifyLastLine="0" shrinkToFit="0" readingOrder="0"/>
      <border>
        <left/>
        <right style="thin">
          <color theme="0"/>
        </right>
      </border>
    </dxf>
    <dxf>
      <font>
        <b val="0"/>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3" formatCode="0%"/>
      <fill>
        <patternFill patternType="none">
          <bgColor auto="1"/>
        </patternFill>
      </fill>
      <alignment horizontal="center" vertical="center" textRotation="0" wrapText="0" indent="0" justifyLastLine="0" shrinkToFit="0" readingOrder="0"/>
      <border>
        <left/>
        <right style="thin">
          <color theme="0"/>
        </right>
      </border>
    </dxf>
    <dxf>
      <font>
        <b val="0"/>
        <i val="0"/>
        <strike val="0"/>
        <condense val="0"/>
        <extend val="0"/>
        <outline val="0"/>
        <shadow val="0"/>
        <u val="none"/>
        <vertAlign val="baseline"/>
        <sz val="11"/>
        <color theme="1"/>
        <name val="Calibri"/>
        <family val="2"/>
        <scheme val="minor"/>
      </font>
      <numFmt numFmtId="13" formatCode="0%"/>
      <fill>
        <patternFill patternType="none">
          <bgColor auto="1"/>
        </patternFill>
      </fill>
      <alignment horizontal="center" vertical="center" textRotation="0" wrapText="0" indent="0" justifyLastLine="0" shrinkToFit="0" readingOrder="0"/>
      <border>
        <left/>
        <right style="thin">
          <color theme="0"/>
        </right>
      </border>
    </dxf>
    <dxf>
      <font>
        <b val="0"/>
        <i val="0"/>
        <strike val="0"/>
        <condense val="0"/>
        <extend val="0"/>
        <outline val="0"/>
        <shadow val="0"/>
        <u val="none"/>
        <vertAlign val="baseline"/>
        <sz val="11"/>
        <color theme="1"/>
        <name val="Calibri"/>
        <family val="2"/>
        <scheme val="minor"/>
      </font>
      <numFmt numFmtId="13" formatCode="0%"/>
      <fill>
        <patternFill patternType="none">
          <bgColor auto="1"/>
        </patternFill>
      </fill>
      <alignment horizontal="center" vertical="center" textRotation="0" wrapText="0" indent="0" justifyLastLine="0" shrinkToFit="0" readingOrder="0"/>
      <border>
        <left/>
        <right style="thin">
          <color theme="0"/>
        </right>
      </border>
    </dxf>
    <dxf>
      <font>
        <b val="0"/>
        <i val="0"/>
        <strike val="0"/>
        <condense val="0"/>
        <extend val="0"/>
        <outline val="0"/>
        <shadow val="0"/>
        <u val="none"/>
        <vertAlign val="baseline"/>
        <sz val="11"/>
        <color theme="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3" formatCode="0%"/>
      <fill>
        <patternFill patternType="none">
          <bgColor auto="1"/>
        </patternFill>
      </fill>
      <alignment horizontal="center" vertical="center" textRotation="0" wrapText="0" indent="0" justifyLastLine="0" shrinkToFit="0" readingOrder="0"/>
      <border>
        <left/>
        <right style="thin">
          <color theme="0"/>
        </right>
      </border>
    </dxf>
    <dxf>
      <font>
        <b val="0"/>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3" formatCode="0%"/>
      <fill>
        <patternFill patternType="none">
          <bgColor auto="1"/>
        </patternFill>
      </fill>
      <alignment horizontal="center" vertical="center" textRotation="0" wrapText="0" indent="0" justifyLastLine="0" shrinkToFit="0" readingOrder="0"/>
      <border>
        <left/>
        <right style="thin">
          <color theme="0"/>
        </right>
      </border>
    </dxf>
    <dxf>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numFmt numFmtId="0" formatCode="General"/>
      <fill>
        <patternFill patternType="none">
          <bgColor auto="1"/>
        </patternFill>
      </fill>
    </dxf>
    <dxf>
      <numFmt numFmtId="0" formatCode="General"/>
      <fill>
        <patternFill patternType="none">
          <bgColor auto="1"/>
        </patternFill>
      </fill>
    </dxf>
    <dxf>
      <fill>
        <patternFill patternType="none">
          <bgColor auto="1"/>
        </patternFill>
      </fill>
    </dxf>
    <dxf>
      <font>
        <b val="0"/>
        <i val="0"/>
        <strike val="0"/>
        <condense val="0"/>
        <extend val="0"/>
        <outline val="0"/>
        <shadow val="0"/>
        <u val="none"/>
        <vertAlign val="baseline"/>
        <sz val="11"/>
        <color rgb="FF000000"/>
        <name val="Calibri"/>
        <family val="2"/>
        <scheme val="none"/>
      </font>
      <fill>
        <patternFill patternType="none">
          <bgColor auto="1"/>
        </patternFill>
      </fill>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22" formatCode="mmm/yy"/>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fgColor indexed="64"/>
          <bgColor indexed="65"/>
        </patternFill>
      </fill>
      <alignment horizontal="center" vertical="bottom"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fgColor indexed="64"/>
          <bgColor indexed="65"/>
        </patternFill>
      </fill>
      <alignment horizontal="center" vertical="bottom"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fgColor indexed="64"/>
          <bgColor indexed="65"/>
        </patternFill>
      </fill>
      <alignment horizontal="center" vertical="bottom"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fgColor indexed="64"/>
          <bgColor indexed="65"/>
        </patternFill>
      </fill>
      <alignment horizontal="center" vertical="bottom"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fgColor indexed="64"/>
          <bgColor indexed="65"/>
        </patternFill>
      </fill>
      <alignment horizontal="center" vertical="bottom"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fgColor indexed="64"/>
          <bgColor indexed="65"/>
        </patternFill>
      </fill>
      <alignment horizontal="center" vertical="bottom"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fgColor indexed="64"/>
          <bgColor indexed="65"/>
        </patternFill>
      </fill>
      <alignment horizontal="center" vertical="bottom"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fgColor indexed="64"/>
          <bgColor indexed="65"/>
        </patternFill>
      </fill>
      <alignment horizontal="center" vertical="bottom"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fgColor indexed="64"/>
          <bgColor indexed="65"/>
        </patternFill>
      </fill>
      <alignment horizontal="center" vertical="bottom"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fgColor indexed="64"/>
          <bgColor indexed="65"/>
        </patternFill>
      </fill>
      <alignment horizontal="center" vertical="bottom"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fgColor indexed="64"/>
          <bgColor indexed="65"/>
        </patternFill>
      </fill>
      <alignment horizontal="center" vertical="bottom"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fgColor indexed="64"/>
          <bgColor indexed="65"/>
        </patternFill>
      </fill>
      <alignment horizontal="center" vertical="bottom"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fgColor indexed="64"/>
          <bgColor indexed="65"/>
        </patternFill>
      </fill>
      <alignment horizontal="center" vertical="bottom"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fgColor indexed="64"/>
          <bgColor indexed="65"/>
        </patternFill>
      </fill>
      <alignment horizontal="center" vertical="bottom"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theme="0"/>
        </left>
        <right/>
        <top style="thin">
          <color theme="0"/>
        </top>
        <bottom style="thin">
          <color theme="0"/>
        </bottom>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bgColor auto="1"/>
        </patternFill>
      </fill>
      <border outline="0">
        <right style="thin">
          <color theme="0"/>
        </right>
      </border>
    </dxf>
    <dxf>
      <font>
        <b val="0"/>
        <i val="0"/>
        <strike val="0"/>
        <condense val="0"/>
        <extend val="0"/>
        <outline val="0"/>
        <shadow val="0"/>
        <u val="none"/>
        <vertAlign val="baseline"/>
        <sz val="11"/>
        <color auto="1"/>
        <name val="Calibri"/>
        <family val="2"/>
        <scheme val="minor"/>
      </font>
      <numFmt numFmtId="35" formatCode="_-* #,##0.00_-;\-* #,##0.00_-;_-* &quot;-&quot;??_-;_-@_-"/>
      <fill>
        <patternFill patternType="none">
          <fgColor indexed="64"/>
          <bgColor indexed="65"/>
        </patternFill>
      </fill>
      <alignment horizontal="center" vertical="bottom"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numFmt numFmtId="35" formatCode="_-* #,##0.00_-;\-* #,##0.00_-;_-* &quot;-&quot;??_-;_-@_-"/>
      <fill>
        <patternFill patternType="solid">
          <fgColor indexed="64"/>
          <bgColor theme="1"/>
        </patternFill>
      </fill>
      <border diagonalUp="0" diagonalDown="0" outline="0">
        <left/>
        <right style="medium">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numFmt numFmtId="168" formatCode="_-* #,##0.000_-;\-* #,##0.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168" formatCode="_-* #,##0.000_-;\-* #,##0.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168" formatCode="_-* #,##0.000_-;\-* #,##0.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168" formatCode="_-* #,##0.000_-;\-* #,##0.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168" formatCode="_-* #,##0.000_-;\-* #,##0.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168" formatCode="_-* #,##0.000_-;\-* #,##0.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168" formatCode="_-* #,##0.000_-;\-* #,##0.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168" formatCode="_-* #,##0.000_-;\-* #,##0.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168" formatCode="_-* #,##0.000_-;\-* #,##0.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168" formatCode="_-* #,##0.000_-;\-* #,##0.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168" formatCode="_-* #,##0.000_-;\-* #,##0.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168" formatCode="_-* #,##0.000_-;\-* #,##0.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168" formatCode="_-* #,##0.000_-;\-* #,##0.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168" formatCode="_-* #,##0.000_-;\-* #,##0.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168" formatCode="_-* #,##0.000_-;\-* #,##0.000_-;_-* &quot;-&quot;??_-;_-@_-"/>
      <fill>
        <patternFill patternType="none">
          <bgColor auto="1"/>
        </patternFill>
      </fill>
    </dxf>
    <dxf>
      <font>
        <b val="0"/>
        <i val="0"/>
        <strike val="0"/>
        <condense val="0"/>
        <extend val="0"/>
        <outline val="0"/>
        <shadow val="0"/>
        <u val="none"/>
        <vertAlign val="baseline"/>
        <sz val="11"/>
        <color theme="1"/>
        <name val="Calibri"/>
        <family val="2"/>
        <scheme val="minor"/>
      </font>
      <numFmt numFmtId="168" formatCode="_-* #,##0.000_-;\-* #,##0.000_-;_-* &quot;-&quot;??_-;_-@_-"/>
      <fill>
        <patternFill patternType="none">
          <bgColor auto="1"/>
        </patternFill>
      </fill>
    </dxf>
    <dxf>
      <font>
        <b val="0"/>
        <i val="0"/>
        <strike val="0"/>
        <condense val="0"/>
        <extend val="0"/>
        <outline val="0"/>
        <shadow val="0"/>
        <u val="none"/>
        <vertAlign val="baseline"/>
        <sz val="11"/>
        <color auto="1"/>
        <name val="Calibri"/>
        <family val="2"/>
        <scheme val="minor"/>
      </font>
      <fill>
        <patternFill patternType="solid">
          <fgColor indexed="64"/>
          <bgColor theme="1"/>
        </patternFill>
      </fill>
      <border diagonalUp="0" diagonalDown="0">
        <left style="thin">
          <color auto="1"/>
        </left>
        <right style="thin">
          <color auto="1"/>
        </right>
        <top style="thin">
          <color auto="1"/>
        </top>
        <bottom style="thin">
          <color auto="1"/>
        </bottom>
        <vertical/>
        <horizontal style="thin">
          <color auto="1"/>
        </horizontal>
      </border>
    </dxf>
    <dxf>
      <font>
        <b val="0"/>
        <i val="0"/>
        <strike val="0"/>
        <condense val="0"/>
        <extend val="0"/>
        <outline val="0"/>
        <shadow val="0"/>
        <u val="none"/>
        <vertAlign val="baseline"/>
        <sz val="11"/>
        <color theme="1"/>
        <name val="Calibri"/>
        <family val="2"/>
        <scheme val="minor"/>
      </font>
      <fill>
        <patternFill patternType="none">
          <bgColor auto="1"/>
        </patternFill>
      </fill>
    </dxf>
    <dxf>
      <font>
        <b val="0"/>
        <i val="0"/>
        <strike val="0"/>
        <condense val="0"/>
        <extend val="0"/>
        <outline val="0"/>
        <shadow val="0"/>
        <u val="none"/>
        <vertAlign val="baseline"/>
        <sz val="11"/>
        <color theme="1"/>
        <name val="Calibri"/>
        <family val="2"/>
        <scheme val="minor"/>
      </font>
      <fill>
        <patternFill patternType="none">
          <bgColor auto="1"/>
        </patternFill>
      </fill>
    </dxf>
    <dxf>
      <font>
        <b val="0"/>
        <i val="0"/>
        <strike val="0"/>
        <condense val="0"/>
        <extend val="0"/>
        <outline val="0"/>
        <shadow val="0"/>
        <u val="none"/>
        <vertAlign val="baseline"/>
        <sz val="11"/>
        <color theme="1"/>
        <name val="Calibri"/>
        <family val="2"/>
        <scheme val="minor"/>
      </font>
      <numFmt numFmtId="169" formatCode="#,##0.000"/>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bgColor auto="1"/>
        </patternFill>
      </fill>
    </dxf>
    <dxf>
      <numFmt numFmtId="169" formatCode="#,##0.000"/>
      <fill>
        <patternFill patternType="none">
          <bgColor auto="1"/>
        </patternFill>
      </fill>
      <alignment horizontal="center" vertical="bottom" textRotation="0" wrapText="0" indent="0" justifyLastLine="0" shrinkToFit="0" readingOrder="0"/>
    </dxf>
    <dxf>
      <fill>
        <patternFill patternType="none">
          <bgColor auto="1"/>
        </patternFill>
      </fill>
    </dxf>
    <dxf>
      <numFmt numFmtId="0" formatCode="General"/>
      <fill>
        <patternFill patternType="none">
          <bgColor auto="1"/>
        </patternFill>
      </fill>
    </dxf>
    <dxf>
      <numFmt numFmtId="0" formatCode="General"/>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Calibri"/>
        <family val="2"/>
        <scheme val="minor"/>
      </font>
      <fill>
        <patternFill patternType="none">
          <bgColor auto="1"/>
        </patternFill>
      </fill>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theme="0"/>
      </font>
      <fill>
        <patternFill>
          <bgColor rgb="FFFF6161"/>
        </patternFill>
      </fill>
    </dxf>
    <dxf>
      <font>
        <color auto="1"/>
      </font>
      <fill>
        <patternFill>
          <bgColor rgb="FF62FE75"/>
        </patternFill>
      </fill>
    </dxf>
    <dxf>
      <font>
        <color theme="0"/>
      </font>
      <fill>
        <patternFill>
          <bgColor rgb="FFFF6161"/>
        </patternFill>
      </fill>
    </dxf>
    <dxf>
      <font>
        <color auto="1"/>
      </font>
      <fill>
        <patternFill>
          <bgColor rgb="FF62FE75"/>
        </patternFill>
      </fill>
    </dxf>
    <dxf>
      <font>
        <color theme="0"/>
      </font>
      <fill>
        <patternFill>
          <bgColor rgb="FFFF6161"/>
        </patternFill>
      </fill>
    </dxf>
    <dxf>
      <font>
        <color auto="1"/>
      </font>
      <fill>
        <patternFill>
          <bgColor rgb="FF62FE75"/>
        </patternFill>
      </fill>
    </dxf>
    <dxf>
      <font>
        <color theme="0"/>
      </font>
      <fill>
        <patternFill>
          <bgColor rgb="FFFF6161"/>
        </patternFill>
      </fill>
    </dxf>
    <dxf>
      <font>
        <color auto="1"/>
      </font>
      <fill>
        <patternFill>
          <bgColor rgb="FF62FE75"/>
        </patternFill>
      </fill>
    </dxf>
    <dxf>
      <font>
        <color rgb="FF9C0006"/>
      </font>
      <fill>
        <patternFill>
          <bgColor rgb="FFFFC7CE"/>
        </patternFill>
      </fill>
    </dxf>
    <dxf>
      <font>
        <color theme="0"/>
      </font>
      <fill>
        <patternFill>
          <bgColor rgb="FFFF6161"/>
        </patternFill>
      </fill>
    </dxf>
    <dxf>
      <font>
        <color auto="1"/>
      </font>
      <fill>
        <patternFill>
          <bgColor rgb="FF62FE75"/>
        </patternFill>
      </fill>
    </dxf>
    <dxf>
      <font>
        <color theme="0"/>
      </font>
      <fill>
        <patternFill>
          <bgColor rgb="FFFF6161"/>
        </patternFill>
      </fill>
    </dxf>
    <dxf>
      <font>
        <color auto="1"/>
      </font>
      <fill>
        <patternFill>
          <bgColor rgb="FF62FE75"/>
        </patternFill>
      </fill>
    </dxf>
    <dxf>
      <font>
        <color rgb="FF9C0006"/>
      </font>
      <fill>
        <patternFill>
          <bgColor rgb="FFFFC7CE"/>
        </patternFill>
      </fill>
    </dxf>
    <dxf>
      <font>
        <color theme="0"/>
      </font>
      <fill>
        <patternFill>
          <bgColor rgb="FFFF6161"/>
        </patternFill>
      </fill>
    </dxf>
    <dxf>
      <font>
        <color auto="1"/>
      </font>
      <fill>
        <patternFill>
          <bgColor rgb="FF62FE75"/>
        </patternFill>
      </fill>
    </dxf>
    <dxf>
      <font>
        <color rgb="FF9C0006"/>
      </font>
      <fill>
        <patternFill>
          <bgColor rgb="FFFFC7CE"/>
        </patternFill>
      </fill>
    </dxf>
    <dxf>
      <font>
        <color theme="0"/>
      </font>
      <fill>
        <patternFill>
          <bgColor rgb="FFFF6161"/>
        </patternFill>
      </fill>
    </dxf>
    <dxf>
      <font>
        <color auto="1"/>
      </font>
      <fill>
        <patternFill>
          <bgColor rgb="FF62FE75"/>
        </patternFill>
      </fill>
    </dxf>
    <dxf>
      <font>
        <color theme="0"/>
      </font>
      <fill>
        <patternFill>
          <bgColor rgb="FFFF6161"/>
        </patternFill>
      </fill>
    </dxf>
    <dxf>
      <font>
        <color auto="1"/>
      </font>
      <fill>
        <patternFill>
          <bgColor rgb="FF62FE75"/>
        </patternFill>
      </fill>
    </dxf>
    <dxf>
      <font>
        <color rgb="FF9C0006"/>
      </font>
      <fill>
        <patternFill>
          <bgColor rgb="FFFFC7CE"/>
        </patternFill>
      </fill>
    </dxf>
    <dxf>
      <font>
        <color theme="0"/>
      </font>
      <fill>
        <patternFill>
          <bgColor rgb="FFFF6161"/>
        </patternFill>
      </fill>
    </dxf>
    <dxf>
      <font>
        <color auto="1"/>
      </font>
      <fill>
        <patternFill>
          <bgColor rgb="FF62FE75"/>
        </patternFill>
      </fill>
    </dxf>
    <dxf>
      <font>
        <color rgb="FF9C0006"/>
      </font>
      <fill>
        <patternFill>
          <bgColor rgb="FFFFC7CE"/>
        </patternFill>
      </fill>
    </dxf>
    <dxf>
      <font>
        <color theme="0"/>
      </font>
      <fill>
        <patternFill>
          <bgColor rgb="FFFF6161"/>
        </patternFill>
      </fill>
    </dxf>
    <dxf>
      <font>
        <color auto="1"/>
      </font>
      <fill>
        <patternFill>
          <bgColor rgb="FF62FE75"/>
        </patternFill>
      </fill>
    </dxf>
    <dxf>
      <font>
        <color rgb="FF9C0006"/>
      </font>
      <fill>
        <patternFill>
          <bgColor rgb="FFFFC7CE"/>
        </patternFill>
      </fill>
    </dxf>
    <dxf>
      <font>
        <color theme="0"/>
      </font>
      <fill>
        <patternFill>
          <bgColor rgb="FFFF6161"/>
        </patternFill>
      </fill>
    </dxf>
    <dxf>
      <font>
        <color auto="1"/>
      </font>
      <fill>
        <patternFill>
          <bgColor rgb="FF62FE7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FF6161"/>
        </patternFill>
      </fill>
    </dxf>
    <dxf>
      <font>
        <color auto="1"/>
      </font>
      <fill>
        <patternFill>
          <bgColor rgb="FF62FE75"/>
        </patternFill>
      </fill>
    </dxf>
    <dxf>
      <font>
        <color rgb="FF9C0006"/>
      </font>
      <fill>
        <patternFill>
          <bgColor rgb="FFFFC7CE"/>
        </patternFill>
      </fill>
    </dxf>
    <dxf>
      <font>
        <b val="0"/>
        <i val="0"/>
        <strike val="0"/>
        <condense val="0"/>
        <extend val="0"/>
        <outline val="0"/>
        <shadow val="0"/>
        <u val="none"/>
        <vertAlign val="baseline"/>
        <sz val="11"/>
        <color auto="1"/>
        <name val="Calibri"/>
        <family val="2"/>
        <scheme val="minor"/>
      </font>
      <numFmt numFmtId="34" formatCode="_-&quot;R$&quot;\ * #,##0.00_-;\-&quot;R$&quot;\ * #,##0.00_-;_-&quot;R$&quot;\ * &quot;-&quot;??_-;_-@_-"/>
      <fill>
        <patternFill patternType="none">
          <fgColor indexed="64"/>
          <bgColor auto="1"/>
        </patternFill>
      </fill>
      <alignment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protection locked="1" hidden="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medium">
          <color auto="1"/>
        </left>
        <right style="thin">
          <color theme="0" tint="-0.34998626667073579"/>
        </right>
        <top style="thin">
          <color theme="0" tint="-0.34998626667073579"/>
        </top>
        <bottom style="thin">
          <color theme="0" tint="-0.34998626667073579"/>
        </bottom>
      </border>
      <protection locked="1" hidden="0"/>
    </dxf>
    <dxf>
      <font>
        <b val="0"/>
        <i val="0"/>
        <strike val="0"/>
        <condense val="0"/>
        <extend val="0"/>
        <outline val="0"/>
        <shadow val="0"/>
        <u val="none"/>
        <vertAlign val="baseline"/>
        <sz val="11"/>
        <color auto="1"/>
        <name val="Calibri"/>
        <family val="2"/>
        <scheme val="minor"/>
      </font>
      <numFmt numFmtId="34" formatCode="_-&quot;R$&quot;\ * #,##0.00_-;\-&quot;R$&quot;\ * #,##0.00_-;_-&quot;R$&quot;\ * &quot;-&quot;??_-;_-@_-"/>
      <fill>
        <patternFill patternType="none">
          <fgColor indexed="64"/>
          <bgColor auto="1"/>
        </patternFill>
      </fill>
      <alignment vertical="center" textRotation="0" wrapText="0" indent="0" justifyLastLine="0" shrinkToFit="0" readingOrder="0"/>
      <border diagonalUp="0" diagonalDown="0" outline="0">
        <left/>
        <right style="thin">
          <color theme="0" tint="-0.34998626667073579"/>
        </right>
        <top style="thin">
          <color theme="0" tint="-0.34998626667073579"/>
        </top>
        <bottom style="thin">
          <color theme="0" tint="-0.34998626667073579"/>
        </bottom>
      </border>
      <protection locked="1" hidden="0"/>
    </dxf>
    <dxf>
      <font>
        <strike val="0"/>
        <outline val="0"/>
        <shadow val="0"/>
        <u val="none"/>
        <vertAlign val="baseline"/>
        <sz val="11"/>
        <color auto="1"/>
        <name val="Calibri"/>
        <family val="2"/>
      </font>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medium">
          <color auto="1"/>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fill>
        <patternFill patternType="none">
          <fgColor indexed="64"/>
          <bgColor auto="1"/>
        </patternFill>
      </fill>
      <alignment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0" formatCode="General"/>
      <fill>
        <patternFill patternType="none">
          <fgColor indexed="64"/>
          <bgColor auto="1"/>
        </patternFill>
      </fill>
      <alignment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font>
        <strike val="0"/>
        <outline val="0"/>
        <shadow val="0"/>
        <u val="none"/>
        <vertAlign val="baseline"/>
        <sz val="11"/>
        <color auto="1"/>
        <name val="Calibri"/>
        <family val="2"/>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11"/>
        <color auto="1"/>
        <name val="Calibri"/>
        <family val="2"/>
      </font>
      <numFmt numFmtId="0" formatCode="General"/>
      <fill>
        <patternFill patternType="none">
          <fgColor indexed="64"/>
          <bgColor auto="1"/>
        </patternFill>
      </fill>
      <alignment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font>
        <strike val="0"/>
        <outline val="0"/>
        <shadow val="0"/>
        <u val="none"/>
        <vertAlign val="baseline"/>
        <sz val="11"/>
        <color auto="1"/>
        <name val="Calibri"/>
        <family val="2"/>
      </font>
      <fill>
        <patternFill patternType="none">
          <fgColor indexed="64"/>
          <bgColor auto="1"/>
        </patternFill>
      </fill>
      <alignment vertical="center" textRotation="0" wrapText="0" indent="0" justifyLastLine="0" shrinkToFit="0" readingOrder="0"/>
      <border diagonalUp="0" diagonalDown="0" outline="0">
        <left/>
        <right style="thin">
          <color theme="0" tint="-0.34998626667073579"/>
        </right>
        <top style="thin">
          <color theme="0" tint="-0.34998626667073579"/>
        </top>
        <bottom style="thin">
          <color theme="0" tint="-0.34998626667073579"/>
        </bottom>
      </border>
      <protection locked="1" hidden="0"/>
    </dxf>
    <dxf>
      <font>
        <b val="0"/>
        <i val="0"/>
        <strike val="0"/>
        <condense val="0"/>
        <extend val="0"/>
        <outline val="0"/>
        <shadow val="0"/>
        <u val="none"/>
        <vertAlign val="baseline"/>
        <sz val="11"/>
        <color auto="1"/>
        <name val="Calibri"/>
        <family val="2"/>
        <scheme val="none"/>
      </font>
      <numFmt numFmtId="0" formatCode="General"/>
      <fill>
        <patternFill patternType="none">
          <fgColor indexed="64"/>
          <bgColor auto="1"/>
        </patternFill>
      </fill>
      <alignment vertical="center"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vertical="center" textRotation="0" wrapText="0" indent="0" justifyLastLine="0" shrinkToFit="0" readingOrder="0"/>
      <protection locked="0" hidden="0"/>
    </dxf>
    <dxf>
      <font>
        <b/>
        <i val="0"/>
        <strike val="0"/>
        <condense val="0"/>
        <extend val="0"/>
        <outline val="0"/>
        <shadow val="0"/>
        <u val="none"/>
        <vertAlign val="baseline"/>
        <sz val="11"/>
        <color auto="1"/>
        <name val="Calibri"/>
        <family val="2"/>
        <scheme val="minor"/>
      </font>
      <fill>
        <patternFill>
          <fgColor indexed="64"/>
          <bgColor theme="1"/>
        </patternFill>
      </fill>
      <alignment horizontal="center" vertical="center" textRotation="0" wrapText="0" indent="0" justifyLastLine="0" shrinkToFit="0" readingOrder="0"/>
      <protection locked="1" hidden="0"/>
    </dxf>
    <dxf>
      <font>
        <color auto="1"/>
      </font>
      <fill>
        <patternFill>
          <bgColor rgb="FFF39FA5"/>
        </patternFill>
      </fill>
    </dxf>
    <dxf>
      <font>
        <color auto="1"/>
      </font>
      <fill>
        <patternFill>
          <bgColor rgb="FFF39FA5"/>
        </patternFill>
      </fill>
    </dxf>
    <dxf>
      <fill>
        <patternFill>
          <bgColor theme="4" tint="0.79998168889431442"/>
        </patternFill>
      </fill>
    </dxf>
    <dxf>
      <fill>
        <patternFill>
          <bgColor rgb="FFFFD961"/>
        </patternFill>
      </fill>
    </dxf>
    <dxf>
      <font>
        <color theme="0"/>
      </font>
      <fill>
        <patternFill>
          <bgColor rgb="FFFF7575"/>
        </patternFill>
      </fill>
    </dxf>
    <dxf>
      <font>
        <color auto="1"/>
      </font>
      <fill>
        <patternFill>
          <bgColor rgb="FF75FFB3"/>
        </patternFill>
      </fill>
    </dxf>
    <dxf>
      <fill>
        <patternFill>
          <bgColor theme="4" tint="0.79998168889431442"/>
        </patternFill>
      </fill>
    </dxf>
    <dxf>
      <fill>
        <patternFill>
          <bgColor rgb="FFFFD961"/>
        </patternFill>
      </fill>
    </dxf>
    <dxf>
      <font>
        <color theme="0"/>
      </font>
      <fill>
        <patternFill>
          <bgColor rgb="FFFF7575"/>
        </patternFill>
      </fill>
    </dxf>
    <dxf>
      <font>
        <color auto="1"/>
      </font>
      <fill>
        <patternFill>
          <bgColor rgb="FF75FFB3"/>
        </patternFill>
      </fill>
    </dxf>
    <dxf>
      <font>
        <color auto="1"/>
      </font>
      <fill>
        <patternFill>
          <bgColor rgb="FFF39FA5"/>
        </patternFill>
      </fill>
    </dxf>
    <dxf>
      <font>
        <color auto="1"/>
      </font>
      <fill>
        <patternFill>
          <bgColor rgb="FFF39FA5"/>
        </patternFill>
      </fill>
    </dxf>
    <dxf>
      <font>
        <color auto="1"/>
      </font>
      <fill>
        <patternFill>
          <bgColor rgb="FFF39FA5"/>
        </patternFill>
      </fill>
    </dxf>
    <dxf>
      <font>
        <color auto="1"/>
      </font>
      <fill>
        <patternFill>
          <bgColor rgb="FFF39FA5"/>
        </patternFill>
      </fill>
    </dxf>
    <dxf>
      <font>
        <color auto="1"/>
      </font>
      <fill>
        <patternFill>
          <bgColor rgb="FFF39FA5"/>
        </patternFill>
      </fill>
    </dxf>
    <dxf>
      <font>
        <color auto="1"/>
      </font>
      <fill>
        <patternFill>
          <bgColor rgb="FFF39FA5"/>
        </patternFill>
      </fill>
    </dxf>
    <dxf>
      <fill>
        <patternFill>
          <bgColor theme="4" tint="0.79998168889431442"/>
        </patternFill>
      </fill>
    </dxf>
    <dxf>
      <fill>
        <patternFill>
          <bgColor rgb="FFFFD961"/>
        </patternFill>
      </fill>
    </dxf>
    <dxf>
      <font>
        <color theme="0"/>
      </font>
      <fill>
        <patternFill>
          <bgColor rgb="FFFF7575"/>
        </patternFill>
      </fill>
    </dxf>
    <dxf>
      <font>
        <color auto="1"/>
      </font>
      <fill>
        <patternFill>
          <bgColor rgb="FF75FFB3"/>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vertical="center" textRotation="0" wrapText="0" indent="0" justifyLastLine="0" shrinkToFit="0" readingOrder="0"/>
      <border diagonalUp="0" diagonalDown="0" outline="0">
        <left style="medium">
          <color rgb="FF000000"/>
        </left>
        <right style="thin">
          <color theme="0" tint="-0.34998626667073579"/>
        </right>
        <top style="thin">
          <color theme="0" tint="-0.34998626667073579"/>
        </top>
        <bottom style="thin">
          <color theme="0" tint="-0.34998626667073579"/>
        </bottom>
      </border>
      <protection locked="1" hidden="0"/>
    </dxf>
    <dxf>
      <font>
        <strike val="0"/>
        <outline val="0"/>
        <shadow val="0"/>
        <u val="none"/>
        <vertAlign val="baseline"/>
        <sz val="11"/>
        <color auto="1"/>
        <name val="Calibri"/>
        <family val="2"/>
      </font>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numFmt numFmtId="164" formatCode="dd/mm/yy;@"/>
      <fill>
        <patternFill patternType="none">
          <fgColor indexed="64"/>
          <bgColor auto="1"/>
        </patternFill>
      </fill>
      <alignment horizontal="center" vertical="center" textRotation="0" wrapText="0" indent="0" justifyLastLine="0" shrinkToFit="0" readingOrder="0"/>
      <border diagonalUp="0" diagonalDown="0" outline="0">
        <left style="medium">
          <color auto="1"/>
        </left>
        <right style="thin">
          <color theme="0" tint="-0.34998626667073579"/>
        </right>
        <top style="thin">
          <color theme="0" tint="-0.34998626667073579"/>
        </top>
        <bottom style="thin">
          <color theme="0" tint="-0.34998626667073579"/>
        </bottom>
      </border>
      <protection locked="0" hidden="0"/>
    </dxf>
    <dxf>
      <font>
        <strike val="0"/>
        <outline val="0"/>
        <shadow val="0"/>
        <u val="none"/>
        <vertAlign val="baseline"/>
        <sz val="11"/>
        <color auto="1"/>
        <name val="Calibri"/>
        <family val="2"/>
      </font>
      <fill>
        <patternFill patternType="none">
          <fgColor indexed="64"/>
          <bgColor auto="1"/>
        </patternFill>
      </fill>
      <alignment vertical="center" textRotation="0" wrapText="0" indent="0" justifyLastLine="0" shrinkToFit="0" readingOrder="0"/>
      <border diagonalUp="0" diagonalDown="0" outline="0">
        <left style="thin">
          <color theme="0" tint="-0.34998626667073579"/>
        </left>
        <right style="medium">
          <color auto="1"/>
        </right>
        <top style="thin">
          <color theme="0" tint="-0.34998626667073579"/>
        </top>
        <bottom style="thin">
          <color theme="0" tint="-0.34998626667073579"/>
        </bottom>
      </border>
      <protection locked="1" hidden="0"/>
    </dxf>
    <dxf>
      <font>
        <strike val="0"/>
        <outline val="0"/>
        <shadow val="0"/>
        <u val="none"/>
        <vertAlign val="baseline"/>
        <sz val="11"/>
        <color auto="1"/>
        <name val="Calibri"/>
        <family val="2"/>
      </font>
      <numFmt numFmtId="0" formatCode="General"/>
      <fill>
        <patternFill patternType="none">
          <fgColor indexed="64"/>
          <bgColor auto="1"/>
        </patternFill>
      </fill>
      <alignment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font>
        <strike val="0"/>
        <outline val="0"/>
        <shadow val="0"/>
        <u val="none"/>
        <vertAlign val="baseline"/>
        <sz val="11"/>
        <color auto="1"/>
        <name val="Calibri"/>
        <family val="2"/>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11"/>
        <color auto="1"/>
        <name val="Calibri"/>
        <family val="2"/>
      </font>
      <numFmt numFmtId="0" formatCode="General"/>
      <fill>
        <patternFill patternType="none">
          <fgColor indexed="64"/>
          <bgColor auto="1"/>
        </patternFill>
      </fill>
      <alignment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font>
        <strike val="0"/>
        <outline val="0"/>
        <shadow val="0"/>
        <u val="none"/>
        <vertAlign val="baseline"/>
        <sz val="11"/>
        <color auto="1"/>
        <name val="Calibri"/>
        <family val="2"/>
      </font>
      <fill>
        <patternFill patternType="none">
          <fgColor indexed="64"/>
          <bgColor auto="1"/>
        </patternFill>
      </fill>
      <alignment vertical="center" textRotation="0" wrapText="0" indent="0" justifyLastLine="0" shrinkToFit="0" readingOrder="0"/>
      <border diagonalUp="0" diagonalDown="0" outline="0">
        <left/>
        <right style="thin">
          <color theme="0" tint="-0.34998626667073579"/>
        </right>
        <top style="thin">
          <color theme="0" tint="-0.34998626667073579"/>
        </top>
        <bottom style="thin">
          <color theme="0" tint="-0.34998626667073579"/>
        </bottom>
      </border>
      <protection locked="1" hidden="0"/>
    </dxf>
    <dxf>
      <font>
        <b val="0"/>
        <i val="0"/>
        <strike val="0"/>
        <condense val="0"/>
        <extend val="0"/>
        <outline val="0"/>
        <shadow val="0"/>
        <u val="none"/>
        <vertAlign val="baseline"/>
        <sz val="11"/>
        <color auto="1"/>
        <name val="Calibri"/>
        <family val="2"/>
        <scheme val="none"/>
      </font>
      <numFmt numFmtId="0" formatCode="General"/>
      <fill>
        <patternFill patternType="none">
          <fgColor indexed="64"/>
          <bgColor auto="1"/>
        </patternFill>
      </fill>
      <alignment vertical="center"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vertical="center" textRotation="0" wrapText="0" indent="0" justifyLastLine="0" shrinkToFit="0" readingOrder="0"/>
      <protection locked="0" hidden="0"/>
    </dxf>
    <dxf>
      <font>
        <b/>
        <i val="0"/>
        <strike val="0"/>
        <condense val="0"/>
        <extend val="0"/>
        <outline val="0"/>
        <shadow val="0"/>
        <u val="none"/>
        <vertAlign val="baseline"/>
        <sz val="11"/>
        <color auto="1"/>
        <name val="Calibri"/>
        <family val="2"/>
        <scheme val="minor"/>
      </font>
      <fill>
        <patternFill>
          <fgColor indexed="64"/>
          <bgColor theme="1"/>
        </patternFill>
      </fill>
      <alignment horizontal="center" vertical="center" textRotation="0" wrapText="0" indent="0" justifyLastLine="0" shrinkToFit="0" readingOrder="0"/>
      <protection locked="1" hidden="0"/>
    </dxf>
    <dxf>
      <fill>
        <patternFill>
          <bgColor rgb="FFF39FA5"/>
        </patternFill>
      </fill>
    </dxf>
    <dxf>
      <fill>
        <patternFill>
          <bgColor rgb="FFF39FA5"/>
        </patternFill>
      </fill>
    </dxf>
    <dxf>
      <fill>
        <patternFill>
          <bgColor theme="4" tint="0.79998168889431442"/>
        </patternFill>
      </fill>
    </dxf>
    <dxf>
      <fill>
        <patternFill>
          <bgColor rgb="FFFFD961"/>
        </patternFill>
      </fill>
    </dxf>
    <dxf>
      <font>
        <color theme="0"/>
      </font>
      <fill>
        <patternFill>
          <bgColor rgb="FFFF7575"/>
        </patternFill>
      </fill>
    </dxf>
    <dxf>
      <fill>
        <patternFill>
          <bgColor rgb="FF75FFB3"/>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horizontal style="thin">
          <color theme="0" tint="-0.34998626667073579"/>
        </horizontal>
      </border>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horizontal style="thin">
          <color theme="0" tint="-0.34998626667073579"/>
        </horizontal>
      </border>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vertical="center" textRotation="0" wrapText="0" indent="0" justifyLastLine="0" shrinkToFit="0" readingOrder="0"/>
      <border diagonalUp="0" diagonalDown="0" outline="0">
        <left/>
        <right style="thin">
          <color theme="0" tint="-0.34998626667073579"/>
        </right>
        <top style="thin">
          <color theme="0" tint="-0.34998626667073579"/>
        </top>
        <bottom style="thin">
          <color theme="0" tint="-0.34998626667073579"/>
        </bottom>
      </border>
      <protection locked="1" hidden="0"/>
    </dxf>
    <dxf>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protection locked="1" hidden="0"/>
    </dxf>
    <dxf>
      <font>
        <b val="0"/>
        <i val="0"/>
        <strike val="0"/>
        <condense val="0"/>
        <extend val="0"/>
        <outline val="0"/>
        <shadow val="0"/>
        <u val="none"/>
        <vertAlign val="baseline"/>
        <sz val="11"/>
        <color auto="1"/>
        <name val="Calibri"/>
        <family val="2"/>
        <scheme val="minor"/>
      </font>
      <numFmt numFmtId="4" formatCode="#,##0.00"/>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1"/>
        <color auto="1"/>
        <name val="Calibri"/>
        <family val="2"/>
        <scheme val="minor"/>
      </font>
      <numFmt numFmtId="4" formatCode="#,##0.00"/>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numFmt numFmtId="4" formatCode="#,##0.00"/>
      <alignment horizontal="center"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numFmt numFmtId="4" formatCode="#,##0.00"/>
      <alignment horizontal="center" vertical="center" textRotation="0" wrapText="0" indent="0" justifyLastLine="0" shrinkToFit="0" readingOrder="0"/>
      <border diagonalUp="0" diagonalDown="0">
        <left style="thin">
          <color theme="0" tint="-0.34998626667073579"/>
        </left>
        <right style="medium">
          <color auto="1"/>
        </right>
        <top style="thin">
          <color theme="0" tint="-0.34998626667073579"/>
        </top>
        <bottom style="thin">
          <color theme="0" tint="-0.34998626667073579"/>
        </bottom>
        <vertical/>
        <horizontal style="thin">
          <color theme="0" tint="-0.34998626667073579"/>
        </horizontal>
      </border>
    </dxf>
    <dxf>
      <font>
        <b val="0"/>
        <i val="0"/>
        <strike val="0"/>
        <condense val="0"/>
        <extend val="0"/>
        <outline val="0"/>
        <shadow val="0"/>
        <u val="none"/>
        <vertAlign val="baseline"/>
        <sz val="11"/>
        <color auto="1"/>
        <name val="Calibri"/>
        <family val="2"/>
        <scheme val="minor"/>
      </font>
      <numFmt numFmtId="4" formatCode="#,##0.00"/>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numFmt numFmtId="4" formatCode="#,##0.00"/>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numFmt numFmtId="4" formatCode="#,##0.00"/>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numFmt numFmtId="4" formatCode="#,##0.00"/>
      <alignment horizontal="center" vertical="center" textRotation="0" wrapText="0" indent="0" justifyLastLine="0" shrinkToFit="0" readingOrder="0"/>
      <border diagonalUp="0" diagonalDown="0">
        <left style="thin">
          <color theme="0" tint="-0.34998626667073579"/>
        </left>
        <right style="medium">
          <color auto="1"/>
        </right>
        <top style="thin">
          <color theme="0" tint="-0.34998626667073579"/>
        </top>
        <bottom style="thin">
          <color theme="0" tint="-0.34998626667073579"/>
        </bottom>
        <vertical/>
        <horizontal style="thin">
          <color theme="0" tint="-0.34998626667073579"/>
        </horizontal>
      </border>
    </dxf>
    <dxf>
      <font>
        <b val="0"/>
        <i val="0"/>
        <strike val="0"/>
        <condense val="0"/>
        <extend val="0"/>
        <outline val="0"/>
        <shadow val="0"/>
        <u val="none"/>
        <vertAlign val="baseline"/>
        <sz val="11"/>
        <color auto="1"/>
        <name val="Calibri"/>
        <family val="2"/>
        <scheme val="minor"/>
      </font>
      <numFmt numFmtId="4" formatCode="#,##0.00"/>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numFmt numFmtId="4" formatCode="#,##0.00"/>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numFmt numFmtId="4" formatCode="#,##0.00"/>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horizontal style="thin">
          <color theme="0" tint="-0.34998626667073579"/>
        </horizontal>
      </border>
    </dxf>
    <dxf>
      <font>
        <b val="0"/>
        <i val="0"/>
        <strike val="0"/>
        <condense val="0"/>
        <extend val="0"/>
        <outline val="0"/>
        <shadow val="0"/>
        <u val="none"/>
        <vertAlign val="baseline"/>
        <sz val="11"/>
        <color auto="1"/>
        <name val="Calibri"/>
        <family val="2"/>
        <scheme val="minor"/>
      </font>
      <numFmt numFmtId="4" formatCode="#,##0.00"/>
      <alignment horizontal="center" vertical="center" textRotation="0" wrapText="0" indent="0" justifyLastLine="0" shrinkToFit="0" readingOrder="0"/>
      <border diagonalUp="0" diagonalDown="0">
        <left style="thin">
          <color theme="0" tint="-0.34998626667073579"/>
        </left>
        <right style="medium">
          <color auto="1"/>
        </right>
        <top style="thin">
          <color theme="0" tint="-0.34998626667073579"/>
        </top>
        <bottom style="thin">
          <color theme="0" tint="-0.34998626667073579"/>
        </bottom>
        <vertical/>
        <horizontal style="thin">
          <color theme="0" tint="-0.34998626667073579"/>
        </horizontal>
      </border>
    </dxf>
    <dxf>
      <font>
        <b val="0"/>
        <i val="0"/>
        <strike val="0"/>
        <condense val="0"/>
        <extend val="0"/>
        <outline val="0"/>
        <shadow val="0"/>
        <u val="none"/>
        <vertAlign val="baseline"/>
        <sz val="11"/>
        <color auto="1"/>
        <name val="Calibri"/>
        <family val="2"/>
        <scheme val="minor"/>
      </font>
      <numFmt numFmtId="4" formatCode="#,##0.00"/>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numFmt numFmtId="4" formatCode="#,##0.00"/>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numFmt numFmtId="4" formatCode="#,##0.00"/>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horizontal style="thin">
          <color theme="0" tint="-0.34998626667073579"/>
        </horizontal>
      </border>
    </dxf>
    <dxf>
      <font>
        <b val="0"/>
        <i val="0"/>
        <strike val="0"/>
        <condense val="0"/>
        <extend val="0"/>
        <outline val="0"/>
        <shadow val="0"/>
        <u val="none"/>
        <vertAlign val="baseline"/>
        <sz val="11"/>
        <color auto="1"/>
        <name val="Calibri"/>
        <family val="2"/>
        <scheme val="minor"/>
      </font>
      <numFmt numFmtId="4" formatCode="#,##0.00"/>
      <alignment horizontal="center" vertical="center" textRotation="0" wrapText="0" indent="0" justifyLastLine="0" shrinkToFit="0" readingOrder="0"/>
      <border diagonalUp="0" diagonalDown="0">
        <left style="thin">
          <color theme="0" tint="-0.34998626667073579"/>
        </left>
        <right style="medium">
          <color auto="1"/>
        </right>
        <top style="thin">
          <color theme="0" tint="-0.34998626667073579"/>
        </top>
        <bottom style="thin">
          <color theme="0" tint="-0.34998626667073579"/>
        </bottom>
        <vertical/>
        <horizontal style="thin">
          <color theme="0" tint="-0.34998626667073579"/>
        </horizontal>
      </border>
    </dxf>
    <dxf>
      <font>
        <b val="0"/>
        <i val="0"/>
        <strike val="0"/>
        <condense val="0"/>
        <extend val="0"/>
        <outline val="0"/>
        <shadow val="0"/>
        <u val="none"/>
        <vertAlign val="baseline"/>
        <sz val="11"/>
        <color auto="1"/>
        <name val="Calibri"/>
        <family val="2"/>
        <scheme val="minor"/>
      </font>
      <numFmt numFmtId="4" formatCode="#,##0.00"/>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numFmt numFmtId="4" formatCode="#,##0.00"/>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numFmt numFmtId="4" formatCode="#,##0.00"/>
      <alignment horizontal="center" vertical="center" textRotation="0" wrapText="0" indent="0" justifyLastLine="0" shrinkToFit="0" readingOrder="0"/>
      <border diagonalUp="0" diagonalDown="0">
        <left style="medium">
          <color auto="1"/>
        </left>
        <right style="thin">
          <color theme="0" tint="-0.34998626667073579"/>
        </right>
        <top style="thin">
          <color theme="0" tint="-0.34998626667073579"/>
        </top>
        <bottom style="thin">
          <color theme="0" tint="-0.34998626667073579"/>
        </bottom>
        <vertical/>
        <horizontal style="thin">
          <color theme="0" tint="-0.34998626667073579"/>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medium">
          <color auto="1"/>
        </left>
        <right style="medium">
          <color auto="1"/>
        </right>
        <top style="thin">
          <color theme="5"/>
        </top>
        <bottom style="thin">
          <color theme="5"/>
        </bottom>
        <vertical/>
        <horizontal style="thin">
          <color theme="5"/>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horizontal style="thin">
          <color theme="0" tint="-0.34998626667073579"/>
        </horizontal>
      </border>
      <protection locked="1" hidden="0"/>
    </dxf>
    <dxf>
      <fill>
        <patternFill patternType="none">
          <fgColor indexed="64"/>
          <bgColor auto="1"/>
        </patternFill>
      </fill>
      <alignment horizontal="center"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horizontal style="thin">
          <color theme="0" tint="-0.34998626667073579"/>
        </horizontal>
      </border>
      <protection locked="1" hidden="0"/>
    </dxf>
    <dxf>
      <font>
        <b val="0"/>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horizontal style="thin">
          <color theme="0" tint="-0.34998626667073579"/>
        </horizontal>
      </border>
      <protection locked="1" hidden="0"/>
    </dxf>
    <dxf>
      <font>
        <b val="0"/>
        <i val="0"/>
        <strike val="0"/>
        <condense val="0"/>
        <extend val="0"/>
        <outline val="0"/>
        <shadow val="0"/>
        <u val="none"/>
        <vertAlign val="baseline"/>
        <sz val="11"/>
        <color auto="1"/>
        <name val="Calibri"/>
        <family val="2"/>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style="thin">
          <color theme="0" tint="-0.34998626667073579"/>
        </horizontal>
      </border>
      <protection locked="1" hidden="0"/>
    </dxf>
    <dxf>
      <font>
        <strike val="0"/>
        <outline val="0"/>
        <shadow val="0"/>
        <u val="none"/>
        <vertAlign val="baseline"/>
        <sz val="11"/>
        <color auto="1"/>
        <name val="Calibri"/>
        <family val="2"/>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horizontal style="thin">
          <color theme="0" tint="-0.34998626667073579"/>
        </horizontal>
      </border>
      <protection locked="1" hidden="0"/>
    </dxf>
    <dxf>
      <font>
        <strike val="0"/>
        <outline val="0"/>
        <shadow val="0"/>
        <u val="none"/>
        <vertAlign val="baseline"/>
        <sz val="11"/>
        <color auto="1"/>
        <name val="Calibri"/>
        <family val="2"/>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horizontal style="thin">
          <color theme="0" tint="-0.34998626667073579"/>
        </horizontal>
      </border>
      <protection locked="1" hidden="0"/>
    </dxf>
    <dxf>
      <font>
        <b val="0"/>
      </font>
      <numFmt numFmtId="165" formatCode="00\ &quot;dias&quot;"/>
      <fill>
        <patternFill patternType="none">
          <fgColor indexed="64"/>
          <bgColor auto="1"/>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horizontal style="thin">
          <color theme="0" tint="-0.34998626667073579"/>
        </horizontal>
      </border>
      <protection locked="1" hidden="0"/>
    </dxf>
    <dxf>
      <numFmt numFmtId="164" formatCode="dd/mm/yy;@"/>
      <fill>
        <patternFill patternType="none">
          <fgColor indexed="64"/>
          <bgColor auto="1"/>
        </patternFill>
      </fill>
      <alignment horizontal="center"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horizontal style="thin">
          <color theme="0" tint="-0.34998626667073579"/>
        </horizontal>
      </border>
      <protection locked="1" hidden="0"/>
    </dxf>
    <dxf>
      <numFmt numFmtId="164" formatCode="dd/mm/yy;@"/>
      <fill>
        <patternFill patternType="none">
          <fgColor indexed="64"/>
          <bgColor auto="1"/>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horizontal style="thin">
          <color theme="0" tint="-0.34998626667073579"/>
        </horizontal>
      </border>
      <protection locked="1" hidden="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medium">
          <color auto="1"/>
        </left>
        <right style="medium">
          <color auto="1"/>
        </right>
        <top style="thin">
          <color theme="5"/>
        </top>
        <bottom style="thin">
          <color theme="5"/>
        </bottom>
        <vertical/>
        <horizontal style="thin">
          <color theme="5"/>
        </horizontal>
      </border>
    </dxf>
    <dxf>
      <numFmt numFmtId="0" formatCode="Genera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style="thin">
          <color theme="0" tint="-0.34998626667073579"/>
        </horizontal>
      </border>
    </dxf>
    <dxf>
      <numFmt numFmtId="164" formatCode="dd/mm/yy;@"/>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style="thin">
          <color theme="0" tint="-0.34998626667073579"/>
        </horizontal>
      </border>
    </dxf>
    <dxf>
      <numFmt numFmtId="164" formatCode="dd/mm/yy;@"/>
      <fill>
        <patternFill patternType="none">
          <fgColor indexed="64"/>
          <bgColor auto="1"/>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style="thin">
          <color theme="0" tint="-0.34998626667073579"/>
        </horizontal>
      </border>
      <protection locked="1" hidden="0"/>
    </dxf>
    <dxf>
      <numFmt numFmtId="164" formatCode="dd/mm/yy;@"/>
      <alignment horizontal="center"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style="thin">
          <color theme="0" tint="-0.34998626667073579"/>
        </horizontal>
      </border>
      <protection locked="1" hidden="0"/>
    </dxf>
    <dxf>
      <numFmt numFmtId="164" formatCode="dd/mm/yy;@"/>
      <fill>
        <patternFill patternType="none">
          <fgColor indexed="64"/>
          <bgColor indexed="65"/>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style="thin">
          <color theme="0" tint="-0.34998626667073579"/>
        </horizontal>
      </border>
      <protection locked="1" hidden="0"/>
    </dxf>
    <dxf>
      <fill>
        <patternFill patternType="none">
          <fgColor indexed="64"/>
          <bgColor auto="1"/>
        </patternFill>
      </fill>
      <alignment horizontal="center" vertical="center" textRotation="0" wrapText="0" indent="0" justifyLastLine="0" shrinkToFit="0" readingOrder="0"/>
      <border diagonalUp="0" diagonalDown="0">
        <left style="medium">
          <color auto="1"/>
        </left>
        <right style="thin">
          <color theme="0" tint="-0.34998626667073579"/>
        </right>
        <top style="thin">
          <color theme="0" tint="-0.34998626667073579"/>
        </top>
        <bottom style="thin">
          <color theme="0" tint="-0.34998626667073579"/>
        </bottom>
        <vertical/>
        <horizontal style="thin">
          <color theme="0" tint="-0.34998626667073579"/>
        </horizontal>
      </border>
      <protection locked="1" hidden="0"/>
    </dxf>
    <dxf>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horizontal style="thin">
          <color theme="0" tint="-0.34998626667073579"/>
        </horizontal>
      </border>
      <protection locked="1" hidden="0"/>
    </dxf>
    <dxf>
      <numFmt numFmtId="165" formatCode="00\ &quot;dias&quot;"/>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style="thin">
          <color theme="0" tint="-0.34998626667073579"/>
        </horizontal>
      </border>
      <protection locked="1" hidden="0"/>
    </dxf>
    <dxf>
      <numFmt numFmtId="0" formatCode="Genera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style="thin">
          <color theme="0" tint="-0.34998626667073579"/>
        </horizontal>
      </border>
      <protection locked="1" hidden="0"/>
    </dxf>
    <dxf>
      <numFmt numFmtId="164" formatCode="dd/mm/yy;@"/>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style="thin">
          <color theme="0" tint="-0.34998626667073579"/>
        </horizontal>
      </border>
      <protection locked="1" hidden="0"/>
    </dxf>
    <dxf>
      <numFmt numFmtId="164" formatCode="dd/mm/yy;@"/>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style="thin">
          <color theme="0" tint="-0.34998626667073579"/>
        </horizontal>
      </border>
      <protection locked="1" hidden="0"/>
    </dxf>
    <dxf>
      <numFmt numFmtId="164" formatCode="dd/mm/yy;@"/>
      <fill>
        <patternFill patternType="none">
          <fgColor indexed="64"/>
          <bgColor auto="1"/>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horizontal style="thin">
          <color theme="0" tint="-0.34998626667073579"/>
        </horizontal>
      </border>
      <protection locked="1" hidden="0"/>
    </dxf>
    <dxf>
      <numFmt numFmtId="164" formatCode="dd/mm/yy;@"/>
      <fill>
        <patternFill patternType="none">
          <fgColor indexed="64"/>
          <bgColor indexed="65"/>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style="thin">
          <color theme="0" tint="-0.34998626667073579"/>
        </horizontal>
      </border>
      <protection locked="1" hidden="0"/>
    </dxf>
    <dxf>
      <fill>
        <patternFill patternType="none">
          <fgColor indexed="64"/>
          <bgColor auto="1"/>
        </patternFill>
      </fill>
      <alignment horizontal="center" vertical="center" textRotation="0" wrapText="0" indent="0" justifyLastLine="0" shrinkToFit="0" readingOrder="0"/>
      <border diagonalUp="0" diagonalDown="0">
        <left style="medium">
          <color auto="1"/>
        </left>
        <right style="thin">
          <color theme="0" tint="-0.34998626667073579"/>
        </right>
        <top style="thin">
          <color theme="0" tint="-0.34998626667073579"/>
        </top>
        <bottom style="thin">
          <color theme="0" tint="-0.34998626667073579"/>
        </bottom>
        <horizontal style="thin">
          <color theme="0" tint="-0.34998626667073579"/>
        </horizontal>
      </border>
      <protection locked="1" hidden="0"/>
    </dxf>
    <dxf>
      <fill>
        <patternFill patternType="none">
          <fgColor indexed="64"/>
          <bgColor auto="1"/>
        </patternFill>
      </fill>
      <alignmen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horizontal style="thin">
          <color theme="0" tint="-0.34998626667073579"/>
        </horizontal>
      </border>
      <protection locked="1" hidden="0"/>
    </dxf>
    <dxf>
      <numFmt numFmtId="0" formatCode="General"/>
      <fill>
        <patternFill patternType="none">
          <fgColor indexed="64"/>
          <bgColor auto="1"/>
        </patternFill>
      </fill>
      <alignmen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horizontal style="thin">
          <color theme="0" tint="-0.34998626667073579"/>
        </horizontal>
      </border>
      <protection locked="1" hidden="0"/>
    </dxf>
    <dxf>
      <numFmt numFmtId="0" formatCode="Genera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style="thin">
          <color theme="0" tint="-0.34998626667073579"/>
        </horizontal>
      </border>
    </dxf>
    <dxf>
      <numFmt numFmtId="0" formatCode="General"/>
      <fill>
        <patternFill patternType="none">
          <fgColor indexed="64"/>
          <bgColor auto="1"/>
        </patternFill>
      </fill>
      <alignmen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horizontal style="thin">
          <color theme="0" tint="-0.34998626667073579"/>
        </horizontal>
      </border>
      <protection locked="1" hidden="0"/>
    </dxf>
    <dxf>
      <fill>
        <patternFill patternType="none">
          <fgColor indexed="64"/>
          <bgColor auto="1"/>
        </patternFill>
      </fill>
      <alignment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horizontal style="thin">
          <color theme="0" tint="-0.34998626667073579"/>
        </horizontal>
      </border>
      <protection locked="1" hidden="0"/>
    </dxf>
    <dxf>
      <font>
        <b val="0"/>
        <i val="0"/>
        <strike val="0"/>
        <condense val="0"/>
        <extend val="0"/>
        <outline val="0"/>
        <shadow val="0"/>
        <u val="none"/>
        <vertAlign val="baseline"/>
        <sz val="11"/>
        <color rgb="FF000000"/>
        <name val="Calibri"/>
        <family val="2"/>
        <scheme val="none"/>
      </font>
      <numFmt numFmtId="0" formatCode="General"/>
      <fill>
        <patternFill patternType="none">
          <fgColor indexed="64"/>
          <bgColor auto="1"/>
        </patternFill>
      </fill>
      <alignment vertical="center" textRotation="0" wrapText="0" indent="0" justifyLastLine="0" shrinkToFit="0" readingOrder="0"/>
      <border diagonalUp="0" diagonalDown="0">
        <top style="thin">
          <color theme="0" tint="-0.34998626667073579"/>
        </top>
        <bottom style="thin">
          <color theme="0" tint="-0.34998626667073579"/>
        </bottom>
        <horizontal style="thin">
          <color theme="0" tint="-0.34998626667073579"/>
        </horizontal>
      </border>
      <protection locked="1" hidden="0"/>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vertical="center" textRotation="0" wrapText="0" indent="0" justifyLastLine="0" shrinkToFit="0" readingOrder="0"/>
      <protection locked="1" hidden="0"/>
    </dxf>
    <dxf>
      <font>
        <b/>
        <i val="0"/>
        <strike val="0"/>
        <condense val="0"/>
        <extend val="0"/>
        <outline val="0"/>
        <shadow val="0"/>
        <u val="none"/>
        <vertAlign val="baseline"/>
        <sz val="11"/>
        <color auto="1"/>
        <name val="Calibri"/>
        <family val="2"/>
        <scheme val="minor"/>
      </font>
      <fill>
        <patternFill>
          <fgColor indexed="64"/>
          <bgColor theme="1"/>
        </patternFill>
      </fill>
      <alignment horizontal="center" vertical="center" textRotation="0" wrapText="0" indent="0" justifyLastLine="0" shrinkToFit="0" readingOrder="0"/>
      <protection locked="1" hidden="0"/>
    </dxf>
    <dxf>
      <font>
        <color auto="1"/>
      </font>
      <fill>
        <patternFill>
          <bgColor theme="5"/>
        </patternFill>
      </fill>
    </dxf>
    <dxf>
      <fill>
        <patternFill>
          <bgColor rgb="FFF39FA5"/>
        </patternFill>
      </fill>
    </dxf>
    <dxf>
      <fill>
        <patternFill>
          <bgColor rgb="FFD9E1F2"/>
        </patternFill>
      </fill>
    </dxf>
    <dxf>
      <fill>
        <patternFill>
          <bgColor rgb="FFFFD961"/>
        </patternFill>
      </fill>
    </dxf>
    <dxf>
      <font>
        <color theme="0"/>
      </font>
      <fill>
        <patternFill>
          <bgColor rgb="FFFF7575"/>
        </patternFill>
      </fill>
    </dxf>
    <dxf>
      <fill>
        <patternFill>
          <bgColor rgb="FF75FFB3"/>
        </patternFill>
      </fill>
    </dxf>
    <dxf>
      <font>
        <color auto="1"/>
      </font>
      <fill>
        <patternFill>
          <bgColor theme="5"/>
        </patternFill>
      </fill>
    </dxf>
    <dxf>
      <font>
        <color rgb="FFFF0000"/>
      </font>
      <fill>
        <patternFill patternType="none">
          <bgColor auto="1"/>
        </patternFill>
      </fill>
    </dxf>
    <dxf>
      <font>
        <color rgb="FFC00000"/>
      </font>
      <fill>
        <patternFill>
          <bgColor rgb="FFF39FA5"/>
        </patternFill>
      </fill>
    </dxf>
    <dxf>
      <font>
        <color rgb="FFC00000"/>
      </font>
      <fill>
        <patternFill>
          <bgColor rgb="FFF39FA5"/>
        </patternFill>
      </fill>
    </dxf>
    <dxf>
      <font>
        <color rgb="FFC00000"/>
      </font>
      <fill>
        <patternFill>
          <bgColor rgb="FFF39FA5"/>
        </patternFill>
      </fill>
    </dxf>
    <dxf>
      <fill>
        <patternFill>
          <bgColor rgb="FFF39FA5"/>
        </patternFill>
      </fill>
    </dxf>
    <dxf>
      <fill>
        <patternFill>
          <bgColor rgb="FFF39FA5"/>
        </patternFill>
      </fill>
    </dxf>
    <dxf>
      <fill>
        <patternFill>
          <bgColor rgb="FFF39FA5"/>
        </patternFill>
      </fill>
    </dxf>
    <dxf>
      <fill>
        <patternFill>
          <bgColor rgb="FFF39FA5"/>
        </patternFill>
      </fill>
    </dxf>
    <dxf>
      <fill>
        <patternFill>
          <bgColor rgb="FFD9E1F2"/>
        </patternFill>
      </fill>
    </dxf>
    <dxf>
      <fill>
        <patternFill>
          <bgColor rgb="FFFFD961"/>
        </patternFill>
      </fill>
    </dxf>
    <dxf>
      <font>
        <color theme="0"/>
      </font>
      <fill>
        <patternFill>
          <bgColor rgb="FFFF7575"/>
        </patternFill>
      </fill>
    </dxf>
    <dxf>
      <fill>
        <patternFill>
          <bgColor rgb="FF75FFB3"/>
        </patternFill>
      </fill>
    </dxf>
    <dxf>
      <font>
        <color auto="1"/>
      </font>
      <fill>
        <patternFill>
          <bgColor theme="5"/>
        </patternFill>
      </fill>
    </dxf>
    <dxf>
      <fill>
        <patternFill>
          <bgColor rgb="FFF39FA5"/>
        </patternFill>
      </fill>
    </dxf>
    <dxf>
      <fill>
        <patternFill>
          <bgColor rgb="FFD9E1F2"/>
        </patternFill>
      </fill>
    </dxf>
    <dxf>
      <fill>
        <patternFill>
          <bgColor rgb="FFFFD961"/>
        </patternFill>
      </fill>
    </dxf>
    <dxf>
      <font>
        <color theme="0"/>
      </font>
      <fill>
        <patternFill>
          <bgColor rgb="FFFF7575"/>
        </patternFill>
      </fill>
    </dxf>
    <dxf>
      <fill>
        <patternFill>
          <bgColor rgb="FF75FFB3"/>
        </patternFill>
      </fill>
    </dxf>
    <dxf>
      <font>
        <color auto="1"/>
      </font>
      <fill>
        <patternFill>
          <bgColor theme="5"/>
        </patternFill>
      </fill>
    </dxf>
    <dxf>
      <font>
        <color rgb="FFFF0000"/>
      </font>
      <fill>
        <patternFill patternType="none">
          <bgColor auto="1"/>
        </patternFill>
      </fill>
    </dxf>
    <dxf>
      <font>
        <color rgb="FFC00000"/>
      </font>
      <fill>
        <patternFill>
          <bgColor rgb="FFF39FA5"/>
        </patternFill>
      </fill>
    </dxf>
    <dxf>
      <font>
        <color rgb="FFC00000"/>
      </font>
      <fill>
        <patternFill>
          <bgColor rgb="FFF39FA5"/>
        </patternFill>
      </fill>
    </dxf>
    <dxf>
      <font>
        <color rgb="FFC00000"/>
      </font>
      <fill>
        <patternFill>
          <bgColor rgb="FFF39FA5"/>
        </patternFill>
      </fill>
    </dxf>
    <dxf>
      <fill>
        <patternFill>
          <bgColor rgb="FFF39FA5"/>
        </patternFill>
      </fill>
    </dxf>
    <dxf>
      <fill>
        <patternFill>
          <bgColor rgb="FFF39FA5"/>
        </patternFill>
      </fill>
    </dxf>
    <dxf>
      <fill>
        <patternFill>
          <bgColor rgb="FFF39FA5"/>
        </patternFill>
      </fill>
    </dxf>
    <dxf>
      <fill>
        <patternFill>
          <bgColor rgb="FFF39FA5"/>
        </patternFill>
      </fill>
    </dxf>
    <dxf>
      <fill>
        <patternFill>
          <bgColor rgb="FFD9E1F2"/>
        </patternFill>
      </fill>
    </dxf>
    <dxf>
      <fill>
        <patternFill>
          <bgColor rgb="FFFFD961"/>
        </patternFill>
      </fill>
    </dxf>
    <dxf>
      <font>
        <color theme="0"/>
      </font>
      <fill>
        <patternFill>
          <bgColor rgb="FFFF7575"/>
        </patternFill>
      </fill>
    </dxf>
    <dxf>
      <fill>
        <patternFill>
          <bgColor rgb="FF75FFB3"/>
        </patternFill>
      </fill>
    </dxf>
    <dxf>
      <font>
        <color auto="1"/>
      </font>
      <fill>
        <patternFill>
          <bgColor theme="5"/>
        </patternFill>
      </fill>
    </dxf>
    <dxf>
      <fill>
        <patternFill>
          <bgColor rgb="FFF39FA5"/>
        </patternFill>
      </fill>
    </dxf>
    <dxf>
      <fill>
        <patternFill>
          <bgColor rgb="FFD9E1F2"/>
        </patternFill>
      </fill>
    </dxf>
    <dxf>
      <fill>
        <patternFill>
          <bgColor rgb="FFFFD961"/>
        </patternFill>
      </fill>
    </dxf>
    <dxf>
      <font>
        <color theme="0"/>
      </font>
      <fill>
        <patternFill>
          <bgColor rgb="FFFF7575"/>
        </patternFill>
      </fill>
    </dxf>
    <dxf>
      <fill>
        <patternFill>
          <bgColor rgb="FF75FFB3"/>
        </patternFill>
      </fill>
    </dxf>
    <dxf>
      <font>
        <color auto="1"/>
      </font>
      <fill>
        <patternFill>
          <bgColor theme="5"/>
        </patternFill>
      </fill>
    </dxf>
    <dxf>
      <font>
        <color rgb="FFFF0000"/>
      </font>
      <fill>
        <patternFill patternType="none">
          <bgColor auto="1"/>
        </patternFill>
      </fill>
    </dxf>
    <dxf>
      <font>
        <color rgb="FFC00000"/>
      </font>
      <fill>
        <patternFill>
          <bgColor rgb="FFF39FA5"/>
        </patternFill>
      </fill>
    </dxf>
    <dxf>
      <font>
        <color theme="9" tint="-0.499984740745262"/>
      </font>
      <fill>
        <patternFill>
          <bgColor rgb="FF75FFB3"/>
        </patternFill>
      </fill>
    </dxf>
    <dxf>
      <font>
        <color rgb="FFC00000"/>
      </font>
      <fill>
        <patternFill>
          <bgColor rgb="FFF39FA5"/>
        </patternFill>
      </fill>
    </dxf>
    <dxf>
      <font>
        <color rgb="FFC00000"/>
      </font>
      <fill>
        <patternFill>
          <bgColor rgb="FFF39FA5"/>
        </patternFill>
      </fill>
    </dxf>
    <dxf>
      <font>
        <color rgb="FFC00000"/>
      </font>
      <fill>
        <patternFill>
          <bgColor rgb="FFF39FA5"/>
        </patternFill>
      </fill>
    </dxf>
    <dxf>
      <fill>
        <patternFill>
          <bgColor rgb="FFF39FA5"/>
        </patternFill>
      </fill>
    </dxf>
    <dxf>
      <fill>
        <patternFill>
          <bgColor rgb="FFF39FA5"/>
        </patternFill>
      </fill>
    </dxf>
    <dxf>
      <fill>
        <patternFill>
          <bgColor rgb="FFF39FA5"/>
        </patternFill>
      </fill>
    </dxf>
    <dxf>
      <fill>
        <patternFill>
          <bgColor rgb="FFF39FA5"/>
        </patternFill>
      </fill>
    </dxf>
    <dxf>
      <fill>
        <patternFill>
          <bgColor rgb="FFD9E1F2"/>
        </patternFill>
      </fill>
    </dxf>
    <dxf>
      <fill>
        <patternFill>
          <bgColor rgb="FFFFD961"/>
        </patternFill>
      </fill>
    </dxf>
    <dxf>
      <font>
        <color theme="0"/>
      </font>
      <fill>
        <patternFill>
          <bgColor rgb="FFFF7575"/>
        </patternFill>
      </fill>
    </dxf>
    <dxf>
      <fill>
        <patternFill>
          <bgColor rgb="FF75FFB3"/>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protection locked="1"/>
    </dxf>
    <dxf>
      <protection locked="1"/>
    </dxf>
    <dxf>
      <protection locked="1"/>
    </dxf>
    <dxf>
      <protection locked="1"/>
    </dxf>
    <dxf>
      <protection locked="1"/>
    </dxf>
    <dxf>
      <protection locked="1"/>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protection locked="1"/>
    </dxf>
    <dxf>
      <protection locked="1"/>
    </dxf>
    <dxf>
      <protection locked="1"/>
    </dxf>
    <dxf>
      <protection locked="1"/>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protection locked="1"/>
    </dxf>
    <dxf>
      <protection locked="1"/>
    </dxf>
    <dxf>
      <protection locked="1"/>
    </dxf>
    <dxf>
      <border>
        <horizontal/>
      </border>
    </dxf>
    <dxf>
      <border>
        <horizontal/>
      </border>
    </dxf>
    <dxf>
      <border>
        <horizontal/>
      </border>
    </dxf>
    <dxf>
      <fill>
        <patternFill>
          <bgColor theme="4" tint="-0.499984740745262"/>
        </patternFill>
      </fill>
    </dxf>
    <dxf>
      <fill>
        <patternFill>
          <bgColor theme="4" tint="-0.499984740745262"/>
        </patternFill>
      </fill>
    </dxf>
    <dxf>
      <fill>
        <patternFill>
          <bgColor theme="4" tint="-0.499984740745262"/>
        </patternFill>
      </fill>
    </dxf>
    <dxf>
      <protection locked="1"/>
    </dxf>
    <dxf>
      <protection locked="1"/>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protection locked="1"/>
    </dxf>
    <dxf>
      <protection locked="1"/>
    </dxf>
    <dxf>
      <protection locked="1"/>
    </dxf>
    <dxf>
      <protection locked="1"/>
    </dxf>
    <dxf>
      <protection locked="1"/>
    </dxf>
    <dxf>
      <protection locked="1"/>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protection locked="1"/>
    </dxf>
    <dxf>
      <protection locked="1"/>
    </dxf>
    <dxf>
      <protection locked="1"/>
    </dxf>
    <dxf>
      <protection locked="1"/>
    </dxf>
    <dxf>
      <protection locked="1"/>
    </dxf>
    <dxf>
      <protection locked="1"/>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s>
  <tableStyles count="1" defaultTableStyle="TableStyleMedium2" defaultPivotStyle="PivotStyleLight16">
    <tableStyle name="Estilo de Segmentação de Dados 1" pivot="0" table="0" count="2" xr9:uid="{9561BA94-8AD1-4FB3-9B1C-1A25A96D9071}"/>
  </tableStyles>
  <colors>
    <mruColors>
      <color rgb="FFFFA7A7"/>
      <color rgb="FFD9E1F2"/>
      <color rgb="FFF39FA5"/>
      <color rgb="FF75FFB3"/>
      <color rgb="FFFFD961"/>
      <color rgb="FFFF7575"/>
      <color rgb="FFFF6161"/>
      <color rgb="FF11FF7D"/>
      <color rgb="FFC6EFCE"/>
      <color rgb="FFFFC7CE"/>
    </mruColors>
  </colors>
  <extLst>
    <ext xmlns:x14="http://schemas.microsoft.com/office/spreadsheetml/2009/9/main" uri="{46F421CA-312F-682f-3DD2-61675219B42D}">
      <x14:dxfs count="2">
        <dxf>
          <font>
            <color theme="0"/>
          </font>
          <fill>
            <gradientFill degree="90">
              <stop position="0">
                <color rgb="FF1F497D"/>
              </stop>
              <stop position="1">
                <color rgb="FF1F497D"/>
              </stop>
            </gradientFill>
          </fill>
        </dxf>
        <dxf>
          <font>
            <color theme="0"/>
          </font>
          <fill>
            <gradientFill degree="90">
              <stop position="0">
                <color rgb="FF1F497D"/>
              </stop>
              <stop position="1">
                <color rgb="FF1F497D"/>
              </stop>
            </gradientFill>
          </fill>
        </dxf>
      </x14:dxfs>
    </ext>
    <ext xmlns:x14="http://schemas.microsoft.com/office/spreadsheetml/2009/9/main" uri="{EB79DEF2-80B8-43e5-95BD-54CBDDF9020C}">
      <x14:slicerStyles defaultSlicerStyle="SlicerStyleLight1">
        <x14:slicerStyle name="Estilo de Segmentação de Dados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6.xml"/><Relationship Id="rId21" Type="http://schemas.microsoft.com/office/2007/relationships/slicerCache" Target="slicerCaches/slicerCache1.xml"/><Relationship Id="rId42" Type="http://schemas.openxmlformats.org/officeDocument/2006/relationships/theme" Target="theme/theme1.xml"/><Relationship Id="rId47" Type="http://schemas.openxmlformats.org/officeDocument/2006/relationships/powerPivotData" Target="model/item.data"/><Relationship Id="rId63" Type="http://schemas.openxmlformats.org/officeDocument/2006/relationships/customXml" Target="../customXml/item15.xml"/><Relationship Id="rId68"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9.xml"/><Relationship Id="rId11" Type="http://schemas.openxmlformats.org/officeDocument/2006/relationships/worksheet" Target="worksheets/sheet11.xml"/><Relationship Id="rId24" Type="http://schemas.microsoft.com/office/2007/relationships/slicerCache" Target="slicerCaches/slicerCache4.xml"/><Relationship Id="rId32" Type="http://schemas.microsoft.com/office/2007/relationships/slicerCache" Target="slicerCaches/slicerCache12.xml"/><Relationship Id="rId37" Type="http://schemas.microsoft.com/office/2007/relationships/slicerCache" Target="slicerCaches/slicerCache17.xml"/><Relationship Id="rId40" Type="http://schemas.microsoft.com/office/2007/relationships/slicerCache" Target="slicerCaches/slicerCache20.xml"/><Relationship Id="rId45" Type="http://schemas.openxmlformats.org/officeDocument/2006/relationships/sharedStrings" Target="sharedStrings.xml"/><Relationship Id="rId53" Type="http://schemas.openxmlformats.org/officeDocument/2006/relationships/customXml" Target="../customXml/item5.xml"/><Relationship Id="rId58" Type="http://schemas.openxmlformats.org/officeDocument/2006/relationships/customXml" Target="../customXml/item10.xml"/><Relationship Id="rId66" Type="http://schemas.openxmlformats.org/officeDocument/2006/relationships/customXml" Target="../customXml/item18.xml"/><Relationship Id="rId5" Type="http://schemas.openxmlformats.org/officeDocument/2006/relationships/worksheet" Target="worksheets/sheet5.xml"/><Relationship Id="rId61" Type="http://schemas.openxmlformats.org/officeDocument/2006/relationships/customXml" Target="../customXml/item1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microsoft.com/office/2007/relationships/slicerCache" Target="slicerCaches/slicerCache2.xml"/><Relationship Id="rId27" Type="http://schemas.microsoft.com/office/2007/relationships/slicerCache" Target="slicerCaches/slicerCache7.xml"/><Relationship Id="rId30" Type="http://schemas.microsoft.com/office/2007/relationships/slicerCache" Target="slicerCaches/slicerCache10.xml"/><Relationship Id="rId35" Type="http://schemas.microsoft.com/office/2007/relationships/slicerCache" Target="slicerCaches/slicerCache15.xml"/><Relationship Id="rId43" Type="http://schemas.openxmlformats.org/officeDocument/2006/relationships/connections" Target="connections.xml"/><Relationship Id="rId48" Type="http://schemas.openxmlformats.org/officeDocument/2006/relationships/calcChain" Target="calcChain.xml"/><Relationship Id="rId56" Type="http://schemas.openxmlformats.org/officeDocument/2006/relationships/customXml" Target="../customXml/item8.xml"/><Relationship Id="rId64" Type="http://schemas.openxmlformats.org/officeDocument/2006/relationships/customXml" Target="../customXml/item16.xml"/><Relationship Id="rId69"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33" Type="http://schemas.microsoft.com/office/2007/relationships/slicerCache" Target="slicerCaches/slicerCache13.xml"/><Relationship Id="rId38" Type="http://schemas.microsoft.com/office/2007/relationships/slicerCache" Target="slicerCaches/slicerCache18.xml"/><Relationship Id="rId46" Type="http://schemas.openxmlformats.org/officeDocument/2006/relationships/sheetMetadata" Target="metadata.xml"/><Relationship Id="rId59" Type="http://schemas.openxmlformats.org/officeDocument/2006/relationships/customXml" Target="../customXml/item11.xml"/><Relationship Id="rId67" Type="http://schemas.openxmlformats.org/officeDocument/2006/relationships/customXml" Target="../customXml/item19.xml"/><Relationship Id="rId20" Type="http://schemas.openxmlformats.org/officeDocument/2006/relationships/pivotCacheDefinition" Target="pivotCache/pivotCacheDefinition1.xml"/><Relationship Id="rId41" Type="http://schemas.microsoft.com/office/2007/relationships/slicerCache" Target="slicerCaches/slicerCache21.xml"/><Relationship Id="rId54" Type="http://schemas.openxmlformats.org/officeDocument/2006/relationships/customXml" Target="../customXml/item6.xml"/><Relationship Id="rId62" Type="http://schemas.openxmlformats.org/officeDocument/2006/relationships/customXml" Target="../customXml/item14.xml"/><Relationship Id="rId70"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microsoft.com/office/2007/relationships/slicerCache" Target="slicerCaches/slicerCache3.xml"/><Relationship Id="rId28" Type="http://schemas.microsoft.com/office/2007/relationships/slicerCache" Target="slicerCaches/slicerCache8.xml"/><Relationship Id="rId36" Type="http://schemas.microsoft.com/office/2007/relationships/slicerCache" Target="slicerCaches/slicerCache16.xml"/><Relationship Id="rId49" Type="http://schemas.openxmlformats.org/officeDocument/2006/relationships/customXml" Target="../customXml/item1.xml"/><Relationship Id="rId57" Type="http://schemas.openxmlformats.org/officeDocument/2006/relationships/customXml" Target="../customXml/item9.xml"/><Relationship Id="rId10" Type="http://schemas.openxmlformats.org/officeDocument/2006/relationships/worksheet" Target="worksheets/sheet10.xml"/><Relationship Id="rId31" Type="http://schemas.microsoft.com/office/2007/relationships/slicerCache" Target="slicerCaches/slicerCache11.xml"/><Relationship Id="rId44" Type="http://schemas.openxmlformats.org/officeDocument/2006/relationships/styles" Target="styles.xml"/><Relationship Id="rId52" Type="http://schemas.openxmlformats.org/officeDocument/2006/relationships/customXml" Target="../customXml/item4.xml"/><Relationship Id="rId60" Type="http://schemas.openxmlformats.org/officeDocument/2006/relationships/customXml" Target="../customXml/item12.xml"/><Relationship Id="rId65"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microsoft.com/office/2007/relationships/slicerCache" Target="slicerCaches/slicerCache19.xml"/><Relationship Id="rId34" Type="http://schemas.microsoft.com/office/2007/relationships/slicerCache" Target="slicerCaches/slicerCache14.xml"/><Relationship Id="rId50" Type="http://schemas.openxmlformats.org/officeDocument/2006/relationships/customXml" Target="../customXml/item2.xml"/><Relationship Id="rId55" Type="http://schemas.openxmlformats.org/officeDocument/2006/relationships/customXml" Target="../customXml/item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[CONTROLE INTEGRADO DE DEMANDAS (ES-MG).xlsx]PAINEL!Tabela dinâmica5</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pt-BR" b="1" baseline="0">
                <a:solidFill>
                  <a:sysClr val="windowText" lastClr="000000"/>
                </a:solidFill>
              </a:rPr>
              <a:t>FINANCEIRO</a:t>
            </a:r>
            <a:endParaRPr lang="pt-BR"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pt-BR"/>
        </a:p>
      </c:txPr>
    </c:title>
    <c:autoTitleDeleted val="0"/>
    <c:pivotFmts>
      <c:pivotFmt>
        <c:idx val="0"/>
        <c:spPr>
          <a:solidFill>
            <a:srgbClr val="00B05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pt-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pt-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pt-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chemeClr val="accent3">
              <a:lumMod val="75000"/>
            </a:schemeClr>
          </a:solidFill>
          <a:ln>
            <a:noFill/>
          </a:ln>
          <a:effectLst/>
        </c:spPr>
      </c:pivotFmt>
    </c:pivotFmts>
    <c:plotArea>
      <c:layout/>
      <c:barChart>
        <c:barDir val="col"/>
        <c:grouping val="clustered"/>
        <c:varyColors val="0"/>
        <c:ser>
          <c:idx val="0"/>
          <c:order val="0"/>
          <c:tx>
            <c:strRef>
              <c:f>PAINEL!$O$5</c:f>
              <c:strCache>
                <c:ptCount val="1"/>
                <c:pt idx="0">
                  <c:v>R$ APROVADO </c:v>
                </c:pt>
              </c:strCache>
            </c:strRef>
          </c:tx>
          <c:spPr>
            <a:solidFill>
              <a:srgbClr val="00B05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PAINEL!$O$6</c:f>
              <c:strCache>
                <c:ptCount val="1"/>
                <c:pt idx="0">
                  <c:v>Total</c:v>
                </c:pt>
              </c:strCache>
            </c:strRef>
          </c:cat>
          <c:val>
            <c:numRef>
              <c:f>PAINEL!$O$6</c:f>
              <c:numCache>
                <c:formatCode>_("R$"* #,##0.00_);_("R$"* \(#,##0.00\);_("R$"* "-"??_);_(@_)</c:formatCode>
                <c:ptCount val="1"/>
                <c:pt idx="0">
                  <c:v>25645357.794471398</c:v>
                </c:pt>
              </c:numCache>
            </c:numRef>
          </c:val>
          <c:extLst>
            <c:ext xmlns:c16="http://schemas.microsoft.com/office/drawing/2014/chart" uri="{C3380CC4-5D6E-409C-BE32-E72D297353CC}">
              <c16:uniqueId val="{00000000-5CA7-4DD5-A1CE-1A75754067FC}"/>
            </c:ext>
          </c:extLst>
        </c:ser>
        <c:ser>
          <c:idx val="1"/>
          <c:order val="1"/>
          <c:tx>
            <c:strRef>
              <c:f>PAINEL!$P$5</c:f>
              <c:strCache>
                <c:ptCount val="1"/>
                <c:pt idx="0">
                  <c:v>R$ MEDIDO</c:v>
                </c:pt>
              </c:strCache>
            </c:strRef>
          </c:tx>
          <c:spPr>
            <a:solidFill>
              <a:schemeClr val="accent3">
                <a:lumMod val="7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PAINEL!$O$6</c:f>
              <c:strCache>
                <c:ptCount val="1"/>
                <c:pt idx="0">
                  <c:v>Total</c:v>
                </c:pt>
              </c:strCache>
            </c:strRef>
          </c:cat>
          <c:val>
            <c:numRef>
              <c:f>PAINEL!$P$6</c:f>
              <c:numCache>
                <c:formatCode>_("R$"* #,##0.00_);_("R$"* \(#,##0.00\);_("R$"* "-"??_);_(@_)</c:formatCode>
                <c:ptCount val="1"/>
                <c:pt idx="0">
                  <c:v>14843091.568843804</c:v>
                </c:pt>
              </c:numCache>
            </c:numRef>
          </c:val>
          <c:extLst>
            <c:ext xmlns:c16="http://schemas.microsoft.com/office/drawing/2014/chart" uri="{C3380CC4-5D6E-409C-BE32-E72D297353CC}">
              <c16:uniqueId val="{00000002-5CA7-4DD5-A1CE-1A75754067FC}"/>
            </c:ext>
          </c:extLst>
        </c:ser>
        <c:ser>
          <c:idx val="2"/>
          <c:order val="2"/>
          <c:tx>
            <c:strRef>
              <c:f>PAINEL!$Q$5</c:f>
              <c:strCache>
                <c:ptCount val="1"/>
                <c:pt idx="0">
                  <c:v>R$ SALDO</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PAINEL!$O$6</c:f>
              <c:strCache>
                <c:ptCount val="1"/>
                <c:pt idx="0">
                  <c:v>Total</c:v>
                </c:pt>
              </c:strCache>
            </c:strRef>
          </c:cat>
          <c:val>
            <c:numRef>
              <c:f>PAINEL!$Q$6</c:f>
              <c:numCache>
                <c:formatCode>_("R$"* #,##0.00_);_("R$"* \(#,##0.00\);_("R$"* "-"??_);_(@_)</c:formatCode>
                <c:ptCount val="1"/>
                <c:pt idx="0">
                  <c:v>10802266.220959999</c:v>
                </c:pt>
              </c:numCache>
            </c:numRef>
          </c:val>
          <c:extLst>
            <c:ext xmlns:c16="http://schemas.microsoft.com/office/drawing/2014/chart" uri="{C3380CC4-5D6E-409C-BE32-E72D297353CC}">
              <c16:uniqueId val="{00000003-5CA7-4DD5-A1CE-1A75754067FC}"/>
            </c:ext>
          </c:extLst>
        </c:ser>
        <c:dLbls>
          <c:dLblPos val="inEnd"/>
          <c:showLegendKey val="0"/>
          <c:showVal val="1"/>
          <c:showCatName val="0"/>
          <c:showSerName val="0"/>
          <c:showPercent val="0"/>
          <c:showBubbleSize val="0"/>
        </c:dLbls>
        <c:gapWidth val="219"/>
        <c:overlap val="-27"/>
        <c:axId val="1917110655"/>
        <c:axId val="1917107295"/>
      </c:barChart>
      <c:catAx>
        <c:axId val="1917110655"/>
        <c:scaling>
          <c:orientation val="minMax"/>
        </c:scaling>
        <c:delete val="1"/>
        <c:axPos val="b"/>
        <c:numFmt formatCode="General" sourceLinked="1"/>
        <c:majorTickMark val="none"/>
        <c:minorTickMark val="none"/>
        <c:tickLblPos val="nextTo"/>
        <c:crossAx val="1917107295"/>
        <c:crosses val="autoZero"/>
        <c:auto val="1"/>
        <c:lblAlgn val="ctr"/>
        <c:lblOffset val="100"/>
        <c:noMultiLvlLbl val="0"/>
      </c:catAx>
      <c:valAx>
        <c:axId val="1917107295"/>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 &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pt-BR"/>
          </a:p>
        </c:txPr>
        <c:crossAx val="1917110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[CONTROLE INTEGRADO DE DEMANDAS (ES-MG).xlsx]PAINEL!Tabela dinâmica1</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i="0">
                <a:solidFill>
                  <a:sysClr val="windowText" lastClr="000000"/>
                </a:solidFill>
              </a:rPr>
              <a:t>STATUS DE ENVIO</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00B050"/>
          </a:solidFill>
          <a:ln>
            <a:noFill/>
          </a:ln>
          <a:effectLst/>
        </c:spPr>
      </c:pivotFmt>
      <c:pivotFmt>
        <c:idx val="71"/>
        <c:spPr>
          <a:solidFill>
            <a:schemeClr val="tx1">
              <a:lumMod val="65000"/>
              <a:lumOff val="35000"/>
            </a:schemeClr>
          </a:solidFill>
          <a:ln>
            <a:noFill/>
          </a:ln>
          <a:effectLst/>
        </c:spPr>
      </c:pivotFmt>
      <c:pivotFmt>
        <c:idx val="72"/>
        <c:spPr>
          <a:solidFill>
            <a:srgbClr val="00B050"/>
          </a:solidFill>
          <a:ln>
            <a:noFill/>
          </a:ln>
          <a:effectLst/>
        </c:spPr>
      </c:pivotFmt>
      <c:pivotFmt>
        <c:idx val="73"/>
        <c:spPr>
          <a:solidFill>
            <a:srgbClr val="FFC000"/>
          </a:solidFill>
          <a:ln>
            <a:noFill/>
          </a:ln>
          <a:effectLst/>
        </c:spPr>
      </c:pivotFmt>
    </c:pivotFmts>
    <c:plotArea>
      <c:layout/>
      <c:barChart>
        <c:barDir val="col"/>
        <c:grouping val="clustered"/>
        <c:varyColors val="0"/>
        <c:dLbls>
          <c:dLblPos val="outEnd"/>
          <c:showLegendKey val="0"/>
          <c:showVal val="1"/>
          <c:showCatName val="0"/>
          <c:showSerName val="0"/>
          <c:showPercent val="0"/>
          <c:showBubbleSize val="0"/>
        </c:dLbls>
        <c:gapWidth val="219"/>
        <c:overlap val="-27"/>
        <c:axId val="1466713663"/>
        <c:axId val="1466698783"/>
      </c:barChart>
      <c:catAx>
        <c:axId val="146671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pt-BR"/>
          </a:p>
        </c:txPr>
        <c:crossAx val="1466698783"/>
        <c:crosses val="autoZero"/>
        <c:auto val="1"/>
        <c:lblAlgn val="ctr"/>
        <c:lblOffset val="100"/>
        <c:noMultiLvlLbl val="0"/>
      </c:catAx>
      <c:valAx>
        <c:axId val="146669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pt-BR"/>
          </a:p>
        </c:txPr>
        <c:crossAx val="1466713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[CONTROLE INTEGRADO DE DEMANDAS (ES-MG).xlsx]PAINEL!Tabela dinâmica2</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STATUS DA</a:t>
            </a:r>
            <a:r>
              <a:rPr lang="en-US" b="1" baseline="0">
                <a:solidFill>
                  <a:sysClr val="windowText" lastClr="000000"/>
                </a:solidFill>
              </a:rPr>
              <a:t> DEMANDA</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pt-BR"/>
        </a:p>
      </c:txPr>
    </c:title>
    <c:autoTitleDeleted val="0"/>
    <c:pivotFmts>
      <c:pivotFmt>
        <c:idx val="0"/>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bg1"/>
            </a:solidFill>
          </a:ln>
          <a:effectLst/>
        </c:spPr>
      </c:pivotFmt>
      <c:pivotFmt>
        <c:idx val="2"/>
        <c:spPr>
          <a:solidFill>
            <a:srgbClr val="00B050"/>
          </a:solidFill>
          <a:ln w="25400">
            <a:solidFill>
              <a:schemeClr val="bg1"/>
            </a:solidFill>
          </a:ln>
          <a:effectLst/>
        </c:spPr>
      </c:pivotFmt>
      <c:pivotFmt>
        <c:idx val="3"/>
        <c:spPr>
          <a:solidFill>
            <a:srgbClr val="FFC000"/>
          </a:solidFill>
          <a:ln>
            <a:noFill/>
          </a:ln>
          <a:effectLst/>
        </c:spPr>
      </c:pivotFmt>
      <c:pivotFmt>
        <c:idx val="4"/>
        <c:spPr>
          <a:solidFill>
            <a:schemeClr val="accent2"/>
          </a:solidFill>
          <a:ln>
            <a:noFill/>
          </a:ln>
          <a:effectLst/>
        </c:spPr>
      </c:pivotFmt>
      <c:pivotFmt>
        <c:idx val="5"/>
        <c:spPr>
          <a:solidFill>
            <a:schemeClr val="tx1">
              <a:lumMod val="65000"/>
              <a:lumOff val="35000"/>
            </a:schemeClr>
          </a:solidFill>
          <a:ln w="25400">
            <a:solidFill>
              <a:schemeClr val="bg1"/>
            </a:solidFill>
          </a:ln>
          <a:effectLst/>
        </c:spPr>
      </c:pivotFmt>
      <c:pivotFmt>
        <c:idx val="6"/>
        <c:spPr>
          <a:solidFill>
            <a:schemeClr val="accent3">
              <a:lumMod val="75000"/>
            </a:schemeClr>
          </a:solidFill>
          <a:ln>
            <a:noFill/>
          </a:ln>
          <a:effectLst/>
        </c:spPr>
      </c:pivotFmt>
      <c:pivotFmt>
        <c:idx val="7"/>
        <c:spPr>
          <a:solidFill>
            <a:schemeClr val="accent1"/>
          </a:solidFill>
          <a:ln w="25400">
            <a:solidFill>
              <a:schemeClr val="bg1"/>
            </a:solidFill>
          </a:ln>
          <a:effectLst/>
        </c:spPr>
      </c:pivotFmt>
      <c:pivotFmt>
        <c:idx val="8"/>
        <c:spPr>
          <a:solidFill>
            <a:srgbClr val="FF0000"/>
          </a:solidFill>
          <a:ln w="25400">
            <a:solidFill>
              <a:schemeClr val="bg1"/>
            </a:solidFill>
          </a:ln>
          <a:effectLst/>
        </c:spPr>
      </c:pivotFmt>
      <c:pivotFmt>
        <c:idx val="9"/>
        <c:spPr>
          <a:solidFill>
            <a:schemeClr val="accent1"/>
          </a:solidFill>
          <a:ln w="25400">
            <a:solidFill>
              <a:schemeClr val="bg1"/>
            </a:solidFill>
          </a:ln>
          <a:effectLst/>
        </c:spPr>
      </c:pivotFmt>
    </c:pivotFmts>
    <c:plotArea>
      <c:layout/>
      <c:doughnutChart>
        <c:varyColors val="1"/>
        <c:ser>
          <c:idx val="0"/>
          <c:order val="0"/>
          <c:tx>
            <c:strRef>
              <c:f>PAINEL!$G$5</c:f>
              <c:strCache>
                <c:ptCount val="1"/>
                <c:pt idx="0">
                  <c:v>Total</c:v>
                </c:pt>
              </c:strCache>
            </c:strRef>
          </c:tx>
          <c:spPr>
            <a:ln w="25400">
              <a:solidFill>
                <a:schemeClr val="bg1"/>
              </a:solidFill>
            </a:ln>
          </c:spPr>
          <c:dPt>
            <c:idx val="0"/>
            <c:bubble3D val="0"/>
            <c:spPr>
              <a:solidFill>
                <a:srgbClr val="00B050"/>
              </a:solidFill>
              <a:ln w="25400">
                <a:solidFill>
                  <a:schemeClr val="bg1"/>
                </a:solidFill>
              </a:ln>
              <a:effectLst/>
            </c:spPr>
            <c:extLst>
              <c:ext xmlns:c16="http://schemas.microsoft.com/office/drawing/2014/chart" uri="{C3380CC4-5D6E-409C-BE32-E72D297353CC}">
                <c16:uniqueId val="{00000004-5C2C-4CF4-BDE7-C642162817F1}"/>
              </c:ext>
            </c:extLst>
          </c:dPt>
          <c:dPt>
            <c:idx val="1"/>
            <c:bubble3D val="0"/>
            <c:spPr>
              <a:solidFill>
                <a:schemeClr val="accent2"/>
              </a:solidFill>
              <a:ln w="25400">
                <a:solidFill>
                  <a:schemeClr val="bg1"/>
                </a:solidFill>
              </a:ln>
              <a:effectLst/>
            </c:spPr>
            <c:extLst>
              <c:ext xmlns:c16="http://schemas.microsoft.com/office/drawing/2014/chart" uri="{C3380CC4-5D6E-409C-BE32-E72D297353CC}">
                <c16:uniqueId val="{00000003-5C2C-4CF4-BDE7-C642162817F1}"/>
              </c:ext>
            </c:extLst>
          </c:dPt>
          <c:dPt>
            <c:idx val="2"/>
            <c:bubble3D val="0"/>
            <c:spPr>
              <a:solidFill>
                <a:schemeClr val="tx1">
                  <a:lumMod val="65000"/>
                  <a:lumOff val="35000"/>
                </a:schemeClr>
              </a:solidFill>
              <a:ln w="25400">
                <a:solidFill>
                  <a:schemeClr val="bg1"/>
                </a:solidFill>
              </a:ln>
              <a:effectLst/>
            </c:spPr>
            <c:extLst>
              <c:ext xmlns:c16="http://schemas.microsoft.com/office/drawing/2014/chart" uri="{C3380CC4-5D6E-409C-BE32-E72D297353CC}">
                <c16:uniqueId val="{00000002-5C2C-4CF4-BDE7-C642162817F1}"/>
              </c:ext>
            </c:extLst>
          </c:dPt>
          <c:dPt>
            <c:idx val="3"/>
            <c:bubble3D val="0"/>
            <c:spPr>
              <a:solidFill>
                <a:schemeClr val="accent4"/>
              </a:solidFill>
              <a:ln w="25400">
                <a:solidFill>
                  <a:schemeClr val="bg1"/>
                </a:solidFill>
              </a:ln>
              <a:effectLst/>
            </c:spPr>
            <c:extLst>
              <c:ext xmlns:c16="http://schemas.microsoft.com/office/drawing/2014/chart" uri="{C3380CC4-5D6E-409C-BE32-E72D297353CC}">
                <c16:uniqueId val="{00000006-5C2C-4CF4-BDE7-C642162817F1}"/>
              </c:ext>
            </c:extLst>
          </c:dPt>
          <c:dPt>
            <c:idx val="4"/>
            <c:bubble3D val="0"/>
            <c:spPr>
              <a:solidFill>
                <a:schemeClr val="accent5"/>
              </a:solidFill>
              <a:ln w="25400">
                <a:solidFill>
                  <a:schemeClr val="bg1"/>
                </a:solidFill>
              </a:ln>
              <a:effectLst/>
            </c:spPr>
            <c:extLst>
              <c:ext xmlns:c16="http://schemas.microsoft.com/office/drawing/2014/chart" uri="{C3380CC4-5D6E-409C-BE32-E72D297353CC}">
                <c16:uniqueId val="{00000008-6159-46AC-B766-1BC29990D855}"/>
              </c:ext>
            </c:extLst>
          </c:dPt>
          <c:dPt>
            <c:idx val="5"/>
            <c:bubble3D val="0"/>
            <c:spPr>
              <a:solidFill>
                <a:schemeClr val="accent6"/>
              </a:solidFill>
              <a:ln w="25400">
                <a:solidFill>
                  <a:schemeClr val="bg1"/>
                </a:solidFill>
              </a:ln>
              <a:effectLst/>
            </c:spPr>
            <c:extLst>
              <c:ext xmlns:c16="http://schemas.microsoft.com/office/drawing/2014/chart" uri="{C3380CC4-5D6E-409C-BE32-E72D297353CC}">
                <c16:uniqueId val="{00000005-5C2C-4CF4-BDE7-C642162817F1}"/>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pt-B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PAINEL!$F$6:$F$11</c:f>
              <c:strCache>
                <c:ptCount val="5"/>
                <c:pt idx="0">
                  <c:v>CANCELADA</c:v>
                </c:pt>
                <c:pt idx="1">
                  <c:v>CONCLUÍDA</c:v>
                </c:pt>
                <c:pt idx="2">
                  <c:v>EM ANDAMENTO</c:v>
                </c:pt>
                <c:pt idx="3">
                  <c:v>EM PLANEJAMENTO</c:v>
                </c:pt>
                <c:pt idx="4">
                  <c:v>ON HOLD</c:v>
                </c:pt>
              </c:strCache>
            </c:strRef>
          </c:cat>
          <c:val>
            <c:numRef>
              <c:f>PAINEL!$G$6:$G$11</c:f>
              <c:numCache>
                <c:formatCode>General</c:formatCode>
                <c:ptCount val="5"/>
                <c:pt idx="0">
                  <c:v>2</c:v>
                </c:pt>
                <c:pt idx="1">
                  <c:v>14</c:v>
                </c:pt>
                <c:pt idx="2">
                  <c:v>17</c:v>
                </c:pt>
                <c:pt idx="3">
                  <c:v>1</c:v>
                </c:pt>
                <c:pt idx="4">
                  <c:v>3</c:v>
                </c:pt>
              </c:numCache>
            </c:numRef>
          </c:val>
          <c:extLst>
            <c:ext xmlns:c16="http://schemas.microsoft.com/office/drawing/2014/chart" uri="{C3380CC4-5D6E-409C-BE32-E72D297353CC}">
              <c16:uniqueId val="{00000000-5C2C-4CF4-BDE7-C642162817F1}"/>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[CONTROLE INTEGRADO DE DEMANDAS (ES-MG).xlsx]PAINEL!Tabela dinâmica3</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STATUS</a:t>
            </a:r>
            <a:r>
              <a:rPr lang="en-US" b="1" baseline="0">
                <a:solidFill>
                  <a:sysClr val="windowText" lastClr="000000"/>
                </a:solidFill>
              </a:rPr>
              <a:t> DA SOLICITAÇÃO DE SERVIÇO</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B050"/>
          </a:solidFill>
          <a:ln>
            <a:noFill/>
          </a:ln>
          <a:effectLst/>
        </c:spPr>
      </c:pivotFmt>
      <c:pivotFmt>
        <c:idx val="3"/>
        <c:spPr>
          <a:solidFill>
            <a:schemeClr val="accent4"/>
          </a:solidFill>
          <a:ln>
            <a:noFill/>
          </a:ln>
          <a:effectLst/>
        </c:spPr>
      </c:pivotFmt>
      <c:pivotFmt>
        <c:idx val="4"/>
        <c:spPr>
          <a:solidFill>
            <a:schemeClr val="accent4"/>
          </a:solidFill>
          <a:ln>
            <a:noFill/>
          </a:ln>
          <a:effectLst/>
        </c:spPr>
      </c:pivotFmt>
      <c:pivotFmt>
        <c:idx val="5"/>
        <c:spPr>
          <a:solidFill>
            <a:srgbClr val="C00000"/>
          </a:solidFill>
          <a:ln>
            <a:noFill/>
          </a:ln>
          <a:effectLst/>
        </c:spPr>
      </c:pivotFmt>
      <c:pivotFmt>
        <c:idx val="6"/>
        <c:spPr>
          <a:solidFill>
            <a:srgbClr val="FF0000"/>
          </a:solidFill>
          <a:ln>
            <a:noFill/>
          </a:ln>
          <a:effectLst/>
        </c:spPr>
      </c:pivotFmt>
      <c:pivotFmt>
        <c:idx val="7"/>
        <c:spPr>
          <a:solidFill>
            <a:srgbClr val="FF0000"/>
          </a:solidFill>
          <a:ln>
            <a:noFill/>
          </a:ln>
          <a:effectLst/>
        </c:spPr>
      </c:pivotFmt>
      <c:pivotFmt>
        <c:idx val="8"/>
        <c:spPr>
          <a:solidFill>
            <a:schemeClr val="accent4"/>
          </a:solidFill>
          <a:ln>
            <a:noFill/>
          </a:ln>
          <a:effectLst/>
        </c:spPr>
      </c:pivotFmt>
    </c:pivotFmts>
    <c:plotArea>
      <c:layout/>
      <c:barChart>
        <c:barDir val="col"/>
        <c:grouping val="clustered"/>
        <c:varyColors val="0"/>
        <c:ser>
          <c:idx val="0"/>
          <c:order val="0"/>
          <c:tx>
            <c:strRef>
              <c:f>PAINEL!$J$5</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3-1E24-4A72-86E6-C4FC6E8BD207}"/>
              </c:ext>
            </c:extLst>
          </c:dPt>
          <c:dPt>
            <c:idx val="1"/>
            <c:invertIfNegative val="0"/>
            <c:bubble3D val="0"/>
            <c:spPr>
              <a:solidFill>
                <a:srgbClr val="FF0000"/>
              </a:solidFill>
              <a:ln>
                <a:noFill/>
              </a:ln>
              <a:effectLst/>
            </c:spPr>
            <c:extLst>
              <c:ext xmlns:c16="http://schemas.microsoft.com/office/drawing/2014/chart" uri="{C3380CC4-5D6E-409C-BE32-E72D297353CC}">
                <c16:uniqueId val="{00000002-1E24-4A72-86E6-C4FC6E8BD207}"/>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DF9F-4508-929E-329509D96C08}"/>
              </c:ext>
            </c:extLst>
          </c:dPt>
          <c:dPt>
            <c:idx val="3"/>
            <c:invertIfNegative val="0"/>
            <c:bubble3D val="0"/>
            <c:extLst>
              <c:ext xmlns:c16="http://schemas.microsoft.com/office/drawing/2014/chart" uri="{C3380CC4-5D6E-409C-BE32-E72D297353CC}">
                <c16:uniqueId val="{00000004-1E24-4A72-86E6-C4FC6E8BD207}"/>
              </c:ext>
            </c:extLst>
          </c:dPt>
          <c:dPt>
            <c:idx val="4"/>
            <c:invertIfNegative val="0"/>
            <c:bubble3D val="0"/>
            <c:extLst>
              <c:ext xmlns:c16="http://schemas.microsoft.com/office/drawing/2014/chart" uri="{C3380CC4-5D6E-409C-BE32-E72D297353CC}">
                <c16:uniqueId val="{00000006-FC60-4CE7-836B-8CF526546275}"/>
              </c:ext>
            </c:extLst>
          </c:dPt>
          <c:dPt>
            <c:idx val="5"/>
            <c:invertIfNegative val="0"/>
            <c:bubble3D val="0"/>
            <c:extLst>
              <c:ext xmlns:c16="http://schemas.microsoft.com/office/drawing/2014/chart" uri="{C3380CC4-5D6E-409C-BE32-E72D297353CC}">
                <c16:uniqueId val="{00000008-9A4F-4E04-833B-F95EA0253B5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PAINEL!$I$6:$I$10</c:f>
              <c:strCache>
                <c:ptCount val="4"/>
                <c:pt idx="0">
                  <c:v>APROVADO</c:v>
                </c:pt>
                <c:pt idx="1">
                  <c:v>ON HOLD</c:v>
                </c:pt>
                <c:pt idx="2">
                  <c:v>FISCALIZ.</c:v>
                </c:pt>
                <c:pt idx="3">
                  <c:v>CANCELADA</c:v>
                </c:pt>
              </c:strCache>
            </c:strRef>
          </c:cat>
          <c:val>
            <c:numRef>
              <c:f>PAINEL!$J$6:$J$10</c:f>
              <c:numCache>
                <c:formatCode>General</c:formatCode>
                <c:ptCount val="4"/>
                <c:pt idx="0">
                  <c:v>31</c:v>
                </c:pt>
                <c:pt idx="1">
                  <c:v>3</c:v>
                </c:pt>
                <c:pt idx="2">
                  <c:v>1</c:v>
                </c:pt>
                <c:pt idx="3">
                  <c:v>2</c:v>
                </c:pt>
              </c:numCache>
            </c:numRef>
          </c:val>
          <c:extLst>
            <c:ext xmlns:c16="http://schemas.microsoft.com/office/drawing/2014/chart" uri="{C3380CC4-5D6E-409C-BE32-E72D297353CC}">
              <c16:uniqueId val="{00000000-1E24-4A72-86E6-C4FC6E8BD207}"/>
            </c:ext>
          </c:extLst>
        </c:ser>
        <c:dLbls>
          <c:dLblPos val="outEnd"/>
          <c:showLegendKey val="0"/>
          <c:showVal val="1"/>
          <c:showCatName val="0"/>
          <c:showSerName val="0"/>
          <c:showPercent val="0"/>
          <c:showBubbleSize val="0"/>
        </c:dLbls>
        <c:gapWidth val="219"/>
        <c:overlap val="-27"/>
        <c:axId val="1915886559"/>
        <c:axId val="1915884639"/>
      </c:barChart>
      <c:catAx>
        <c:axId val="191588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pt-BR"/>
          </a:p>
        </c:txPr>
        <c:crossAx val="1915884639"/>
        <c:crosses val="autoZero"/>
        <c:auto val="1"/>
        <c:lblAlgn val="ctr"/>
        <c:lblOffset val="100"/>
        <c:noMultiLvlLbl val="0"/>
      </c:catAx>
      <c:valAx>
        <c:axId val="191588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pt-BR"/>
          </a:p>
        </c:txPr>
        <c:crossAx val="191588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[CONTROLE INTEGRADO DE DEMANDAS (ES-MG).xlsx]PAINEL!Tabela dinâmica2</c:name>
    <c:fmtId val="2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STATUS DA</a:t>
            </a:r>
            <a:r>
              <a:rPr lang="en-US" b="1" baseline="0">
                <a:solidFill>
                  <a:sysClr val="windowText" lastClr="000000"/>
                </a:solidFill>
              </a:rPr>
              <a:t> DEMANDA (EDIVIT) </a:t>
            </a:r>
          </a:p>
          <a:p>
            <a:pPr>
              <a:defRPr b="1">
                <a:solidFill>
                  <a:sysClr val="windowText" lastClr="000000"/>
                </a:solidFill>
              </a:defRPr>
            </a:pP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pt-BR"/>
        </a:p>
      </c:txPr>
    </c:title>
    <c:autoTitleDeleted val="0"/>
    <c:pivotFmts>
      <c:pivotFmt>
        <c:idx val="0"/>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25400">
            <a:solidFill>
              <a:schemeClr val="bg1"/>
            </a:solidFill>
          </a:ln>
          <a:effectLst/>
        </c:spPr>
      </c:pivotFmt>
      <c:pivotFmt>
        <c:idx val="2"/>
        <c:spPr>
          <a:solidFill>
            <a:srgbClr val="00B050"/>
          </a:solidFill>
          <a:ln>
            <a:noFill/>
          </a:ln>
          <a:effectLst/>
        </c:spPr>
      </c:pivotFmt>
      <c:pivotFmt>
        <c:idx val="3"/>
        <c:spPr>
          <a:solidFill>
            <a:srgbClr val="FFC000"/>
          </a:solidFill>
          <a:ln>
            <a:noFill/>
          </a:ln>
          <a:effectLst/>
        </c:spPr>
      </c:pivotFmt>
      <c:pivotFmt>
        <c:idx val="4"/>
        <c:spPr>
          <a:solidFill>
            <a:schemeClr val="accent2"/>
          </a:solidFill>
          <a:ln>
            <a:noFill/>
          </a:ln>
          <a:effectLst/>
        </c:spPr>
      </c:pivotFmt>
      <c:pivotFmt>
        <c:idx val="5"/>
        <c:spPr>
          <a:solidFill>
            <a:schemeClr val="accent2"/>
          </a:solidFill>
          <a:ln w="25400">
            <a:solidFill>
              <a:schemeClr val="bg1"/>
            </a:solidFill>
          </a:ln>
          <a:effectLst/>
        </c:spPr>
      </c:pivotFmt>
      <c:pivotFmt>
        <c:idx val="6"/>
        <c:spPr>
          <a:solidFill>
            <a:schemeClr val="accent3">
              <a:lumMod val="75000"/>
            </a:schemeClr>
          </a:solidFill>
          <a:ln>
            <a:noFill/>
          </a:ln>
          <a:effectLst/>
        </c:spPr>
      </c:pivotFmt>
      <c:pivotFmt>
        <c:idx val="7"/>
        <c:spPr>
          <a:solidFill>
            <a:schemeClr val="accent4"/>
          </a:solidFill>
          <a:ln w="25400">
            <a:solidFill>
              <a:schemeClr val="bg1"/>
            </a:solidFill>
          </a:ln>
          <a:effectLst/>
        </c:spPr>
      </c:pivotFmt>
      <c:pivotFmt>
        <c:idx val="8"/>
        <c:spPr>
          <a:solidFill>
            <a:srgbClr val="FF0000"/>
          </a:solidFill>
          <a:ln w="25400">
            <a:solidFill>
              <a:schemeClr val="bg1"/>
            </a:solidFill>
          </a:ln>
          <a:effectLst/>
        </c:spPr>
      </c:pivotFmt>
      <c:pivotFmt>
        <c:idx val="9"/>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w="25400">
            <a:solidFill>
              <a:schemeClr val="bg1"/>
            </a:solidFill>
          </a:ln>
          <a:effectLst/>
        </c:spPr>
      </c:pivotFmt>
      <c:pivotFmt>
        <c:idx val="11"/>
        <c:spPr>
          <a:solidFill>
            <a:schemeClr val="accent1"/>
          </a:solidFill>
          <a:ln w="25400">
            <a:solidFill>
              <a:schemeClr val="bg1"/>
            </a:solidFill>
          </a:ln>
          <a:effectLst/>
        </c:spPr>
      </c:pivotFmt>
      <c:pivotFmt>
        <c:idx val="12"/>
        <c:spPr>
          <a:solidFill>
            <a:schemeClr val="accent1"/>
          </a:solidFill>
          <a:ln w="25400">
            <a:solidFill>
              <a:schemeClr val="bg1"/>
            </a:solidFill>
          </a:ln>
          <a:effectLst/>
        </c:spPr>
      </c:pivotFmt>
      <c:pivotFmt>
        <c:idx val="13"/>
        <c:spPr>
          <a:solidFill>
            <a:schemeClr val="accent1"/>
          </a:solidFill>
          <a:ln w="25400">
            <a:solidFill>
              <a:schemeClr val="bg1"/>
            </a:solidFill>
          </a:ln>
          <a:effectLst/>
        </c:spPr>
      </c:pivotFmt>
      <c:pivotFmt>
        <c:idx val="14"/>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25400">
            <a:solidFill>
              <a:schemeClr val="bg1"/>
            </a:solidFill>
          </a:ln>
          <a:effectLst/>
        </c:spPr>
      </c:pivotFmt>
      <c:pivotFmt>
        <c:idx val="16"/>
        <c:spPr>
          <a:solidFill>
            <a:schemeClr val="tx1">
              <a:lumMod val="65000"/>
              <a:lumOff val="35000"/>
            </a:schemeClr>
          </a:solidFill>
          <a:ln w="25400">
            <a:solidFill>
              <a:schemeClr val="bg1"/>
            </a:solidFill>
          </a:ln>
          <a:effectLst/>
        </c:spPr>
      </c:pivotFmt>
      <c:pivotFmt>
        <c:idx val="17"/>
        <c:spPr>
          <a:solidFill>
            <a:srgbClr val="FFC000"/>
          </a:solidFill>
          <a:ln w="25400">
            <a:solidFill>
              <a:schemeClr val="bg1"/>
            </a:solidFill>
          </a:ln>
          <a:effectLst/>
        </c:spPr>
      </c:pivotFmt>
      <c:pivotFmt>
        <c:idx val="18"/>
        <c:spPr>
          <a:solidFill>
            <a:schemeClr val="accent1"/>
          </a:solidFill>
          <a:ln w="25400">
            <a:solidFill>
              <a:schemeClr val="bg1"/>
            </a:solidFill>
          </a:ln>
          <a:effectLst/>
        </c:spPr>
      </c:pivotFmt>
      <c:pivotFmt>
        <c:idx val="19"/>
        <c:spPr>
          <a:solidFill>
            <a:srgbClr val="00B050"/>
          </a:solidFill>
          <a:ln w="25400">
            <a:solidFill>
              <a:schemeClr val="bg1"/>
            </a:solidFill>
          </a:ln>
          <a:effectLst/>
        </c:spPr>
      </c:pivotFmt>
    </c:pivotFmts>
    <c:plotArea>
      <c:layout/>
      <c:barChart>
        <c:barDir val="col"/>
        <c:grouping val="clustered"/>
        <c:varyColors val="0"/>
        <c:ser>
          <c:idx val="0"/>
          <c:order val="0"/>
          <c:tx>
            <c:strRef>
              <c:f>PAINEL!$G$5</c:f>
              <c:strCache>
                <c:ptCount val="1"/>
                <c:pt idx="0">
                  <c:v>Total</c:v>
                </c:pt>
              </c:strCache>
            </c:strRef>
          </c:tx>
          <c:spPr>
            <a:solidFill>
              <a:schemeClr val="accent1"/>
            </a:solidFill>
            <a:ln w="25400">
              <a:solidFill>
                <a:schemeClr val="bg1"/>
              </a:solidFill>
            </a:ln>
            <a:effectLst/>
          </c:spPr>
          <c:invertIfNegative val="0"/>
          <c:dPt>
            <c:idx val="0"/>
            <c:invertIfNegative val="0"/>
            <c:bubble3D val="0"/>
            <c:spPr>
              <a:solidFill>
                <a:srgbClr val="00B050"/>
              </a:solidFill>
              <a:ln w="25400">
                <a:solidFill>
                  <a:schemeClr val="bg1"/>
                </a:solidFill>
              </a:ln>
              <a:effectLst/>
            </c:spPr>
            <c:extLst>
              <c:ext xmlns:c16="http://schemas.microsoft.com/office/drawing/2014/chart" uri="{C3380CC4-5D6E-409C-BE32-E72D297353CC}">
                <c16:uniqueId val="{00000001-CBAF-4BB5-9C2D-B0BD7E85F4D6}"/>
              </c:ext>
            </c:extLst>
          </c:dPt>
          <c:dPt>
            <c:idx val="1"/>
            <c:invertIfNegative val="0"/>
            <c:bubble3D val="0"/>
            <c:spPr>
              <a:solidFill>
                <a:schemeClr val="accent2"/>
              </a:solidFill>
              <a:ln w="25400">
                <a:solidFill>
                  <a:schemeClr val="bg1"/>
                </a:solidFill>
              </a:ln>
              <a:effectLst/>
            </c:spPr>
            <c:extLst>
              <c:ext xmlns:c16="http://schemas.microsoft.com/office/drawing/2014/chart" uri="{C3380CC4-5D6E-409C-BE32-E72D297353CC}">
                <c16:uniqueId val="{00000003-CBAF-4BB5-9C2D-B0BD7E85F4D6}"/>
              </c:ext>
            </c:extLst>
          </c:dPt>
          <c:dPt>
            <c:idx val="2"/>
            <c:invertIfNegative val="0"/>
            <c:bubble3D val="0"/>
            <c:spPr>
              <a:solidFill>
                <a:schemeClr val="tx1">
                  <a:lumMod val="65000"/>
                  <a:lumOff val="35000"/>
                </a:schemeClr>
              </a:solidFill>
              <a:ln w="25400">
                <a:solidFill>
                  <a:schemeClr val="bg1"/>
                </a:solidFill>
              </a:ln>
              <a:effectLst/>
            </c:spPr>
            <c:extLst>
              <c:ext xmlns:c16="http://schemas.microsoft.com/office/drawing/2014/chart" uri="{C3380CC4-5D6E-409C-BE32-E72D297353CC}">
                <c16:uniqueId val="{00000005-CBAF-4BB5-9C2D-B0BD7E85F4D6}"/>
              </c:ext>
            </c:extLst>
          </c:dPt>
          <c:dPt>
            <c:idx val="3"/>
            <c:invertIfNegative val="0"/>
            <c:bubble3D val="0"/>
            <c:spPr>
              <a:solidFill>
                <a:srgbClr val="FFC000"/>
              </a:solidFill>
              <a:ln w="25400">
                <a:solidFill>
                  <a:schemeClr val="bg1"/>
                </a:solidFill>
              </a:ln>
              <a:effectLst/>
            </c:spPr>
            <c:extLst>
              <c:ext xmlns:c16="http://schemas.microsoft.com/office/drawing/2014/chart" uri="{C3380CC4-5D6E-409C-BE32-E72D297353CC}">
                <c16:uniqueId val="{00000007-CBAF-4BB5-9C2D-B0BD7E85F4D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PAINEL!$F$6:$F$11</c:f>
              <c:strCache>
                <c:ptCount val="5"/>
                <c:pt idx="0">
                  <c:v>CANCELADA</c:v>
                </c:pt>
                <c:pt idx="1">
                  <c:v>CONCLUÍDA</c:v>
                </c:pt>
                <c:pt idx="2">
                  <c:v>EM ANDAMENTO</c:v>
                </c:pt>
                <c:pt idx="3">
                  <c:v>EM PLANEJAMENTO</c:v>
                </c:pt>
                <c:pt idx="4">
                  <c:v>ON HOLD</c:v>
                </c:pt>
              </c:strCache>
            </c:strRef>
          </c:cat>
          <c:val>
            <c:numRef>
              <c:f>PAINEL!$G$6:$G$11</c:f>
              <c:numCache>
                <c:formatCode>General</c:formatCode>
                <c:ptCount val="5"/>
                <c:pt idx="0">
                  <c:v>2</c:v>
                </c:pt>
                <c:pt idx="1">
                  <c:v>14</c:v>
                </c:pt>
                <c:pt idx="2">
                  <c:v>17</c:v>
                </c:pt>
                <c:pt idx="3">
                  <c:v>1</c:v>
                </c:pt>
                <c:pt idx="4">
                  <c:v>3</c:v>
                </c:pt>
              </c:numCache>
            </c:numRef>
          </c:val>
          <c:extLst>
            <c:ext xmlns:c16="http://schemas.microsoft.com/office/drawing/2014/chart" uri="{C3380CC4-5D6E-409C-BE32-E72D297353CC}">
              <c16:uniqueId val="{0000000C-CBAF-4BB5-9C2D-B0BD7E85F4D6}"/>
            </c:ext>
          </c:extLst>
        </c:ser>
        <c:dLbls>
          <c:showLegendKey val="0"/>
          <c:showVal val="0"/>
          <c:showCatName val="0"/>
          <c:showSerName val="0"/>
          <c:showPercent val="0"/>
          <c:showBubbleSize val="0"/>
        </c:dLbls>
        <c:gapWidth val="100"/>
        <c:axId val="1071597055"/>
        <c:axId val="1071591647"/>
      </c:barChart>
      <c:catAx>
        <c:axId val="1071597055"/>
        <c:scaling>
          <c:orientation val="minMax"/>
        </c:scaling>
        <c:delete val="1"/>
        <c:axPos val="b"/>
        <c:numFmt formatCode="General" sourceLinked="1"/>
        <c:majorTickMark val="out"/>
        <c:minorTickMark val="none"/>
        <c:tickLblPos val="nextTo"/>
        <c:crossAx val="1071591647"/>
        <c:crosses val="autoZero"/>
        <c:auto val="1"/>
        <c:lblAlgn val="ctr"/>
        <c:lblOffset val="100"/>
        <c:noMultiLvlLbl val="0"/>
      </c:catAx>
      <c:valAx>
        <c:axId val="1071591647"/>
        <c:scaling>
          <c:orientation val="minMax"/>
        </c:scaling>
        <c:delete val="1"/>
        <c:axPos val="l"/>
        <c:majorGridlines>
          <c:spPr>
            <a:ln w="9525" cap="flat" cmpd="sng" algn="ctr">
              <a:solidFill>
                <a:schemeClr val="bg1"/>
              </a:solidFill>
              <a:round/>
            </a:ln>
            <a:effectLst/>
          </c:spPr>
        </c:majorGridlines>
        <c:numFmt formatCode="General" sourceLinked="1"/>
        <c:majorTickMark val="out"/>
        <c:minorTickMark val="none"/>
        <c:tickLblPos val="nextTo"/>
        <c:crossAx val="1071597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[CONTROLE INTEGRADO DE DEMANDAS (ES-MG).xlsx]PAINEL!Tabela dinâmica2</c:name>
    <c:fmtId val="5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STATUS DA</a:t>
            </a:r>
            <a:r>
              <a:rPr lang="en-US" b="1" baseline="0">
                <a:solidFill>
                  <a:sysClr val="windowText" lastClr="000000"/>
                </a:solidFill>
              </a:rPr>
              <a:t> DEMANDA (UTGC) </a:t>
            </a:r>
          </a:p>
          <a:p>
            <a:pPr>
              <a:defRPr b="1">
                <a:solidFill>
                  <a:sysClr val="windowText" lastClr="000000"/>
                </a:solidFill>
              </a:defRPr>
            </a:pP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pt-BR"/>
        </a:p>
      </c:txPr>
    </c:title>
    <c:autoTitleDeleted val="0"/>
    <c:pivotFmts>
      <c:pivotFmt>
        <c:idx val="0"/>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25400">
            <a:solidFill>
              <a:schemeClr val="bg1"/>
            </a:solidFill>
          </a:ln>
          <a:effectLst/>
        </c:spPr>
      </c:pivotFmt>
      <c:pivotFmt>
        <c:idx val="2"/>
        <c:spPr>
          <a:solidFill>
            <a:srgbClr val="00B050"/>
          </a:solidFill>
          <a:ln>
            <a:noFill/>
          </a:ln>
          <a:effectLst/>
        </c:spPr>
      </c:pivotFmt>
      <c:pivotFmt>
        <c:idx val="3"/>
        <c:spPr>
          <a:solidFill>
            <a:srgbClr val="FFC000"/>
          </a:solidFill>
          <a:ln>
            <a:noFill/>
          </a:ln>
          <a:effectLst/>
        </c:spPr>
      </c:pivotFmt>
      <c:pivotFmt>
        <c:idx val="4"/>
        <c:spPr>
          <a:solidFill>
            <a:schemeClr val="accent2"/>
          </a:solidFill>
          <a:ln>
            <a:noFill/>
          </a:ln>
          <a:effectLst/>
        </c:spPr>
      </c:pivotFmt>
      <c:pivotFmt>
        <c:idx val="5"/>
        <c:spPr>
          <a:solidFill>
            <a:schemeClr val="accent2"/>
          </a:solidFill>
          <a:ln w="25400">
            <a:solidFill>
              <a:schemeClr val="bg1"/>
            </a:solidFill>
          </a:ln>
          <a:effectLst/>
        </c:spPr>
      </c:pivotFmt>
      <c:pivotFmt>
        <c:idx val="6"/>
        <c:spPr>
          <a:solidFill>
            <a:schemeClr val="accent3">
              <a:lumMod val="75000"/>
            </a:schemeClr>
          </a:solidFill>
          <a:ln>
            <a:noFill/>
          </a:ln>
          <a:effectLst/>
        </c:spPr>
      </c:pivotFmt>
      <c:pivotFmt>
        <c:idx val="7"/>
        <c:spPr>
          <a:solidFill>
            <a:schemeClr val="accent4"/>
          </a:solidFill>
          <a:ln w="25400">
            <a:solidFill>
              <a:schemeClr val="bg1"/>
            </a:solidFill>
          </a:ln>
          <a:effectLst/>
        </c:spPr>
      </c:pivotFmt>
      <c:pivotFmt>
        <c:idx val="8"/>
        <c:spPr>
          <a:solidFill>
            <a:srgbClr val="FF0000"/>
          </a:solidFill>
          <a:ln w="25400">
            <a:solidFill>
              <a:schemeClr val="bg1"/>
            </a:solidFill>
          </a:ln>
          <a:effectLst/>
        </c:spPr>
      </c:pivotFmt>
      <c:pivotFmt>
        <c:idx val="9"/>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w="25400">
            <a:solidFill>
              <a:schemeClr val="bg1"/>
            </a:solidFill>
          </a:ln>
          <a:effectLst/>
        </c:spPr>
      </c:pivotFmt>
      <c:pivotFmt>
        <c:idx val="11"/>
        <c:spPr>
          <a:solidFill>
            <a:schemeClr val="accent1"/>
          </a:solidFill>
          <a:ln w="25400">
            <a:solidFill>
              <a:schemeClr val="bg1"/>
            </a:solidFill>
          </a:ln>
          <a:effectLst/>
        </c:spPr>
      </c:pivotFmt>
      <c:pivotFmt>
        <c:idx val="12"/>
        <c:spPr>
          <a:solidFill>
            <a:schemeClr val="accent1"/>
          </a:solidFill>
          <a:ln w="25400">
            <a:solidFill>
              <a:schemeClr val="bg1"/>
            </a:solidFill>
          </a:ln>
          <a:effectLst/>
        </c:spPr>
      </c:pivotFmt>
      <c:pivotFmt>
        <c:idx val="13"/>
        <c:spPr>
          <a:solidFill>
            <a:schemeClr val="accent1"/>
          </a:solidFill>
          <a:ln w="25400">
            <a:solidFill>
              <a:schemeClr val="bg1"/>
            </a:solidFill>
          </a:ln>
          <a:effectLst/>
        </c:spPr>
      </c:pivotFmt>
      <c:pivotFmt>
        <c:idx val="14"/>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B050"/>
          </a:solidFill>
          <a:ln w="25400">
            <a:solidFill>
              <a:schemeClr val="bg1"/>
            </a:solidFill>
          </a:ln>
          <a:effectLst/>
        </c:spPr>
      </c:pivotFmt>
      <c:pivotFmt>
        <c:idx val="16"/>
        <c:spPr>
          <a:solidFill>
            <a:schemeClr val="accent2"/>
          </a:solidFill>
          <a:ln w="25400">
            <a:solidFill>
              <a:schemeClr val="bg1"/>
            </a:solidFill>
          </a:ln>
          <a:effectLst/>
        </c:spPr>
      </c:pivotFmt>
      <c:pivotFmt>
        <c:idx val="17"/>
        <c:spPr>
          <a:solidFill>
            <a:schemeClr val="tx1">
              <a:lumMod val="65000"/>
              <a:lumOff val="35000"/>
            </a:schemeClr>
          </a:solidFill>
          <a:ln w="25400">
            <a:solidFill>
              <a:schemeClr val="bg1"/>
            </a:solidFill>
          </a:ln>
          <a:effectLst/>
        </c:spPr>
      </c:pivotFmt>
      <c:pivotFmt>
        <c:idx val="18"/>
        <c:spPr>
          <a:solidFill>
            <a:srgbClr val="FFC000"/>
          </a:solidFill>
          <a:ln w="25400">
            <a:solidFill>
              <a:schemeClr val="bg1"/>
            </a:solidFill>
          </a:ln>
          <a:effectLst/>
        </c:spPr>
      </c:pivotFmt>
      <c:pivotFmt>
        <c:idx val="19"/>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B050"/>
          </a:solidFill>
          <a:ln w="25400">
            <a:solidFill>
              <a:schemeClr val="bg1"/>
            </a:solidFill>
          </a:ln>
          <a:effectLst/>
        </c:spPr>
      </c:pivotFmt>
      <c:pivotFmt>
        <c:idx val="21"/>
        <c:spPr>
          <a:solidFill>
            <a:schemeClr val="accent2"/>
          </a:solidFill>
          <a:ln w="25400">
            <a:solidFill>
              <a:schemeClr val="bg1"/>
            </a:solidFill>
          </a:ln>
          <a:effectLst/>
        </c:spPr>
      </c:pivotFmt>
      <c:pivotFmt>
        <c:idx val="22"/>
        <c:spPr>
          <a:solidFill>
            <a:schemeClr val="tx1">
              <a:lumMod val="65000"/>
              <a:lumOff val="35000"/>
            </a:schemeClr>
          </a:solidFill>
          <a:ln w="25400">
            <a:solidFill>
              <a:schemeClr val="bg1"/>
            </a:solidFill>
          </a:ln>
          <a:effectLst/>
        </c:spPr>
      </c:pivotFmt>
      <c:pivotFmt>
        <c:idx val="23"/>
        <c:spPr>
          <a:solidFill>
            <a:srgbClr val="FFC000"/>
          </a:solidFill>
          <a:ln w="25400">
            <a:solidFill>
              <a:schemeClr val="bg1"/>
            </a:solidFill>
          </a:ln>
          <a:effectLst/>
        </c:spPr>
      </c:pivotFmt>
      <c:pivotFmt>
        <c:idx val="24"/>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w="25400">
            <a:solidFill>
              <a:schemeClr val="bg1"/>
            </a:solidFill>
          </a:ln>
          <a:effectLst/>
        </c:spPr>
      </c:pivotFmt>
      <c:pivotFmt>
        <c:idx val="26"/>
        <c:spPr>
          <a:solidFill>
            <a:schemeClr val="tx1">
              <a:lumMod val="65000"/>
              <a:lumOff val="35000"/>
            </a:schemeClr>
          </a:solidFill>
          <a:ln w="25400">
            <a:solidFill>
              <a:schemeClr val="bg1"/>
            </a:solidFill>
          </a:ln>
          <a:effectLst/>
        </c:spPr>
      </c:pivotFmt>
      <c:pivotFmt>
        <c:idx val="27"/>
        <c:spPr>
          <a:solidFill>
            <a:srgbClr val="FFC000"/>
          </a:solidFill>
          <a:ln w="25400">
            <a:solidFill>
              <a:schemeClr val="bg1"/>
            </a:solidFill>
          </a:ln>
          <a:effectLst/>
        </c:spPr>
      </c:pivotFmt>
      <c:pivotFmt>
        <c:idx val="28"/>
        <c:spPr>
          <a:solidFill>
            <a:schemeClr val="accent1"/>
          </a:solidFill>
          <a:ln w="25400">
            <a:solidFill>
              <a:schemeClr val="bg1"/>
            </a:solidFill>
          </a:ln>
          <a:effectLst/>
        </c:spPr>
      </c:pivotFmt>
      <c:pivotFmt>
        <c:idx val="29"/>
        <c:spPr>
          <a:solidFill>
            <a:srgbClr val="00B050"/>
          </a:solidFill>
          <a:ln w="25400">
            <a:solidFill>
              <a:schemeClr val="bg1"/>
            </a:solidFill>
          </a:ln>
          <a:effectLst/>
        </c:spPr>
      </c:pivotFmt>
    </c:pivotFmts>
    <c:plotArea>
      <c:layout/>
      <c:barChart>
        <c:barDir val="col"/>
        <c:grouping val="clustered"/>
        <c:varyColors val="0"/>
        <c:ser>
          <c:idx val="0"/>
          <c:order val="0"/>
          <c:tx>
            <c:strRef>
              <c:f>PAINEL!$G$5</c:f>
              <c:strCache>
                <c:ptCount val="1"/>
                <c:pt idx="0">
                  <c:v>Total</c:v>
                </c:pt>
              </c:strCache>
            </c:strRef>
          </c:tx>
          <c:spPr>
            <a:solidFill>
              <a:schemeClr val="accent1"/>
            </a:solidFill>
            <a:ln w="25400">
              <a:solidFill>
                <a:schemeClr val="bg1"/>
              </a:solidFill>
            </a:ln>
            <a:effectLst/>
          </c:spPr>
          <c:invertIfNegative val="0"/>
          <c:dPt>
            <c:idx val="0"/>
            <c:invertIfNegative val="0"/>
            <c:bubble3D val="0"/>
            <c:spPr>
              <a:solidFill>
                <a:srgbClr val="00B050"/>
              </a:solidFill>
              <a:ln w="25400">
                <a:solidFill>
                  <a:schemeClr val="bg1"/>
                </a:solidFill>
              </a:ln>
              <a:effectLst/>
            </c:spPr>
            <c:extLst>
              <c:ext xmlns:c16="http://schemas.microsoft.com/office/drawing/2014/chart" uri="{C3380CC4-5D6E-409C-BE32-E72D297353CC}">
                <c16:uniqueId val="{00000001-34D0-4371-9603-AF0F47DDEAD1}"/>
              </c:ext>
            </c:extLst>
          </c:dPt>
          <c:dPt>
            <c:idx val="1"/>
            <c:invertIfNegative val="0"/>
            <c:bubble3D val="0"/>
            <c:spPr>
              <a:solidFill>
                <a:schemeClr val="accent2"/>
              </a:solidFill>
              <a:ln w="25400">
                <a:solidFill>
                  <a:schemeClr val="bg1"/>
                </a:solidFill>
              </a:ln>
              <a:effectLst/>
            </c:spPr>
            <c:extLst>
              <c:ext xmlns:c16="http://schemas.microsoft.com/office/drawing/2014/chart" uri="{C3380CC4-5D6E-409C-BE32-E72D297353CC}">
                <c16:uniqueId val="{00000003-34D0-4371-9603-AF0F47DDEAD1}"/>
              </c:ext>
            </c:extLst>
          </c:dPt>
          <c:dPt>
            <c:idx val="2"/>
            <c:invertIfNegative val="0"/>
            <c:bubble3D val="0"/>
            <c:spPr>
              <a:solidFill>
                <a:schemeClr val="tx1">
                  <a:lumMod val="65000"/>
                  <a:lumOff val="35000"/>
                </a:schemeClr>
              </a:solidFill>
              <a:ln w="25400">
                <a:solidFill>
                  <a:schemeClr val="bg1"/>
                </a:solidFill>
              </a:ln>
              <a:effectLst/>
            </c:spPr>
            <c:extLst>
              <c:ext xmlns:c16="http://schemas.microsoft.com/office/drawing/2014/chart" uri="{C3380CC4-5D6E-409C-BE32-E72D297353CC}">
                <c16:uniqueId val="{00000005-34D0-4371-9603-AF0F47DDEAD1}"/>
              </c:ext>
            </c:extLst>
          </c:dPt>
          <c:dPt>
            <c:idx val="3"/>
            <c:invertIfNegative val="0"/>
            <c:bubble3D val="0"/>
            <c:spPr>
              <a:solidFill>
                <a:srgbClr val="FFC000"/>
              </a:solidFill>
              <a:ln w="25400">
                <a:solidFill>
                  <a:schemeClr val="bg1"/>
                </a:solidFill>
              </a:ln>
              <a:effectLst/>
            </c:spPr>
            <c:extLst>
              <c:ext xmlns:c16="http://schemas.microsoft.com/office/drawing/2014/chart" uri="{C3380CC4-5D6E-409C-BE32-E72D297353CC}">
                <c16:uniqueId val="{00000007-34D0-4371-9603-AF0F47DDEAD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PAINEL!$F$6:$F$11</c:f>
              <c:strCache>
                <c:ptCount val="5"/>
                <c:pt idx="0">
                  <c:v>CANCELADA</c:v>
                </c:pt>
                <c:pt idx="1">
                  <c:v>CONCLUÍDA</c:v>
                </c:pt>
                <c:pt idx="2">
                  <c:v>EM ANDAMENTO</c:v>
                </c:pt>
                <c:pt idx="3">
                  <c:v>EM PLANEJAMENTO</c:v>
                </c:pt>
                <c:pt idx="4">
                  <c:v>ON HOLD</c:v>
                </c:pt>
              </c:strCache>
            </c:strRef>
          </c:cat>
          <c:val>
            <c:numRef>
              <c:f>PAINEL!$G$6:$G$11</c:f>
              <c:numCache>
                <c:formatCode>General</c:formatCode>
                <c:ptCount val="5"/>
                <c:pt idx="0">
                  <c:v>2</c:v>
                </c:pt>
                <c:pt idx="1">
                  <c:v>14</c:v>
                </c:pt>
                <c:pt idx="2">
                  <c:v>17</c:v>
                </c:pt>
                <c:pt idx="3">
                  <c:v>1</c:v>
                </c:pt>
                <c:pt idx="4">
                  <c:v>3</c:v>
                </c:pt>
              </c:numCache>
            </c:numRef>
          </c:val>
          <c:extLst>
            <c:ext xmlns:c16="http://schemas.microsoft.com/office/drawing/2014/chart" uri="{C3380CC4-5D6E-409C-BE32-E72D297353CC}">
              <c16:uniqueId val="{00000008-34D0-4371-9603-AF0F47DDEAD1}"/>
            </c:ext>
          </c:extLst>
        </c:ser>
        <c:dLbls>
          <c:showLegendKey val="0"/>
          <c:showVal val="0"/>
          <c:showCatName val="0"/>
          <c:showSerName val="0"/>
          <c:showPercent val="0"/>
          <c:showBubbleSize val="0"/>
        </c:dLbls>
        <c:gapWidth val="100"/>
        <c:axId val="1071597055"/>
        <c:axId val="1071591647"/>
      </c:barChart>
      <c:catAx>
        <c:axId val="1071597055"/>
        <c:scaling>
          <c:orientation val="minMax"/>
        </c:scaling>
        <c:delete val="1"/>
        <c:axPos val="b"/>
        <c:numFmt formatCode="General" sourceLinked="1"/>
        <c:majorTickMark val="out"/>
        <c:minorTickMark val="none"/>
        <c:tickLblPos val="nextTo"/>
        <c:crossAx val="1071591647"/>
        <c:crosses val="autoZero"/>
        <c:auto val="1"/>
        <c:lblAlgn val="ctr"/>
        <c:lblOffset val="100"/>
        <c:noMultiLvlLbl val="0"/>
      </c:catAx>
      <c:valAx>
        <c:axId val="1071591647"/>
        <c:scaling>
          <c:orientation val="minMax"/>
        </c:scaling>
        <c:delete val="1"/>
        <c:axPos val="l"/>
        <c:majorGridlines>
          <c:spPr>
            <a:ln w="9525" cap="flat" cmpd="sng" algn="ctr">
              <a:solidFill>
                <a:schemeClr val="bg1"/>
              </a:solidFill>
              <a:round/>
            </a:ln>
            <a:effectLst/>
          </c:spPr>
        </c:majorGridlines>
        <c:numFmt formatCode="General" sourceLinked="1"/>
        <c:majorTickMark val="out"/>
        <c:minorTickMark val="none"/>
        <c:tickLblPos val="nextTo"/>
        <c:crossAx val="1071597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1649755</xdr:colOff>
      <xdr:row>31</xdr:row>
      <xdr:rowOff>116418</xdr:rowOff>
    </xdr:from>
    <xdr:to>
      <xdr:col>9</xdr:col>
      <xdr:colOff>1872006</xdr:colOff>
      <xdr:row>50</xdr:row>
      <xdr:rowOff>158752</xdr:rowOff>
    </xdr:to>
    <xdr:sp macro="" textlink="">
      <xdr:nvSpPr>
        <xdr:cNvPr id="6" name="Retângulo 5">
          <a:extLst>
            <a:ext uri="{FF2B5EF4-FFF2-40B4-BE49-F238E27FC236}">
              <a16:creationId xmlns:a16="http://schemas.microsoft.com/office/drawing/2014/main" id="{0CBDF755-02CB-493B-B3EA-C73FE3BCF486}"/>
            </a:ext>
          </a:extLst>
        </xdr:cNvPr>
        <xdr:cNvSpPr/>
      </xdr:nvSpPr>
      <xdr:spPr>
        <a:xfrm>
          <a:off x="7275108" y="4397065"/>
          <a:ext cx="7225927" cy="366183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13307</xdr:colOff>
      <xdr:row>0</xdr:row>
      <xdr:rowOff>0</xdr:rowOff>
    </xdr:from>
    <xdr:to>
      <xdr:col>9</xdr:col>
      <xdr:colOff>1851513</xdr:colOff>
      <xdr:row>1</xdr:row>
      <xdr:rowOff>603882</xdr:rowOff>
    </xdr:to>
    <mc:AlternateContent xmlns:mc="http://schemas.openxmlformats.org/markup-compatibility/2006" xmlns:a14="http://schemas.microsoft.com/office/drawing/2010/main">
      <mc:Choice Requires="a14">
        <xdr:graphicFrame macro="">
          <xdr:nvGraphicFramePr>
            <xdr:cNvPr id="11" name="TOMADOR 1">
              <a:extLst>
                <a:ext uri="{FF2B5EF4-FFF2-40B4-BE49-F238E27FC236}">
                  <a16:creationId xmlns:a16="http://schemas.microsoft.com/office/drawing/2014/main" id="{2FCB60C3-85F9-987F-4995-FABB091AD5E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OMADOR 1"/>
            </a:graphicData>
          </a:graphic>
        </xdr:graphicFrame>
      </mc:Choice>
      <mc:Fallback xmlns="">
        <xdr:sp macro="" textlink="">
          <xdr:nvSpPr>
            <xdr:cNvPr id="0" name=""/>
            <xdr:cNvSpPr>
              <a:spLocks noTextEdit="1"/>
            </xdr:cNvSpPr>
          </xdr:nvSpPr>
          <xdr:spPr>
            <a:xfrm>
              <a:off x="80542" y="0"/>
              <a:ext cx="14400000" cy="82800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xdr:from>
      <xdr:col>9</xdr:col>
      <xdr:colOff>1837765</xdr:colOff>
      <xdr:row>0</xdr:row>
      <xdr:rowOff>3361</xdr:rowOff>
    </xdr:from>
    <xdr:to>
      <xdr:col>13</xdr:col>
      <xdr:colOff>599735</xdr:colOff>
      <xdr:row>1</xdr:row>
      <xdr:rowOff>600043</xdr:rowOff>
    </xdr:to>
    <mc:AlternateContent xmlns:mc="http://schemas.openxmlformats.org/markup-compatibility/2006" xmlns:a14="http://schemas.microsoft.com/office/drawing/2010/main">
      <mc:Choice Requires="a14">
        <xdr:graphicFrame macro="">
          <xdr:nvGraphicFramePr>
            <xdr:cNvPr id="4" name="TIPO 3">
              <a:extLst>
                <a:ext uri="{FF2B5EF4-FFF2-40B4-BE49-F238E27FC236}">
                  <a16:creationId xmlns:a16="http://schemas.microsoft.com/office/drawing/2014/main" id="{AF792857-11BD-4D0E-80D8-B91CDEC5693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IPO 3"/>
            </a:graphicData>
          </a:graphic>
        </xdr:graphicFrame>
      </mc:Choice>
      <mc:Fallback xmlns="">
        <xdr:sp macro="" textlink="">
          <xdr:nvSpPr>
            <xdr:cNvPr id="0" name=""/>
            <xdr:cNvSpPr>
              <a:spLocks noTextEdit="1"/>
            </xdr:cNvSpPr>
          </xdr:nvSpPr>
          <xdr:spPr>
            <a:xfrm>
              <a:off x="14466794" y="3361"/>
              <a:ext cx="2650412" cy="82080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xdr:from>
      <xdr:col>1</xdr:col>
      <xdr:colOff>19225</xdr:colOff>
      <xdr:row>13</xdr:row>
      <xdr:rowOff>16923</xdr:rowOff>
    </xdr:from>
    <xdr:to>
      <xdr:col>14</xdr:col>
      <xdr:colOff>1200050</xdr:colOff>
      <xdr:row>50</xdr:row>
      <xdr:rowOff>163932</xdr:rowOff>
    </xdr:to>
    <xdr:grpSp>
      <xdr:nvGrpSpPr>
        <xdr:cNvPr id="13" name="Agrupar 12">
          <a:extLst>
            <a:ext uri="{FF2B5EF4-FFF2-40B4-BE49-F238E27FC236}">
              <a16:creationId xmlns:a16="http://schemas.microsoft.com/office/drawing/2014/main" id="{4AE9C98A-F9AF-4E60-A830-395D5D023922}"/>
            </a:ext>
          </a:extLst>
        </xdr:cNvPr>
        <xdr:cNvGrpSpPr/>
      </xdr:nvGrpSpPr>
      <xdr:grpSpPr>
        <a:xfrm>
          <a:off x="90943" y="868570"/>
          <a:ext cx="18742683" cy="6780891"/>
          <a:chOff x="97043" y="2964070"/>
          <a:chExt cx="18239914" cy="7195509"/>
        </a:xfrm>
      </xdr:grpSpPr>
      <xdr:grpSp>
        <xdr:nvGrpSpPr>
          <xdr:cNvPr id="9" name="Agrupar 8">
            <a:extLst>
              <a:ext uri="{FF2B5EF4-FFF2-40B4-BE49-F238E27FC236}">
                <a16:creationId xmlns:a16="http://schemas.microsoft.com/office/drawing/2014/main" id="{D2EE8838-C80C-6292-AE39-F6EB22490C58}"/>
              </a:ext>
            </a:extLst>
          </xdr:cNvPr>
          <xdr:cNvGrpSpPr/>
        </xdr:nvGrpSpPr>
        <xdr:grpSpPr>
          <a:xfrm>
            <a:off x="97043" y="2964070"/>
            <a:ext cx="18239914" cy="7195509"/>
            <a:chOff x="67235" y="885265"/>
            <a:chExt cx="18262774" cy="7201231"/>
          </a:xfrm>
        </xdr:grpSpPr>
        <xdr:graphicFrame macro="">
          <xdr:nvGraphicFramePr>
            <xdr:cNvPr id="7" name="Gráfico 6">
              <a:extLst>
                <a:ext uri="{FF2B5EF4-FFF2-40B4-BE49-F238E27FC236}">
                  <a16:creationId xmlns:a16="http://schemas.microsoft.com/office/drawing/2014/main" id="{BBD1E7F1-41BD-7634-E387-20615ED36062}"/>
                </a:ext>
              </a:extLst>
            </xdr:cNvPr>
            <xdr:cNvGraphicFramePr/>
          </xdr:nvGraphicFramePr>
          <xdr:xfrm>
            <a:off x="14466440" y="885265"/>
            <a:ext cx="3863569" cy="719280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 name="Gráfico 1">
              <a:extLst>
                <a:ext uri="{FF2B5EF4-FFF2-40B4-BE49-F238E27FC236}">
                  <a16:creationId xmlns:a16="http://schemas.microsoft.com/office/drawing/2014/main" id="{CAD5CDA0-F62D-B333-07F3-34A272D74C70}"/>
                </a:ext>
              </a:extLst>
            </xdr:cNvPr>
            <xdr:cNvGraphicFramePr/>
          </xdr:nvGraphicFramePr>
          <xdr:xfrm>
            <a:off x="67235" y="895856"/>
            <a:ext cx="7201463" cy="360000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 name="Gráfico 2">
              <a:extLst>
                <a:ext uri="{FF2B5EF4-FFF2-40B4-BE49-F238E27FC236}">
                  <a16:creationId xmlns:a16="http://schemas.microsoft.com/office/drawing/2014/main" id="{EF9BC029-1E62-826F-93B2-C5EAFAD2C87A}"/>
                </a:ext>
              </a:extLst>
            </xdr:cNvPr>
            <xdr:cNvGraphicFramePr/>
          </xdr:nvGraphicFramePr>
          <xdr:xfrm>
            <a:off x="7267632" y="895856"/>
            <a:ext cx="7200000" cy="360000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Gráfico 4">
              <a:extLst>
                <a:ext uri="{FF2B5EF4-FFF2-40B4-BE49-F238E27FC236}">
                  <a16:creationId xmlns:a16="http://schemas.microsoft.com/office/drawing/2014/main" id="{23478F1B-FEEE-818C-5419-5B8DC216DC56}"/>
                </a:ext>
              </a:extLst>
            </xdr:cNvPr>
            <xdr:cNvGraphicFramePr/>
          </xdr:nvGraphicFramePr>
          <xdr:xfrm>
            <a:off x="67235" y="4486496"/>
            <a:ext cx="7200000" cy="3600000"/>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O$2">
        <xdr:nvSpPr>
          <xdr:cNvPr id="12" name="CaixaDeTexto 11">
            <a:extLst>
              <a:ext uri="{FF2B5EF4-FFF2-40B4-BE49-F238E27FC236}">
                <a16:creationId xmlns:a16="http://schemas.microsoft.com/office/drawing/2014/main" id="{850D07A7-0F93-464C-8BB8-91EDDCB48572}"/>
              </a:ext>
            </a:extLst>
          </xdr:cNvPr>
          <xdr:cNvSpPr txBox="1"/>
        </xdr:nvSpPr>
        <xdr:spPr>
          <a:xfrm>
            <a:off x="11093824" y="4682190"/>
            <a:ext cx="952500" cy="537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D6F360-30CD-4A3D-8DF3-10EFDA2B90C0}" type="TxLink">
              <a:rPr lang="en-US" sz="3600" b="1" i="0" u="none" strike="noStrike">
                <a:solidFill>
                  <a:sysClr val="windowText" lastClr="000000"/>
                </a:solidFill>
                <a:latin typeface="Calibri"/>
                <a:ea typeface="Calibri"/>
                <a:cs typeface="Calibri"/>
              </a:rPr>
              <a:pPr algn="ctr"/>
              <a:t>#REF!</a:t>
            </a:fld>
            <a:endParaRPr lang="pt-BR" sz="2800">
              <a:solidFill>
                <a:sysClr val="windowText" lastClr="000000"/>
              </a:solidFill>
            </a:endParaRPr>
          </a:p>
        </xdr:txBody>
      </xdr:sp>
    </xdr:grpSp>
    <xdr:clientData/>
  </xdr:twoCellAnchor>
  <xdr:twoCellAnchor>
    <xdr:from>
      <xdr:col>6</xdr:col>
      <xdr:colOff>557799</xdr:colOff>
      <xdr:row>31</xdr:row>
      <xdr:rowOff>190498</xdr:rowOff>
    </xdr:from>
    <xdr:to>
      <xdr:col>8</xdr:col>
      <xdr:colOff>328081</xdr:colOff>
      <xdr:row>50</xdr:row>
      <xdr:rowOff>156881</xdr:rowOff>
    </xdr:to>
    <xdr:graphicFrame macro="">
      <xdr:nvGraphicFramePr>
        <xdr:cNvPr id="14" name="Gráfico 13">
          <a:extLst>
            <a:ext uri="{FF2B5EF4-FFF2-40B4-BE49-F238E27FC236}">
              <a16:creationId xmlns:a16="http://schemas.microsoft.com/office/drawing/2014/main" id="{7912F845-4F41-49EB-855D-1862D4DA7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740831</xdr:colOff>
      <xdr:row>32</xdr:row>
      <xdr:rowOff>0</xdr:rowOff>
    </xdr:from>
    <xdr:to>
      <xdr:col>9</xdr:col>
      <xdr:colOff>976781</xdr:colOff>
      <xdr:row>50</xdr:row>
      <xdr:rowOff>156883</xdr:rowOff>
    </xdr:to>
    <xdr:graphicFrame macro="">
      <xdr:nvGraphicFramePr>
        <xdr:cNvPr id="18" name="Gráfico 17">
          <a:extLst>
            <a:ext uri="{FF2B5EF4-FFF2-40B4-BE49-F238E27FC236}">
              <a16:creationId xmlns:a16="http://schemas.microsoft.com/office/drawing/2014/main" id="{A6950343-FA4D-4DF7-A5A1-48FC01CD0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307465</xdr:colOff>
      <xdr:row>0</xdr:row>
      <xdr:rowOff>522</xdr:rowOff>
    </xdr:from>
    <xdr:to>
      <xdr:col>2</xdr:col>
      <xdr:colOff>1891465</xdr:colOff>
      <xdr:row>1</xdr:row>
      <xdr:rowOff>587903</xdr:rowOff>
    </xdr:to>
    <mc:AlternateContent xmlns:mc="http://schemas.openxmlformats.org/markup-compatibility/2006" xmlns:sle15="http://schemas.microsoft.com/office/drawing/2012/slicer">
      <mc:Choice Requires="sle15">
        <xdr:graphicFrame macro="">
          <xdr:nvGraphicFramePr>
            <xdr:cNvPr id="2" name="TOMADOR 2">
              <a:extLst>
                <a:ext uri="{FF2B5EF4-FFF2-40B4-BE49-F238E27FC236}">
                  <a16:creationId xmlns:a16="http://schemas.microsoft.com/office/drawing/2014/main" id="{619327C0-46C5-62D7-14EB-5E1681A4A93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OMADOR 2"/>
            </a:graphicData>
          </a:graphic>
        </xdr:graphicFrame>
      </mc:Choice>
      <mc:Fallback xmlns="">
        <xdr:sp macro="" textlink="">
          <xdr:nvSpPr>
            <xdr:cNvPr id="0" name=""/>
            <xdr:cNvSpPr>
              <a:spLocks noTextEdit="1"/>
            </xdr:cNvSpPr>
          </xdr:nvSpPr>
          <xdr:spPr>
            <a:xfrm>
              <a:off x="1152809" y="522"/>
              <a:ext cx="1584000" cy="8136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fLocksWithSheet="0"/>
  </xdr:twoCellAnchor>
  <xdr:twoCellAnchor>
    <xdr:from>
      <xdr:col>2</xdr:col>
      <xdr:colOff>1869286</xdr:colOff>
      <xdr:row>0</xdr:row>
      <xdr:rowOff>1</xdr:rowOff>
    </xdr:from>
    <xdr:to>
      <xdr:col>3</xdr:col>
      <xdr:colOff>5724</xdr:colOff>
      <xdr:row>1</xdr:row>
      <xdr:rowOff>595168</xdr:rowOff>
    </xdr:to>
    <mc:AlternateContent xmlns:mc="http://schemas.openxmlformats.org/markup-compatibility/2006" xmlns:sle15="http://schemas.microsoft.com/office/drawing/2012/slicer">
      <mc:Choice Requires="sle15">
        <xdr:graphicFrame macro="">
          <xdr:nvGraphicFramePr>
            <xdr:cNvPr id="5" name="STATUS DEMANDA">
              <a:extLst>
                <a:ext uri="{FF2B5EF4-FFF2-40B4-BE49-F238E27FC236}">
                  <a16:creationId xmlns:a16="http://schemas.microsoft.com/office/drawing/2014/main" id="{BA33BDCD-9E58-20AA-EB3B-6326460CBA0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DEMANDA"/>
            </a:graphicData>
          </a:graphic>
        </xdr:graphicFrame>
      </mc:Choice>
      <mc:Fallback xmlns="">
        <xdr:sp macro="" textlink="">
          <xdr:nvSpPr>
            <xdr:cNvPr id="0" name=""/>
            <xdr:cNvSpPr>
              <a:spLocks noTextEdit="1"/>
            </xdr:cNvSpPr>
          </xdr:nvSpPr>
          <xdr:spPr>
            <a:xfrm>
              <a:off x="2714630" y="1"/>
              <a:ext cx="3774276" cy="821386"/>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fLocksWithSheet="0"/>
  </xdr:twoCellAnchor>
  <xdr:twoCellAnchor editAs="absolute">
    <xdr:from>
      <xdr:col>15</xdr:col>
      <xdr:colOff>506601</xdr:colOff>
      <xdr:row>0</xdr:row>
      <xdr:rowOff>0</xdr:rowOff>
    </xdr:from>
    <xdr:to>
      <xdr:col>19</xdr:col>
      <xdr:colOff>781664</xdr:colOff>
      <xdr:row>1</xdr:row>
      <xdr:rowOff>595167</xdr:rowOff>
    </xdr:to>
    <mc:AlternateContent xmlns:mc="http://schemas.openxmlformats.org/markup-compatibility/2006" xmlns:sle15="http://schemas.microsoft.com/office/drawing/2012/slicer">
      <mc:Choice Requires="sle15">
        <xdr:graphicFrame macro="">
          <xdr:nvGraphicFramePr>
            <xdr:cNvPr id="6" name="RESSALVAS?">
              <a:extLst>
                <a:ext uri="{FF2B5EF4-FFF2-40B4-BE49-F238E27FC236}">
                  <a16:creationId xmlns:a16="http://schemas.microsoft.com/office/drawing/2014/main" id="{9AAC88E5-605C-E368-3C58-4AC0CC1E069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SSALVAS?"/>
            </a:graphicData>
          </a:graphic>
        </xdr:graphicFrame>
      </mc:Choice>
      <mc:Fallback xmlns="">
        <xdr:sp macro="" textlink="">
          <xdr:nvSpPr>
            <xdr:cNvPr id="0" name=""/>
            <xdr:cNvSpPr>
              <a:spLocks noTextEdit="1"/>
            </xdr:cNvSpPr>
          </xdr:nvSpPr>
          <xdr:spPr>
            <a:xfrm>
              <a:off x="14484539" y="0"/>
              <a:ext cx="3204000" cy="821386"/>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fLocksWithSheet="0"/>
  </xdr:twoCellAnchor>
  <xdr:twoCellAnchor editAs="absolute">
    <xdr:from>
      <xdr:col>10</xdr:col>
      <xdr:colOff>117635</xdr:colOff>
      <xdr:row>0</xdr:row>
      <xdr:rowOff>0</xdr:rowOff>
    </xdr:from>
    <xdr:to>
      <xdr:col>15</xdr:col>
      <xdr:colOff>523666</xdr:colOff>
      <xdr:row>1</xdr:row>
      <xdr:rowOff>595167</xdr:rowOff>
    </xdr:to>
    <mc:AlternateContent xmlns:mc="http://schemas.openxmlformats.org/markup-compatibility/2006" xmlns:sle15="http://schemas.microsoft.com/office/drawing/2012/slicer">
      <mc:Choice Requires="sle15">
        <xdr:graphicFrame macro="">
          <xdr:nvGraphicFramePr>
            <xdr:cNvPr id="3" name="STATUS PRIMÁRIO">
              <a:extLst>
                <a:ext uri="{FF2B5EF4-FFF2-40B4-BE49-F238E27FC236}">
                  <a16:creationId xmlns:a16="http://schemas.microsoft.com/office/drawing/2014/main" id="{1DE82C56-9793-0B85-2974-243E5D662ED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PRIMÁRIO"/>
            </a:graphicData>
          </a:graphic>
        </xdr:graphicFrame>
      </mc:Choice>
      <mc:Fallback xmlns="">
        <xdr:sp macro="" textlink="">
          <xdr:nvSpPr>
            <xdr:cNvPr id="0" name=""/>
            <xdr:cNvSpPr>
              <a:spLocks noTextEdit="1"/>
            </xdr:cNvSpPr>
          </xdr:nvSpPr>
          <xdr:spPr>
            <a:xfrm>
              <a:off x="11297604" y="0"/>
              <a:ext cx="3204000" cy="821386"/>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fLocksWithSheet="0"/>
  </xdr:twoCellAnchor>
  <xdr:twoCellAnchor editAs="absolute">
    <xdr:from>
      <xdr:col>6</xdr:col>
      <xdr:colOff>11905</xdr:colOff>
      <xdr:row>0</xdr:row>
      <xdr:rowOff>0</xdr:rowOff>
    </xdr:from>
    <xdr:to>
      <xdr:col>10</xdr:col>
      <xdr:colOff>129374</xdr:colOff>
      <xdr:row>1</xdr:row>
      <xdr:rowOff>595167</xdr:rowOff>
    </xdr:to>
    <mc:AlternateContent xmlns:mc="http://schemas.openxmlformats.org/markup-compatibility/2006" xmlns:sle15="http://schemas.microsoft.com/office/drawing/2012/slicer">
      <mc:Choice Requires="sle15">
        <xdr:graphicFrame macro="">
          <xdr:nvGraphicFramePr>
            <xdr:cNvPr id="4" name="STATUS. ENVIO">
              <a:extLst>
                <a:ext uri="{FF2B5EF4-FFF2-40B4-BE49-F238E27FC236}">
                  <a16:creationId xmlns:a16="http://schemas.microsoft.com/office/drawing/2014/main" id="{8F47CB33-761A-F0A1-CB01-94B074004CA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ENVIO"/>
            </a:graphicData>
          </a:graphic>
        </xdr:graphicFrame>
      </mc:Choice>
      <mc:Fallback xmlns="">
        <xdr:sp macro="" textlink="">
          <xdr:nvSpPr>
            <xdr:cNvPr id="0" name=""/>
            <xdr:cNvSpPr>
              <a:spLocks noTextEdit="1"/>
            </xdr:cNvSpPr>
          </xdr:nvSpPr>
          <xdr:spPr>
            <a:xfrm>
              <a:off x="8465343" y="0"/>
              <a:ext cx="2844000" cy="821386"/>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fLocksWithSheet="0"/>
  </xdr:twoCellAnchor>
  <xdr:twoCellAnchor editAs="absolute">
    <xdr:from>
      <xdr:col>5</xdr:col>
      <xdr:colOff>824</xdr:colOff>
      <xdr:row>0</xdr:row>
      <xdr:rowOff>6350</xdr:rowOff>
    </xdr:from>
    <xdr:to>
      <xdr:col>6</xdr:col>
      <xdr:colOff>10667</xdr:colOff>
      <xdr:row>1</xdr:row>
      <xdr:rowOff>593731</xdr:rowOff>
    </xdr:to>
    <mc:AlternateContent xmlns:mc="http://schemas.openxmlformats.org/markup-compatibility/2006" xmlns:sle15="http://schemas.microsoft.com/office/drawing/2012/slicer">
      <mc:Choice Requires="sle15">
        <xdr:graphicFrame macro="">
          <xdr:nvGraphicFramePr>
            <xdr:cNvPr id="7" name="TIPO">
              <a:extLst>
                <a:ext uri="{FF2B5EF4-FFF2-40B4-BE49-F238E27FC236}">
                  <a16:creationId xmlns:a16="http://schemas.microsoft.com/office/drawing/2014/main" id="{BEF5DDA8-C4A5-4501-84A1-D569BFF694E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IPO"/>
            </a:graphicData>
          </a:graphic>
        </xdr:graphicFrame>
      </mc:Choice>
      <mc:Fallback xmlns="">
        <xdr:sp macro="" textlink="">
          <xdr:nvSpPr>
            <xdr:cNvPr id="0" name=""/>
            <xdr:cNvSpPr>
              <a:spLocks noTextEdit="1"/>
            </xdr:cNvSpPr>
          </xdr:nvSpPr>
          <xdr:spPr>
            <a:xfrm>
              <a:off x="7204105" y="6350"/>
              <a:ext cx="1260000" cy="8136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xdr:from>
      <xdr:col>1</xdr:col>
      <xdr:colOff>42332</xdr:colOff>
      <xdr:row>0</xdr:row>
      <xdr:rowOff>179916</xdr:rowOff>
    </xdr:from>
    <xdr:to>
      <xdr:col>2</xdr:col>
      <xdr:colOff>240988</xdr:colOff>
      <xdr:row>1</xdr:row>
      <xdr:rowOff>420235</xdr:rowOff>
    </xdr:to>
    <xdr:grpSp>
      <xdr:nvGrpSpPr>
        <xdr:cNvPr id="21" name="Agrupar 20">
          <a:extLst>
            <a:ext uri="{FF2B5EF4-FFF2-40B4-BE49-F238E27FC236}">
              <a16:creationId xmlns:a16="http://schemas.microsoft.com/office/drawing/2014/main" id="{D2D0FEDD-31C7-418A-B83C-5EB22064BFD1}"/>
            </a:ext>
          </a:extLst>
        </xdr:cNvPr>
        <xdr:cNvGrpSpPr>
          <a:grpSpLocks noChangeAspect="1"/>
        </xdr:cNvGrpSpPr>
      </xdr:nvGrpSpPr>
      <xdr:grpSpPr>
        <a:xfrm>
          <a:off x="42332" y="179916"/>
          <a:ext cx="1070723" cy="468919"/>
          <a:chOff x="3977640" y="3208020"/>
          <a:chExt cx="4221480" cy="1905220"/>
        </a:xfrm>
      </xdr:grpSpPr>
      <xdr:pic>
        <xdr:nvPicPr>
          <xdr:cNvPr id="22" name="Imagem 21">
            <a:extLst>
              <a:ext uri="{FF2B5EF4-FFF2-40B4-BE49-F238E27FC236}">
                <a16:creationId xmlns:a16="http://schemas.microsoft.com/office/drawing/2014/main" id="{EB1F689D-DD8B-4E0F-946B-9E7789DE815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99" t="10779" r="19945" b="61439"/>
          <a:stretch/>
        </xdr:blipFill>
        <xdr:spPr>
          <a:xfrm>
            <a:off x="3977640" y="3208020"/>
            <a:ext cx="4221480" cy="1905220"/>
          </a:xfrm>
          <a:prstGeom prst="rect">
            <a:avLst/>
          </a:prstGeom>
        </xdr:spPr>
      </xdr:pic>
      <xdr:pic>
        <xdr:nvPicPr>
          <xdr:cNvPr id="23" name="Imagem 22">
            <a:extLst>
              <a:ext uri="{FF2B5EF4-FFF2-40B4-BE49-F238E27FC236}">
                <a16:creationId xmlns:a16="http://schemas.microsoft.com/office/drawing/2014/main" id="{9FB2EAC7-9D17-48B4-84A9-C0B0774F1079}"/>
              </a:ext>
            </a:extLst>
          </xdr:cNvPr>
          <xdr:cNvPicPr>
            <a:picLocks noChangeAspect="1"/>
          </xdr:cNvPicPr>
        </xdr:nvPicPr>
        <xdr:blipFill>
          <a:blip xmlns:r="http://schemas.openxmlformats.org/officeDocument/2006/relationships" r:embed="rId2"/>
          <a:stretch>
            <a:fillRect/>
          </a:stretch>
        </xdr:blipFill>
        <xdr:spPr>
          <a:xfrm>
            <a:off x="4054380" y="4703402"/>
            <a:ext cx="4068000" cy="409838"/>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331531</xdr:colOff>
      <xdr:row>0</xdr:row>
      <xdr:rowOff>0</xdr:rowOff>
    </xdr:from>
    <xdr:to>
      <xdr:col>2</xdr:col>
      <xdr:colOff>2131531</xdr:colOff>
      <xdr:row>2</xdr:row>
      <xdr:rowOff>267083</xdr:rowOff>
    </xdr:to>
    <mc:AlternateContent xmlns:mc="http://schemas.openxmlformats.org/markup-compatibility/2006" xmlns:sle15="http://schemas.microsoft.com/office/drawing/2012/slicer">
      <mc:Choice Requires="sle15">
        <xdr:graphicFrame macro="">
          <xdr:nvGraphicFramePr>
            <xdr:cNvPr id="2" name="TOMADOR 3">
              <a:extLst>
                <a:ext uri="{FF2B5EF4-FFF2-40B4-BE49-F238E27FC236}">
                  <a16:creationId xmlns:a16="http://schemas.microsoft.com/office/drawing/2014/main" id="{06173E11-65B8-4114-B346-00AA2B827F7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OMADOR 3"/>
            </a:graphicData>
          </a:graphic>
        </xdr:graphicFrame>
      </mc:Choice>
      <mc:Fallback xmlns="">
        <xdr:sp macro="" textlink="">
          <xdr:nvSpPr>
            <xdr:cNvPr id="0" name=""/>
            <xdr:cNvSpPr>
              <a:spLocks noTextEdit="1"/>
            </xdr:cNvSpPr>
          </xdr:nvSpPr>
          <xdr:spPr>
            <a:xfrm>
              <a:off x="1176875" y="0"/>
              <a:ext cx="1800000" cy="826677"/>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fLocksWithSheet="0"/>
  </xdr:twoCellAnchor>
  <xdr:twoCellAnchor editAs="absolute">
    <xdr:from>
      <xdr:col>2</xdr:col>
      <xdr:colOff>2124080</xdr:colOff>
      <xdr:row>0</xdr:row>
      <xdr:rowOff>0</xdr:rowOff>
    </xdr:from>
    <xdr:to>
      <xdr:col>4</xdr:col>
      <xdr:colOff>11049</xdr:colOff>
      <xdr:row>2</xdr:row>
      <xdr:rowOff>267083</xdr:rowOff>
    </xdr:to>
    <mc:AlternateContent xmlns:mc="http://schemas.openxmlformats.org/markup-compatibility/2006" xmlns:sle15="http://schemas.microsoft.com/office/drawing/2012/slicer">
      <mc:Choice Requires="sle15">
        <xdr:graphicFrame macro="">
          <xdr:nvGraphicFramePr>
            <xdr:cNvPr id="3" name="STATUS DEMANDA 1">
              <a:extLst>
                <a:ext uri="{FF2B5EF4-FFF2-40B4-BE49-F238E27FC236}">
                  <a16:creationId xmlns:a16="http://schemas.microsoft.com/office/drawing/2014/main" id="{EBE6A16D-D39D-4C62-BD0D-97D924E406C5}"/>
                </a:ext>
                <a:ext uri="{147F2762-F138-4A5C-976F-8EAC2B608ADB}">
                  <a16:predDERef xmlns:a16="http://schemas.microsoft.com/office/drawing/2014/main" pred="{06173E11-65B8-4114-B346-00AA2B827F7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DEMANDA 1"/>
            </a:graphicData>
          </a:graphic>
        </xdr:graphicFrame>
      </mc:Choice>
      <mc:Fallback xmlns="">
        <xdr:sp macro="" textlink="">
          <xdr:nvSpPr>
            <xdr:cNvPr id="0" name=""/>
            <xdr:cNvSpPr>
              <a:spLocks noTextEdit="1"/>
            </xdr:cNvSpPr>
          </xdr:nvSpPr>
          <xdr:spPr>
            <a:xfrm>
              <a:off x="2969424" y="0"/>
              <a:ext cx="3852000" cy="826677"/>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fLocksWithSheet="0"/>
  </xdr:twoCellAnchor>
  <xdr:twoCellAnchor editAs="absolute">
    <xdr:from>
      <xdr:col>6</xdr:col>
      <xdr:colOff>2126</xdr:colOff>
      <xdr:row>0</xdr:row>
      <xdr:rowOff>0</xdr:rowOff>
    </xdr:from>
    <xdr:to>
      <xdr:col>11</xdr:col>
      <xdr:colOff>351438</xdr:colOff>
      <xdr:row>2</xdr:row>
      <xdr:rowOff>267083</xdr:rowOff>
    </xdr:to>
    <mc:AlternateContent xmlns:mc="http://schemas.openxmlformats.org/markup-compatibility/2006" xmlns:sle15="http://schemas.microsoft.com/office/drawing/2012/slicer">
      <mc:Choice Requires="sle15">
        <xdr:graphicFrame macro="">
          <xdr:nvGraphicFramePr>
            <xdr:cNvPr id="4" name="RESSALVAS? 1">
              <a:extLst>
                <a:ext uri="{FF2B5EF4-FFF2-40B4-BE49-F238E27FC236}">
                  <a16:creationId xmlns:a16="http://schemas.microsoft.com/office/drawing/2014/main" id="{CEBFF835-65E6-4B51-A8E8-4AA4E9C217E7}"/>
                </a:ext>
                <a:ext uri="{147F2762-F138-4A5C-976F-8EAC2B608ADB}">
                  <a16:predDERef xmlns:a16="http://schemas.microsoft.com/office/drawing/2014/main" pred="{EBE6A16D-D39D-4C62-BD0D-97D924E406C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SSALVAS? 1"/>
            </a:graphicData>
          </a:graphic>
        </xdr:graphicFrame>
      </mc:Choice>
      <mc:Fallback xmlns="">
        <xdr:sp macro="" textlink="">
          <xdr:nvSpPr>
            <xdr:cNvPr id="0" name=""/>
            <xdr:cNvSpPr>
              <a:spLocks noTextEdit="1"/>
            </xdr:cNvSpPr>
          </xdr:nvSpPr>
          <xdr:spPr>
            <a:xfrm>
              <a:off x="8777032" y="0"/>
              <a:ext cx="3564000" cy="826677"/>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fLocksWithSheet="0"/>
  </xdr:twoCellAnchor>
  <xdr:twoCellAnchor editAs="absolute">
    <xdr:from>
      <xdr:col>11</xdr:col>
      <xdr:colOff>311687</xdr:colOff>
      <xdr:row>0</xdr:row>
      <xdr:rowOff>0</xdr:rowOff>
    </xdr:from>
    <xdr:to>
      <xdr:col>17</xdr:col>
      <xdr:colOff>18062</xdr:colOff>
      <xdr:row>2</xdr:row>
      <xdr:rowOff>267083</xdr:rowOff>
    </xdr:to>
    <mc:AlternateContent xmlns:mc="http://schemas.openxmlformats.org/markup-compatibility/2006" xmlns:sle15="http://schemas.microsoft.com/office/drawing/2012/slicer">
      <mc:Choice Requires="sle15">
        <xdr:graphicFrame macro="">
          <xdr:nvGraphicFramePr>
            <xdr:cNvPr id="6" name="STATUS (EC)">
              <a:extLst>
                <a:ext uri="{FF2B5EF4-FFF2-40B4-BE49-F238E27FC236}">
                  <a16:creationId xmlns:a16="http://schemas.microsoft.com/office/drawing/2014/main" id="{88D267DB-C024-8E25-237D-122972F6A31E}"/>
                </a:ext>
                <a:ext uri="{147F2762-F138-4A5C-976F-8EAC2B608ADB}">
                  <a16:predDERef xmlns:a16="http://schemas.microsoft.com/office/drawing/2014/main" pred="{CEBFF835-65E6-4B51-A8E8-4AA4E9C217E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EC)"/>
            </a:graphicData>
          </a:graphic>
        </xdr:graphicFrame>
      </mc:Choice>
      <mc:Fallback xmlns="">
        <xdr:sp macro="" textlink="">
          <xdr:nvSpPr>
            <xdr:cNvPr id="0" name=""/>
            <xdr:cNvSpPr>
              <a:spLocks noTextEdit="1"/>
            </xdr:cNvSpPr>
          </xdr:nvSpPr>
          <xdr:spPr>
            <a:xfrm>
              <a:off x="12301281" y="0"/>
              <a:ext cx="3564000" cy="826677"/>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fLocksWithSheet="0"/>
  </xdr:twoCellAnchor>
  <xdr:twoCellAnchor editAs="absolute">
    <xdr:from>
      <xdr:col>4</xdr:col>
      <xdr:colOff>703533</xdr:colOff>
      <xdr:row>0</xdr:row>
      <xdr:rowOff>9526</xdr:rowOff>
    </xdr:from>
    <xdr:to>
      <xdr:col>6</xdr:col>
      <xdr:colOff>35002</xdr:colOff>
      <xdr:row>2</xdr:row>
      <xdr:rowOff>273009</xdr:rowOff>
    </xdr:to>
    <mc:AlternateContent xmlns:mc="http://schemas.openxmlformats.org/markup-compatibility/2006" xmlns:sle15="http://schemas.microsoft.com/office/drawing/2012/slicer">
      <mc:Choice Requires="sle15">
        <xdr:graphicFrame macro="">
          <xdr:nvGraphicFramePr>
            <xdr:cNvPr id="5" name="TIPO 1">
              <a:extLst>
                <a:ext uri="{FF2B5EF4-FFF2-40B4-BE49-F238E27FC236}">
                  <a16:creationId xmlns:a16="http://schemas.microsoft.com/office/drawing/2014/main" id="{54C20AFC-9BA7-4694-AABD-7070BFE7894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IPO 1"/>
            </a:graphicData>
          </a:graphic>
        </xdr:graphicFrame>
      </mc:Choice>
      <mc:Fallback xmlns="">
        <xdr:sp macro="" textlink="">
          <xdr:nvSpPr>
            <xdr:cNvPr id="0" name=""/>
            <xdr:cNvSpPr>
              <a:spLocks noTextEdit="1"/>
            </xdr:cNvSpPr>
          </xdr:nvSpPr>
          <xdr:spPr>
            <a:xfrm>
              <a:off x="7513908" y="9526"/>
              <a:ext cx="1296000" cy="823077"/>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xdr:from>
      <xdr:col>1</xdr:col>
      <xdr:colOff>47625</xdr:colOff>
      <xdr:row>0</xdr:row>
      <xdr:rowOff>166688</xdr:rowOff>
    </xdr:from>
    <xdr:to>
      <xdr:col>2</xdr:col>
      <xdr:colOff>246281</xdr:colOff>
      <xdr:row>2</xdr:row>
      <xdr:rowOff>73632</xdr:rowOff>
    </xdr:to>
    <xdr:grpSp>
      <xdr:nvGrpSpPr>
        <xdr:cNvPr id="12" name="Agrupar 11">
          <a:extLst>
            <a:ext uri="{FF2B5EF4-FFF2-40B4-BE49-F238E27FC236}">
              <a16:creationId xmlns:a16="http://schemas.microsoft.com/office/drawing/2014/main" id="{8E1FB5CB-CDCB-4F32-9B67-1E8A37C00B49}"/>
            </a:ext>
          </a:extLst>
        </xdr:cNvPr>
        <xdr:cNvGrpSpPr>
          <a:grpSpLocks noChangeAspect="1"/>
        </xdr:cNvGrpSpPr>
      </xdr:nvGrpSpPr>
      <xdr:grpSpPr>
        <a:xfrm>
          <a:off x="47625" y="166688"/>
          <a:ext cx="1065431" cy="478444"/>
          <a:chOff x="3977640" y="3208020"/>
          <a:chExt cx="4221480" cy="1905220"/>
        </a:xfrm>
      </xdr:grpSpPr>
      <xdr:pic>
        <xdr:nvPicPr>
          <xdr:cNvPr id="13" name="Imagem 12">
            <a:extLst>
              <a:ext uri="{FF2B5EF4-FFF2-40B4-BE49-F238E27FC236}">
                <a16:creationId xmlns:a16="http://schemas.microsoft.com/office/drawing/2014/main" id="{80406227-C198-4CF4-82A8-EEF9EFD8B8C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99" t="10779" r="19945" b="61439"/>
          <a:stretch/>
        </xdr:blipFill>
        <xdr:spPr>
          <a:xfrm>
            <a:off x="3977640" y="3208020"/>
            <a:ext cx="4221480" cy="1905220"/>
          </a:xfrm>
          <a:prstGeom prst="rect">
            <a:avLst/>
          </a:prstGeom>
        </xdr:spPr>
      </xdr:pic>
      <xdr:pic>
        <xdr:nvPicPr>
          <xdr:cNvPr id="14" name="Imagem 13">
            <a:extLst>
              <a:ext uri="{FF2B5EF4-FFF2-40B4-BE49-F238E27FC236}">
                <a16:creationId xmlns:a16="http://schemas.microsoft.com/office/drawing/2014/main" id="{344F1399-964B-4F42-9CAB-71614EECA207}"/>
              </a:ext>
            </a:extLst>
          </xdr:cNvPr>
          <xdr:cNvPicPr>
            <a:picLocks noChangeAspect="1"/>
          </xdr:cNvPicPr>
        </xdr:nvPicPr>
        <xdr:blipFill>
          <a:blip xmlns:r="http://schemas.openxmlformats.org/officeDocument/2006/relationships" r:embed="rId2"/>
          <a:stretch>
            <a:fillRect/>
          </a:stretch>
        </xdr:blipFill>
        <xdr:spPr>
          <a:xfrm>
            <a:off x="4054380" y="4703402"/>
            <a:ext cx="4068000" cy="409838"/>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2</xdr:col>
      <xdr:colOff>276567</xdr:colOff>
      <xdr:row>0</xdr:row>
      <xdr:rowOff>3856</xdr:rowOff>
    </xdr:from>
    <xdr:to>
      <xdr:col>2</xdr:col>
      <xdr:colOff>2076567</xdr:colOff>
      <xdr:row>2</xdr:row>
      <xdr:rowOff>270939</xdr:rowOff>
    </xdr:to>
    <mc:AlternateContent xmlns:mc="http://schemas.openxmlformats.org/markup-compatibility/2006" xmlns:sle15="http://schemas.microsoft.com/office/drawing/2012/slicer">
      <mc:Choice Requires="sle15">
        <xdr:graphicFrame macro="">
          <xdr:nvGraphicFramePr>
            <xdr:cNvPr id="2" name="TOMADOR 6">
              <a:extLst>
                <a:ext uri="{FF2B5EF4-FFF2-40B4-BE49-F238E27FC236}">
                  <a16:creationId xmlns:a16="http://schemas.microsoft.com/office/drawing/2014/main" id="{C502AFB3-5D54-45C4-BA10-97C281B627D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OMADOR 6"/>
            </a:graphicData>
          </a:graphic>
        </xdr:graphicFrame>
      </mc:Choice>
      <mc:Fallback xmlns="">
        <xdr:sp macro="" textlink="">
          <xdr:nvSpPr>
            <xdr:cNvPr id="0" name=""/>
            <xdr:cNvSpPr>
              <a:spLocks noTextEdit="1"/>
            </xdr:cNvSpPr>
          </xdr:nvSpPr>
          <xdr:spPr>
            <a:xfrm>
              <a:off x="1121911" y="3856"/>
              <a:ext cx="1800000" cy="826677"/>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fLocksWithSheet="0"/>
  </xdr:twoCellAnchor>
  <xdr:twoCellAnchor editAs="absolute">
    <xdr:from>
      <xdr:col>2</xdr:col>
      <xdr:colOff>2066928</xdr:colOff>
      <xdr:row>0</xdr:row>
      <xdr:rowOff>0</xdr:rowOff>
    </xdr:from>
    <xdr:to>
      <xdr:col>3</xdr:col>
      <xdr:colOff>702469</xdr:colOff>
      <xdr:row>2</xdr:row>
      <xdr:rowOff>267083</xdr:rowOff>
    </xdr:to>
    <mc:AlternateContent xmlns:mc="http://schemas.openxmlformats.org/markup-compatibility/2006" xmlns:sle15="http://schemas.microsoft.com/office/drawing/2012/slicer">
      <mc:Choice Requires="sle15">
        <xdr:graphicFrame macro="">
          <xdr:nvGraphicFramePr>
            <xdr:cNvPr id="3" name="STATUS DEMANDA 3">
              <a:extLst>
                <a:ext uri="{FF2B5EF4-FFF2-40B4-BE49-F238E27FC236}">
                  <a16:creationId xmlns:a16="http://schemas.microsoft.com/office/drawing/2014/main" id="{50853F7A-0DA8-4FE4-9B5F-997AAB47278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DEMANDA 3"/>
            </a:graphicData>
          </a:graphic>
        </xdr:graphicFrame>
      </mc:Choice>
      <mc:Fallback xmlns="">
        <xdr:sp macro="" textlink="">
          <xdr:nvSpPr>
            <xdr:cNvPr id="0" name=""/>
            <xdr:cNvSpPr>
              <a:spLocks noTextEdit="1"/>
            </xdr:cNvSpPr>
          </xdr:nvSpPr>
          <xdr:spPr>
            <a:xfrm>
              <a:off x="2912272" y="0"/>
              <a:ext cx="3886197" cy="826677"/>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fLocksWithSheet="0"/>
  </xdr:twoCellAnchor>
  <xdr:twoCellAnchor editAs="absolute">
    <xdr:from>
      <xdr:col>6</xdr:col>
      <xdr:colOff>4087</xdr:colOff>
      <xdr:row>0</xdr:row>
      <xdr:rowOff>0</xdr:rowOff>
    </xdr:from>
    <xdr:to>
      <xdr:col>11</xdr:col>
      <xdr:colOff>353399</xdr:colOff>
      <xdr:row>2</xdr:row>
      <xdr:rowOff>267083</xdr:rowOff>
    </xdr:to>
    <mc:AlternateContent xmlns:mc="http://schemas.openxmlformats.org/markup-compatibility/2006" xmlns:sle15="http://schemas.microsoft.com/office/drawing/2012/slicer">
      <mc:Choice Requires="sle15">
        <xdr:graphicFrame macro="">
          <xdr:nvGraphicFramePr>
            <xdr:cNvPr id="4" name="RESSALVAS? 3">
              <a:extLst>
                <a:ext uri="{FF2B5EF4-FFF2-40B4-BE49-F238E27FC236}">
                  <a16:creationId xmlns:a16="http://schemas.microsoft.com/office/drawing/2014/main" id="{2E9ADF72-7964-4D21-A1A9-612078507C3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SSALVAS? 3"/>
            </a:graphicData>
          </a:graphic>
        </xdr:graphicFrame>
      </mc:Choice>
      <mc:Fallback xmlns="">
        <xdr:sp macro="" textlink="">
          <xdr:nvSpPr>
            <xdr:cNvPr id="0" name=""/>
            <xdr:cNvSpPr>
              <a:spLocks noTextEdit="1"/>
            </xdr:cNvSpPr>
          </xdr:nvSpPr>
          <xdr:spPr>
            <a:xfrm>
              <a:off x="8778993" y="0"/>
              <a:ext cx="3564000" cy="826677"/>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fLocksWithSheet="0"/>
  </xdr:twoCellAnchor>
  <xdr:twoCellAnchor editAs="absolute">
    <xdr:from>
      <xdr:col>11</xdr:col>
      <xdr:colOff>313539</xdr:colOff>
      <xdr:row>0</xdr:row>
      <xdr:rowOff>0</xdr:rowOff>
    </xdr:from>
    <xdr:to>
      <xdr:col>17</xdr:col>
      <xdr:colOff>19914</xdr:colOff>
      <xdr:row>2</xdr:row>
      <xdr:rowOff>267083</xdr:rowOff>
    </xdr:to>
    <mc:AlternateContent xmlns:mc="http://schemas.openxmlformats.org/markup-compatibility/2006" xmlns:sle15="http://schemas.microsoft.com/office/drawing/2012/slicer">
      <mc:Choice Requires="sle15">
        <xdr:graphicFrame macro="">
          <xdr:nvGraphicFramePr>
            <xdr:cNvPr id="6" name="STATUS (EC) 1">
              <a:extLst>
                <a:ext uri="{FF2B5EF4-FFF2-40B4-BE49-F238E27FC236}">
                  <a16:creationId xmlns:a16="http://schemas.microsoft.com/office/drawing/2014/main" id="{DFCB0C33-0E84-4D9D-8132-43614AC127B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EC) 1"/>
            </a:graphicData>
          </a:graphic>
        </xdr:graphicFrame>
      </mc:Choice>
      <mc:Fallback xmlns="">
        <xdr:sp macro="" textlink="">
          <xdr:nvSpPr>
            <xdr:cNvPr id="0" name=""/>
            <xdr:cNvSpPr>
              <a:spLocks noTextEdit="1"/>
            </xdr:cNvSpPr>
          </xdr:nvSpPr>
          <xdr:spPr>
            <a:xfrm>
              <a:off x="12303133" y="0"/>
              <a:ext cx="3564000" cy="826677"/>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fLocksWithSheet="0"/>
  </xdr:twoCellAnchor>
  <xdr:twoCellAnchor editAs="absolute">
    <xdr:from>
      <xdr:col>5</xdr:col>
      <xdr:colOff>1062</xdr:colOff>
      <xdr:row>0</xdr:row>
      <xdr:rowOff>0</xdr:rowOff>
    </xdr:from>
    <xdr:to>
      <xdr:col>6</xdr:col>
      <xdr:colOff>10906</xdr:colOff>
      <xdr:row>2</xdr:row>
      <xdr:rowOff>267083</xdr:rowOff>
    </xdr:to>
    <mc:AlternateContent xmlns:mc="http://schemas.openxmlformats.org/markup-compatibility/2006" xmlns:sle15="http://schemas.microsoft.com/office/drawing/2012/slicer">
      <mc:Choice Requires="sle15">
        <xdr:graphicFrame macro="">
          <xdr:nvGraphicFramePr>
            <xdr:cNvPr id="5" name="TIPO 2">
              <a:extLst>
                <a:ext uri="{FF2B5EF4-FFF2-40B4-BE49-F238E27FC236}">
                  <a16:creationId xmlns:a16="http://schemas.microsoft.com/office/drawing/2014/main" id="{3605943D-9006-458E-A29A-7096F6451EA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IPO 2"/>
            </a:graphicData>
          </a:graphic>
        </xdr:graphicFrame>
      </mc:Choice>
      <mc:Fallback xmlns="">
        <xdr:sp macro="" textlink="">
          <xdr:nvSpPr>
            <xdr:cNvPr id="0" name=""/>
            <xdr:cNvSpPr>
              <a:spLocks noTextEdit="1"/>
            </xdr:cNvSpPr>
          </xdr:nvSpPr>
          <xdr:spPr>
            <a:xfrm>
              <a:off x="7525812" y="0"/>
              <a:ext cx="1260000" cy="826677"/>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xdr:from>
      <xdr:col>1</xdr:col>
      <xdr:colOff>35720</xdr:colOff>
      <xdr:row>0</xdr:row>
      <xdr:rowOff>178593</xdr:rowOff>
    </xdr:from>
    <xdr:to>
      <xdr:col>2</xdr:col>
      <xdr:colOff>234376</xdr:colOff>
      <xdr:row>2</xdr:row>
      <xdr:rowOff>85537</xdr:rowOff>
    </xdr:to>
    <xdr:grpSp>
      <xdr:nvGrpSpPr>
        <xdr:cNvPr id="12" name="Agrupar 11">
          <a:extLst>
            <a:ext uri="{FF2B5EF4-FFF2-40B4-BE49-F238E27FC236}">
              <a16:creationId xmlns:a16="http://schemas.microsoft.com/office/drawing/2014/main" id="{A7CD0A52-01A4-4964-9B00-3F1C1703B047}"/>
            </a:ext>
          </a:extLst>
        </xdr:cNvPr>
        <xdr:cNvGrpSpPr>
          <a:grpSpLocks noChangeAspect="1"/>
        </xdr:cNvGrpSpPr>
      </xdr:nvGrpSpPr>
      <xdr:grpSpPr>
        <a:xfrm>
          <a:off x="35720" y="178593"/>
          <a:ext cx="1065431" cy="478444"/>
          <a:chOff x="3977640" y="3208020"/>
          <a:chExt cx="4221480" cy="1905220"/>
        </a:xfrm>
      </xdr:grpSpPr>
      <xdr:pic>
        <xdr:nvPicPr>
          <xdr:cNvPr id="13" name="Imagem 12">
            <a:extLst>
              <a:ext uri="{FF2B5EF4-FFF2-40B4-BE49-F238E27FC236}">
                <a16:creationId xmlns:a16="http://schemas.microsoft.com/office/drawing/2014/main" id="{BA152D0D-BAC9-405C-ADFA-0847DBF7416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99" t="10779" r="19945" b="61439"/>
          <a:stretch/>
        </xdr:blipFill>
        <xdr:spPr>
          <a:xfrm>
            <a:off x="3977640" y="3208020"/>
            <a:ext cx="4221480" cy="1905220"/>
          </a:xfrm>
          <a:prstGeom prst="rect">
            <a:avLst/>
          </a:prstGeom>
        </xdr:spPr>
      </xdr:pic>
      <xdr:pic>
        <xdr:nvPicPr>
          <xdr:cNvPr id="14" name="Imagem 13">
            <a:extLst>
              <a:ext uri="{FF2B5EF4-FFF2-40B4-BE49-F238E27FC236}">
                <a16:creationId xmlns:a16="http://schemas.microsoft.com/office/drawing/2014/main" id="{5331C41D-B2C2-4380-90CF-2B0B13D56F6E}"/>
              </a:ext>
            </a:extLst>
          </xdr:cNvPr>
          <xdr:cNvPicPr>
            <a:picLocks noChangeAspect="1"/>
          </xdr:cNvPicPr>
        </xdr:nvPicPr>
        <xdr:blipFill>
          <a:blip xmlns:r="http://schemas.openxmlformats.org/officeDocument/2006/relationships" r:embed="rId2"/>
          <a:stretch>
            <a:fillRect/>
          </a:stretch>
        </xdr:blipFill>
        <xdr:spPr>
          <a:xfrm>
            <a:off x="4054380" y="4703402"/>
            <a:ext cx="4068000" cy="409838"/>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882794</xdr:colOff>
      <xdr:row>3</xdr:row>
      <xdr:rowOff>170647</xdr:rowOff>
    </xdr:to>
    <mc:AlternateContent xmlns:mc="http://schemas.openxmlformats.org/markup-compatibility/2006" xmlns:sle15="http://schemas.microsoft.com/office/drawing/2012/slicer">
      <mc:Choice Requires="sle15">
        <xdr:graphicFrame macro="">
          <xdr:nvGraphicFramePr>
            <xdr:cNvPr id="4" name="TOMADOR">
              <a:extLst>
                <a:ext uri="{FF2B5EF4-FFF2-40B4-BE49-F238E27FC236}">
                  <a16:creationId xmlns:a16="http://schemas.microsoft.com/office/drawing/2014/main" id="{56134AF2-E9F2-B00C-DD0F-95C09014A58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OMADOR"/>
            </a:graphicData>
          </a:graphic>
        </xdr:graphicFrame>
      </mc:Choice>
      <mc:Fallback xmlns="">
        <xdr:sp macro="" textlink="">
          <xdr:nvSpPr>
            <xdr:cNvPr id="0" name=""/>
            <xdr:cNvSpPr>
              <a:spLocks noTextEdit="1"/>
            </xdr:cNvSpPr>
          </xdr:nvSpPr>
          <xdr:spPr>
            <a:xfrm>
              <a:off x="0" y="0"/>
              <a:ext cx="1656000" cy="1224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1</xdr:col>
      <xdr:colOff>862853</xdr:colOff>
      <xdr:row>0</xdr:row>
      <xdr:rowOff>0</xdr:rowOff>
    </xdr:from>
    <xdr:to>
      <xdr:col>8</xdr:col>
      <xdr:colOff>1103735</xdr:colOff>
      <xdr:row>0</xdr:row>
      <xdr:rowOff>648000</xdr:rowOff>
    </xdr:to>
    <mc:AlternateContent xmlns:mc="http://schemas.openxmlformats.org/markup-compatibility/2006" xmlns:sle15="http://schemas.microsoft.com/office/drawing/2012/slicer">
      <mc:Choice Requires="sle15">
        <xdr:graphicFrame macro="">
          <xdr:nvGraphicFramePr>
            <xdr:cNvPr id="2" name="STATUS">
              <a:extLst>
                <a:ext uri="{FF2B5EF4-FFF2-40B4-BE49-F238E27FC236}">
                  <a16:creationId xmlns:a16="http://schemas.microsoft.com/office/drawing/2014/main" id="{943036F6-C845-4BDF-828C-475E1D031F9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636059" y="0"/>
              <a:ext cx="7704000" cy="648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371475</xdr:colOff>
      <xdr:row>0</xdr:row>
      <xdr:rowOff>0</xdr:rowOff>
    </xdr:from>
    <xdr:to>
      <xdr:col>5</xdr:col>
      <xdr:colOff>47550</xdr:colOff>
      <xdr:row>0</xdr:row>
      <xdr:rowOff>648000</xdr:rowOff>
    </xdr:to>
    <mc:AlternateContent xmlns:mc="http://schemas.openxmlformats.org/markup-compatibility/2006" xmlns:sle15="http://schemas.microsoft.com/office/drawing/2012/slicer">
      <mc:Choice Requires="sle15">
        <xdr:graphicFrame macro="">
          <xdr:nvGraphicFramePr>
            <xdr:cNvPr id="2" name="TOMADOR 5">
              <a:extLst>
                <a:ext uri="{FF2B5EF4-FFF2-40B4-BE49-F238E27FC236}">
                  <a16:creationId xmlns:a16="http://schemas.microsoft.com/office/drawing/2014/main" id="{5BFDACAB-BEC8-45EC-91C5-5A4C1BBCE5B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TOMADOR 5"/>
            </a:graphicData>
          </a:graphic>
        </xdr:graphicFrame>
      </mc:Choice>
      <mc:Fallback xmlns="">
        <xdr:sp macro="" textlink="">
          <xdr:nvSpPr>
            <xdr:cNvPr id="0" name=""/>
            <xdr:cNvSpPr>
              <a:spLocks noTextEdit="1"/>
            </xdr:cNvSpPr>
          </xdr:nvSpPr>
          <xdr:spPr>
            <a:xfrm>
              <a:off x="1143000" y="0"/>
              <a:ext cx="2371650" cy="648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oneCell">
    <xdr:from>
      <xdr:col>0</xdr:col>
      <xdr:colOff>21166</xdr:colOff>
      <xdr:row>0</xdr:row>
      <xdr:rowOff>0</xdr:rowOff>
    </xdr:from>
    <xdr:to>
      <xdr:col>1</xdr:col>
      <xdr:colOff>365640</xdr:colOff>
      <xdr:row>0</xdr:row>
      <xdr:rowOff>648000</xdr:rowOff>
    </xdr:to>
    <xdr:pic>
      <xdr:nvPicPr>
        <xdr:cNvPr id="3" name="Imagem 2">
          <a:extLst>
            <a:ext uri="{FF2B5EF4-FFF2-40B4-BE49-F238E27FC236}">
              <a16:creationId xmlns:a16="http://schemas.microsoft.com/office/drawing/2014/main" id="{7A32D1D8-0D07-4DEF-B726-00A84879D09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334749" y="0"/>
          <a:ext cx="1117058" cy="648000"/>
        </a:xfrm>
        <a:prstGeom prst="rect">
          <a:avLst/>
        </a:prstGeom>
      </xdr:spPr>
    </xdr:pic>
    <xdr:clientData/>
  </xdr:twoCellAnchor>
  <xdr:twoCellAnchor editAs="oneCell">
    <xdr:from>
      <xdr:col>57</xdr:col>
      <xdr:colOff>0</xdr:colOff>
      <xdr:row>2</xdr:row>
      <xdr:rowOff>0</xdr:rowOff>
    </xdr:from>
    <xdr:to>
      <xdr:col>74</xdr:col>
      <xdr:colOff>20499</xdr:colOff>
      <xdr:row>31</xdr:row>
      <xdr:rowOff>57932</xdr:rowOff>
    </xdr:to>
    <xdr:pic>
      <xdr:nvPicPr>
        <xdr:cNvPr id="4" name="Imagem 3">
          <a:extLst>
            <a:ext uri="{FF2B5EF4-FFF2-40B4-BE49-F238E27FC236}">
              <a16:creationId xmlns:a16="http://schemas.microsoft.com/office/drawing/2014/main" id="{D5C753E6-B6A8-44E9-B331-A08D22BF487B}"/>
            </a:ext>
          </a:extLst>
        </xdr:cNvPr>
        <xdr:cNvPicPr>
          <a:picLocks noChangeAspect="1"/>
        </xdr:cNvPicPr>
      </xdr:nvPicPr>
      <xdr:blipFill>
        <a:blip xmlns:r="http://schemas.openxmlformats.org/officeDocument/2006/relationships" r:embed="rId2"/>
        <a:stretch>
          <a:fillRect/>
        </a:stretch>
      </xdr:blipFill>
      <xdr:spPr>
        <a:xfrm>
          <a:off x="26203275" y="857250"/>
          <a:ext cx="10383699" cy="560148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17</xdr:col>
      <xdr:colOff>28574</xdr:colOff>
      <xdr:row>0</xdr:row>
      <xdr:rowOff>47625</xdr:rowOff>
    </xdr:from>
    <xdr:to>
      <xdr:col>25</xdr:col>
      <xdr:colOff>390525</xdr:colOff>
      <xdr:row>3</xdr:row>
      <xdr:rowOff>95250</xdr:rowOff>
    </xdr:to>
    <xdr:pic>
      <xdr:nvPicPr>
        <xdr:cNvPr id="2" name="Imagem 1">
          <a:extLst>
            <a:ext uri="{FF2B5EF4-FFF2-40B4-BE49-F238E27FC236}">
              <a16:creationId xmlns:a16="http://schemas.microsoft.com/office/drawing/2014/main" id="{96A5F15B-1FAF-4DF8-B11B-73BD75C27BE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95"/>
        <a:stretch/>
      </xdr:blipFill>
      <xdr:spPr bwMode="auto">
        <a:xfrm>
          <a:off x="12925424" y="47625"/>
          <a:ext cx="4810126" cy="61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ário" refreshedDate="46099.462282060187" createdVersion="8" refreshedVersion="7" minRefreshableVersion="3" recordCount="40" xr:uid="{EE3F01A1-14DA-4DE9-913C-3C13C0E54591}">
  <cacheSource type="worksheet">
    <worksheetSource name="TB_INTEGRADA"/>
  </cacheSource>
  <cacheFields count="54">
    <cacheField name="CONT." numFmtId="0">
      <sharedItems containsSemiMixedTypes="0" containsString="0" containsNumber="1" containsInteger="1" minValue="1" maxValue="1"/>
    </cacheField>
    <cacheField name="Nº  SS" numFmtId="0">
      <sharedItems/>
    </cacheField>
    <cacheField name="ID | TÍTULO DA DEMANDA" numFmtId="0">
      <sharedItems/>
    </cacheField>
    <cacheField name="TIPO" numFmtId="0">
      <sharedItems count="2">
        <s v="ADM"/>
        <s v="SERVIÇO"/>
      </sharedItems>
    </cacheField>
    <cacheField name="TOMADOR" numFmtId="0">
      <sharedItems count="19">
        <s v="EDIVIT"/>
        <s v="UTGC"/>
        <s v="REGAP"/>
        <s v="UTGSUL"/>
        <s v="UTE-CAN" u="1"/>
        <s v="UTGCA" u="1"/>
        <s v="GESTÃO" u="1"/>
        <s v="REVAP" u="1"/>
        <s v="UTE-CBT" u="1"/>
        <s v="EDISA" u="1"/>
        <s v="UTE-TLG" u="1"/>
        <s v="RPBC" u="1"/>
        <s v="REPLAN" u="1"/>
        <s v="ICC" u="1"/>
        <s v="TE-GRU" u="1"/>
        <s v="UTE-NPI" u="1"/>
        <s v="RECAP" u="1"/>
        <s v="REPAR" u="1"/>
        <s v="REFAP" u="1"/>
      </sharedItems>
    </cacheField>
    <cacheField name="STATUS DEMANDA" numFmtId="0">
      <sharedItems count="8">
        <s v="EM ANDAMENTO"/>
        <s v="NÃO EMITIDA SAMC"/>
        <s v="CONCLUÍDA"/>
        <s v="ON HOLD"/>
        <s v="CANCELADA"/>
        <s v="EM PLANEJAMENTO"/>
        <s v="EM REVISÃO" u="1"/>
        <s v="AGUARD. PROJ. BR" u="1"/>
      </sharedItems>
    </cacheField>
    <cacheField name="REVISÃO (EC)" numFmtId="0">
      <sharedItems/>
    </cacheField>
    <cacheField name="DATA ENVIO. (EC)" numFmtId="164">
      <sharedItems containsDate="1" containsMixedTypes="1" minDate="1899-12-30T00:00:00" maxDate="2026-03-13T00:00:00"/>
    </cacheField>
    <cacheField name="DATA APROV. (EC)" numFmtId="164">
      <sharedItems containsDate="1" containsMixedTypes="1" minDate="1899-12-30T00:00:00" maxDate="2026-03-13T00:00:00"/>
    </cacheField>
    <cacheField name="PRÓX. ENVIO" numFmtId="164">
      <sharedItems containsDate="1" containsMixedTypes="1" minDate="2026-03-23T00:00:00" maxDate="2026-03-24T00:00:00"/>
    </cacheField>
    <cacheField name="STATUS ENVIO" numFmtId="164">
      <sharedItems/>
    </cacheField>
    <cacheField name="STATUS PRIMÁRIO (EC)" numFmtId="0">
      <sharedItems containsMixedTypes="1" containsNumber="1" containsInteger="1" minValue="0" maxValue="0" count="6">
        <s v="APROVADO"/>
        <s v="S/ EMISSÃO"/>
        <s v="ON HOLD"/>
        <s v="CANCELADA"/>
        <s v="FISCALIZ."/>
        <n v="0" u="1"/>
      </sharedItems>
    </cacheField>
    <cacheField name="AGUARD. RETORNO" numFmtId="165">
      <sharedItems containsMixedTypes="1" containsNumber="1" containsInteger="1" minValue="0" maxValue="113"/>
    </cacheField>
    <cacheField name="STATUS SECUNDÁRIO (EC)" numFmtId="0">
      <sharedItems count="7">
        <s v="RETORNO OK"/>
        <s v="S/ EMISSÃO"/>
        <s v="ON HOLD"/>
        <s v="CANCELADA"/>
        <s v="EM PLANEJ."/>
        <s v="FISCALIZ." u="1"/>
        <s v="PEND. FISCALIZ." u="1"/>
      </sharedItems>
    </cacheField>
    <cacheField name="REVISÃO (CR)" numFmtId="0">
      <sharedItems/>
    </cacheField>
    <cacheField name="DATA ENVIO. (CR)" numFmtId="164">
      <sharedItems containsDate="1" containsMixedTypes="1" minDate="1899-12-30T00:00:00" maxDate="2026-03-18T00:00:00"/>
    </cacheField>
    <cacheField name="DATA APROV. (CR)" numFmtId="164">
      <sharedItems containsDate="1" containsMixedTypes="1" minDate="1899-12-30T00:00:00" maxDate="2026-03-19T00:00:00"/>
    </cacheField>
    <cacheField name="PRÓX. ENVIO2" numFmtId="164">
      <sharedItems containsDate="1" containsMixedTypes="1" minDate="2026-03-23T00:00:00" maxDate="2026-03-24T00:00:00"/>
    </cacheField>
    <cacheField name="STATUS ENVIO " numFmtId="164">
      <sharedItems/>
    </cacheField>
    <cacheField name="STATUS PRIMÁRIO (EC) " numFmtId="0">
      <sharedItems/>
    </cacheField>
    <cacheField name="FÍSICO" numFmtId="0">
      <sharedItems containsNonDate="0" containsString="0" containsBlank="1"/>
    </cacheField>
    <cacheField name="TÉRMINO LB" numFmtId="164">
      <sharedItems containsNonDate="0" containsDate="1" containsString="0" containsBlank="1" minDate="2025-11-07T00:00:00" maxDate="2026-09-30T00:00:00"/>
    </cacheField>
    <cacheField name="TÉRM. TD" numFmtId="164">
      <sharedItems containsNonDate="0" containsDate="1" containsString="0" containsBlank="1" minDate="2025-11-28T00:00:00" maxDate="2026-09-30T00:00:00"/>
    </cacheField>
    <cacheField name="DESVIO (d)" numFmtId="165">
      <sharedItems containsSemiMixedTypes="0" containsString="0" containsNumber="1" containsInteger="1" minValue="-32" maxValue="53"/>
    </cacheField>
    <cacheField name="PREV (%)" numFmtId="10">
      <sharedItems containsString="0" containsBlank="1" containsNumber="1" minValue="0" maxValue="1"/>
    </cacheField>
    <cacheField name="REAL (%)" numFmtId="10">
      <sharedItems containsString="0" containsBlank="1" containsNumber="1" minValue="0" maxValue="1"/>
    </cacheField>
    <cacheField name="DESVIO (%)_x000a_ANT" numFmtId="10">
      <sharedItems containsString="0" containsBlank="1" containsNumber="1" minValue="-0.39850000000000002" maxValue="8.5500000000000007E-2"/>
    </cacheField>
    <cacheField name="DESVIO (%)" numFmtId="10">
      <sharedItems containsSemiMixedTypes="0" containsString="0" containsNumber="1" minValue="-0.3931" maxValue="0.40810000000000002"/>
    </cacheField>
    <cacheField name="M.O PREV." numFmtId="0">
      <sharedItems containsString="0" containsBlank="1" containsNumber="1" containsInteger="1" minValue="0" maxValue="12"/>
    </cacheField>
    <cacheField name="M.O REAL" numFmtId="0">
      <sharedItems containsString="0" containsBlank="1" containsNumber="1" containsInteger="1" minValue="0" maxValue="19"/>
    </cacheField>
    <cacheField name="CONTR HH" numFmtId="0">
      <sharedItems containsNonDate="0" containsString="0" containsBlank="1"/>
    </cacheField>
    <cacheField name="ORÇADO" numFmtId="4">
      <sharedItems containsSemiMixedTypes="0" containsString="0" containsNumber="1" minValue="0" maxValue="8862.4241999999995"/>
    </cacheField>
    <cacheField name="ORÇ DIG" numFmtId="4">
      <sharedItems containsString="0" containsBlank="1" containsNumber="1" minValue="100.41" maxValue="6028.86"/>
    </cacheField>
    <cacheField name="PLANEJ" numFmtId="4">
      <sharedItems containsSemiMixedTypes="0" containsString="0" containsNumber="1" minValue="0" maxValue="5356.0441217489406"/>
    </cacheField>
    <cacheField name="REALIZ" numFmtId="4">
      <sharedItems containsSemiMixedTypes="0" containsString="0" containsNumber="1" minValue="0" maxValue="4618.2781456953644"/>
    </cacheField>
    <cacheField name="ORÇADO1" numFmtId="4">
      <sharedItems containsSemiMixedTypes="0" containsString="0" containsNumber="1" minValue="0" maxValue="10239.875999999998"/>
    </cacheField>
    <cacheField name="ORÇ DIG1" numFmtId="4">
      <sharedItems containsString="0" containsBlank="1" containsNumber="1" minValue="0" maxValue="7420.2"/>
    </cacheField>
    <cacheField name="PLANEJ1" numFmtId="4">
      <sharedItems containsSemiMixedTypes="0" containsString="0" containsNumber="1" minValue="0" maxValue="9462.8451186772909"/>
    </cacheField>
    <cacheField name="REALIZ1" numFmtId="4">
      <sharedItems containsSemiMixedTypes="0" containsString="0" containsNumber="1" minValue="0" maxValue="986.52631578947376"/>
    </cacheField>
    <cacheField name="ORÇADO2" numFmtId="4">
      <sharedItems containsSemiMixedTypes="0" containsString="0" containsNumber="1" minValue="0" maxValue="4295.2775999999994"/>
    </cacheField>
    <cacheField name="ORÇ DIG2" numFmtId="4">
      <sharedItems containsString="0" containsBlank="1" containsNumber="1" minValue="25.23" maxValue="3112.52"/>
    </cacheField>
    <cacheField name="PLANEJ2" numFmtId="4">
      <sharedItems containsSemiMixedTypes="0" containsString="0" containsNumber="1" minValue="0" maxValue="1813.0930176714296"/>
    </cacheField>
    <cacheField name="REALIZ2" numFmtId="4">
      <sharedItems containsSemiMixedTypes="0" containsString="0" containsNumber="1" minValue="0" maxValue="1952"/>
    </cacheField>
    <cacheField name="ORÇADO3" numFmtId="4">
      <sharedItems containsSemiMixedTypes="0" containsString="0" containsNumber="1" minValue="0" maxValue="10374.539699999999"/>
    </cacheField>
    <cacheField name="ORÇ DIG3" numFmtId="4">
      <sharedItems containsString="0" containsBlank="1" containsNumber="1" minValue="0" maxValue="7057.51"/>
    </cacheField>
    <cacheField name="PLANEJ3" numFmtId="4">
      <sharedItems containsSemiMixedTypes="0" containsString="0" containsNumber="1" minValue="0" maxValue="2447.2143688714459"/>
    </cacheField>
    <cacheField name="REALIZ3" numFmtId="4">
      <sharedItems containsSemiMixedTypes="0" containsString="0" containsNumber="1" minValue="0" maxValue="953.77483443708616"/>
    </cacheField>
    <cacheField name="REALIZ33" numFmtId="4">
      <sharedItems containsSemiMixedTypes="0" containsString="0" containsNumber="1" minValue="0" maxValue="22739.650499999996"/>
    </cacheField>
    <cacheField name="REALIZ32" numFmtId="4">
      <sharedItems containsSemiMixedTypes="0" containsString="0" containsNumber="1" minValue="0" maxValue="9573.4"/>
    </cacheField>
    <cacheField name="REALIZ4" numFmtId="4">
      <sharedItems containsSemiMixedTypes="0" containsString="0" containsNumber="1" containsInteger="1" minValue="0" maxValue="6064"/>
    </cacheField>
    <cacheField name="IMPTOS" numFmtId="9">
      <sharedItems containsBlank="1" containsMixedTypes="1" containsNumber="1" minValue="0" maxValue="2.2802033941427577"/>
    </cacheField>
    <cacheField name="R$ APROVADO" numFmtId="44">
      <sharedItems containsSemiMixedTypes="0" containsString="0" containsNumber="1" minValue="0" maxValue="10320001.30782"/>
    </cacheField>
    <cacheField name="R$ MEDIDO " numFmtId="44">
      <sharedItems containsSemiMixedTypes="0" containsString="0" containsNumber="1" minValue="0" maxValue="4922668.2794399997"/>
    </cacheField>
    <cacheField name="R$ SALDO " numFmtId="44">
      <sharedItems containsSemiMixedTypes="0" containsString="0" containsNumber="1" minValue="0" maxValue="6998769.5362199992"/>
    </cacheField>
  </cacheFields>
  <extLst>
    <ext xmlns:x14="http://schemas.microsoft.com/office/spreadsheetml/2009/9/main" uri="{725AE2AE-9491-48be-B2B4-4EB974FC3084}">
      <x14:pivotCacheDefinition pivotCacheId="5246947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1"/>
    <s v="SS-01/2025"/>
    <s v=" -- IMPLANTAÇÃO ÁREA I (EDIVIT, UTG-SUL, TIMS)"/>
    <x v="0"/>
    <x v="0"/>
    <x v="0"/>
    <s v="REV.00"/>
    <s v="N/A"/>
    <s v="N/A"/>
    <s v=""/>
    <s v="ENTREGUE"/>
    <x v="0"/>
    <n v="0"/>
    <x v="0"/>
    <s v="REV.00"/>
    <s v="N/A"/>
    <s v="N/A"/>
    <s v=""/>
    <s v="ENTREGUE"/>
    <s v="APROVADO"/>
    <m/>
    <m/>
    <m/>
    <n v="0"/>
    <m/>
    <m/>
    <m/>
    <n v="0"/>
    <m/>
    <m/>
    <m/>
    <n v="0"/>
    <m/>
    <n v="0"/>
    <n v="0"/>
    <n v="0"/>
    <m/>
    <n v="0"/>
    <n v="0"/>
    <n v="0"/>
    <m/>
    <n v="0"/>
    <n v="0"/>
    <n v="0"/>
    <m/>
    <n v="0"/>
    <n v="0"/>
    <n v="0"/>
    <n v="0"/>
    <n v="0"/>
    <m/>
    <n v="7940511.1276199995"/>
    <n v="2080364.77926"/>
    <n v="5860146.3483599992"/>
  </r>
  <r>
    <n v="1"/>
    <s v="SS-02/2025"/>
    <s v=" -- IMPLANTAÇÃO ÁREA II (UTGC)"/>
    <x v="0"/>
    <x v="1"/>
    <x v="0"/>
    <s v="REV.00"/>
    <s v="N/A"/>
    <s v="N/A"/>
    <s v=""/>
    <s v="ENTREGUE"/>
    <x v="0"/>
    <n v="0"/>
    <x v="0"/>
    <s v="REV.00"/>
    <s v="N/A"/>
    <s v="N/A"/>
    <s v=""/>
    <s v="ENTREGUE"/>
    <s v="APROVADO"/>
    <m/>
    <m/>
    <m/>
    <n v="0"/>
    <m/>
    <m/>
    <m/>
    <n v="0"/>
    <m/>
    <m/>
    <m/>
    <n v="0"/>
    <m/>
    <n v="0"/>
    <n v="0"/>
    <n v="0"/>
    <m/>
    <n v="0"/>
    <n v="0"/>
    <n v="0"/>
    <m/>
    <n v="0"/>
    <n v="0"/>
    <n v="0"/>
    <m/>
    <n v="0"/>
    <n v="0"/>
    <n v="0"/>
    <n v="0"/>
    <n v="0"/>
    <m/>
    <n v="10320001.30782"/>
    <n v="3321231.7716000001"/>
    <n v="6998769.5362199992"/>
  </r>
  <r>
    <n v="1"/>
    <s v="SS-03/2025"/>
    <s v=" -- IMPLANTAÇÃO ÁREA III (REGAP, UTE-IBT)"/>
    <x v="0"/>
    <x v="2"/>
    <x v="1"/>
    <s v=""/>
    <s v=""/>
    <s v=""/>
    <s v=""/>
    <s v="S/ EMISSÃO"/>
    <x v="1"/>
    <s v=""/>
    <x v="1"/>
    <s v=""/>
    <s v=""/>
    <s v=""/>
    <s v=""/>
    <s v="PENDENTE"/>
    <s v=""/>
    <m/>
    <m/>
    <m/>
    <n v="0"/>
    <m/>
    <m/>
    <m/>
    <n v="0"/>
    <m/>
    <m/>
    <m/>
    <n v="0"/>
    <m/>
    <n v="0"/>
    <n v="0"/>
    <n v="0"/>
    <m/>
    <n v="0"/>
    <n v="0"/>
    <n v="0"/>
    <m/>
    <n v="0"/>
    <n v="0"/>
    <n v="0"/>
    <m/>
    <n v="0"/>
    <n v="0"/>
    <n v="0"/>
    <n v="0"/>
    <n v="0"/>
    <m/>
    <n v="0"/>
    <n v="0"/>
    <n v="0"/>
  </r>
  <r>
    <n v="1"/>
    <s v="SS-04/2025"/>
    <s v="24-0651-ES - MONTAGEM DO GALPÃO DA UPGN-2"/>
    <x v="1"/>
    <x v="1"/>
    <x v="0"/>
    <s v="REV.05"/>
    <d v="2025-10-23T00:00:00"/>
    <d v="2025-10-24T00:00:00"/>
    <s v=""/>
    <s v="ENTREGUE"/>
    <x v="0"/>
    <n v="0"/>
    <x v="0"/>
    <s v="REV.03"/>
    <d v="2025-10-23T00:00:00"/>
    <d v="2025-10-23T00:00:00"/>
    <s v=""/>
    <s v="ENTREGUE"/>
    <s v="APROVADO"/>
    <m/>
    <d v="2026-06-24T00:00:00"/>
    <d v="2026-06-25T00:00:00"/>
    <n v="1"/>
    <n v="0.42849999999999999"/>
    <n v="0.4133"/>
    <n v="-1.66E-2"/>
    <n v="-1.5199999999999991E-2"/>
    <n v="8"/>
    <n v="19"/>
    <m/>
    <n v="8862.4241999999995"/>
    <n v="6028.86"/>
    <n v="5356.0441217489406"/>
    <n v="4618.2781456953644"/>
    <n v="92.448300000000003"/>
    <n v="62.89"/>
    <n v="641.89229347447758"/>
    <n v="70.278145695364245"/>
    <n v="3410.2382999999995"/>
    <n v="2319.89"/>
    <n v="671.06921590513571"/>
    <n v="421.66887417218544"/>
    <n v="10374.539699999999"/>
    <n v="7057.51"/>
    <n v="2447.2143688714459"/>
    <n v="953.77483443708616"/>
    <n v="22739.650499999996"/>
    <n v="9116.2200000000012"/>
    <n v="6064"/>
    <n v="0.26667076523449651"/>
    <n v="9201249.3284999989"/>
    <n v="4922668.2794399997"/>
    <n v="4278581.0490599992"/>
  </r>
  <r>
    <n v="1"/>
    <s v="SS-05/2025"/>
    <s v="23-0706-ES - MANUTENÇÃO DO GALPÃO SECGN"/>
    <x v="1"/>
    <x v="1"/>
    <x v="2"/>
    <s v="REV.03"/>
    <d v="2025-10-02T00:00:00"/>
    <d v="2025-10-02T00:00:00"/>
    <s v=""/>
    <s v="ENTREGUE"/>
    <x v="0"/>
    <n v="0"/>
    <x v="0"/>
    <s v="REV.01"/>
    <d v="2025-09-25T00:00:00"/>
    <d v="2025-09-25T00:00:00"/>
    <s v=""/>
    <s v="ENTREGUE"/>
    <s v="APROVADO"/>
    <m/>
    <d v="2025-12-18T00:00:00"/>
    <d v="2026-02-06T00:00:00"/>
    <n v="50"/>
    <n v="1"/>
    <n v="1"/>
    <n v="0"/>
    <n v="0"/>
    <n v="0"/>
    <n v="0"/>
    <m/>
    <n v="1119.3168000000001"/>
    <n v="761.44"/>
    <n v="1392"/>
    <n v="3037.0891566265059"/>
    <n v="0"/>
    <n v="0"/>
    <n v="0"/>
    <n v="38.322891566265064"/>
    <n v="1160.124"/>
    <n v="789.2"/>
    <n v="264"/>
    <n v="584.42409638554216"/>
    <n v="552.99929999999995"/>
    <n v="376.19"/>
    <n v="384"/>
    <n v="316.16385542168678"/>
    <n v="2832.4401000000003"/>
    <n v="2040"/>
    <n v="3976"/>
    <n v="1.4037366580144095"/>
    <n v="857462.22378"/>
    <n v="857462.22378"/>
    <n v="0"/>
  </r>
  <r>
    <n v="1"/>
    <s v="SS-06/2025"/>
    <s v="23-0803-ES - MANUTENÇÃO DO GALPÃO K-14"/>
    <x v="1"/>
    <x v="1"/>
    <x v="2"/>
    <s v="REV.04"/>
    <d v="2025-10-17T00:00:00"/>
    <d v="2025-10-17T00:00:00"/>
    <s v=""/>
    <s v="ENTREGUE"/>
    <x v="0"/>
    <n v="0"/>
    <x v="0"/>
    <s v="REV.03"/>
    <d v="2025-10-22T00:00:00"/>
    <d v="2025-10-22T00:00:00"/>
    <s v=""/>
    <s v="ENTREGUE"/>
    <s v="APROVADO"/>
    <m/>
    <d v="2025-12-24T00:00:00"/>
    <d v="2026-01-30T00:00:00"/>
    <n v="37"/>
    <n v="1"/>
    <n v="1"/>
    <n v="0"/>
    <n v="0"/>
    <n v="0"/>
    <n v="0"/>
    <m/>
    <n v="957.83730000000003"/>
    <n v="651.59"/>
    <n v="1240.8547008547007"/>
    <n v="1882.042105263158"/>
    <n v="0"/>
    <n v="0"/>
    <n v="0"/>
    <n v="169.2842105263158"/>
    <n v="1795.8402000000001"/>
    <n v="1221.6600000000001"/>
    <n v="218.97435897435895"/>
    <n v="876.29473684210529"/>
    <n v="413.21700000000004"/>
    <n v="281.10000000000002"/>
    <n v="248.17094017094018"/>
    <n v="856.378947368421"/>
    <n v="3166.8945000000003"/>
    <n v="1707.9999999999998"/>
    <n v="3784"/>
    <n v="1.194861401287602"/>
    <n v="1342003.9550399999"/>
    <n v="1342003.9550399999"/>
    <n v="0"/>
  </r>
  <r>
    <n v="1"/>
    <s v="SS-07/2025"/>
    <s v="23-710B-ES - MANUTENÇÃO DO GALPÃO DE BOMBAS DE TRANSFERÊNCIA DE GLP PARA TABR"/>
    <x v="1"/>
    <x v="1"/>
    <x v="2"/>
    <s v="REV.01"/>
    <d v="2025-10-06T00:00:00"/>
    <d v="2025-10-07T00:00:00"/>
    <s v=""/>
    <s v="ENTREGUE"/>
    <x v="0"/>
    <n v="0"/>
    <x v="0"/>
    <s v="REV.01"/>
    <d v="2025-10-03T00:00:00"/>
    <d v="2025-10-06T00:00:00"/>
    <s v=""/>
    <s v="ENTREGUE"/>
    <s v="APROVADO"/>
    <m/>
    <d v="2025-12-24T00:00:00"/>
    <d v="2025-12-22T00:00:00"/>
    <n v="-2"/>
    <n v="1"/>
    <n v="1"/>
    <n v="0"/>
    <n v="0"/>
    <n v="0"/>
    <n v="0"/>
    <m/>
    <n v="394.98899999999998"/>
    <n v="268.7"/>
    <n v="1257.4867256637167"/>
    <n v="1617.1727748691098"/>
    <n v="0"/>
    <n v="0"/>
    <n v="0"/>
    <n v="33.926701570680628"/>
    <n v="1065.1326000000001"/>
    <n v="724.58"/>
    <n v="212.10619469026548"/>
    <n v="237.4869109947644"/>
    <n v="228.67320000000001"/>
    <n v="155.56"/>
    <n v="242.40707964601768"/>
    <n v="271.41361256544502"/>
    <n v="1688.7948000000001"/>
    <n v="1712"/>
    <n v="2160"/>
    <n v="1.27901862322172"/>
    <n v="572533.72343999997"/>
    <n v="572533.72343999997"/>
    <n v="0"/>
  </r>
  <r>
    <n v="1"/>
    <s v="SS-08/2025"/>
    <s v="23-0713-ES - MANUTENÇÃO DO GALPÃO K-02"/>
    <x v="1"/>
    <x v="1"/>
    <x v="0"/>
    <s v="REV.01"/>
    <d v="2025-10-19T00:00:00"/>
    <d v="2025-10-22T00:00:00"/>
    <s v=""/>
    <s v="ENTREGUE"/>
    <x v="0"/>
    <n v="0"/>
    <x v="0"/>
    <s v="REV.02"/>
    <d v="2025-10-22T00:00:00"/>
    <d v="2025-10-22T00:00:00"/>
    <s v=""/>
    <s v="ENTREGUE"/>
    <s v="APROVADO"/>
    <m/>
    <d v="2026-03-27T00:00:00"/>
    <d v="2026-03-30T00:00:00"/>
    <n v="3"/>
    <n v="0.65980000000000005"/>
    <n v="0.54339999999999999"/>
    <n v="-0.1295"/>
    <n v="-0.11640000000000006"/>
    <n v="9"/>
    <n v="5"/>
    <m/>
    <n v="689.7681"/>
    <n v="469.23"/>
    <n v="665.4666666666667"/>
    <n v="379.77358490566036"/>
    <n v="0"/>
    <n v="0"/>
    <n v="0"/>
    <n v="0"/>
    <n v="546.34019999999998"/>
    <n v="371.66"/>
    <n v="214.66666666666666"/>
    <n v="102.64150943396227"/>
    <n v="62.048699999999997"/>
    <n v="42.21"/>
    <n v="85.866666666666674"/>
    <n v="61.584905660377359"/>
    <n v="1298.1569999999999"/>
    <n v="966"/>
    <n v="544"/>
    <n v="0.41905563040525917"/>
    <n v="743593.46399999992"/>
    <n v="371796.73200000002"/>
    <n v="371796.7319999999"/>
  </r>
  <r>
    <n v="1"/>
    <s v="SS-09/2025"/>
    <s v="23-0707-ES - MANUTENÇÃO DO GALPÃO UPGN-3"/>
    <x v="1"/>
    <x v="1"/>
    <x v="2"/>
    <s v="REV.03"/>
    <d v="2025-10-02T00:00:00"/>
    <d v="2025-10-02T00:00:00"/>
    <s v=""/>
    <s v="ENTREGUE"/>
    <x v="0"/>
    <n v="0"/>
    <x v="0"/>
    <s v="REV.02"/>
    <d v="2025-09-24T00:00:00"/>
    <d v="2025-09-25T00:00:00"/>
    <s v=""/>
    <s v="ENTREGUE"/>
    <s v="APROVADO"/>
    <m/>
    <d v="2025-12-10T00:00:00"/>
    <d v="2025-12-15T00:00:00"/>
    <n v="5"/>
    <n v="1"/>
    <n v="1"/>
    <n v="0"/>
    <n v="0"/>
    <n v="0"/>
    <n v="0"/>
    <m/>
    <n v="912.59069999999986"/>
    <n v="620.80999999999995"/>
    <n v="1326.5611510791366"/>
    <n v="2179.3429158110885"/>
    <n v="0"/>
    <n v="0"/>
    <n v="0"/>
    <n v="109.24024640657083"/>
    <n v="183.42660000000001"/>
    <n v="124.78"/>
    <n v="215.42446043165467"/>
    <n v="87.392197125256672"/>
    <n v="70.545299999999997"/>
    <n v="47.99"/>
    <n v="34.014388489208635"/>
    <n v="284.02464065708421"/>
    <n v="1166.5626"/>
    <n v="1576"/>
    <n v="2660"/>
    <n v="2.2802033941427577"/>
    <n v="588935.40300000005"/>
    <n v="588935.40300000005"/>
    <n v="0"/>
  </r>
  <r>
    <n v="1"/>
    <s v="SS-10/2025"/>
    <s v="24-0096-ES - REFORMA DA COBERTURA DO K-04"/>
    <x v="1"/>
    <x v="1"/>
    <x v="2"/>
    <s v="REV.04"/>
    <d v="2025-10-24T00:00:00"/>
    <d v="2025-10-24T00:00:00"/>
    <s v=""/>
    <s v="ENTREGUE"/>
    <x v="0"/>
    <n v="0"/>
    <x v="0"/>
    <s v="REV.03"/>
    <d v="2025-10-24T00:00:00"/>
    <d v="2025-10-24T00:00:00"/>
    <s v=""/>
    <s v="ENTREGUE"/>
    <s v="APROVADO"/>
    <m/>
    <d v="2026-02-10T00:00:00"/>
    <d v="2026-01-09T00:00:00"/>
    <n v="-32"/>
    <n v="0.59189999999999998"/>
    <n v="1"/>
    <n v="0"/>
    <n v="0.40810000000000002"/>
    <n v="0"/>
    <n v="0"/>
    <m/>
    <n v="519.67439999999999"/>
    <n v="353.52"/>
    <n v="734.18604651162786"/>
    <n v="501.04347826086956"/>
    <n v="287.31149999999997"/>
    <n v="195.45"/>
    <n v="320.37209302325584"/>
    <n v="23.304347826086957"/>
    <n v="266.58449999999999"/>
    <n v="181.35"/>
    <n v="93.441860465116292"/>
    <n v="11.652173913043478"/>
    <n v="72.265199999999993"/>
    <n v="49.16"/>
    <n v="0"/>
    <n v="0"/>
    <n v="1145.8355999999999"/>
    <n v="1148"/>
    <n v="536"/>
    <n v="0.46778089282616114"/>
    <n v="364522.26744000003"/>
    <n v="364522.26744000003"/>
    <n v="0"/>
  </r>
  <r>
    <n v="1"/>
    <s v="SS-11/2025"/>
    <s v="21-0007-ES - DESMONTAGEM DO GALPÃO DA UPCGN-1"/>
    <x v="1"/>
    <x v="1"/>
    <x v="2"/>
    <s v="REV.06"/>
    <d v="2025-10-02T00:00:00"/>
    <d v="2025-10-02T00:00:00"/>
    <s v=""/>
    <s v="ENTREGUE"/>
    <x v="0"/>
    <n v="0"/>
    <x v="0"/>
    <s v="REV.04"/>
    <d v="2025-09-23T00:00:00"/>
    <d v="2025-09-24T00:00:00"/>
    <s v=""/>
    <s v="ENTREGUE"/>
    <s v="APROVADO"/>
    <m/>
    <d v="2025-11-07T00:00:00"/>
    <d v="2025-11-28T00:00:00"/>
    <n v="21"/>
    <n v="1"/>
    <n v="1"/>
    <n v="0"/>
    <n v="0"/>
    <m/>
    <m/>
    <m/>
    <n v="2259.0518999999999"/>
    <n v="1536.77"/>
    <n v="897.85507246376812"/>
    <n v="1803.8333333333333"/>
    <n v="0"/>
    <n v="0"/>
    <n v="0"/>
    <n v="0"/>
    <n v="130.72710000000001"/>
    <n v="88.93"/>
    <n v="70.14492753623189"/>
    <n v="92.166666666666657"/>
    <n v="0"/>
    <n v="0"/>
    <n v="0"/>
    <n v="0"/>
    <n v="2389.779"/>
    <n v="968"/>
    <n v="1896"/>
    <n v="0.79337880197290211"/>
    <n v="718931.28384000005"/>
    <n v="718931.28384000005"/>
    <n v="0"/>
  </r>
  <r>
    <n v="1"/>
    <s v="SS-12/2025"/>
    <s v="22-0496-ES - CONSTRUÇÃO DE ÁREA DE ESTOQUE DE MATERIAIS"/>
    <x v="1"/>
    <x v="1"/>
    <x v="0"/>
    <s v="REV.02"/>
    <d v="2025-10-21T00:00:00"/>
    <d v="2025-10-22T00:00:00"/>
    <s v=""/>
    <s v="ENTREGUE"/>
    <x v="0"/>
    <n v="0"/>
    <x v="0"/>
    <s v="REV.01"/>
    <d v="2025-10-07T00:00:00"/>
    <d v="2025-10-20T00:00:00"/>
    <s v=""/>
    <s v="ENTREGUE"/>
    <s v="APROVADO"/>
    <m/>
    <d v="2026-03-25T00:00:00"/>
    <d v="2026-03-27T00:00:00"/>
    <n v="2"/>
    <n v="0.80779999999999996"/>
    <n v="0.65739999999999998"/>
    <n v="-0.1116"/>
    <n v="-0.15039999999999998"/>
    <n v="12"/>
    <n v="7"/>
    <m/>
    <n v="576.18119999999999"/>
    <n v="391.96"/>
    <n v="765.99206349206349"/>
    <n v="736.42105263157896"/>
    <n v="852.15899999999988"/>
    <n v="579.69999999999993"/>
    <n v="702.81746031746036"/>
    <n v="986.52631578947376"/>
    <n v="2684.6756999999998"/>
    <n v="1826.31"/>
    <n v="521.19047619047615"/>
    <n v="389.0526315789474"/>
    <n v="42.923999999999999"/>
    <n v="29.2"/>
    <n v="0"/>
    <n v="0"/>
    <n v="4155.9398999999994"/>
    <n v="1990"/>
    <n v="2112"/>
    <n v="0.50818829213579342"/>
    <n v="1144868.57748"/>
    <n v="457946.06561999995"/>
    <n v="686922.51185999997"/>
  </r>
  <r>
    <n v="1"/>
    <s v="SS-14/2025"/>
    <s v="23-0496-ES - ADEQUAÇÃO DOS SANITÁRIOS COLETIVOS - TORRES LESTE E OESTE"/>
    <x v="1"/>
    <x v="0"/>
    <x v="3"/>
    <s v="REV.03"/>
    <d v="2025-11-25T00:00:00"/>
    <d v="2025-11-19T00:00:00"/>
    <s v=""/>
    <s v="ENTREGUE"/>
    <x v="2"/>
    <n v="113"/>
    <x v="2"/>
    <s v="REV.02"/>
    <d v="2025-11-25T00:00:00"/>
    <d v="2025-10-14T00:00:00"/>
    <s v=""/>
    <s v="ENTREGUE"/>
    <s v="ON HOLD"/>
    <m/>
    <m/>
    <m/>
    <n v="0"/>
    <m/>
    <m/>
    <m/>
    <n v="0"/>
    <m/>
    <m/>
    <m/>
    <n v="0"/>
    <m/>
    <n v="0"/>
    <n v="0"/>
    <n v="0"/>
    <m/>
    <n v="9462.8451186772909"/>
    <n v="0"/>
    <n v="0"/>
    <m/>
    <n v="110.55488132270847"/>
    <n v="0"/>
    <n v="0"/>
    <m/>
    <n v="0"/>
    <n v="0"/>
    <n v="0"/>
    <n v="9573.4"/>
    <n v="0"/>
    <s v=""/>
    <n v="0"/>
    <n v="0"/>
    <n v="0"/>
  </r>
  <r>
    <n v="1"/>
    <s v="SS-15/2025"/>
    <s v="23-0052-ES - MANUTENÇÃO DAS TORRES DE RESFRIAMENTO"/>
    <x v="1"/>
    <x v="0"/>
    <x v="0"/>
    <s v="REV.02"/>
    <d v="2025-10-21T00:00:00"/>
    <d v="2025-10-21T00:00:00"/>
    <s v=""/>
    <s v="ENTREGUE"/>
    <x v="0"/>
    <n v="0"/>
    <x v="0"/>
    <s v="REV.02"/>
    <d v="2025-10-20T00:00:00"/>
    <d v="2025-10-21T00:00:00"/>
    <s v=""/>
    <s v="ENTREGUE"/>
    <s v="APROVADO"/>
    <m/>
    <d v="2026-08-17T00:00:00"/>
    <d v="2026-08-04T00:00:00"/>
    <n v="-13"/>
    <n v="0.45090000000000002"/>
    <n v="0.5504"/>
    <n v="8.5500000000000007E-2"/>
    <n v="9.9499999999999977E-2"/>
    <n v="4"/>
    <n v="5"/>
    <m/>
    <n v="2163.0120000000002"/>
    <n v="1567.4"/>
    <n v="985.20634920634916"/>
    <n v="2030.344827586207"/>
    <n v="0"/>
    <n v="0"/>
    <n v="0"/>
    <n v="0"/>
    <n v="2163.8399999999997"/>
    <n v="1568"/>
    <n v="66.793650793650784"/>
    <n v="17.655172413793103"/>
    <n v="841.74479999999994"/>
    <n v="609.96"/>
    <n v="0"/>
    <n v="0"/>
    <n v="5168.5967999999993"/>
    <n v="1052"/>
    <n v="2048"/>
    <n v="0.39623907208238807"/>
    <n v="1662818.2901999999"/>
    <n v="1197230.0000399998"/>
    <n v="465588.29016000009"/>
  </r>
  <r>
    <n v="1"/>
    <s v="SS-16/2025"/>
    <s v="23-0052-ES - SUBSTITUIÇÃO DOS ISOLAMENTOS ACÚSTICOS NA CENTRAL DE UTILIDADES"/>
    <x v="1"/>
    <x v="0"/>
    <x v="2"/>
    <s v="REV.01"/>
    <d v="2025-10-16T00:00:00"/>
    <d v="2025-10-17T00:00:00"/>
    <s v=""/>
    <s v="ENTREGUE"/>
    <x v="0"/>
    <n v="0"/>
    <x v="0"/>
    <s v="REV.00"/>
    <d v="2025-10-08T00:00:00"/>
    <d v="2025-10-13T00:00:00"/>
    <s v=""/>
    <s v="ENTREGUE"/>
    <s v="APROVADO"/>
    <m/>
    <d v="2025-12-19T00:00:00"/>
    <d v="2026-01-24T00:00:00"/>
    <n v="36"/>
    <n v="1"/>
    <n v="1"/>
    <n v="0"/>
    <n v="0"/>
    <n v="0"/>
    <n v="0"/>
    <m/>
    <n v="1813.1129999999998"/>
    <n v="1313.85"/>
    <n v="476"/>
    <n v="1208"/>
    <n v="0"/>
    <m/>
    <n v="0"/>
    <n v="0"/>
    <n v="0"/>
    <m/>
    <n v="0"/>
    <n v="0"/>
    <n v="0"/>
    <m/>
    <n v="0"/>
    <n v="0"/>
    <n v="1813.1129999999998"/>
    <n v="476"/>
    <n v="1208"/>
    <n v="0.66625742576441738"/>
    <n v="228497.33"/>
    <n v="228497.32533239998"/>
    <n v="0"/>
  </r>
  <r>
    <n v="1"/>
    <s v="SS-17/2025"/>
    <s v="23-0291-ES - ADEQUAÇÃO DA LUMINOSIDADE EXTERNA DO EDIVIT"/>
    <x v="1"/>
    <x v="0"/>
    <x v="0"/>
    <s v="REV.01"/>
    <d v="2025-11-12T00:00:00"/>
    <d v="2025-11-12T00:00:00"/>
    <s v=""/>
    <s v="ENTREGUE"/>
    <x v="0"/>
    <n v="0"/>
    <x v="0"/>
    <s v="REV.01"/>
    <d v="2025-11-12T00:00:00"/>
    <d v="2025-11-12T00:00:00"/>
    <s v=""/>
    <s v="ENTREGUE"/>
    <s v="APROVADO"/>
    <m/>
    <d v="2026-05-28T00:00:00"/>
    <d v="2026-06-12T00:00:00"/>
    <n v="15"/>
    <n v="0.54059999999999997"/>
    <n v="0.42580000000000001"/>
    <n v="-4.7E-2"/>
    <n v="-0.11479999999999996"/>
    <n v="4"/>
    <n v="4"/>
    <m/>
    <n v="0"/>
    <m/>
    <n v="63.466982328570225"/>
    <n v="0"/>
    <n v="0"/>
    <m/>
    <n v="0"/>
    <n v="0"/>
    <n v="4295.2775999999994"/>
    <n v="3112.52"/>
    <n v="1813.0930176714296"/>
    <n v="1952"/>
    <n v="0"/>
    <m/>
    <n v="0"/>
    <n v="0"/>
    <n v="4295.2775999999994"/>
    <n v="1876.56"/>
    <n v="1952"/>
    <n v="0.45445258299486868"/>
    <n v="1233914.5200000003"/>
    <n v="715670.12249999994"/>
    <n v="518244.39750000031"/>
  </r>
  <r>
    <n v="1"/>
    <s v="SS-18/2025"/>
    <s v="24-1110-ES - ADEQUAÇÃO DA SALA DE MONITORAMENTO CISC"/>
    <x v="1"/>
    <x v="1"/>
    <x v="2"/>
    <s v="REV.02"/>
    <d v="2025-11-14T00:00:00"/>
    <d v="2025-11-14T00:00:00"/>
    <s v=""/>
    <s v="ENTREGUE"/>
    <x v="0"/>
    <n v="0"/>
    <x v="0"/>
    <s v="REV.03"/>
    <d v="2025-11-18T00:00:00"/>
    <d v="2025-11-19T00:00:00"/>
    <s v=""/>
    <s v="ENTREGUE"/>
    <s v="APROVADO"/>
    <m/>
    <d v="2026-02-24T00:00:00"/>
    <d v="2026-03-02T00:00:00"/>
    <n v="6"/>
    <n v="1"/>
    <n v="0.99950000000000006"/>
    <n v="4.7000000000000375E-3"/>
    <n v="-4.9999999999994493E-4"/>
    <n v="0"/>
    <m/>
    <m/>
    <n v="0"/>
    <m/>
    <n v="0"/>
    <n v="0"/>
    <n v="859.43549999999993"/>
    <n v="584.65"/>
    <n v="560.44897959183675"/>
    <n v="588.52173913043475"/>
    <n v="460.91849999999999"/>
    <n v="313.55"/>
    <n v="170.57142857142856"/>
    <n v="150.26086956521738"/>
    <n v="285.78269999999998"/>
    <n v="194.41"/>
    <n v="64.979591836734699"/>
    <n v="413.21739130434781"/>
    <n v="1606.1366999999998"/>
    <n v="796"/>
    <n v="1152"/>
    <n v="0.71724903614991187"/>
    <n v="196612.97435999999"/>
    <n v="196612.97435999999"/>
    <n v="0"/>
  </r>
  <r>
    <n v="1"/>
    <s v="SS-19/2025"/>
    <s v="23-0316-ES - SINALIZAÇÃO DAS ESCADAS"/>
    <x v="1"/>
    <x v="0"/>
    <x v="2"/>
    <s v="REV.01"/>
    <d v="2025-10-30T00:00:00"/>
    <d v="2025-10-30T00:00:00"/>
    <s v=""/>
    <s v="ENTREGUE"/>
    <x v="0"/>
    <n v="0"/>
    <x v="0"/>
    <s v="REV.01"/>
    <d v="2025-10-29T00:00:00"/>
    <d v="2025-10-29T00:00:00"/>
    <s v=""/>
    <s v="ENTREGUE"/>
    <s v="APROVADO"/>
    <m/>
    <d v="2025-12-02T00:00:00"/>
    <d v="2025-12-12T00:00:00"/>
    <n v="10"/>
    <n v="1"/>
    <n v="1"/>
    <n v="0"/>
    <n v="0"/>
    <n v="0"/>
    <n v="0"/>
    <m/>
    <n v="0"/>
    <m/>
    <n v="0"/>
    <n v="0"/>
    <n v="773.44859999999994"/>
    <n v="560.47"/>
    <n v="716"/>
    <n v="848"/>
    <n v="0"/>
    <m/>
    <n v="0"/>
    <n v="0"/>
    <n v="0"/>
    <m/>
    <n v="0"/>
    <n v="0"/>
    <n v="773.44859999999994"/>
    <n v="716"/>
    <n v="848"/>
    <n v="1.0963883055706611"/>
    <n v="90327.897311399996"/>
    <n v="90327.897311399996"/>
    <n v="0"/>
  </r>
  <r>
    <n v="1"/>
    <s v="SS-20/2025"/>
    <s v="25-0147-ES - DISPONIBILIZAÇÃO DE CONTAINER ESCRITÓRIO"/>
    <x v="1"/>
    <x v="1"/>
    <x v="2"/>
    <s v="REV.00"/>
    <d v="2025-10-27T00:00:00"/>
    <d v="2025-10-29T00:00:00"/>
    <s v=""/>
    <s v="ENTREGUE"/>
    <x v="0"/>
    <n v="0"/>
    <x v="0"/>
    <s v="REV.00"/>
    <s v="N/A"/>
    <s v="N/A"/>
    <s v=""/>
    <s v="ENTREGUE"/>
    <s v="APROVADO"/>
    <m/>
    <d v="2026-01-30T00:00:00"/>
    <d v="2026-01-30T00:00:00"/>
    <n v="0"/>
    <n v="1"/>
    <n v="1"/>
    <n v="0"/>
    <n v="0"/>
    <n v="0"/>
    <n v="0"/>
    <m/>
    <n v="0"/>
    <m/>
    <n v="0"/>
    <n v="0"/>
    <n v="0"/>
    <m/>
    <n v="0"/>
    <n v="0"/>
    <n v="0"/>
    <m/>
    <n v="0"/>
    <n v="0"/>
    <n v="0"/>
    <m/>
    <n v="0"/>
    <n v="0"/>
    <n v="0"/>
    <n v="0"/>
    <n v="0"/>
    <s v=""/>
    <n v="9890.6360400000012"/>
    <n v="9890.6360400000012"/>
    <n v="0"/>
  </r>
  <r>
    <n v="1"/>
    <s v="SS-21/2025"/>
    <s v="23-0838-ES - ADEQUAÇÃO DA ILUMINAÇÃO VIÁRIA"/>
    <x v="1"/>
    <x v="1"/>
    <x v="4"/>
    <s v="REV.00"/>
    <d v="2025-11-25T00:00:00"/>
    <d v="1899-12-30T00:00:00"/>
    <s v=""/>
    <s v="CANCELADA"/>
    <x v="3"/>
    <n v="0"/>
    <x v="3"/>
    <s v="REV.00"/>
    <d v="2025-11-25T00:00:00"/>
    <d v="1899-12-30T00:00:00"/>
    <s v=""/>
    <s v="CANCELADA"/>
    <s v="CANCELADA"/>
    <m/>
    <m/>
    <m/>
    <n v="0"/>
    <m/>
    <m/>
    <m/>
    <n v="0"/>
    <m/>
    <m/>
    <m/>
    <n v="0"/>
    <m/>
    <n v="0"/>
    <n v="0"/>
    <n v="0"/>
    <m/>
    <n v="0"/>
    <n v="0"/>
    <n v="0"/>
    <m/>
    <n v="0"/>
    <n v="0"/>
    <n v="0"/>
    <m/>
    <n v="0"/>
    <n v="0"/>
    <n v="0"/>
    <n v="0"/>
    <n v="0"/>
    <s v=""/>
    <n v="0"/>
    <n v="0"/>
    <n v="0"/>
  </r>
  <r>
    <n v="1"/>
    <s v="SS-22/2025"/>
    <s v="24-1106-ES - ADEQUAÇÃO DA SALA DE MONITORAMENTO N1 CISC"/>
    <x v="1"/>
    <x v="3"/>
    <x v="2"/>
    <s v="REV.00"/>
    <d v="2025-11-12T00:00:00"/>
    <d v="2025-11-14T00:00:00"/>
    <s v=""/>
    <s v="ENTREGUE"/>
    <x v="0"/>
    <n v="0"/>
    <x v="0"/>
    <s v="REV.01"/>
    <d v="2025-12-09T00:00:00"/>
    <d v="2025-12-09T00:00:00"/>
    <s v=""/>
    <s v="ENTREGUE"/>
    <s v="APROVADO"/>
    <m/>
    <d v="2026-01-15T00:00:00"/>
    <d v="2026-01-23T00:00:00"/>
    <n v="8"/>
    <n v="1"/>
    <n v="1"/>
    <n v="0"/>
    <n v="0"/>
    <n v="0"/>
    <n v="0"/>
    <m/>
    <n v="0"/>
    <m/>
    <n v="0"/>
    <n v="0"/>
    <n v="117.25830000000002"/>
    <n v="85.59"/>
    <n v="108.79295154185021"/>
    <n v="816"/>
    <n v="242.17490000000004"/>
    <n v="176.77"/>
    <n v="87.207048458149785"/>
    <n v="96"/>
    <n v="137.7535"/>
    <n v="100.55"/>
    <n v="0"/>
    <n v="0"/>
    <n v="497.18670000000009"/>
    <n v="196"/>
    <n v="912"/>
    <n v="1.834320990485063"/>
    <n v="117731.57525999998"/>
    <n v="117731.57525999998"/>
    <n v="0"/>
  </r>
  <r>
    <n v="1"/>
    <s v="SS-23/2025"/>
    <s v="24-0087-ES - REMOÇÃO DAS TELHAS DE PROTEÇÃO DOS PAINÉIS DO K21 E K40"/>
    <x v="1"/>
    <x v="1"/>
    <x v="2"/>
    <s v="REV.02"/>
    <d v="2025-11-11T00:00:00"/>
    <d v="2025-11-11T00:00:00"/>
    <s v=""/>
    <s v="ENTREGUE"/>
    <x v="0"/>
    <n v="0"/>
    <x v="0"/>
    <s v="REV.00"/>
    <s v="N/A"/>
    <s v="N/A"/>
    <s v=""/>
    <s v="ENTREGUE"/>
    <s v="APROVADO"/>
    <m/>
    <d v="2025-12-12T00:00:00"/>
    <d v="2025-12-12T00:00:00"/>
    <n v="0"/>
    <n v="1"/>
    <n v="1"/>
    <n v="0"/>
    <n v="0"/>
    <n v="0"/>
    <n v="0"/>
    <m/>
    <n v="158.98050000000001"/>
    <n v="108.15"/>
    <n v="0"/>
    <n v="96"/>
    <n v="0"/>
    <m/>
    <n v="0"/>
    <n v="0"/>
    <n v="0"/>
    <m/>
    <n v="0"/>
    <n v="0"/>
    <n v="0"/>
    <m/>
    <n v="0"/>
    <n v="0"/>
    <n v="158.98050000000001"/>
    <n v="0"/>
    <n v="96"/>
    <n v="0.60384764169190563"/>
    <n v="9395.5402799999993"/>
    <n v="9395.5402799999993"/>
    <n v="0"/>
  </r>
  <r>
    <n v="1"/>
    <s v="SS-24/2025"/>
    <s v="23-0052-ES - ATENUAÇÃO DE RUÍDOS NAS TORRES DE RESFRIAMENTO"/>
    <x v="1"/>
    <x v="0"/>
    <x v="0"/>
    <s v="REV.04"/>
    <d v="2026-02-23T00:00:00"/>
    <d v="2026-02-24T00:00:00"/>
    <s v=""/>
    <s v="ENTREGUE"/>
    <x v="0"/>
    <n v="0"/>
    <x v="0"/>
    <s v="REV.02"/>
    <d v="2026-02-23T00:00:00"/>
    <d v="2026-02-24T00:00:00"/>
    <s v=""/>
    <s v="ENTREGUE"/>
    <s v="APROVADO"/>
    <m/>
    <d v="2026-08-04T00:00:00"/>
    <d v="2026-08-04T00:00:00"/>
    <n v="0"/>
    <n v="0.5857"/>
    <n v="0.5071"/>
    <n v="2.1399999999999999E-2"/>
    <n v="-7.8600000000000003E-2"/>
    <n v="0"/>
    <n v="0"/>
    <m/>
    <n v="294.46439999999996"/>
    <n v="213.38"/>
    <n v="16.0099999999975"/>
    <n v="176"/>
    <n v="0"/>
    <m/>
    <n v="0"/>
    <n v="0"/>
    <n v="0"/>
    <m/>
    <n v="0"/>
    <n v="0"/>
    <n v="0"/>
    <m/>
    <n v="0"/>
    <n v="0"/>
    <n v="294.46439999999996"/>
    <n v="16.0099999999975"/>
    <n v="176"/>
    <n v="0.59769534110065603"/>
    <n v="403913.19"/>
    <n v="253164.90167999998"/>
    <n v="150748.28832000002"/>
  </r>
  <r>
    <n v="1"/>
    <s v="SS-25/2025"/>
    <s v="21-0418-ES - SUBSTITUIÇÃO DAS LINHAS DE ABASTECIMENTO DE ÁGUA DE POÇO TUBULARES"/>
    <x v="1"/>
    <x v="1"/>
    <x v="4"/>
    <s v="REV.01"/>
    <d v="2025-11-19T00:00:00"/>
    <d v="1899-12-30T00:00:00"/>
    <s v=""/>
    <s v="CANCELADA"/>
    <x v="3"/>
    <n v="0"/>
    <x v="3"/>
    <s v="REV.00"/>
    <d v="2025-11-19T00:00:00"/>
    <d v="1899-12-30T00:00:00"/>
    <s v=""/>
    <s v="CANCELADA"/>
    <s v="CANCELADA"/>
    <m/>
    <m/>
    <m/>
    <n v="0"/>
    <m/>
    <m/>
    <m/>
    <n v="0"/>
    <m/>
    <m/>
    <m/>
    <n v="0"/>
    <m/>
    <n v="0"/>
    <n v="0"/>
    <n v="0"/>
    <m/>
    <n v="0"/>
    <n v="0"/>
    <n v="0"/>
    <m/>
    <n v="0"/>
    <n v="0"/>
    <n v="0"/>
    <m/>
    <n v="0"/>
    <n v="0"/>
    <n v="0"/>
    <n v="0"/>
    <n v="0"/>
    <s v=""/>
    <n v="0"/>
    <n v="0"/>
    <n v="0"/>
  </r>
  <r>
    <n v="1"/>
    <s v="SS-26/2025"/>
    <s v="24-0307-ES - MANUTENÇÃO DO GALPÃO K-23"/>
    <x v="1"/>
    <x v="1"/>
    <x v="0"/>
    <s v="REV.01"/>
    <d v="2025-12-20T00:00:00"/>
    <d v="2025-12-20T00:00:00"/>
    <s v=""/>
    <s v="ENTREGUE"/>
    <x v="0"/>
    <n v="0"/>
    <x v="0"/>
    <s v="REV.01"/>
    <d v="2025-12-22T00:00:00"/>
    <d v="2025-12-22T00:00:00"/>
    <s v=""/>
    <s v="ENTREGUE"/>
    <s v="APROVADO"/>
    <m/>
    <d v="2026-06-01T00:00:00"/>
    <d v="2026-07-24T00:00:00"/>
    <n v="53"/>
    <n v="0.39629999999999999"/>
    <n v="8.3400000000000002E-2"/>
    <n v="-0.26919999999999999"/>
    <n v="-0.31289999999999996"/>
    <n v="6"/>
    <n v="3"/>
    <m/>
    <n v="1253.4983999999999"/>
    <n v="852.72"/>
    <n v="2872.7172413793105"/>
    <n v="220"/>
    <n v="0"/>
    <m/>
    <n v="295.72089249492905"/>
    <n v="0"/>
    <n v="1251.0729000000001"/>
    <n v="851.07"/>
    <n v="302.76186612576066"/>
    <n v="220"/>
    <n v="292.64760000000001"/>
    <n v="199.08"/>
    <n v="0"/>
    <n v="0"/>
    <n v="2797.2188999999998"/>
    <n v="3471.2000000000003"/>
    <n v="440"/>
    <n v="0.15729909446843793"/>
    <n v="1125967.97034"/>
    <n v="517945.26042000001"/>
    <n v="608022.70992000005"/>
  </r>
  <r>
    <n v="1"/>
    <s v="SS-27/2025"/>
    <s v="23-0735-ES - MANUTENÇÃO DO GALPÃO K-12"/>
    <x v="1"/>
    <x v="1"/>
    <x v="0"/>
    <s v="REV.01"/>
    <d v="2025-12-20T00:00:00"/>
    <d v="2025-12-20T00:00:00"/>
    <s v=""/>
    <s v="ENTREGUE"/>
    <x v="0"/>
    <n v="0"/>
    <x v="0"/>
    <s v="REV.01"/>
    <d v="2025-12-22T00:00:00"/>
    <d v="2025-12-22T00:00:00"/>
    <s v=""/>
    <s v="ENTREGUE"/>
    <s v="APROVADO"/>
    <m/>
    <d v="2026-03-23T00:00:00"/>
    <d v="2026-03-30T00:00:00"/>
    <n v="7"/>
    <n v="0.89549999999999996"/>
    <n v="0.50239999999999996"/>
    <n v="-0.39850000000000002"/>
    <n v="-0.3931"/>
    <n v="3"/>
    <n v="3"/>
    <m/>
    <n v="443.9547"/>
    <n v="302.01"/>
    <n v="377.17967781908305"/>
    <n v="327.8840579710145"/>
    <n v="0"/>
    <m/>
    <n v="0"/>
    <n v="0"/>
    <n v="527.28899999999999"/>
    <n v="358.7"/>
    <n v="117.05576208178439"/>
    <n v="0"/>
    <n v="0"/>
    <m/>
    <n v="30.564560099132592"/>
    <n v="76.115942028985501"/>
    <n v="971.24369999999999"/>
    <n v="524.80000000000007"/>
    <n v="404"/>
    <n v="0.41596151408755599"/>
    <n v="415472.31089999998"/>
    <n v="290830.46922000003"/>
    <n v="124641.84167999995"/>
  </r>
  <r>
    <n v="1"/>
    <s v="SS-28/2025"/>
    <s v="23-0831-ES - MANUTENÇÃO DO GALPÃO K-48"/>
    <x v="1"/>
    <x v="1"/>
    <x v="0"/>
    <s v="REV.01"/>
    <d v="2025-12-20T00:00:00"/>
    <d v="2025-12-22T00:00:00"/>
    <s v=""/>
    <s v="ENTREGUE"/>
    <x v="0"/>
    <n v="0"/>
    <x v="0"/>
    <s v="REV.01"/>
    <d v="2025-12-22T00:00:00"/>
    <d v="2025-12-22T00:00:00"/>
    <s v=""/>
    <s v="ENTREGUE"/>
    <s v="APROVADO"/>
    <m/>
    <d v="2026-06-09T00:00:00"/>
    <d v="2026-06-09T00:00:00"/>
    <n v="0"/>
    <n v="0.32419999999999999"/>
    <n v="0.32419999999999999"/>
    <n v="7.6E-3"/>
    <n v="0"/>
    <n v="6"/>
    <n v="2"/>
    <m/>
    <n v="1540.4277000000002"/>
    <n v="1047.9100000000001"/>
    <n v="2859.2292089249495"/>
    <n v="166.5"/>
    <n v="0"/>
    <m/>
    <n v="0"/>
    <n v="0"/>
    <n v="1572.7530000000002"/>
    <n v="1069.9000000000001"/>
    <n v="364.55172413793105"/>
    <n v="0"/>
    <n v="225.82140000000001"/>
    <n v="153.62"/>
    <n v="300.21906693711969"/>
    <n v="129.5"/>
    <n v="3339.0021000000002"/>
    <n v="3524.0000000000005"/>
    <n v="296"/>
    <n v="8.8649240442226732E-2"/>
    <n v="1219896.0657000002"/>
    <n v="536754.44699999993"/>
    <n v="683141.61870000022"/>
  </r>
  <r>
    <n v="1"/>
    <s v="SS-29/2025"/>
    <s v="25-0395-ES - INTERVENÇÃO NAS INFILTRAÇÕES DA COBERTURA PRÉDIO ADMINISTRATIVO"/>
    <x v="1"/>
    <x v="1"/>
    <x v="0"/>
    <s v="REV.01"/>
    <d v="2025-12-19T00:00:00"/>
    <d v="2025-12-22T00:00:00"/>
    <s v=""/>
    <s v="ENTREGUE"/>
    <x v="0"/>
    <n v="0"/>
    <x v="0"/>
    <s v="REV.00"/>
    <d v="2025-12-18T00:00:00"/>
    <d v="2025-12-22T00:00:00"/>
    <s v=""/>
    <s v="ENTREGUE"/>
    <s v="APROVADO"/>
    <m/>
    <d v="2026-05-22T00:00:00"/>
    <d v="2026-05-07T00:00:00"/>
    <n v="-15"/>
    <n v="0.35449999999999998"/>
    <n v="0.52610000000000001"/>
    <n v="-6.6299999999999998E-2"/>
    <n v="0.17160000000000003"/>
    <n v="2"/>
    <n v="3"/>
    <m/>
    <n v="147.6027"/>
    <n v="100.41"/>
    <n v="834.02666666666664"/>
    <n v="60"/>
    <n v="879.29519999999991"/>
    <n v="598.16"/>
    <n v="738.70933333333335"/>
    <n v="180"/>
    <n v="0"/>
    <m/>
    <n v="0"/>
    <n v="0"/>
    <n v="413.64329999999995"/>
    <n v="281.39"/>
    <n v="214.464"/>
    <n v="0"/>
    <n v="1440.5411999999999"/>
    <n v="1787.1999999999998"/>
    <n v="240"/>
    <n v="0.16660405131071573"/>
    <n v="139993.07525999998"/>
    <n v="41997.952259999998"/>
    <n v="97995.122999999992"/>
  </r>
  <r>
    <n v="1"/>
    <s v="SS-30/2025"/>
    <s v="24-0666-ES - ADEQUAÇÃO DE PISO ELEVADO NO CENTRO DE SAÚDE"/>
    <x v="1"/>
    <x v="0"/>
    <x v="0"/>
    <s v="REV.01"/>
    <d v="2026-01-19T00:00:00"/>
    <d v="2026-02-12T00:00:00"/>
    <s v=""/>
    <s v="ENTREGUE"/>
    <x v="0"/>
    <n v="0"/>
    <x v="0"/>
    <s v="REV.02"/>
    <d v="2026-02-25T00:00:00"/>
    <d v="2026-02-25T00:00:00"/>
    <s v=""/>
    <s v="ENTREGUE"/>
    <s v="APROVADO"/>
    <m/>
    <d v="2026-04-16T00:00:00"/>
    <d v="2026-04-20T00:00:00"/>
    <n v="4"/>
    <n v="7.0000000000000007E-2"/>
    <n v="0"/>
    <n v="0"/>
    <n v="-7.0000000000000007E-2"/>
    <n v="0"/>
    <n v="0"/>
    <m/>
    <n v="0"/>
    <m/>
    <n v="0"/>
    <n v="0"/>
    <n v="190.3434"/>
    <n v="137.93"/>
    <n v="448"/>
    <n v="0"/>
    <n v="0"/>
    <m/>
    <n v="0"/>
    <n v="0"/>
    <n v="0"/>
    <m/>
    <n v="0"/>
    <n v="0"/>
    <n v="190.3434"/>
    <n v="448"/>
    <n v="0"/>
    <n v="0"/>
    <n v="41370.68"/>
    <n v="4137.0771599999998"/>
    <n v="37233.60284"/>
  </r>
  <r>
    <n v="1"/>
    <s v="SS-31/2025"/>
    <s v="25-0147-ES - ADEQUAÇÃO NA ÁREA DA NOVA PORTARIA"/>
    <x v="1"/>
    <x v="1"/>
    <x v="2"/>
    <s v="REV.00"/>
    <d v="2025-12-12T00:00:00"/>
    <d v="2025-12-12T00:00:00"/>
    <s v=""/>
    <s v="ENTREGUE"/>
    <x v="0"/>
    <n v="0"/>
    <x v="0"/>
    <s v="REV.01"/>
    <d v="2025-12-22T00:00:00"/>
    <d v="2025-12-22T00:00:00"/>
    <s v=""/>
    <s v="ENTREGUE"/>
    <s v="APROVADO"/>
    <m/>
    <d v="2025-12-23T00:00:00"/>
    <d v="2026-01-27T00:00:00"/>
    <n v="35"/>
    <n v="1"/>
    <n v="1"/>
    <n v="0"/>
    <n v="0"/>
    <n v="0"/>
    <n v="0"/>
    <m/>
    <n v="0"/>
    <m/>
    <n v="0"/>
    <n v="0"/>
    <n v="330.47070000000002"/>
    <n v="224.81"/>
    <n v="292"/>
    <n v="168"/>
    <n v="0"/>
    <m/>
    <n v="0"/>
    <n v="0"/>
    <n v="0"/>
    <m/>
    <n v="0"/>
    <n v="128"/>
    <n v="330.47070000000002"/>
    <n v="292"/>
    <n v="296"/>
    <n v="0.89569211430846962"/>
    <n v="82273.161240000001"/>
    <n v="82273.161240000001"/>
    <n v="0"/>
  </r>
  <r>
    <n v="1"/>
    <s v="SS-32/2025"/>
    <s v="21-0008-ES - ADEQUAÇÕES DO GALPÃO UPCGN-2"/>
    <x v="1"/>
    <x v="1"/>
    <x v="2"/>
    <s v="REV.01"/>
    <d v="2026-02-23T00:00:00"/>
    <d v="2026-02-23T00:00:00"/>
    <s v=""/>
    <s v="ENTREGUE"/>
    <x v="0"/>
    <n v="0"/>
    <x v="0"/>
    <s v="REV.00"/>
    <s v="N/A"/>
    <s v="N/A"/>
    <s v=""/>
    <s v="ENTREGUE"/>
    <s v="APROVADO"/>
    <m/>
    <m/>
    <m/>
    <n v="0"/>
    <n v="1"/>
    <n v="1"/>
    <m/>
    <n v="0"/>
    <m/>
    <m/>
    <m/>
    <n v="277.47719999999998"/>
    <n v="188.76"/>
    <n v="472"/>
    <n v="304.47761194029852"/>
    <n v="0"/>
    <m/>
    <n v="0"/>
    <n v="0"/>
    <n v="0"/>
    <m/>
    <n v="0"/>
    <n v="0"/>
    <n v="444.39569999999998"/>
    <n v="302.31"/>
    <n v="0"/>
    <n v="295.52238805970148"/>
    <n v="721.87289999999996"/>
    <n v="472"/>
    <n v="600"/>
    <n v="0.83117124912155593"/>
    <n v="128609.1378"/>
    <n v="128609.1378"/>
    <n v="0"/>
  </r>
  <r>
    <n v="1"/>
    <s v="SS-33/2025"/>
    <s v="24-0669-ES - ADEQUAÇÕES EM PISO ELEVADO - PORTARIAS"/>
    <x v="1"/>
    <x v="0"/>
    <x v="0"/>
    <s v="REV.03"/>
    <d v="2026-02-25T00:00:00"/>
    <d v="2026-02-25T00:00:00"/>
    <s v=""/>
    <s v="ENTREGUE"/>
    <x v="0"/>
    <n v="0"/>
    <x v="0"/>
    <s v="REV.03"/>
    <d v="2026-02-25T00:00:00"/>
    <d v="2026-02-25T00:00:00"/>
    <s v=""/>
    <s v="ENTREGUE"/>
    <s v="APROVADO"/>
    <m/>
    <d v="2026-09-29T00:00:00"/>
    <d v="2026-09-29T00:00:00"/>
    <n v="0"/>
    <n v="0"/>
    <n v="0"/>
    <n v="0"/>
    <n v="0"/>
    <n v="0"/>
    <n v="0"/>
    <m/>
    <n v="0"/>
    <m/>
    <n v="0"/>
    <n v="0"/>
    <n v="10239.875999999998"/>
    <n v="7420.2"/>
    <n v="3682"/>
    <n v="0"/>
    <n v="0"/>
    <m/>
    <n v="0"/>
    <n v="0"/>
    <n v="0"/>
    <m/>
    <n v="0"/>
    <n v="0"/>
    <n v="10239.875999999998"/>
    <n v="3682"/>
    <n v="0"/>
    <n v="0"/>
    <n v="1114645.1777999999"/>
    <n v="111464.51777999999"/>
    <n v="1003180.66002"/>
  </r>
  <r>
    <n v="1"/>
    <s v="SS-01/2026"/>
    <s v="21-0008-ES - PREPARAÇÃO DE ÁREA PARA INSTALAÇÃO DO CANTEIRO DA INOVA"/>
    <x v="1"/>
    <x v="1"/>
    <x v="0"/>
    <s v="REV.06"/>
    <d v="2026-02-23T00:00:00"/>
    <d v="2026-02-23T00:00:00"/>
    <s v=""/>
    <s v="ENTREGUE"/>
    <x v="0"/>
    <n v="0"/>
    <x v="0"/>
    <s v="REV.02"/>
    <d v="2026-02-25T00:00:00"/>
    <d v="2026-02-25T00:00:00"/>
    <s v=""/>
    <s v="ENTREGUE"/>
    <s v="APROVADO"/>
    <m/>
    <d v="2026-04-20T00:00:00"/>
    <d v="2026-04-20T00:00:00"/>
    <n v="0"/>
    <n v="8.7099999999999997E-2"/>
    <n v="8.7099999999999997E-2"/>
    <n v="0"/>
    <n v="0"/>
    <n v="11"/>
    <n v="11"/>
    <m/>
    <n v="0"/>
    <m/>
    <n v="0"/>
    <n v="0"/>
    <n v="204.32999999999998"/>
    <n v="139"/>
    <n v="565.59490445859865"/>
    <n v="24"/>
    <n v="37.088099999999997"/>
    <n v="25.23"/>
    <n v="133.60509554140125"/>
    <n v="0"/>
    <n v="0"/>
    <m/>
    <n v="0"/>
    <n v="0"/>
    <n v="241.41809999999998"/>
    <n v="699.19999999999993"/>
    <n v="24"/>
    <n v="9.9412595824422453E-2"/>
    <n v="91628.333999999988"/>
    <n v="33901.889940000001"/>
    <n v="57726.444059999987"/>
  </r>
  <r>
    <n v="1"/>
    <s v="SS-02/2026"/>
    <s v="23-0736-ES - MANUTENÇÃO DO DEPÓSITO DE PIG K-34"/>
    <x v="1"/>
    <x v="1"/>
    <x v="0"/>
    <s v="REV.02"/>
    <d v="2026-02-26T00:00:00"/>
    <d v="2026-02-26T00:00:00"/>
    <s v=""/>
    <s v="ENTREGUE"/>
    <x v="0"/>
    <n v="0"/>
    <x v="0"/>
    <s v="REV.01"/>
    <d v="2026-02-25T00:00:00"/>
    <d v="2026-02-25T00:00:00"/>
    <s v=""/>
    <s v="ENTREGUE"/>
    <s v="APROVADO"/>
    <m/>
    <d v="2026-08-06T00:00:00"/>
    <d v="2026-08-06T00:00:00"/>
    <n v="0"/>
    <n v="0"/>
    <n v="0"/>
    <n v="0"/>
    <n v="0"/>
    <n v="0"/>
    <n v="0"/>
    <m/>
    <n v="629.74799999999993"/>
    <n v="428.4"/>
    <n v="834.53261876205079"/>
    <n v="0"/>
    <n v="0"/>
    <m/>
    <n v="0"/>
    <n v="0"/>
    <n v="494.66969999999998"/>
    <n v="336.51"/>
    <n v="199.36636540300907"/>
    <n v="0"/>
    <n v="57.917999999999999"/>
    <n v="39.4"/>
    <n v="111.2710158349401"/>
    <n v="0"/>
    <n v="1182.3356999999999"/>
    <n v="1145.1699999999998"/>
    <n v="0"/>
    <n v="0"/>
    <n v="467937.02681999997"/>
    <n v="45006.816599999998"/>
    <n v="422930.21021999995"/>
  </r>
  <r>
    <n v="1"/>
    <s v="SS-03/2026"/>
    <s v="23-0828-ES - MANUTENÇÃO DO GALPÃO K-56"/>
    <x v="1"/>
    <x v="1"/>
    <x v="0"/>
    <s v="REV.01"/>
    <d v="2026-03-12T00:00:00"/>
    <d v="2026-03-12T00:00:00"/>
    <s v=""/>
    <s v="ENTREGUE"/>
    <x v="0"/>
    <n v="0"/>
    <x v="0"/>
    <s v="REV.01"/>
    <d v="2026-03-13T00:00:00"/>
    <d v="2026-03-13T00:00:00"/>
    <s v=""/>
    <s v="ENTREGUE"/>
    <s v="APROVADO"/>
    <m/>
    <m/>
    <m/>
    <n v="0"/>
    <m/>
    <m/>
    <m/>
    <n v="0"/>
    <m/>
    <m/>
    <m/>
    <n v="0"/>
    <m/>
    <n v="0"/>
    <n v="0"/>
    <n v="0"/>
    <m/>
    <n v="0"/>
    <n v="0"/>
    <n v="0"/>
    <m/>
    <n v="0"/>
    <n v="0"/>
    <n v="0"/>
    <m/>
    <n v="0"/>
    <n v="0"/>
    <n v="0"/>
    <n v="0"/>
    <n v="0"/>
    <s v=""/>
    <n v="565513.33679999993"/>
    <n v="0"/>
    <n v="565513.33679999993"/>
  </r>
  <r>
    <n v="1"/>
    <s v="SS-04/2026"/>
    <s v="24-0653-ES - REFORMA DO TELHADO DO K-26"/>
    <x v="1"/>
    <x v="1"/>
    <x v="0"/>
    <s v="REV.02"/>
    <d v="2026-02-23T00:00:00"/>
    <d v="2026-02-23T00:00:00"/>
    <s v=""/>
    <s v="ENTREGUE"/>
    <x v="0"/>
    <n v="0"/>
    <x v="0"/>
    <s v="REV.00"/>
    <d v="2026-02-13T00:00:00"/>
    <d v="2026-02-23T00:00:00"/>
    <s v=""/>
    <s v="ENTREGUE"/>
    <s v="APROVADO"/>
    <m/>
    <d v="2026-06-24T00:00:00"/>
    <d v="2026-06-24T00:00:00"/>
    <n v="0"/>
    <n v="0"/>
    <n v="0"/>
    <n v="0"/>
    <n v="0"/>
    <n v="0"/>
    <n v="0"/>
    <m/>
    <n v="454.5093"/>
    <n v="309.19"/>
    <n v="1129.5191919191921"/>
    <n v="0"/>
    <n v="877.75170000000003"/>
    <n v="597.11"/>
    <n v="949.2767676767678"/>
    <n v="0"/>
    <n v="0"/>
    <m/>
    <n v="0"/>
    <n v="0"/>
    <n v="390.24090000000001"/>
    <n v="265.47000000000003"/>
    <n v="300.40404040404042"/>
    <n v="0"/>
    <n v="1722.5019"/>
    <n v="2379.2000000000007"/>
    <n v="0"/>
    <n v="0"/>
    <n v="348499.33019999997"/>
    <n v="34849.933019999997"/>
    <n v="313649.39717999997"/>
  </r>
  <r>
    <n v="1"/>
    <s v="SS-05/2026"/>
    <s v="24-1172-ES - REFORMA DO TELHADO DO K-24"/>
    <x v="1"/>
    <x v="1"/>
    <x v="3"/>
    <s v=""/>
    <s v=""/>
    <s v=""/>
    <s v=""/>
    <s v="PENDENTE"/>
    <x v="2"/>
    <s v=""/>
    <x v="2"/>
    <s v=""/>
    <s v=""/>
    <s v=""/>
    <s v=""/>
    <s v="PENDENTE"/>
    <s v="ON HOLD"/>
    <m/>
    <m/>
    <m/>
    <n v="0"/>
    <m/>
    <m/>
    <m/>
    <n v="0"/>
    <m/>
    <m/>
    <m/>
    <n v="0"/>
    <m/>
    <n v="0"/>
    <n v="0"/>
    <n v="0"/>
    <m/>
    <n v="0"/>
    <n v="0"/>
    <n v="0"/>
    <m/>
    <n v="0"/>
    <n v="0"/>
    <n v="0"/>
    <m/>
    <n v="0"/>
    <n v="0"/>
    <n v="0"/>
    <n v="0"/>
    <n v="0"/>
    <s v=""/>
    <n v="0"/>
    <n v="0"/>
    <n v="0"/>
  </r>
  <r>
    <n v="1"/>
    <s v="SS-06/2026"/>
    <s v="21-0036-ES - DESMONTAGEM DOS CHILLERS DE ABSORÇÃO E RECUPERADORES DE ENERGIA"/>
    <x v="1"/>
    <x v="0"/>
    <x v="0"/>
    <s v="REV.02"/>
    <d v="2026-03-12T00:00:00"/>
    <d v="2026-03-12T00:00:00"/>
    <s v=""/>
    <s v="ENTREGUE"/>
    <x v="0"/>
    <n v="0"/>
    <x v="0"/>
    <s v="REV.01"/>
    <d v="2026-03-17T00:00:00"/>
    <d v="2026-03-18T00:00:00"/>
    <s v=""/>
    <s v="ENTREGUE"/>
    <s v="APROVADO"/>
    <m/>
    <m/>
    <m/>
    <n v="0"/>
    <m/>
    <m/>
    <m/>
    <n v="0"/>
    <m/>
    <m/>
    <m/>
    <n v="0"/>
    <m/>
    <n v="0"/>
    <n v="0"/>
    <n v="0"/>
    <m/>
    <n v="0"/>
    <n v="0"/>
    <n v="0"/>
    <m/>
    <n v="0"/>
    <n v="0"/>
    <n v="0"/>
    <m/>
    <n v="0"/>
    <n v="0"/>
    <n v="0"/>
    <n v="0"/>
    <n v="0"/>
    <s v=""/>
    <n v="416350.00763999997"/>
    <n v="0"/>
    <n v="416350.00763999997"/>
  </r>
  <r>
    <n v="1"/>
    <s v="SS-07/2026"/>
    <s v="24-0968-ES - INSTALAÇÃO DE SISTEMA DE CLIMATIZAÇÃO NO K-24"/>
    <x v="1"/>
    <x v="1"/>
    <x v="3"/>
    <s v=""/>
    <s v=""/>
    <s v=""/>
    <s v=""/>
    <s v="PENDENTE"/>
    <x v="2"/>
    <s v=""/>
    <x v="2"/>
    <s v=""/>
    <s v=""/>
    <s v=""/>
    <s v=""/>
    <s v="PENDENTE"/>
    <s v="ON HOLD"/>
    <m/>
    <m/>
    <m/>
    <n v="0"/>
    <m/>
    <m/>
    <m/>
    <n v="0"/>
    <m/>
    <m/>
    <m/>
    <n v="0"/>
    <m/>
    <n v="0"/>
    <n v="0"/>
    <n v="0"/>
    <m/>
    <n v="0"/>
    <n v="0"/>
    <n v="0"/>
    <m/>
    <n v="0"/>
    <n v="0"/>
    <n v="0"/>
    <m/>
    <n v="0"/>
    <n v="0"/>
    <n v="0"/>
    <n v="0"/>
    <n v="0"/>
    <s v=""/>
    <n v="0"/>
    <n v="0"/>
    <n v="0"/>
  </r>
  <r>
    <n v="1"/>
    <s v="SS-08/2026"/>
    <s v="24-0308-ES - ADEQUAÇÃO DAS CALHAS DA COBERTURA DO K-39"/>
    <x v="1"/>
    <x v="1"/>
    <x v="5"/>
    <s v="REV.00"/>
    <d v="1899-12-30T00:00:00"/>
    <d v="1899-12-30T00:00:00"/>
    <d v="2026-03-23T00:00:00"/>
    <s v="PENDENTE"/>
    <x v="4"/>
    <n v="0"/>
    <x v="4"/>
    <s v="REV.00"/>
    <d v="1899-12-30T00:00:00"/>
    <d v="1899-12-30T00:00:00"/>
    <d v="2026-03-23T00:00:00"/>
    <s v="PENDENTE"/>
    <s v="FISCALIZ."/>
    <m/>
    <m/>
    <m/>
    <n v="0"/>
    <m/>
    <m/>
    <m/>
    <n v="0"/>
    <m/>
    <m/>
    <m/>
    <n v="0"/>
    <m/>
    <n v="0"/>
    <n v="0"/>
    <n v="0"/>
    <m/>
    <n v="0"/>
    <n v="0"/>
    <n v="0"/>
    <m/>
    <n v="0"/>
    <n v="0"/>
    <n v="0"/>
    <m/>
    <n v="0"/>
    <n v="0"/>
    <n v="0"/>
    <n v="0"/>
    <n v="0"/>
    <s v=""/>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D11580-C764-446F-BAAC-DD2E4B03644F}" name="Tabela dinâmica2" cacheId="0" applyNumberFormats="0" applyBorderFormats="0" applyFontFormats="0" applyPatternFormats="0" applyAlignmentFormats="0" applyWidthHeightFormats="1" dataCaption="Valores" updatedVersion="7" minRefreshableVersion="3" itemPrintTitles="1" createdVersion="8" indent="0" outline="1" outlineData="1" multipleFieldFilters="0" chartFormat="63">
  <location ref="F5:G11" firstHeaderRow="1" firstDataRow="1" firstDataCol="1" rowPageCount="1" colPageCount="1"/>
  <pivotFields count="54">
    <pivotField showAll="0"/>
    <pivotField showAll="0"/>
    <pivotField showAll="0"/>
    <pivotField showAll="0">
      <items count="3">
        <item h="1" x="0"/>
        <item x="1"/>
        <item t="default"/>
      </items>
    </pivotField>
    <pivotField axis="axisPage" multipleItemSelectionAllowed="1" showAll="0">
      <items count="20">
        <item m="1" x="9"/>
        <item m="1" x="6"/>
        <item m="1" x="13"/>
        <item m="1" x="16"/>
        <item m="1" x="18"/>
        <item m="1" x="17"/>
        <item m="1" x="12"/>
        <item m="1" x="7"/>
        <item m="1" x="11"/>
        <item m="1" x="14"/>
        <item m="1" x="4"/>
        <item m="1" x="8"/>
        <item m="1" x="15"/>
        <item m="1" x="10"/>
        <item m="1" x="5"/>
        <item x="0"/>
        <item x="1"/>
        <item x="2"/>
        <item x="3"/>
        <item t="default"/>
      </items>
    </pivotField>
    <pivotField axis="axisRow" dataField="1" showAll="0">
      <items count="9">
        <item m="1" x="7"/>
        <item x="4"/>
        <item x="2"/>
        <item x="0"/>
        <item x="5"/>
        <item m="1" x="6"/>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0" showAll="0"/>
    <pivotField numFmtId="10" showAll="0"/>
    <pivotField numFmtId="10" showAll="0"/>
    <pivotField showAll="0"/>
    <pivotField showAll="0"/>
    <pivotField showAll="0"/>
    <pivotField showAll="0"/>
    <pivotField numFmtId="4" showAll="0"/>
    <pivotField showAll="0"/>
    <pivotField numFmtId="4" showAll="0"/>
    <pivotField numFmtId="4" showAll="0"/>
    <pivotField numFmtId="4" showAll="0"/>
    <pivotField showAll="0"/>
    <pivotField numFmtId="4" showAll="0"/>
    <pivotField numFmtId="4" showAll="0"/>
    <pivotField numFmtId="4" showAll="0"/>
    <pivotField showAll="0"/>
    <pivotField numFmtId="4" showAll="0"/>
    <pivotField numFmtId="4" showAll="0"/>
    <pivotField numFmtId="4" showAll="0"/>
    <pivotField showAll="0"/>
    <pivotField numFmtId="4" showAll="0"/>
    <pivotField numFmtId="4" showAll="0"/>
    <pivotField numFmtId="4" showAll="0"/>
    <pivotField numFmtId="4" showAll="0"/>
    <pivotField numFmtId="4" showAll="0"/>
    <pivotField showAll="0"/>
    <pivotField numFmtId="44" showAll="0"/>
    <pivotField numFmtId="44" showAll="0"/>
    <pivotField numFmtId="44" showAll="0"/>
  </pivotFields>
  <rowFields count="1">
    <field x="5"/>
  </rowFields>
  <rowItems count="6">
    <i>
      <x v="1"/>
    </i>
    <i>
      <x v="2"/>
    </i>
    <i>
      <x v="3"/>
    </i>
    <i>
      <x v="4"/>
    </i>
    <i>
      <x v="7"/>
    </i>
    <i t="grand">
      <x/>
    </i>
  </rowItems>
  <colItems count="1">
    <i/>
  </colItems>
  <pageFields count="1">
    <pageField fld="4" hier="-1"/>
  </pageFields>
  <dataFields count="1">
    <dataField name="Contagem de STATUS DEMANDA" fld="5" subtotal="count" baseField="0" baseItem="0"/>
  </dataFields>
  <formats count="16">
    <format dxfId="959">
      <pivotArea type="all" dataOnly="0" outline="0" fieldPosition="0"/>
    </format>
    <format dxfId="958">
      <pivotArea outline="0" collapsedLevelsAreSubtotals="1" fieldPosition="0"/>
    </format>
    <format dxfId="957">
      <pivotArea field="5" type="button" dataOnly="0" labelOnly="1" outline="0" axis="axisRow" fieldPosition="0"/>
    </format>
    <format dxfId="956">
      <pivotArea dataOnly="0" labelOnly="1" fieldPosition="0">
        <references count="1">
          <reference field="5" count="0"/>
        </references>
      </pivotArea>
    </format>
    <format dxfId="955">
      <pivotArea dataOnly="0" labelOnly="1" grandRow="1" outline="0" fieldPosition="0"/>
    </format>
    <format dxfId="954">
      <pivotArea dataOnly="0" labelOnly="1" outline="0" axis="axisValues" fieldPosition="0"/>
    </format>
    <format dxfId="953">
      <pivotArea type="all" dataOnly="0" outline="0" fieldPosition="0"/>
    </format>
    <format dxfId="952">
      <pivotArea outline="0" collapsedLevelsAreSubtotals="1" fieldPosition="0"/>
    </format>
    <format dxfId="951">
      <pivotArea field="5" type="button" dataOnly="0" labelOnly="1" outline="0" axis="axisRow" fieldPosition="0"/>
    </format>
    <format dxfId="950">
      <pivotArea dataOnly="0" labelOnly="1" fieldPosition="0">
        <references count="1">
          <reference field="5" count="0"/>
        </references>
      </pivotArea>
    </format>
    <format dxfId="949">
      <pivotArea dataOnly="0" labelOnly="1" grandRow="1" outline="0" fieldPosition="0"/>
    </format>
    <format dxfId="948">
      <pivotArea dataOnly="0" labelOnly="1" outline="0" axis="axisValues" fieldPosition="0"/>
    </format>
    <format dxfId="947">
      <pivotArea collapsedLevelsAreSubtotals="1" fieldPosition="0">
        <references count="1">
          <reference field="5" count="2">
            <x v="4"/>
            <x v="7"/>
          </reference>
        </references>
      </pivotArea>
    </format>
    <format dxfId="946">
      <pivotArea grandRow="1" outline="0" collapsedLevelsAreSubtotals="1" fieldPosition="0"/>
    </format>
    <format dxfId="945">
      <pivotArea dataOnly="0" labelOnly="1" fieldPosition="0">
        <references count="1">
          <reference field="5" count="2">
            <x v="4"/>
            <x v="7"/>
          </reference>
        </references>
      </pivotArea>
    </format>
    <format dxfId="944">
      <pivotArea dataOnly="0" labelOnly="1" grandRow="1" outline="0" fieldPosition="0"/>
    </format>
  </formats>
  <chartFormats count="3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5"/>
          </reference>
        </references>
      </pivotArea>
    </chartFormat>
    <chartFormat chart="0" format="5">
      <pivotArea type="data" outline="0" fieldPosition="0">
        <references count="2">
          <reference field="4294967294" count="1" selected="0">
            <x v="0"/>
          </reference>
          <reference field="5" count="1" selected="0">
            <x v="3"/>
          </reference>
        </references>
      </pivotArea>
    </chartFormat>
    <chartFormat chart="0" format="7">
      <pivotArea type="data" outline="0" fieldPosition="0">
        <references count="2">
          <reference field="4294967294" count="1" selected="0">
            <x v="0"/>
          </reference>
          <reference field="5" count="1" selected="0">
            <x v="7"/>
          </reference>
        </references>
      </pivotArea>
    </chartFormat>
    <chartFormat chart="0" format="8">
      <pivotArea type="data" outline="0" fieldPosition="0">
        <references count="2">
          <reference field="4294967294" count="1" selected="0">
            <x v="0"/>
          </reference>
          <reference field="5" count="1" selected="0">
            <x v="6"/>
          </reference>
        </references>
      </pivotArea>
    </chartFormat>
    <chartFormat chart="27" format="14" series="1">
      <pivotArea type="data" outline="0" fieldPosition="0">
        <references count="1">
          <reference field="4294967294" count="1" selected="0">
            <x v="0"/>
          </reference>
        </references>
      </pivotArea>
    </chartFormat>
    <chartFormat chart="27" format="15">
      <pivotArea type="data" outline="0" fieldPosition="0">
        <references count="2">
          <reference field="4294967294" count="1" selected="0">
            <x v="0"/>
          </reference>
          <reference field="5" count="1" selected="0">
            <x v="2"/>
          </reference>
        </references>
      </pivotArea>
    </chartFormat>
    <chartFormat chart="27" format="16">
      <pivotArea type="data" outline="0" fieldPosition="0">
        <references count="2">
          <reference field="4294967294" count="1" selected="0">
            <x v="0"/>
          </reference>
          <reference field="5" count="1" selected="0">
            <x v="3"/>
          </reference>
        </references>
      </pivotArea>
    </chartFormat>
    <chartFormat chart="27" format="17">
      <pivotArea type="data" outline="0" fieldPosition="0">
        <references count="2">
          <reference field="4294967294" count="1" selected="0">
            <x v="0"/>
          </reference>
          <reference field="5" count="1" selected="0">
            <x v="4"/>
          </reference>
        </references>
      </pivotArea>
    </chartFormat>
    <chartFormat chart="27" format="1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4"/>
          </reference>
        </references>
      </pivotArea>
    </chartFormat>
    <chartFormat chart="49" format="24" series="1">
      <pivotArea type="data" outline="0" fieldPosition="0">
        <references count="1">
          <reference field="4294967294" count="1" selected="0">
            <x v="0"/>
          </reference>
        </references>
      </pivotArea>
    </chartFormat>
    <chartFormat chart="49" format="25">
      <pivotArea type="data" outline="0" fieldPosition="0">
        <references count="2">
          <reference field="4294967294" count="1" selected="0">
            <x v="0"/>
          </reference>
          <reference field="5" count="1" selected="0">
            <x v="2"/>
          </reference>
        </references>
      </pivotArea>
    </chartFormat>
    <chartFormat chart="49" format="26">
      <pivotArea type="data" outline="0" fieldPosition="0">
        <references count="2">
          <reference field="4294967294" count="1" selected="0">
            <x v="0"/>
          </reference>
          <reference field="5" count="1" selected="0">
            <x v="3"/>
          </reference>
        </references>
      </pivotArea>
    </chartFormat>
    <chartFormat chart="49" format="27">
      <pivotArea type="data" outline="0" fieldPosition="0">
        <references count="2">
          <reference field="4294967294" count="1" selected="0">
            <x v="0"/>
          </reference>
          <reference field="5" count="1" selected="0">
            <x v="4"/>
          </reference>
        </references>
      </pivotArea>
    </chartFormat>
    <chartFormat chart="49" format="28">
      <pivotArea type="data" outline="0" fieldPosition="0">
        <references count="2">
          <reference field="4294967294" count="1" selected="0">
            <x v="0"/>
          </reference>
          <reference field="5" count="1" selected="0">
            <x v="7"/>
          </reference>
        </references>
      </pivotArea>
    </chartFormat>
    <chartFormat chart="53" format="24" series="1">
      <pivotArea type="data" outline="0" fieldPosition="0">
        <references count="1">
          <reference field="4294967294" count="1" selected="0">
            <x v="0"/>
          </reference>
        </references>
      </pivotArea>
    </chartFormat>
    <chartFormat chart="53" format="25">
      <pivotArea type="data" outline="0" fieldPosition="0">
        <references count="2">
          <reference field="4294967294" count="1" selected="0">
            <x v="0"/>
          </reference>
          <reference field="5" count="1" selected="0">
            <x v="2"/>
          </reference>
        </references>
      </pivotArea>
    </chartFormat>
    <chartFormat chart="53" format="26">
      <pivotArea type="data" outline="0" fieldPosition="0">
        <references count="2">
          <reference field="4294967294" count="1" selected="0">
            <x v="0"/>
          </reference>
          <reference field="5" count="1" selected="0">
            <x v="3"/>
          </reference>
        </references>
      </pivotArea>
    </chartFormat>
    <chartFormat chart="53" format="27">
      <pivotArea type="data" outline="0" fieldPosition="0">
        <references count="2">
          <reference field="4294967294" count="1" selected="0">
            <x v="0"/>
          </reference>
          <reference field="5" count="1" selected="0">
            <x v="4"/>
          </reference>
        </references>
      </pivotArea>
    </chartFormat>
    <chartFormat chart="53" format="28">
      <pivotArea type="data" outline="0" fieldPosition="0">
        <references count="2">
          <reference field="4294967294" count="1" selected="0">
            <x v="0"/>
          </reference>
          <reference field="5" count="1" selected="0">
            <x v="7"/>
          </reference>
        </references>
      </pivotArea>
    </chartFormat>
    <chartFormat chart="55" format="24" series="1">
      <pivotArea type="data" outline="0" fieldPosition="0">
        <references count="1">
          <reference field="4294967294" count="1" selected="0">
            <x v="0"/>
          </reference>
        </references>
      </pivotArea>
    </chartFormat>
    <chartFormat chart="55" format="25">
      <pivotArea type="data" outline="0" fieldPosition="0">
        <references count="2">
          <reference field="4294967294" count="1" selected="0">
            <x v="0"/>
          </reference>
          <reference field="5" count="1" selected="0">
            <x v="2"/>
          </reference>
        </references>
      </pivotArea>
    </chartFormat>
    <chartFormat chart="55" format="26">
      <pivotArea type="data" outline="0" fieldPosition="0">
        <references count="2">
          <reference field="4294967294" count="1" selected="0">
            <x v="0"/>
          </reference>
          <reference field="5" count="1" selected="0">
            <x v="3"/>
          </reference>
        </references>
      </pivotArea>
    </chartFormat>
    <chartFormat chart="55" format="27">
      <pivotArea type="data" outline="0" fieldPosition="0">
        <references count="2">
          <reference field="4294967294" count="1" selected="0">
            <x v="0"/>
          </reference>
          <reference field="5" count="1" selected="0">
            <x v="4"/>
          </reference>
        </references>
      </pivotArea>
    </chartFormat>
    <chartFormat chart="55" format="28">
      <pivotArea type="data" outline="0" fieldPosition="0">
        <references count="2">
          <reference field="4294967294" count="1" selected="0">
            <x v="0"/>
          </reference>
          <reference field="5" count="1" selected="0">
            <x v="7"/>
          </reference>
        </references>
      </pivotArea>
    </chartFormat>
    <chartFormat chart="58" format="24" series="1">
      <pivotArea type="data" outline="0" fieldPosition="0">
        <references count="1">
          <reference field="4294967294" count="1" selected="0">
            <x v="0"/>
          </reference>
        </references>
      </pivotArea>
    </chartFormat>
    <chartFormat chart="58" format="25">
      <pivotArea type="data" outline="0" fieldPosition="0">
        <references count="2">
          <reference field="4294967294" count="1" selected="0">
            <x v="0"/>
          </reference>
          <reference field="5" count="1" selected="0">
            <x v="2"/>
          </reference>
        </references>
      </pivotArea>
    </chartFormat>
    <chartFormat chart="58" format="26">
      <pivotArea type="data" outline="0" fieldPosition="0">
        <references count="2">
          <reference field="4294967294" count="1" selected="0">
            <x v="0"/>
          </reference>
          <reference field="5" count="1" selected="0">
            <x v="3"/>
          </reference>
        </references>
      </pivotArea>
    </chartFormat>
    <chartFormat chart="58" format="27">
      <pivotArea type="data" outline="0" fieldPosition="0">
        <references count="2">
          <reference field="4294967294" count="1" selected="0">
            <x v="0"/>
          </reference>
          <reference field="5" count="1" selected="0">
            <x v="4"/>
          </reference>
        </references>
      </pivotArea>
    </chartFormat>
    <chartFormat chart="58" format="28">
      <pivotArea type="data" outline="0" fieldPosition="0">
        <references count="2">
          <reference field="4294967294" count="1" selected="0">
            <x v="0"/>
          </reference>
          <reference field="5" count="1" selected="0">
            <x v="7"/>
          </reference>
        </references>
      </pivotArea>
    </chartFormat>
    <chartFormat chart="27" format="19">
      <pivotArea type="data" outline="0" fieldPosition="0">
        <references count="2">
          <reference field="4294967294" count="1" selected="0">
            <x v="0"/>
          </reference>
          <reference field="5" count="1" selected="0">
            <x v="1"/>
          </reference>
        </references>
      </pivotArea>
    </chartFormat>
    <chartFormat chart="58" format="29">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38CB7B-B0E7-42FA-90AC-CE5D8917067C}" name="Tabela dinâmica1" cacheId="0" applyNumberFormats="0" applyBorderFormats="0" applyFontFormats="0" applyPatternFormats="0" applyAlignmentFormats="0" applyWidthHeightFormats="1" dataCaption="Valores" updatedVersion="7" minRefreshableVersion="3" itemPrintTitles="1" createdVersion="8" indent="0" outline="1" outlineData="1" multipleFieldFilters="0" chartFormat="6">
  <location ref="B5" firstHeaderRow="0" firstDataRow="0" firstDataCol="0" rowPageCount="1" colPageCount="1"/>
  <pivotFields count="54">
    <pivotField showAll="0"/>
    <pivotField showAll="0"/>
    <pivotField showAll="0"/>
    <pivotField showAll="0">
      <items count="3">
        <item h="1" x="0"/>
        <item x="1"/>
        <item t="default"/>
      </items>
    </pivotField>
    <pivotField axis="axisPage" multipleItemSelectionAllowed="1" showAll="0">
      <items count="20">
        <item m="1" x="9"/>
        <item m="1" x="6"/>
        <item m="1" x="13"/>
        <item m="1" x="16"/>
        <item m="1" x="18"/>
        <item m="1" x="17"/>
        <item m="1" x="12"/>
        <item m="1" x="7"/>
        <item m="1" x="11"/>
        <item m="1" x="14"/>
        <item m="1" x="4"/>
        <item m="1" x="8"/>
        <item m="1" x="15"/>
        <item m="1" x="10"/>
        <item m="1" x="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0" showAll="0"/>
    <pivotField numFmtId="10" showAll="0"/>
    <pivotField numFmtId="10" showAll="0"/>
    <pivotField showAll="0"/>
    <pivotField showAll="0"/>
    <pivotField showAll="0"/>
    <pivotField showAll="0"/>
    <pivotField numFmtId="4" showAll="0"/>
    <pivotField showAll="0"/>
    <pivotField numFmtId="4" showAll="0"/>
    <pivotField numFmtId="4" showAll="0"/>
    <pivotField numFmtId="4" showAll="0"/>
    <pivotField showAll="0"/>
    <pivotField numFmtId="4" showAll="0"/>
    <pivotField numFmtId="4" showAll="0"/>
    <pivotField numFmtId="4" showAll="0"/>
    <pivotField showAll="0"/>
    <pivotField numFmtId="4" showAll="0"/>
    <pivotField numFmtId="4" showAll="0"/>
    <pivotField numFmtId="4" showAll="0"/>
    <pivotField showAll="0"/>
    <pivotField numFmtId="4" showAll="0"/>
    <pivotField numFmtId="4" showAll="0"/>
    <pivotField numFmtId="4" showAll="0"/>
    <pivotField numFmtId="4" showAll="0"/>
    <pivotField numFmtId="4" showAll="0"/>
    <pivotField showAll="0"/>
    <pivotField numFmtId="44" showAll="0"/>
    <pivotField numFmtId="44" showAll="0"/>
    <pivotField numFmtId="44" showAll="0"/>
  </pivotFields>
  <pageFields count="1">
    <pageField fld="4" hier="-1"/>
  </pageFields>
  <formats count="8">
    <format dxfId="967">
      <pivotArea type="all" dataOnly="0" outline="0" fieldPosition="0"/>
    </format>
    <format dxfId="966">
      <pivotArea outline="0" collapsedLevelsAreSubtotals="1" fieldPosition="0"/>
    </format>
    <format dxfId="965">
      <pivotArea dataOnly="0" labelOnly="1" grandRow="1" outline="0" fieldPosition="0"/>
    </format>
    <format dxfId="964">
      <pivotArea dataOnly="0" labelOnly="1" outline="0" axis="axisValues" fieldPosition="0"/>
    </format>
    <format dxfId="963">
      <pivotArea type="all" dataOnly="0" outline="0" fieldPosition="0"/>
    </format>
    <format dxfId="962">
      <pivotArea outline="0" collapsedLevelsAreSubtotals="1" fieldPosition="0"/>
    </format>
    <format dxfId="961">
      <pivotArea dataOnly="0" labelOnly="1" grandRow="1" outline="0" fieldPosition="0"/>
    </format>
    <format dxfId="9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7DA9D6-A053-4F44-9BF5-69535C2336E0}" name="Tabela dinâmica5" cacheId="0" applyNumberFormats="0" applyBorderFormats="0" applyFontFormats="0" applyPatternFormats="0" applyAlignmentFormats="0" applyWidthHeightFormats="1" dataCaption="Valores" updatedVersion="7" minRefreshableVersion="3" itemPrintTitles="1" createdVersion="8" indent="0" outline="1" outlineData="1" multipleFieldFilters="0" chartFormat="6">
  <location ref="O5:Q6" firstHeaderRow="0" firstDataRow="1" firstDataCol="0" rowPageCount="1" colPageCount="1"/>
  <pivotFields count="54">
    <pivotField showAll="0"/>
    <pivotField showAll="0"/>
    <pivotField showAll="0"/>
    <pivotField showAll="0">
      <items count="3">
        <item h="1" x="0"/>
        <item x="1"/>
        <item t="default"/>
      </items>
    </pivotField>
    <pivotField axis="axisPage" multipleItemSelectionAllowed="1" showAll="0">
      <items count="20">
        <item m="1" x="9"/>
        <item m="1" x="6"/>
        <item m="1" x="13"/>
        <item m="1" x="16"/>
        <item m="1" x="18"/>
        <item m="1" x="17"/>
        <item m="1" x="12"/>
        <item m="1" x="7"/>
        <item m="1" x="11"/>
        <item m="1" x="14"/>
        <item m="1" x="4"/>
        <item m="1" x="8"/>
        <item m="1" x="15"/>
        <item m="1" x="10"/>
        <item m="1" x="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0" showAll="0"/>
    <pivotField numFmtId="10" showAll="0"/>
    <pivotField numFmtId="10" showAll="0"/>
    <pivotField showAll="0"/>
    <pivotField showAll="0"/>
    <pivotField showAll="0"/>
    <pivotField showAll="0"/>
    <pivotField numFmtId="4" showAll="0"/>
    <pivotField showAll="0"/>
    <pivotField numFmtId="4" showAll="0"/>
    <pivotField numFmtId="4" showAll="0"/>
    <pivotField numFmtId="4" showAll="0"/>
    <pivotField showAll="0"/>
    <pivotField numFmtId="4" showAll="0"/>
    <pivotField numFmtId="4" showAll="0"/>
    <pivotField numFmtId="4" showAll="0"/>
    <pivotField showAll="0"/>
    <pivotField numFmtId="4" showAll="0"/>
    <pivotField numFmtId="4" showAll="0"/>
    <pivotField numFmtId="4" showAll="0"/>
    <pivotField showAll="0"/>
    <pivotField numFmtId="4" showAll="0"/>
    <pivotField numFmtId="4" showAll="0"/>
    <pivotField numFmtId="4" showAll="0"/>
    <pivotField numFmtId="4" showAll="0"/>
    <pivotField numFmtId="4" showAll="0"/>
    <pivotField showAll="0"/>
    <pivotField dataField="1" numFmtId="44" showAll="0"/>
    <pivotField dataField="1" numFmtId="44" showAll="0"/>
    <pivotField dataField="1" numFmtId="44" showAll="0"/>
  </pivotFields>
  <rowItems count="1">
    <i/>
  </rowItems>
  <colFields count="1">
    <field x="-2"/>
  </colFields>
  <colItems count="3">
    <i>
      <x/>
    </i>
    <i i="1">
      <x v="1"/>
    </i>
    <i i="2">
      <x v="2"/>
    </i>
  </colItems>
  <pageFields count="1">
    <pageField fld="4" hier="-1"/>
  </pageFields>
  <dataFields count="3">
    <dataField name="R$ APROVADO " fld="51" baseField="0" baseItem="1" numFmtId="44"/>
    <dataField name="R$ MEDIDO" fld="52" baseField="0" baseItem="1" numFmtId="44"/>
    <dataField name="R$ SALDO" fld="53" baseField="0" baseItem="1" numFmtId="44"/>
  </dataFields>
  <formats count="17">
    <format dxfId="984">
      <pivotArea outline="0" collapsedLevelsAreSubtotals="1" fieldPosition="0">
        <references count="1">
          <reference field="4294967294" count="1" selected="0">
            <x v="0"/>
          </reference>
        </references>
      </pivotArea>
    </format>
    <format dxfId="983">
      <pivotArea field="4" type="button" dataOnly="0" labelOnly="1" outline="0" axis="axisPage" fieldPosition="0"/>
    </format>
    <format dxfId="982">
      <pivotArea dataOnly="0" labelOnly="1" outline="0" fieldPosition="0">
        <references count="1">
          <reference field="4294967294" count="1">
            <x v="0"/>
          </reference>
        </references>
      </pivotArea>
    </format>
    <format dxfId="981">
      <pivotArea outline="0" collapsedLevelsAreSubtotals="1" fieldPosition="0">
        <references count="1">
          <reference field="4294967294" count="1" selected="0">
            <x v="1"/>
          </reference>
        </references>
      </pivotArea>
    </format>
    <format dxfId="980">
      <pivotArea dataOnly="0" labelOnly="1" outline="0" fieldPosition="0">
        <references count="1">
          <reference field="4" count="0"/>
        </references>
      </pivotArea>
    </format>
    <format dxfId="979">
      <pivotArea dataOnly="0" labelOnly="1" outline="0" fieldPosition="0">
        <references count="1">
          <reference field="4294967294" count="1">
            <x v="1"/>
          </reference>
        </references>
      </pivotArea>
    </format>
    <format dxfId="978">
      <pivotArea type="all" dataOnly="0" outline="0" fieldPosition="0"/>
    </format>
    <format dxfId="977">
      <pivotArea dataOnly="0" labelOnly="1" outline="0" fieldPosition="0">
        <references count="1">
          <reference field="4294967294" count="3">
            <x v="0"/>
            <x v="1"/>
            <x v="2"/>
          </reference>
        </references>
      </pivotArea>
    </format>
    <format dxfId="976">
      <pivotArea outline="0" collapsedLevelsAreSubtotals="1" fieldPosition="0">
        <references count="1">
          <reference field="4294967294" count="1" selected="0">
            <x v="1"/>
          </reference>
        </references>
      </pivotArea>
    </format>
    <format dxfId="975">
      <pivotArea dataOnly="0" labelOnly="1" outline="0" fieldPosition="0">
        <references count="1">
          <reference field="4" count="0"/>
        </references>
      </pivotArea>
    </format>
    <format dxfId="974">
      <pivotArea dataOnly="0" labelOnly="1" outline="0" fieldPosition="0">
        <references count="1">
          <reference field="4294967294" count="1">
            <x v="1"/>
          </reference>
        </references>
      </pivotArea>
    </format>
    <format dxfId="973">
      <pivotArea outline="0" collapsedLevelsAreSubtotals="1" fieldPosition="0">
        <references count="1">
          <reference field="4294967294" count="1" selected="0">
            <x v="1"/>
          </reference>
        </references>
      </pivotArea>
    </format>
    <format dxfId="972">
      <pivotArea dataOnly="0" labelOnly="1" outline="0" fieldPosition="0">
        <references count="1">
          <reference field="4" count="0"/>
        </references>
      </pivotArea>
    </format>
    <format dxfId="971">
      <pivotArea dataOnly="0" labelOnly="1" outline="0" fieldPosition="0">
        <references count="1">
          <reference field="4294967294" count="1">
            <x v="1"/>
          </reference>
        </references>
      </pivotArea>
    </format>
    <format dxfId="970">
      <pivotArea type="all" dataOnly="0" outline="0" fieldPosition="0"/>
    </format>
    <format dxfId="969">
      <pivotArea outline="0" collapsedLevelsAreSubtotals="1" fieldPosition="0"/>
    </format>
    <format dxfId="968">
      <pivotArea dataOnly="0" labelOnly="1" outline="0" fieldPosition="0">
        <references count="1">
          <reference field="4294967294" count="3">
            <x v="0"/>
            <x v="1"/>
            <x v="2"/>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1">
          <reference field="4294967294" count="1" selected="0">
            <x v="0"/>
          </reference>
        </references>
      </pivotArea>
    </chartFormat>
    <chartFormat chart="0" format="4">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56A2C8-796A-4ABC-8D6A-F294DA525575}" name="Tabela dinâmica4" cacheId="0" applyNumberFormats="0" applyBorderFormats="0" applyFontFormats="0" applyPatternFormats="0" applyAlignmentFormats="0" applyWidthHeightFormats="1" dataCaption="Valores" updatedVersion="7" minRefreshableVersion="3" itemPrintTitles="1" createdVersion="8" indent="0" outline="1" outlineData="1" multipleFieldFilters="0" chartFormat="5">
  <location ref="L5:M10" firstHeaderRow="1" firstDataRow="1" firstDataCol="1" rowPageCount="1" colPageCount="1"/>
  <pivotFields count="54">
    <pivotField showAll="0"/>
    <pivotField showAll="0"/>
    <pivotField showAll="0"/>
    <pivotField showAll="0">
      <items count="3">
        <item h="1" x="0"/>
        <item x="1"/>
        <item t="default"/>
      </items>
    </pivotField>
    <pivotField axis="axisPage" multipleItemSelectionAllowed="1" showAll="0">
      <items count="20">
        <item m="1" x="9"/>
        <item m="1" x="6"/>
        <item m="1" x="13"/>
        <item m="1" x="16"/>
        <item m="1" x="18"/>
        <item m="1" x="17"/>
        <item m="1" x="12"/>
        <item m="1" x="7"/>
        <item m="1" x="11"/>
        <item m="1" x="14"/>
        <item m="1" x="4"/>
        <item m="1" x="8"/>
        <item m="1" x="15"/>
        <item m="1" x="10"/>
        <item m="1" x="5"/>
        <item x="0"/>
        <item x="1"/>
        <item x="2"/>
        <item x="3"/>
        <item t="default"/>
      </items>
    </pivotField>
    <pivotField showAll="0"/>
    <pivotField showAll="0"/>
    <pivotField showAll="0"/>
    <pivotField showAll="0"/>
    <pivotField showAll="0"/>
    <pivotField showAll="0"/>
    <pivotField showAll="0"/>
    <pivotField showAll="0"/>
    <pivotField axis="axisRow" dataField="1" showAll="0">
      <items count="8">
        <item x="3"/>
        <item x="4"/>
        <item m="1" x="6"/>
        <item x="0"/>
        <item x="2"/>
        <item m="1" x="5"/>
        <item x="1"/>
        <item t="default"/>
      </items>
    </pivotField>
    <pivotField showAll="0"/>
    <pivotField showAll="0"/>
    <pivotField showAll="0"/>
    <pivotField showAll="0"/>
    <pivotField showAll="0"/>
    <pivotField showAll="0"/>
    <pivotField showAll="0"/>
    <pivotField showAll="0"/>
    <pivotField showAll="0"/>
    <pivotField numFmtId="165" showAll="0"/>
    <pivotField numFmtId="10" showAll="0"/>
    <pivotField numFmtId="10" showAll="0"/>
    <pivotField numFmtId="10" showAll="0"/>
    <pivotField showAll="0"/>
    <pivotField showAll="0"/>
    <pivotField showAll="0"/>
    <pivotField showAll="0"/>
    <pivotField numFmtId="4" showAll="0"/>
    <pivotField showAll="0"/>
    <pivotField numFmtId="4" showAll="0"/>
    <pivotField numFmtId="4" showAll="0"/>
    <pivotField numFmtId="4" showAll="0"/>
    <pivotField showAll="0"/>
    <pivotField numFmtId="4" showAll="0"/>
    <pivotField numFmtId="4" showAll="0"/>
    <pivotField numFmtId="4" showAll="0"/>
    <pivotField showAll="0"/>
    <pivotField numFmtId="4" showAll="0"/>
    <pivotField numFmtId="4" showAll="0"/>
    <pivotField numFmtId="4" showAll="0"/>
    <pivotField showAll="0"/>
    <pivotField numFmtId="4" showAll="0"/>
    <pivotField numFmtId="4" showAll="0"/>
    <pivotField numFmtId="4" showAll="0"/>
    <pivotField numFmtId="4" showAll="0"/>
    <pivotField numFmtId="4" showAll="0"/>
    <pivotField showAll="0"/>
    <pivotField numFmtId="44" showAll="0"/>
    <pivotField numFmtId="44" showAll="0"/>
    <pivotField numFmtId="44" showAll="0"/>
  </pivotFields>
  <rowFields count="1">
    <field x="13"/>
  </rowFields>
  <rowItems count="5">
    <i>
      <x/>
    </i>
    <i>
      <x v="1"/>
    </i>
    <i>
      <x v="3"/>
    </i>
    <i>
      <x v="4"/>
    </i>
    <i t="grand">
      <x/>
    </i>
  </rowItems>
  <colItems count="1">
    <i/>
  </colItems>
  <pageFields count="1">
    <pageField fld="4" hier="-1"/>
  </pageFields>
  <dataFields count="1">
    <dataField name="Contagem de STATUS SECUNDÁRIO (EC)" fld="13" subtotal="count" baseField="0" baseItem="0"/>
  </dataFields>
  <formats count="16">
    <format dxfId="1000">
      <pivotArea type="all" dataOnly="0" outline="0" fieldPosition="0"/>
    </format>
    <format dxfId="999">
      <pivotArea outline="0" collapsedLevelsAreSubtotals="1" fieldPosition="0"/>
    </format>
    <format dxfId="998">
      <pivotArea field="13" type="button" dataOnly="0" labelOnly="1" outline="0" axis="axisRow" fieldPosition="0"/>
    </format>
    <format dxfId="997">
      <pivotArea dataOnly="0" labelOnly="1" fieldPosition="0">
        <references count="1">
          <reference field="13" count="0"/>
        </references>
      </pivotArea>
    </format>
    <format dxfId="996">
      <pivotArea dataOnly="0" labelOnly="1" grandRow="1" outline="0" fieldPosition="0"/>
    </format>
    <format dxfId="995">
      <pivotArea dataOnly="0" labelOnly="1" outline="0" axis="axisValues" fieldPosition="0"/>
    </format>
    <format dxfId="994">
      <pivotArea type="all" dataOnly="0" outline="0" fieldPosition="0"/>
    </format>
    <format dxfId="993">
      <pivotArea outline="0" collapsedLevelsAreSubtotals="1" fieldPosition="0"/>
    </format>
    <format dxfId="992">
      <pivotArea field="13" type="button" dataOnly="0" labelOnly="1" outline="0" axis="axisRow" fieldPosition="0"/>
    </format>
    <format dxfId="991">
      <pivotArea dataOnly="0" labelOnly="1" fieldPosition="0">
        <references count="1">
          <reference field="13" count="0"/>
        </references>
      </pivotArea>
    </format>
    <format dxfId="990">
      <pivotArea dataOnly="0" labelOnly="1" grandRow="1" outline="0" fieldPosition="0"/>
    </format>
    <format dxfId="989">
      <pivotArea dataOnly="0" labelOnly="1" outline="0" axis="axisValues" fieldPosition="0"/>
    </format>
    <format dxfId="988">
      <pivotArea collapsedLevelsAreSubtotals="1" fieldPosition="0">
        <references count="1">
          <reference field="13" count="2">
            <x v="4"/>
            <x v="5"/>
          </reference>
        </references>
      </pivotArea>
    </format>
    <format dxfId="987">
      <pivotArea grandRow="1" outline="0" collapsedLevelsAreSubtotals="1" fieldPosition="0"/>
    </format>
    <format dxfId="986">
      <pivotArea dataOnly="0" labelOnly="1" fieldPosition="0">
        <references count="1">
          <reference field="13" count="2">
            <x v="4"/>
            <x v="5"/>
          </reference>
        </references>
      </pivotArea>
    </format>
    <format dxfId="98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3A3A88-1ED4-4663-AEEF-A75AB58CBF83}" name="Tabela dinâmica3" cacheId="0" applyNumberFormats="0" applyBorderFormats="0" applyFontFormats="0" applyPatternFormats="0" applyAlignmentFormats="0" applyWidthHeightFormats="1" dataCaption="Valores" updatedVersion="7" minRefreshableVersion="3" itemPrintTitles="1" createdVersion="8" indent="0" outline="1" outlineData="1" multipleFieldFilters="0" chartFormat="10">
  <location ref="I5:J10" firstHeaderRow="1" firstDataRow="1" firstDataCol="1" rowPageCount="1" colPageCount="1"/>
  <pivotFields count="54">
    <pivotField showAll="0"/>
    <pivotField showAll="0"/>
    <pivotField showAll="0"/>
    <pivotField showAll="0">
      <items count="3">
        <item h="1" x="0"/>
        <item x="1"/>
        <item t="default"/>
      </items>
    </pivotField>
    <pivotField axis="axisPage" multipleItemSelectionAllowed="1" showAll="0">
      <items count="20">
        <item m="1" x="9"/>
        <item m="1" x="6"/>
        <item m="1" x="13"/>
        <item m="1" x="16"/>
        <item m="1" x="18"/>
        <item m="1" x="17"/>
        <item m="1" x="12"/>
        <item m="1" x="7"/>
        <item m="1" x="11"/>
        <item m="1" x="14"/>
        <item m="1" x="4"/>
        <item m="1" x="8"/>
        <item m="1" x="15"/>
        <item m="1" x="10"/>
        <item m="1" x="5"/>
        <item x="0"/>
        <item x="1"/>
        <item x="2"/>
        <item x="3"/>
        <item t="default"/>
      </items>
    </pivotField>
    <pivotField showAll="0"/>
    <pivotField showAll="0"/>
    <pivotField showAll="0"/>
    <pivotField showAll="0"/>
    <pivotField showAll="0"/>
    <pivotField showAll="0"/>
    <pivotField axis="axisRow" dataField="1" showAll="0">
      <items count="7">
        <item x="0"/>
        <item m="1" x="5"/>
        <item x="2"/>
        <item x="4"/>
        <item x="1"/>
        <item x="3"/>
        <item t="default"/>
      </items>
    </pivotField>
    <pivotField showAll="0"/>
    <pivotField showAll="0"/>
    <pivotField showAll="0"/>
    <pivotField showAll="0"/>
    <pivotField showAll="0"/>
    <pivotField showAll="0"/>
    <pivotField showAll="0"/>
    <pivotField showAll="0"/>
    <pivotField showAll="0"/>
    <pivotField showAll="0"/>
    <pivotField showAll="0"/>
    <pivotField numFmtId="165" showAll="0"/>
    <pivotField numFmtId="10" showAll="0"/>
    <pivotField numFmtId="10" showAll="0"/>
    <pivotField numFmtId="10" showAll="0"/>
    <pivotField showAll="0"/>
    <pivotField showAll="0"/>
    <pivotField showAll="0"/>
    <pivotField showAll="0"/>
    <pivotField numFmtId="4" showAll="0"/>
    <pivotField showAll="0"/>
    <pivotField numFmtId="4" showAll="0"/>
    <pivotField numFmtId="4" showAll="0"/>
    <pivotField numFmtId="4" showAll="0"/>
    <pivotField showAll="0"/>
    <pivotField numFmtId="4" showAll="0"/>
    <pivotField numFmtId="4" showAll="0"/>
    <pivotField numFmtId="4" showAll="0"/>
    <pivotField showAll="0"/>
    <pivotField numFmtId="4" showAll="0"/>
    <pivotField numFmtId="4" showAll="0"/>
    <pivotField numFmtId="4" showAll="0"/>
    <pivotField showAll="0"/>
    <pivotField numFmtId="4" showAll="0"/>
    <pivotField numFmtId="4" showAll="0"/>
    <pivotField numFmtId="4" showAll="0"/>
    <pivotField numFmtId="4" showAll="0"/>
    <pivotField numFmtId="4" showAll="0"/>
    <pivotField showAll="0"/>
    <pivotField numFmtId="44" showAll="0"/>
    <pivotField numFmtId="44" showAll="0"/>
    <pivotField numFmtId="44" showAll="0"/>
  </pivotFields>
  <rowFields count="1">
    <field x="11"/>
  </rowFields>
  <rowItems count="5">
    <i>
      <x/>
    </i>
    <i>
      <x v="2"/>
    </i>
    <i>
      <x v="3"/>
    </i>
    <i>
      <x v="5"/>
    </i>
    <i t="grand">
      <x/>
    </i>
  </rowItems>
  <colItems count="1">
    <i/>
  </colItems>
  <pageFields count="1">
    <pageField fld="4" hier="-1"/>
  </pageFields>
  <dataFields count="1">
    <dataField name="Contagem de STATUS PRIMÁRIO (EC)" fld="11" subtotal="count" baseField="0" baseItem="0"/>
  </dataFields>
  <formats count="16">
    <format dxfId="1016">
      <pivotArea type="all" dataOnly="0" outline="0" fieldPosition="0"/>
    </format>
    <format dxfId="1015">
      <pivotArea outline="0" collapsedLevelsAreSubtotals="1" fieldPosition="0"/>
    </format>
    <format dxfId="1014">
      <pivotArea field="11" type="button" dataOnly="0" labelOnly="1" outline="0" axis="axisRow" fieldPosition="0"/>
    </format>
    <format dxfId="1013">
      <pivotArea dataOnly="0" labelOnly="1" fieldPosition="0">
        <references count="1">
          <reference field="11" count="0"/>
        </references>
      </pivotArea>
    </format>
    <format dxfId="1012">
      <pivotArea dataOnly="0" labelOnly="1" grandRow="1" outline="0" fieldPosition="0"/>
    </format>
    <format dxfId="1011">
      <pivotArea dataOnly="0" labelOnly="1" outline="0" axis="axisValues" fieldPosition="0"/>
    </format>
    <format dxfId="1010">
      <pivotArea type="all" dataOnly="0" outline="0" fieldPosition="0"/>
    </format>
    <format dxfId="1009">
      <pivotArea outline="0" collapsedLevelsAreSubtotals="1" fieldPosition="0"/>
    </format>
    <format dxfId="1008">
      <pivotArea field="11" type="button" dataOnly="0" labelOnly="1" outline="0" axis="axisRow" fieldPosition="0"/>
    </format>
    <format dxfId="1007">
      <pivotArea dataOnly="0" labelOnly="1" fieldPosition="0">
        <references count="1">
          <reference field="11" count="0"/>
        </references>
      </pivotArea>
    </format>
    <format dxfId="1006">
      <pivotArea dataOnly="0" labelOnly="1" grandRow="1" outline="0" fieldPosition="0"/>
    </format>
    <format dxfId="1005">
      <pivotArea dataOnly="0" labelOnly="1" outline="0" axis="axisValues" fieldPosition="0"/>
    </format>
    <format dxfId="1004">
      <pivotArea collapsedLevelsAreSubtotals="1" fieldPosition="0">
        <references count="1">
          <reference field="11" count="2">
            <x v="2"/>
            <x v="3"/>
          </reference>
        </references>
      </pivotArea>
    </format>
    <format dxfId="1003">
      <pivotArea grandRow="1" outline="0" collapsedLevelsAreSubtotals="1" fieldPosition="0"/>
    </format>
    <format dxfId="1002">
      <pivotArea dataOnly="0" labelOnly="1" fieldPosition="0">
        <references count="1">
          <reference field="11" count="2">
            <x v="2"/>
            <x v="3"/>
          </reference>
        </references>
      </pivotArea>
    </format>
    <format dxfId="1001">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0" format="6">
      <pivotArea type="data" outline="0" fieldPosition="0">
        <references count="2">
          <reference field="4294967294" count="1" selected="0">
            <x v="0"/>
          </reference>
          <reference field="11" count="1" selected="0">
            <x v="2"/>
          </reference>
        </references>
      </pivotArea>
    </chartFormat>
    <chartFormat chart="0" format="8">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adjustColumnWidth="0" connectionId="3" xr16:uid="{12F8BF6A-A14A-494B-8C56-FF517AAC9C10}" autoFormatId="16" applyNumberFormats="0" applyBorderFormats="0" applyFontFormats="0" applyPatternFormats="0" applyAlignmentFormats="0" applyWidthHeightFormats="0">
  <queryTableRefresh nextId="10">
    <queryTableFields count="5">
      <queryTableField id="1" name="Nº  SS" tableColumnId="1"/>
      <queryTableField id="2" name="TÍTULO DA SS" tableColumnId="2"/>
      <queryTableField id="5" name="FASE" tableColumnId="5"/>
      <queryTableField id="6" name="MÊS" tableColumnId="6"/>
      <queryTableField id="8" name="COD-SS"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4" connectionId="4" xr16:uid="{D5B80501-FEA8-4C3A-A3AA-3BCB173F41CF}" autoFormatId="16" applyNumberFormats="0" applyBorderFormats="0" applyFontFormats="0" applyPatternFormats="0" applyAlignmentFormats="0" applyWidthHeightFormats="0">
  <queryTableRefresh nextId="6">
    <queryTableFields count="4">
      <queryTableField id="1" name="Nº  SS" tableColumnId="1"/>
      <queryTableField id="2" name="TOMADOR" tableColumnId="2"/>
      <queryTableField id="3" name="DISCIPLINA" tableColumnId="3"/>
      <queryTableField id="4" name="Hh"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2" connectionId="6" xr16:uid="{9A053A11-F41D-4EEC-A677-9B34D6D3589D}" autoFormatId="16" applyNumberFormats="0" applyBorderFormats="0" applyFontFormats="0" applyPatternFormats="0" applyAlignmentFormats="0" applyWidthHeightFormats="0">
  <queryTableRefresh nextId="29">
    <queryTableFields count="5">
      <queryTableField id="1" name="Nº  SS" tableColumnId="1"/>
      <queryTableField id="2" name="TOMADOR" tableColumnId="2"/>
      <queryTableField id="24" name="DISCIPLINA" tableColumnId="18"/>
      <queryTableField id="27" name="Hh" tableColumnId="21"/>
      <queryTableField id="28" name="COD-COLUNA" tableColumnId="2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1" connectionId="5" xr16:uid="{129394D9-C0FF-456D-90F0-49354698D989}" autoFormatId="16" applyNumberFormats="0" applyBorderFormats="0" applyFontFormats="0" applyPatternFormats="0" applyAlignmentFormats="0" applyWidthHeightFormats="0">
  <queryTableRefresh nextId="19">
    <queryTableFields count="5">
      <queryTableField id="1" name="Nº  SS" tableColumnId="1"/>
      <queryTableField id="2" name="TOMADOR" tableColumnId="2"/>
      <queryTableField id="16" name="DISCIPLINA" tableColumnId="10"/>
      <queryTableField id="3" name="Hh" tableColumnId="3"/>
      <queryTableField id="18" name="COD-COLUNA"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dosExternos_2" adjustColumnWidth="0" connectionId="2" xr16:uid="{8C0C8D74-6E3E-4C19-AC9D-046BB12F3288}" autoFormatId="16" applyNumberFormats="0" applyBorderFormats="0" applyFontFormats="0" applyPatternFormats="0" applyAlignmentFormats="0" applyWidthHeightFormats="0">
  <queryTableRefresh nextId="11" unboundColumnsRight="2">
    <queryTableFields count="9">
      <queryTableField id="1" name="SS" tableColumnId="1"/>
      <queryTableField id="2" name="DESCRIÇÃO" tableColumnId="2"/>
      <queryTableField id="9" name="ETP.11" tableColumnId="9"/>
      <queryTableField id="3" name="FASE" tableColumnId="3"/>
      <queryTableField id="4" name="%DISTR" tableColumnId="4"/>
      <queryTableField id="5" name="COD-SS" tableColumnId="5"/>
      <queryTableField id="6" name="MÊS" tableColumnId="6"/>
      <queryTableField id="7" dataBound="0" tableColumnId="7"/>
      <queryTableField id="8" dataBound="0"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dosExternos_1" connectionId="1" xr16:uid="{3A62E489-C894-43F8-9BE4-E2746754528C}" autoFormatId="16" applyNumberFormats="0" applyBorderFormats="0" applyFontFormats="0" applyPatternFormats="0" applyAlignmentFormats="0" applyWidthHeightFormats="0">
  <queryTableRefresh nextId="12" unboundColumnsRight="1">
    <queryTableFields count="7">
      <queryTableField id="1" name="SS" tableColumnId="1"/>
      <queryTableField id="2" name="DESCRIÇÃO" tableColumnId="2"/>
      <queryTableField id="10" name="ETP.11" tableColumnId="3"/>
      <queryTableField id="6" name="FASE" tableColumnId="6"/>
      <queryTableField id="7" name="%DISTR" tableColumnId="7"/>
      <queryTableField id="9" name="COD-SS" tableColumnId="9"/>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TOMADOR1" xr10:uid="{40043877-72C2-47FC-B605-643B8E8F00AD}" sourceName="TOMADOR">
  <pivotTables>
    <pivotTable tabId="32" name="Tabela dinâmica1"/>
    <pivotTable tabId="32" name="Tabela dinâmica2"/>
    <pivotTable tabId="32" name="Tabela dinâmica3"/>
    <pivotTable tabId="32" name="Tabela dinâmica4"/>
    <pivotTable tabId="32" name="Tabela dinâmica5"/>
  </pivotTables>
  <data>
    <tabular pivotCacheId="524694721">
      <items count="19">
        <i x="0" s="1"/>
        <i x="1" s="1"/>
        <i x="3" s="1"/>
        <i x="9" s="1" nd="1"/>
        <i x="6" s="1" nd="1"/>
        <i x="13" s="1" nd="1"/>
        <i x="16" s="1" nd="1"/>
        <i x="18" s="1" nd="1"/>
        <i x="2" s="1" nd="1"/>
        <i x="17" s="1" nd="1"/>
        <i x="12" s="1" nd="1"/>
        <i x="7" s="1" nd="1"/>
        <i x="11" s="1" nd="1"/>
        <i x="14" s="1" nd="1"/>
        <i x="4" s="1" nd="1"/>
        <i x="8" s="1" nd="1"/>
        <i x="15" s="1" nd="1"/>
        <i x="1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TIPO3" xr10:uid="{7EA338F0-2347-4476-8AE5-A4B8EF10CAC7}" sourceName="TIPO">
  <pivotTables>
    <pivotTable tabId="32" name="Tabela dinâmica4"/>
    <pivotTable tabId="32" name="Tabela dinâmica1"/>
    <pivotTable tabId="32" name="Tabela dinâmica2"/>
    <pivotTable tabId="32" name="Tabela dinâmica3"/>
    <pivotTable tabId="32" name="Tabela dinâmica5"/>
  </pivotTables>
  <data>
    <tabular pivotCacheId="524694721">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TOMADOR2" xr10:uid="{D7486EF5-B001-4000-9187-D9ECB5A3113B}" sourceName="TOMADOR">
  <extLst>
    <x:ext xmlns:x15="http://schemas.microsoft.com/office/spreadsheetml/2010/11/main" uri="{2F2917AC-EB37-4324-AD4E-5DD8C200BD13}">
      <x15:tableSlicerCache tableId="1" column="3"/>
    </x:ex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TATUS_DEMANDA" xr10:uid="{F874403C-94D0-420D-8EBC-D28818178F64}" sourceName="STATUS DEMANDA">
  <extLst>
    <x:ext xmlns:x15="http://schemas.microsoft.com/office/spreadsheetml/2010/11/main" uri="{2F2917AC-EB37-4324-AD4E-5DD8C200BD13}">
      <x15:tableSlicerCache tableId="1" column="7"/>
    </x:ex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RESSALVAS?" xr10:uid="{8F9EFD0B-4E40-428F-98C8-AD6C14E61183}" sourceName="STATUS SECUNDÁRIO (EC)">
  <extLst>
    <x:ext xmlns:x15="http://schemas.microsoft.com/office/spreadsheetml/2010/11/main" uri="{2F2917AC-EB37-4324-AD4E-5DD8C200BD13}">
      <x15:tableSlicerCache tableId="1" column="19"/>
    </x:ex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TOMADOR21" xr10:uid="{BB73AB85-346A-48F7-9C34-316FE6C0A2D8}" sourceName="TOMADOR">
  <extLst>
    <x:ext xmlns:x15="http://schemas.microsoft.com/office/spreadsheetml/2010/11/main" uri="{2F2917AC-EB37-4324-AD4E-5DD8C200BD13}">
      <x15:tableSlicerCache tableId="10" column="3"/>
    </x:ex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TATUS_DEMANDA1" xr10:uid="{EABBA7A4-6DC9-4470-A153-D0006DC16D27}" sourceName="STATUS DEMANDA">
  <extLst>
    <x:ext xmlns:x15="http://schemas.microsoft.com/office/spreadsheetml/2010/11/main" uri="{2F2917AC-EB37-4324-AD4E-5DD8C200BD13}">
      <x15:tableSlicerCache tableId="10" column="7"/>
    </x:ex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RESSALVAS?1" xr10:uid="{8D50D0EB-38A9-4CAC-9B26-0482D4C4A9BE}" sourceName="STATUS APROVAÇÃO (EC)">
  <extLst>
    <x:ext xmlns:x15="http://schemas.microsoft.com/office/spreadsheetml/2010/11/main" uri="{2F2917AC-EB37-4324-AD4E-5DD8C200BD13}">
      <x15:tableSlicerCache tableId="10" column="19"/>
    </x:ex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TATUS__EC" xr10:uid="{1E0D9C9D-3A96-41D2-87B8-1FD73C065940}" sourceName="STATUS ENVIO (EC)">
  <extLst>
    <x:ext xmlns:x15="http://schemas.microsoft.com/office/spreadsheetml/2010/11/main" uri="{2F2917AC-EB37-4324-AD4E-5DD8C200BD13}">
      <x15:tableSlicerCache tableId="10" column="25"/>
    </x:ex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TATUS_PRIMÁRIO" xr10:uid="{42C2FA61-D1A1-4218-91B7-D27D5689F916}" sourceName="STATUS PRIMÁRIO (EC)">
  <extLst>
    <x:ext xmlns:x15="http://schemas.microsoft.com/office/spreadsheetml/2010/11/main" uri="{2F2917AC-EB37-4324-AD4E-5DD8C200BD13}">
      <x15:tableSlicerCache tableId="1" column="23"/>
    </x:ex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TOMADOR" xr10:uid="{48D9E16C-A8AE-46D7-8B85-DDBAAC6A54D1}" sourceName="TOMADOR">
  <extLst>
    <x:ext xmlns:x15="http://schemas.microsoft.com/office/spreadsheetml/2010/11/main" uri="{2F2917AC-EB37-4324-AD4E-5DD8C200BD13}">
      <x15:tableSlicerCache tableId="3" column="3"/>
    </x:ext>
    <x:ext xmlns:x15="http://schemas.microsoft.com/office/spreadsheetml/2010/11/main" uri="{470722E0-AACD-4C17-9CDC-17EF765DBC7E}">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TOMADOR31" xr10:uid="{FC722C28-4C7E-4B82-95D4-6FD2D2627CC1}" sourceName="TOMADOR">
  <extLst>
    <x:ext xmlns:x15="http://schemas.microsoft.com/office/spreadsheetml/2010/11/main" uri="{2F2917AC-EB37-4324-AD4E-5DD8C200BD13}">
      <x15:tableSlicerCache tableId="8" column="3"/>
    </x:ext>
    <x:ext xmlns:x15="http://schemas.microsoft.com/office/spreadsheetml/2010/11/main" uri="{470722E0-AACD-4C17-9CDC-17EF765DBC7E}">
      <x15:slicerCacheHideItemsWithNoData/>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TATUS._ENVIO" xr10:uid="{D36146DF-6720-458A-8477-CCD323E66293}" sourceName="STATUS ENVIO">
  <extLst>
    <x:ext xmlns:x15="http://schemas.microsoft.com/office/spreadsheetml/2010/11/main" uri="{2F2917AC-EB37-4324-AD4E-5DD8C200BD13}">
      <x15:tableSlicerCache tableId="1" column="9"/>
    </x:ext>
    <x:ext xmlns:x15="http://schemas.microsoft.com/office/spreadsheetml/2010/11/main" uri="{470722E0-AACD-4C17-9CDC-17EF765DBC7E}">
      <x15:slicerCacheHideItemsWithNoData/>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TIPO" xr10:uid="{375A380D-47CC-4209-97CD-9A0355FD5EB8}" sourceName="TIPO">
  <extLst>
    <x:ext xmlns:x15="http://schemas.microsoft.com/office/spreadsheetml/2010/11/main" uri="{2F2917AC-EB37-4324-AD4E-5DD8C200BD13}">
      <x15:tableSlicerCache tableId="1" column="35"/>
    </x:ext>
    <x:ext xmlns:x15="http://schemas.microsoft.com/office/spreadsheetml/2010/11/main" uri="{470722E0-AACD-4C17-9CDC-17EF765DBC7E}">
      <x15:slicerCacheHideItemsWithNoData/>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TIPO1" xr10:uid="{1DA3DDCB-F002-4516-8A4F-EF23E1B868E8}" sourceName="TIPO">
  <extLst>
    <x:ext xmlns:x15="http://schemas.microsoft.com/office/spreadsheetml/2010/11/main" uri="{2F2917AC-EB37-4324-AD4E-5DD8C200BD13}">
      <x15:tableSlicerCache tableId="10" column="9"/>
    </x:ext>
    <x:ext xmlns:x15="http://schemas.microsoft.com/office/spreadsheetml/2010/11/main" uri="{470722E0-AACD-4C17-9CDC-17EF765DBC7E}">
      <x15:slicerCacheHideItemsWithNoData/>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TATUS" xr10:uid="{A63403CE-6308-48DD-B353-CA7E92797BAF}" sourceName="STATUS">
  <extLst>
    <x:ext xmlns:x15="http://schemas.microsoft.com/office/spreadsheetml/2010/11/main" uri="{2F2917AC-EB37-4324-AD4E-5DD8C200BD13}">
      <x15:tableSlicerCache tableId="3" column="7"/>
    </x:ext>
    <x:ext xmlns:x15="http://schemas.microsoft.com/office/spreadsheetml/2010/11/main" uri="{470722E0-AACD-4C17-9CDC-17EF765DBC7E}">
      <x15:slicerCacheHideItemsWithNoData/>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TIPO2" xr10:uid="{2F36E05C-37E8-4E3C-A2E2-0CC5463D9816}" sourceName="TIPO">
  <extLst>
    <x:ext xmlns:x15="http://schemas.microsoft.com/office/spreadsheetml/2010/11/main" uri="{2F2917AC-EB37-4324-AD4E-5DD8C200BD13}">
      <x15:tableSlicerCache tableId="12" column="23"/>
    </x:ext>
    <x:ext xmlns:x15="http://schemas.microsoft.com/office/spreadsheetml/2010/11/main" uri="{470722E0-AACD-4C17-9CDC-17EF765DBC7E}">
      <x15:slicerCacheHideItemsWithNoData/>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RESSALVAS?11" xr10:uid="{29400BF2-AFC0-4D5F-BE24-36775087B06E}" sourceName="STATUS APROVAÇÃO (CR)">
  <extLst>
    <x:ext xmlns:x15="http://schemas.microsoft.com/office/spreadsheetml/2010/11/main" uri="{2F2917AC-EB37-4324-AD4E-5DD8C200BD13}">
      <x15:tableSlicerCache tableId="12" column="19"/>
    </x:ext>
    <x:ext xmlns:x15="http://schemas.microsoft.com/office/spreadsheetml/2010/11/main" uri="{470722E0-AACD-4C17-9CDC-17EF765DBC7E}">
      <x15:slicerCacheHideItemsWithNoData/>
    </x:ext>
  </extLst>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TOMADOR211" xr10:uid="{5C965F11-B88C-4BAF-9C87-8553C80F2183}" sourceName="TOMADOR">
  <extLst>
    <x:ext xmlns:x15="http://schemas.microsoft.com/office/spreadsheetml/2010/11/main" uri="{2F2917AC-EB37-4324-AD4E-5DD8C200BD13}">
      <x15:tableSlicerCache tableId="12" column="3"/>
    </x:ext>
    <x:ext xmlns:x15="http://schemas.microsoft.com/office/spreadsheetml/2010/11/main" uri="{470722E0-AACD-4C17-9CDC-17EF765DBC7E}">
      <x15:slicerCacheHideItemsWithNoData/>
    </x:ext>
  </extLst>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TATUS__EC1" xr10:uid="{597B18DA-0B0C-4CBB-89A9-D1F8E0CE89B6}" sourceName="STATUS ENVIO (CR)">
  <extLst>
    <x:ext xmlns:x15="http://schemas.microsoft.com/office/spreadsheetml/2010/11/main" uri="{2F2917AC-EB37-4324-AD4E-5DD8C200BD13}">
      <x15:tableSlicerCache tableId="12" column="25"/>
    </x:ext>
    <x:ext xmlns:x15="http://schemas.microsoft.com/office/spreadsheetml/2010/11/main" uri="{470722E0-AACD-4C17-9CDC-17EF765DBC7E}">
      <x15:slicerCacheHideItemsWithNoData/>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TATUS_DEMANDA11" xr10:uid="{467EE058-744A-4B48-B5C7-207D43820C5E}" sourceName="STATUS DEMANDA">
  <extLst>
    <x:ext xmlns:x15="http://schemas.microsoft.com/office/spreadsheetml/2010/11/main" uri="{2F2917AC-EB37-4324-AD4E-5DD8C200BD13}">
      <x15:tableSlicerCache tableId="12" column="7"/>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MADOR 1" xr10:uid="{8CE23ADE-ABBC-4D6F-8A72-99856761A3CC}" cache="SegmentaçãodeDados_TOMADOR1" caption="TOMADOR" columnCount="4" style="SlicerStyleDark1" lockedPosition="1" rowHeight="288000"/>
  <slicer name="TIPO 3" xr10:uid="{BAE70C0B-8DB8-494F-94A5-43111A17BBAA}" cache="SegmentaçãodeDados_TIPO3" caption="TIPO" columnCount="2" style="SlicerStyleDark1" lockedPosition="1"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MADOR 2" xr10:uid="{5682AA5B-7E2F-4335-A3D6-EF87E8899A2B}" cache="SegmentaçãodeDados_TOMADOR2" caption="TOMADOR" columnCount="2" style="SlicerStyleDark1" lockedPosition="1" rowHeight="198000"/>
  <slicer name="STATUS DEMANDA" xr10:uid="{81851406-AC66-4B8E-A7A4-2F3077E6662E}" cache="SegmentaçãodeDados_STATUS_DEMANDA" caption="STATUS DEMANDA" columnCount="3" style="SlicerStyleDark1" lockedPosition="1" rowHeight="198000"/>
  <slicer name="RESSALVAS?" xr10:uid="{9CBB7EF4-0BEB-40B8-AD4C-3934E0011C96}" cache="SegmentaçãodeDados_RESSALVAS?" caption="STATUS SECUNDÁRIO (EC)" columnCount="2" style="SlicerStyleDark1" lockedPosition="1" rowHeight="198000"/>
  <slicer name="STATUS PRIMÁRIO" xr10:uid="{408BA5E5-3F98-4E7F-9620-26DE3187659A}" cache="SegmentaçãodeDados_STATUS_PRIMÁRIO" caption="STATUS PRIMÁRIO (EC)" columnCount="2" style="SlicerStyleDark1" lockedPosition="1" rowHeight="198000"/>
  <slicer name="STATUS. ENVIO" xr10:uid="{1991E533-7AD8-4B60-8B7E-34B8A30C0D13}" cache="SegmentaçãodeDados_STATUS._ENVIO" caption="STATUS ENVIO" columnCount="2" style="SlicerStyleDark1" lockedPosition="1" rowHeight="198000"/>
  <slicer name="TIPO" xr10:uid="{E22E3662-5DE3-4F78-A172-FD6268C3FD76}" cache="SegmentaçãodeDados_TIPO" caption="TIPO" style="SlicerStyleDark1" lockedPosition="1" rowHeight="198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MADOR 3" xr10:uid="{26346641-D1E8-47D5-BE2F-9C83EEAE4202}" cache="SegmentaçãodeDados_TOMADOR21" caption="TOMADOR" columnCount="2" style="SlicerStyleDark1" lockedPosition="1" rowHeight="198000"/>
  <slicer name="STATUS DEMANDA 1" xr10:uid="{EDAE43DE-E78B-4B6D-918D-86EC5AC58A4B}" cache="SegmentaçãodeDados_STATUS_DEMANDA1" caption="STATUS DEMANDA" columnCount="3" style="SlicerStyleDark1" lockedPosition="1" rowHeight="198000"/>
  <slicer name="RESSALVAS? 1" xr10:uid="{6A8E9EE4-5878-4802-B5BC-70817AD0EC3C}" cache="SegmentaçãodeDados_RESSALVAS?1" caption="STATUS APROVAÇÃO (EC)" columnCount="2" style="SlicerStyleDark1" lockedPosition="1" rowHeight="198000"/>
  <slicer name="STATUS (EC)" xr10:uid="{7D2D6AAA-7977-49D5-AD74-7E02477519B3}" cache="SegmentaçãodeDados_STATUS__EC" caption="STATUS ENVIO (EC)" columnCount="2" style="SlicerStyleDark1" lockedPosition="1" rowHeight="198000"/>
  <slicer name="TIPO 1" xr10:uid="{D6E57A11-7C44-41E4-8846-5222F3890A1B}" cache="SegmentaçãodeDados_TIPO1" caption="TIPO" style="SlicerStyleDark1" lockedPosition="1" rowHeight="198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PO 2" xr10:uid="{533AEE1A-8C25-4543-BD73-E753FBA6DF64}" cache="SegmentaçãodeDados_TIPO2" caption="TIPO" style="SlicerStyleDark1" lockedPosition="1" rowHeight="198000"/>
  <slicer name="RESSALVAS? 3" xr10:uid="{614546F4-E8E6-4D95-9154-818569024DA5}" cache="SegmentaçãodeDados_RESSALVAS?11" caption="STATUS APROVAÇÃO (CR)" columnCount="2" style="SlicerStyleDark1" lockedPosition="1" rowHeight="198000"/>
  <slicer name="TOMADOR 6" xr10:uid="{39CE8CFD-B7B5-4387-8B5E-F8BEA4010BB2}" cache="SegmentaçãodeDados_TOMADOR211" caption="TOMADOR" columnCount="2" style="SlicerStyleDark1" lockedPosition="1" rowHeight="198000"/>
  <slicer name="STATUS (EC) 1" xr10:uid="{E58B1DE9-69A6-4630-9399-699CD943DA61}" cache="SegmentaçãodeDados_STATUS__EC1" caption="STATUS ENVIO (CR)" columnCount="2" style="SlicerStyleDark1" lockedPosition="1" rowHeight="198000"/>
  <slicer name="STATUS DEMANDA 3" xr10:uid="{45248EC4-1672-4214-9E7B-F67A54E9746A}" cache="SegmentaçãodeDados_STATUS_DEMANDA11" caption="STATUS DEMANDA" columnCount="3" style="SlicerStyleDark1" lockedPosition="1" rowHeight="198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MADOR" xr10:uid="{A5269D01-CE38-4227-A641-E8A2DCFF3A5D}" cache="SegmentaçãodeDados_TOMADOR" caption="TOMADOR" columnCount="2" style="Estilo de Segmentação de Dados 1" lockedPosition="1" rowHeight="396000"/>
  <slicer name="STATUS" xr10:uid="{E18FC1B5-F8AD-476A-A7A9-1F5A5AB6A669}" cache="SegmentaçãodeDados_STATUS" caption="STATUS" columnCount="6" style="Estilo de Segmentação de Dados 1" lockedPosition="1" rowHeight="2520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MADOR 5" xr10:uid="{DAD70DDF-01FF-42C8-A963-B131CE103F4C}" cache="SegmentaçãodeDados_TOMADOR31" caption="TOMADOR" columnCount="3" style="Estilo de Segmentação de Dados 1" rowHeight="21600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B67BE3-DF73-41C2-8CD8-A3E994244DF3}" name="TB_INTEGRADA" displayName="TB_INTEGRADA" ref="A5:BB45" totalsRowShown="0" headerRowDxfId="884" dataDxfId="883" headerRowCellStyle="Moeda" dataCellStyle="Moeda">
  <autoFilter ref="A5:BB45" xr:uid="{10CD3B03-2060-4B75-B745-AD9B643E3019}">
    <filterColumn colId="3">
      <filters>
        <filter val="SERVIÇO"/>
      </filters>
    </filterColumn>
    <filterColumn colId="5">
      <filters>
        <filter val="EM ANDAMENTO"/>
        <filter val="NÃO EMITIDA SAMC"/>
      </filters>
    </filterColumn>
  </autoFilter>
  <tableColumns count="54">
    <tableColumn id="28" xr3:uid="{DC2BF661-0D87-43A6-A03D-28AFE5E85B83}" name="CONT." dataDxfId="882" dataCellStyle="Moeda">
      <calculatedColumnFormula>IF(COUNTIFS($B$5:B6,TB_INTEGRADA[[#This Row],[Nº  SS]])&lt;&gt;1,"",COUNTIFS($B$5:B6,TB_INTEGRADA[[#This Row],[Nº  SS]]))</calculatedColumnFormula>
    </tableColumn>
    <tableColumn id="1" xr3:uid="{C87B2819-7FD3-4770-A96A-58429386ED34}" name="Nº  SS" dataDxfId="881"/>
    <tableColumn id="2" xr3:uid="{72EBC0F4-5509-4612-806E-BF95A9298D1B}" name="ID | TÍTULO DA DEMANDA" dataDxfId="880">
      <calculatedColumnFormula>_xlfn.XLOOKUP(TB_INTEGRADA[[#This Row],[Nº  SS]],'CONTROLE EC'!B:B,'CONTROLE EC'!C:C,"",0,1)</calculatedColumnFormula>
    </tableColumn>
    <tableColumn id="35" xr3:uid="{73614ACB-478F-45F0-88BE-B90DDF1F89ED}" name="TIPO" dataDxfId="879">
      <calculatedColumnFormula>_xlfn.XLOOKUP(TB_INTEGRADA[[#This Row],[Nº  SS]],'CONTROLE CRONOG'!B:B,'CONTROLE CRONOG'!D:D,"",0,1)</calculatedColumnFormula>
    </tableColumn>
    <tableColumn id="3" xr3:uid="{5877C314-E296-4B01-9B59-D3A61448ED6C}" name="TOMADOR" dataDxfId="878">
      <calculatedColumnFormula>_xlfn.XLOOKUP(TB_INTEGRADA[[#This Row],[Nº  SS]],'CONTROLE EC'!B:B,'CONTROLE EC'!E:E,"",0,1)</calculatedColumnFormula>
    </tableColumn>
    <tableColumn id="7" xr3:uid="{51A0DDB6-F344-42BD-B7CF-7D75C69A43BA}" name="STATUS DEMANDA" dataDxfId="877">
      <calculatedColumnFormula>_xlfn.XLOOKUP(TB_INTEGRADA[[#This Row],[Nº  SS]],'CONTROLE EC'!B:B,'CONTROLE EC'!F:F,"",0,1)</calculatedColumnFormula>
    </tableColumn>
    <tableColumn id="8" xr3:uid="{33B9322C-7880-43D5-B7D6-338ECAC29F89}" name="REVISÃO (EC)" dataDxfId="876">
      <calculatedColumnFormula>_xlfn.XLOOKUP(TB_INTEGRADA[[#This Row],[Nº  SS]],'CONTROLE EC'!B:B,'CONTROLE EC'!R:R,"",0,1)</calculatedColumnFormula>
    </tableColumn>
    <tableColumn id="25" xr3:uid="{505C0FFC-A038-4B94-B635-D4F0FFFD5223}" name="DATA ENVIO. (EC)" dataDxfId="875">
      <calculatedColumnFormula>IF(TB_INTEGRADA[[#This Row],[REVISÃO (EC)]]="","",_xlfn.XLOOKUP(TB_INTEGRADA[[#This Row],[Nº  SS]],'CONTROLE EC'!B:B,'CONTROLE EC'!S:S,"",0,1))</calculatedColumnFormula>
    </tableColumn>
    <tableColumn id="12" xr3:uid="{CC62E7CB-E152-4A31-9B04-2B43BBC69F6D}" name="DATA APROV. (EC)" dataDxfId="874">
      <calculatedColumnFormula>IF(TB_INTEGRADA[[#This Row],[REVISÃO (EC)]]="","",_xlfn.XLOOKUP(TB_INTEGRADA[[#This Row],[Nº  SS]],'CONTROLE EC'!B:B,'CONTROLE EC'!U:U,"",0,1))</calculatedColumnFormula>
    </tableColumn>
    <tableColumn id="29" xr3:uid="{42DA9B0A-A0D3-44D7-B368-313551EBDCA2}" name="PRÓX. ENVIO" dataDxfId="873">
      <calculatedColumnFormula array="1">IF(TB_INTEGRADA[[#This Row],[DATA ENVIO. (EC)]]=IFERROR(INDEX('CONTROLE EC'!G6:Q6,MATCH(2,1/('CONTROLE EC'!G6:Q6&lt;&gt;""))),""),"",IFERROR(INDEX('CONTROLE EC'!G6:Q6,MATCH(2,1/('CONTROLE EC'!G6:Q6&lt;&gt;""))),""))</calculatedColumnFormula>
    </tableColumn>
    <tableColumn id="9" xr3:uid="{B17DD509-7F88-4381-B71E-CF2946AC90FF}" name="STATUS ENVIO" dataDxfId="872">
      <calculatedColumnFormula>IF(TB_INTEGRADA[[#This Row],[STATUS DEMANDA]]="NÃO EMITIDA SAMC","S/ EMISSÃO",_xlfn.XLOOKUP(TB_INTEGRADA[[#This Row],[Nº  SS]],'CONTROLE EC'!B:B,'CONTROLE EC'!T:T,"",0,-1))</calculatedColumnFormula>
    </tableColumn>
    <tableColumn id="23" xr3:uid="{72984368-AB86-41C2-8C72-A6AD1E8527F9}" name="STATUS PRIMÁRIO (EC)" dataDxfId="871">
      <calculatedColumnFormula>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calculatedColumnFormula>
    </tableColumn>
    <tableColumn id="24" xr3:uid="{FC8381CA-1CFC-4330-BE24-68DE46C7A75E}" name="AGUARD. RETORNO" dataDxfId="870">
      <calculatedColumnFormula array="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calculatedColumnFormula>
    </tableColumn>
    <tableColumn id="19" xr3:uid="{FFB5B743-C5D2-4EE8-B0F4-FA34C4D90BCC}" name="STATUS SECUNDÁRIO (EC)" dataDxfId="869">
      <calculatedColumnFormula>IF(TB_INTEGRADA[[#This Row],[STATUS DEMANDA]]="NÃO EMITIDA SAMC","S/ EMISSÃO",IF(TB_INTEGRADA[[#This Row],[STATUS DEMANDA]]="ON HOLD","ON HOLD",IF(F6="CANCELADA","CANCELADA",IF(L6="REPROVADO","EM PLANEJ.",IF(K6&lt;&gt;"ENTREGUE","EM PLANEJ.",IF(H6="","EM PLANEJ.",IF(I6="","FISCALIZ.",IF(M6&lt;0,"EM PLANEJ.",IF(TB_INTEGRADA[[#This Row],[DATA APROV. (EC)]]&gt;=TB_INTEGRADA[[#This Row],[DATA ENVIO. (EC)]],"RETORNO OK","FISCALIZ.")))))))))</calculatedColumnFormula>
    </tableColumn>
    <tableColumn id="11" xr3:uid="{87D0A00D-B9F6-4E21-8305-A58EE01E0220}" name="REVISÃO (CR)" dataDxfId="868">
      <calculatedColumnFormula>_xlfn.XLOOKUP(TB_INTEGRADA[[#This Row],[Nº  SS]],'CONTROLE CRONOG'!B:B,'CONTROLE CRONOG'!R:R,"",0,1)</calculatedColumnFormula>
    </tableColumn>
    <tableColumn id="26" xr3:uid="{E363C76A-EA07-4596-B722-505246FD3909}" name="DATA ENVIO. (CR)" dataDxfId="867">
      <calculatedColumnFormula>IF(TB_INTEGRADA[[#This Row],[REVISÃO (CR)]]="","",_xlfn.XLOOKUP(TB_INTEGRADA[[#This Row],[Nº  SS]],'CONTROLE CRONOG'!B:B,'CONTROLE CRONOG'!S:S,"",0,1))</calculatedColumnFormula>
    </tableColumn>
    <tableColumn id="22" xr3:uid="{1FB49CC3-208D-4980-AEB4-6E42D80160AE}" name="DATA APROV. (CR)" dataDxfId="866">
      <calculatedColumnFormula>IF(TB_INTEGRADA[[#This Row],[REVISÃO (CR)]]="","",_xlfn.XLOOKUP(TB_INTEGRADA[[#This Row],[Nº  SS]],'CONTROLE CRONOG'!B:B,'CONTROLE CRONOG'!U:U,"",0,1))</calculatedColumnFormula>
    </tableColumn>
    <tableColumn id="10" xr3:uid="{3F4CCD85-C421-45F4-8E79-5E9B6F6E1703}" name="PRÓX. ENVIO2" dataDxfId="865">
      <calculatedColumnFormula array="1">IF(TB_INTEGRADA[[#This Row],[DATA ENVIO. (CR)]]=IFERROR(INDEX('CONTROLE CRONOG'!G6:Q6,MATCH(2,1/('CONTROLE CRONOG'!G6:Q6&lt;&gt;""))),""),"",IFERROR(INDEX('CONTROLE CRONOG'!G6:Q6,MATCH(2,1/('CONTROLE CRONOG'!G6:Q6&lt;&gt;""))),""))</calculatedColumnFormula>
    </tableColumn>
    <tableColumn id="31" xr3:uid="{80E315E2-A45E-468C-A6A1-1387B3496AA8}" name="STATUS ENVIO " dataDxfId="864">
      <calculatedColumnFormula>_xlfn.XLOOKUP(TB_INTEGRADA[[#This Row],[Nº  SS]],'CONTROLE CRONOG'!B:B,'CONTROLE CRONOG'!T:T,"",0,-1)</calculatedColumnFormula>
    </tableColumn>
    <tableColumn id="30" xr3:uid="{5646B594-68FE-4176-A771-ECC8065AD85F}" name="STATUS PRIMÁRIO (EC) " dataDxfId="863">
      <calculatedColumnFormula>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calculatedColumnFormula>
    </tableColumn>
    <tableColumn id="56" xr3:uid="{2E1C9AEB-718F-48D2-BFD6-16798922D2BC}" name="FÍSICO" dataDxfId="862"/>
    <tableColumn id="16" xr3:uid="{C1C07D50-D7FB-4335-875F-BB198B5A8F24}" name="TÉRMINO LB" dataDxfId="861">
      <calculatedColumnFormula>_xlfn.XLOOKUP(TB_INTEGRADA[[#This Row],[Nº  SS]],'CONTROLE CRONOG'!B:B,'CONTROLE CRONOG'!#REF!,"",0,1)</calculatedColumnFormula>
    </tableColumn>
    <tableColumn id="15" xr3:uid="{850A5EC0-F62B-472B-84F9-EE3991F9F114}" name="TÉRM. TD" dataDxfId="860">
      <calculatedColumnFormula>_xlfn.XLOOKUP(TB_INTEGRADA[[#This Row],[Nº  SS]],'CONTROLE CRONOG'!B:B,'CONTROLE CRONOG'!#REF!,"",0,1)</calculatedColumnFormula>
    </tableColumn>
    <tableColumn id="13" xr3:uid="{2614AD47-3096-43CC-B558-D43C5537C365}" name="DESVIO (d)" dataDxfId="859">
      <calculatedColumnFormula>IFERROR(TB_INTEGRADA[[#This Row],[TÉRM. TD]]-TB_INTEGRADA[[#This Row],[TÉRMINO LB]],0)</calculatedColumnFormula>
    </tableColumn>
    <tableColumn id="21" xr3:uid="{80528247-0808-409F-B999-7E3422D5C2BD}" name="PREV (%)" dataDxfId="858" dataCellStyle="Porcentagem">
      <calculatedColumnFormula>_xlfn.XLOOKUP(TB_INTEGRADA[[#This Row],[Nº  SS]],'CONTROLE CRONOG'!B:B,'CONTROLE CRONOG'!#REF!,"",0,1)</calculatedColumnFormula>
    </tableColumn>
    <tableColumn id="20" xr3:uid="{5E5934C3-698E-45F1-A5D9-5F96E0B5575B}" name="REAL (%)" dataDxfId="857" dataCellStyle="Porcentagem">
      <calculatedColumnFormula>_xlfn.XLOOKUP(TB_INTEGRADA[[#This Row],[Nº  SS]],'CONTROLE CRONOG'!B:B,'CONTROLE CRONOG'!#REF!,"",0,1)</calculatedColumnFormula>
    </tableColumn>
    <tableColumn id="36" xr3:uid="{2EF3DFBF-5457-4E30-9F41-BE0E4CF10B1A}" name="DESVIO (%)_x000a_ANT" dataDxfId="856" dataCellStyle="Porcentagem">
      <calculatedColumnFormula>_xlfn.XLOOKUP(TB_INTEGRADA[[#This Row],[Nº  SS]],'CONTROLE CRONOG'!B:B,'CONTROLE CRONOG'!#REF!,"",0,1)</calculatedColumnFormula>
    </tableColumn>
    <tableColumn id="17" xr3:uid="{49992129-850A-4695-90DE-9705F5ECF395}" name="DESVIO (%)" dataDxfId="855" dataCellStyle="Porcentagem">
      <calculatedColumnFormula>IFERROR(TB_INTEGRADA[[#This Row],[REAL (%)]]-TB_INTEGRADA[[#This Row],[PREV (%)]],0)</calculatedColumnFormula>
    </tableColumn>
    <tableColumn id="18" xr3:uid="{50071442-178C-454E-B12D-FFB549900EC9}" name="M.O PREV." dataDxfId="854">
      <calculatedColumnFormula>_xlfn.XLOOKUP(TB_INTEGRADA[[#This Row],[Nº  SS]],'CONTROLE CRONOG'!B:B,'CONTROLE CRONOG'!#REF!,"",0,1)</calculatedColumnFormula>
    </tableColumn>
    <tableColumn id="14" xr3:uid="{BE6BC04E-4E74-4BDC-96C4-F96D0708EC04}" name="M.O REAL" dataDxfId="853">
      <calculatedColumnFormula>_xlfn.XLOOKUP(TB_INTEGRADA[[#This Row],[Nº  SS]],'CONTROLE CRONOG'!B:B,'CONTROLE CRONOG'!#REF!,"",0,1)</calculatedColumnFormula>
    </tableColumn>
    <tableColumn id="57" xr3:uid="{A5C593FC-7E5F-4E3C-A43A-DBA522C1F392}" name="CONTR HH" dataDxfId="852"/>
    <tableColumn id="34" xr3:uid="{6D4930F1-B78B-4F13-8C7A-5018133477CD}" name="ORÇADO" dataDxfId="851">
      <calculatedColumnFormula>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calculatedColumnFormula>
    </tableColumn>
    <tableColumn id="39" xr3:uid="{67593C77-5981-442A-A683-BE8461B3A263}" name="ORÇ DIG" dataDxfId="850"/>
    <tableColumn id="38" xr3:uid="{6A5CE0FD-41B9-47FA-95F4-26A840D62063}" name="PLANEJ" dataDxfId="849">
      <calculatedColumnFormula>SUMIFS(Tb_HhPLAN[Hh DISC],Tb_HhPLAN[SS],TB_INTEGRADA[[#This Row],[Nº  SS]],Tb_HhPLAN[DISCIPLINA],"MEC")</calculatedColumnFormula>
    </tableColumn>
    <tableColumn id="37" xr3:uid="{706F720F-3160-4E75-BCF5-49EDFC39F81B}" name="REALIZ" dataDxfId="848">
      <calculatedColumnFormula>SUMIFS(Hh_EXE_TOTAL[Hh],Hh_EXE_TOTAL[Nº  SS],TB_INTEGRADA[[#This Row],[Nº  SS]],Hh_EXE_TOTAL[DISCIPLINA],"MEC")</calculatedColumnFormula>
    </tableColumn>
    <tableColumn id="33" xr3:uid="{36949FF3-0ECE-4256-ABF2-EC9FD11D75BA}" name="ORÇADO1" dataDxfId="847">
      <calculatedColumnFormula>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calculatedColumnFormula>
    </tableColumn>
    <tableColumn id="42" xr3:uid="{9C7ED961-359C-4251-B9BA-971045F84F98}" name="ORÇ DIG1" dataDxfId="846"/>
    <tableColumn id="41" xr3:uid="{EB3596FF-FBEC-4F20-8D76-3628AF0E4053}" name="PLANEJ1" dataDxfId="845">
      <calculatedColumnFormula>SUMIFS(Tb_HhPLAN[Hh DISC],Tb_HhPLAN[SS],TB_INTEGRADA[[#This Row],[Nº  SS]],Tb_HhPLAN[DISCIPLINA],"CIVIL")</calculatedColumnFormula>
    </tableColumn>
    <tableColumn id="40" xr3:uid="{D24C75B2-0E33-44E6-99ED-8A6EF30D4BDE}" name="REALIZ1" dataDxfId="844">
      <calculatedColumnFormula>SUMIFS(Hh_EXE_TOTAL[Hh],Hh_EXE_TOTAL[Nº  SS],TB_INTEGRADA[[#This Row],[Nº  SS]],Hh_EXE_TOTAL[DISCIPLINA],"CIVIL")</calculatedColumnFormula>
    </tableColumn>
    <tableColumn id="32" xr3:uid="{3FB594FD-4013-4224-B295-E06EA0083C4B}" name="ORÇADO2" dataDxfId="843">
      <calculatedColumnFormula>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calculatedColumnFormula>
    </tableColumn>
    <tableColumn id="45" xr3:uid="{FC5C82FA-2725-4C99-9B3F-DC616FFF0CEB}" name="ORÇ DIG2" dataDxfId="842"/>
    <tableColumn id="49" xr3:uid="{205705A8-9385-4675-8E18-C9EC504BF1CC}" name="PLANEJ2" dataDxfId="841">
      <calculatedColumnFormula>SUMIFS(Tb_HhPLAN[Hh DISC],Tb_HhPLAN[SS],TB_INTEGRADA[[#This Row],[Nº  SS]],Tb_HhPLAN[DISCIPLINA],"ELÉT")</calculatedColumnFormula>
    </tableColumn>
    <tableColumn id="48" xr3:uid="{FD0CA39D-8A5C-4C35-863C-840FB359239E}" name="REALIZ2" dataDxfId="840">
      <calculatedColumnFormula>SUMIFS(Hh_EXE_TOTAL[Hh],Hh_EXE_TOTAL[Nº  SS],TB_INTEGRADA[[#This Row],[Nº  SS]],Hh_EXE_TOTAL[DISCIPLINA],"ELÉT")</calculatedColumnFormula>
    </tableColumn>
    <tableColumn id="47" xr3:uid="{7DFD2A77-1218-43A8-9A02-401F9833B23E}" name="ORÇADO3" dataDxfId="839">
      <calculatedColumnFormula>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calculatedColumnFormula>
    </tableColumn>
    <tableColumn id="46" xr3:uid="{A8B92A76-3F92-47AA-BFD4-5C74C7AD84D5}" name="ORÇ DIG3" dataDxfId="838"/>
    <tableColumn id="44" xr3:uid="{E63D2CAC-2E5F-4C1F-800A-FE3C362E1F2B}" name="PLANEJ3" dataDxfId="837">
      <calculatedColumnFormula>SUMIFS(Tb_HhPLAN[Hh DISC],Tb_HhPLAN[SS],TB_INTEGRADA[[#This Row],[Nº  SS]],Tb_HhPLAN[DISCIPLINA],"PINT")</calculatedColumnFormula>
    </tableColumn>
    <tableColumn id="43" xr3:uid="{864AA71E-035F-4024-AA1A-C320F846F7A4}" name="REALIZ3" dataDxfId="836">
      <calculatedColumnFormula>SUMIFS(Hh_EXE_TOTAL[Hh],Hh_EXE_TOTAL[Nº  SS],TB_INTEGRADA[[#This Row],[Nº  SS]],Hh_EXE_TOTAL[DISCIPLINA],"PINT")</calculatedColumnFormula>
    </tableColumn>
    <tableColumn id="52" xr3:uid="{622AFE9E-EAFF-45F8-A8C7-6B49A2B8B30B}" name="ORÇADO4" dataDxfId="835">
      <calculatedColumnFormula>TB_INTEGRADA[[#This Row],[ORÇADO]]+TB_INTEGRADA[[#This Row],[ORÇADO1]]+TB_INTEGRADA[[#This Row],[ORÇADO2]]+TB_INTEGRADA[[#This Row],[ORÇADO3]]</calculatedColumnFormula>
    </tableColumn>
    <tableColumn id="51" xr3:uid="{19B2F226-2164-4B9C-AF5C-52BA7DBCB063}" name="PLANEJ4" dataDxfId="834">
      <calculatedColumnFormula>TB_INTEGRADA[[#This Row],[PLANEJ]]+TB_INTEGRADA[[#This Row],[PLANEJ1]]+TB_INTEGRADA[[#This Row],[PLANEJ2]]+TB_INTEGRADA[[#This Row],[PLANEJ3]]</calculatedColumnFormula>
    </tableColumn>
    <tableColumn id="50" xr3:uid="{D2843BAB-5010-44F6-9A56-D0ED248E1F27}" name="REALIZ4" dataDxfId="833">
      <calculatedColumnFormula>TB_INTEGRADA[[#This Row],[REALIZ]]+TB_INTEGRADA[[#This Row],[REALIZ1]]+TB_INTEGRADA[[#This Row],[REALIZ2]]+TB_INTEGRADA[[#This Row],[REALIZ3]]</calculatedColumnFormula>
    </tableColumn>
    <tableColumn id="27" xr3:uid="{28BE783F-E7CA-4E23-9AAF-EFA1DA3CBFD8}" name="% EXEC" dataDxfId="832" dataCellStyle="Porcentagem">
      <calculatedColumnFormula>IFERROR(TB_INTEGRADA[[#This Row],[REALIZ4]]/TB_INTEGRADA[[#This Row],[ORÇADO4]],"")</calculatedColumnFormula>
    </tableColumn>
    <tableColumn id="4" xr3:uid="{1B175418-1148-4E6F-A96A-DDA0C4282B34}" name="R$ APROVADO" dataDxfId="831" dataCellStyle="Moeda">
      <calculatedColumnFormula>_xlfn.XLOOKUP(TB_INTEGRADA[[#This Row],[Nº  SS]],'CONTROLE EC'!B:B,'CONTROLE EC'!W:W,"",0,1)</calculatedColumnFormula>
    </tableColumn>
    <tableColumn id="5" xr3:uid="{670FB8CC-9C4C-4B3E-847B-39DA8D321977}" name="R$ MEDIDO " dataDxfId="830" dataCellStyle="Moeda">
      <calculatedColumnFormula>_xlfn.XLOOKUP(TB_INTEGRADA[[#This Row],[Nº  SS]],'CONTROLE EC'!B:B,'CONTROLE EC'!X:X,"",0,1)</calculatedColumnFormula>
    </tableColumn>
    <tableColumn id="6" xr3:uid="{DECC99CB-9B26-4749-A08F-4DA4B6605F9B}" name="R$ SALDO " dataDxfId="829" dataCellStyle="Moeda">
      <calculatedColumnFormula>_xlfn.XLOOKUP(TB_INTEGRADA[[#This Row],[Nº  SS]],'CONTROLE EC'!B:B,'CONTROLE EC'!Y:Y,"",0,1)</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AFC0A43-A9B7-4348-BF70-1ED3A72D8CD9}" name="TB_EC" displayName="TB_EC" ref="A5:Y45" totalsRowShown="0" headerRowDxfId="822" dataDxfId="821" headerRowCellStyle="Moeda" dataCellStyle="Moeda">
  <autoFilter ref="A5:Y45" xr:uid="{10CD3B03-2060-4B75-B745-AD9B643E3019}">
    <filterColumn colId="3">
      <filters>
        <filter val="SERVIÇO"/>
      </filters>
    </filterColumn>
  </autoFilter>
  <tableColumns count="25">
    <tableColumn id="28" xr3:uid="{9728758D-BC25-474F-9560-8A1AF7739686}" name="CONT." dataDxfId="820" dataCellStyle="Moeda">
      <calculatedColumnFormula>IF(COUNTIFS($B$5:B6,TB_EC[[#This Row],[Nº  SS]])&lt;&gt;1,"",COUNTIFS($B$5:B6,TB_EC[[#This Row],[Nº  SS]]))</calculatedColumnFormula>
    </tableColumn>
    <tableColumn id="1" xr3:uid="{FDAC794D-0CC2-43F5-9885-59FCC57865F6}" name="Nº  SS" dataDxfId="819"/>
    <tableColumn id="2" xr3:uid="{AA99E870-F0E8-4820-BA6E-C0B8FCB44C55}" name="Coluna1" dataDxfId="818">
      <calculatedColumnFormula>_xlfn.XLOOKUP(TB_EC[[#This Row],[Nº  SS]],'CONTROLE CRONOG'!B:B,'CONTROLE CRONOG'!C:C,"",0,1)</calculatedColumnFormula>
    </tableColumn>
    <tableColumn id="9" xr3:uid="{AD102B64-07F5-4384-85C7-78F68543151A}" name="TIPO" dataDxfId="817">
      <calculatedColumnFormula>_xlfn.XLOOKUP(TB_EC[[#This Row],[Nº  SS]],'CONTROLE CRONOG'!B:B,'CONTROLE CRONOG'!D:D,"",0,1)</calculatedColumnFormula>
    </tableColumn>
    <tableColumn id="3" xr3:uid="{015E2ED4-D97B-41DF-93AE-0E1D3D55449E}" name="TOMADOR" dataDxfId="816">
      <calculatedColumnFormula>_xlfn.XLOOKUP(TB_EC[[#This Row],[Nº  SS]],'CONTROLE CRONOG'!B:B,'CONTROLE CRONOG'!E:E,"",0,1)</calculatedColumnFormula>
    </tableColumn>
    <tableColumn id="7" xr3:uid="{A9F3CE2A-D32C-4207-9418-524EFC206471}" name="STATUS DEMANDA" dataDxfId="815">
      <calculatedColumnFormula>_xlfn.XLOOKUP(TB_EC[[#This Row],[Nº  SS]],'CONTROLE CRONOG'!B:B,'CONTROLE CRONOG'!F:F,"",0,1)</calculatedColumnFormula>
    </tableColumn>
    <tableColumn id="8" xr3:uid="{270A3312-06BE-4850-8AA6-942044DB6320}" name="REV.00" dataDxfId="814"/>
    <tableColumn id="37" xr3:uid="{1E4FD83D-D73F-478A-BBEB-C8828F080606}" name="REV.01" dataDxfId="813"/>
    <tableColumn id="36" xr3:uid="{A8B71F2D-BEEA-45D8-9EB4-7A3C15AA833D}" name="REV.02" dataDxfId="812"/>
    <tableColumn id="35" xr3:uid="{0A7DD955-4551-49F6-819C-BF4ABAA3A1F7}" name="REV.03" dataDxfId="811"/>
    <tableColumn id="34" xr3:uid="{1EB22A34-4D04-4F31-9665-2B958E9FEB97}" name="REV.04" dataDxfId="810"/>
    <tableColumn id="33" xr3:uid="{2327BC5A-1B80-443B-A409-B42B7ED58B71}" name="REV.05" dataDxfId="809"/>
    <tableColumn id="32" xr3:uid="{33151706-E376-469C-8638-E0D402771EB9}" name="REV.06" dataDxfId="808"/>
    <tableColumn id="31" xr3:uid="{2DC7BE57-5B09-47B9-AD29-8D17AB1D23B7}" name="REV.07" dataDxfId="807"/>
    <tableColumn id="30" xr3:uid="{BAD60D46-BA4E-462E-8681-66B67141AA24}" name="REV.08" dataDxfId="806"/>
    <tableColumn id="29" xr3:uid="{F90C0D7D-036C-4565-A764-E3C7DE65476F}" name="REV.09" dataDxfId="805"/>
    <tableColumn id="48" xr3:uid="{2800319A-ECBE-4C4B-A507-A07911C86596}" name="REV.10" dataDxfId="804"/>
    <tableColumn id="56" xr3:uid="{62A0D32A-2A3A-48BE-80E4-8F7B04BB4B12}" name="ÚLTIMA REVISÃO" dataDxfId="803">
      <calculatedColumnFormula array="1">IF(TB_EC[[#This Row],[REV.00]]="","",INDEX(G$4:Q$4,MATCH(2,1/(G6:Q6&lt;&gt;""),1)))</calculatedColumnFormula>
    </tableColumn>
    <tableColumn id="50" xr3:uid="{D6FFE06F-D889-4154-A7B1-76A0CE0FB6B2}" name="DATA ENVIO" dataDxfId="802"/>
    <tableColumn id="25" xr3:uid="{5E615DC1-5284-4B65-9783-A67EA694DC95}" name="STATUS ENVIO (EC)" dataDxfId="801">
      <calculatedColumnFormula array="1">IF(TB_EC[[#This Row],[STATUS DEMANDA]]="CANCELADA","CANCELADA",IF(TB_EC[[#This Row],[DATA ENVIO]]="","PENDENTE",IF(TB_EC[[#This Row],[DATA ENVIO]]&gt;=IFERROR(INDEX(G6:Q6,MATCH(2,1/(G6:Q6&lt;&gt;""))),""),"ENTREGUE","PENDENTE")))</calculatedColumnFormula>
    </tableColumn>
    <tableColumn id="12" xr3:uid="{20A5A717-D01D-4F3A-B693-9B08300DFA82}" name="DATA APROV. (EC)" dataDxfId="800"/>
    <tableColumn id="19" xr3:uid="{F75322A9-D0D8-4457-A633-1EBABA21D709}" name="STATUS APROVAÇÃO (EC)" dataDxfId="799"/>
    <tableColumn id="4" xr3:uid="{1DE0D549-C640-405A-B2C2-7684C3822DC5}" name="R$ APROVADO" dataDxfId="798" dataCellStyle="Moeda">
      <calculatedColumnFormula>_xlfn.XLOOKUP(TB_EC[[#This Row],[Nº  SS]],'CONTROLE FIN'!A:A,'CONTROLE FIN'!F:F,"",0,1)</calculatedColumnFormula>
    </tableColumn>
    <tableColumn id="5" xr3:uid="{F788C9DA-327A-40EA-8680-40BB24F729E4}" name="R$ MEDIDO " dataDxfId="797" dataCellStyle="Moeda">
      <calculatedColumnFormula>_xlfn.XLOOKUP(TB_EC[[#This Row],[Nº  SS]],'CONTROLE FIN'!A:A,'CONTROLE FIN'!H:H,"",0,1)</calculatedColumnFormula>
    </tableColumn>
    <tableColumn id="6" xr3:uid="{F3CC58B3-F02D-46F6-8AB5-FACEA671A733}" name="R$ SALDO " dataDxfId="796" dataCellStyle="Moeda">
      <calculatedColumnFormula>_xlfn.XLOOKUP(TB_EC[[#This Row],[Nº  SS]],'CONTROLE FIN'!A:A,'CONTROLE FIN'!I:I,"",0,1)</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D775612-4B60-4133-B6C5-236F821345BF}" name="TB_CR.ACOMP" displayName="TB_CR.ACOMP" ref="A5:Y45" totalsRowShown="0" headerRowDxfId="775" dataDxfId="774" headerRowCellStyle="Moeda" dataCellStyle="Moeda">
  <autoFilter ref="A5:Y45" xr:uid="{10CD3B03-2060-4B75-B745-AD9B643E3019}">
    <filterColumn colId="3">
      <filters>
        <filter val="SERVIÇO"/>
      </filters>
    </filterColumn>
  </autoFilter>
  <tableColumns count="25">
    <tableColumn id="28" xr3:uid="{29B88308-5F43-47F1-8B22-21E2426191E7}" name="CONT." dataDxfId="773" dataCellStyle="Moeda">
      <calculatedColumnFormula>IF(COUNTIFS($B$5:B6,TB_CR.ACOMP[[#This Row],[Nº  SS]])&lt;&gt;1,"",COUNTIFS($B$5:B6,TB_CR.ACOMP[[#This Row],[Nº  SS]]))</calculatedColumnFormula>
    </tableColumn>
    <tableColumn id="1" xr3:uid="{70AE607B-CC9A-4306-BBBC-24B555FBD14C}" name="Nº  SS" dataDxfId="772"/>
    <tableColumn id="2" xr3:uid="{63B55A8B-8CCD-48EB-9CCB-82FF47CDC54A}" name="ID | DESCRIÇÃO DA DEMANDA" dataDxfId="771"/>
    <tableColumn id="23" xr3:uid="{912862EE-68AA-43A1-8DE8-B5EDDA2C3C8E}" name="TIPO" dataDxfId="770"/>
    <tableColumn id="3" xr3:uid="{FB4624D8-1C87-4642-9C8C-91BB76F2D409}" name="TOMADOR" dataDxfId="769"/>
    <tableColumn id="7" xr3:uid="{33007D38-5B7D-4454-9E53-1EBBAF5ECF67}" name="STATUS DEMANDA" dataDxfId="768"/>
    <tableColumn id="8" xr3:uid="{980D0092-7221-4873-B624-9EA911038D8F}" name="REV.00" dataDxfId="767">
      <calculatedColumnFormula>_xlfn.XLOOKUP(TB_CR.ACOMP[[#This Row],[Nº  SS]],'PACOTE INICIAL'!A:A,'PACOTE INICIAL'!C:C,"S/EMISS",0,1)</calculatedColumnFormula>
    </tableColumn>
    <tableColumn id="37" xr3:uid="{7ACAD630-05B2-4EAF-9BB4-7D6A6A8F4C67}" name="REV.01" dataDxfId="766"/>
    <tableColumn id="36" xr3:uid="{9F7F4A54-7C88-424D-A465-943BBB34244E}" name="REV.02" dataDxfId="765"/>
    <tableColumn id="35" xr3:uid="{4924C287-3A43-4296-BD22-7A4B75652775}" name="REV.03" dataDxfId="764"/>
    <tableColumn id="34" xr3:uid="{94A3D685-4134-4018-8DAA-35F362C9D804}" name="REV.04" dataDxfId="763"/>
    <tableColumn id="33" xr3:uid="{0FDD0FED-C555-4373-A5FB-C8CE8AB71D05}" name="REV.05" dataDxfId="762"/>
    <tableColumn id="32" xr3:uid="{62119828-C7FD-4F05-A5F0-B0A174301D53}" name="REV.06" dataDxfId="761"/>
    <tableColumn id="31" xr3:uid="{9B503C44-5EE2-4C17-B352-D1D11BA18F86}" name="REV.07" dataDxfId="760"/>
    <tableColumn id="30" xr3:uid="{23C00FC5-56F1-4B82-A57A-8D1124A980C4}" name="REV.08" dataDxfId="759"/>
    <tableColumn id="29" xr3:uid="{87826314-B293-4D22-B165-A29A36E6B407}" name="REV.09" dataDxfId="758"/>
    <tableColumn id="48" xr3:uid="{D6A5C1A2-4B2E-4FD0-B5C2-5AC575E63B76}" name="REV.10" dataDxfId="757"/>
    <tableColumn id="56" xr3:uid="{80DF43C7-2363-4C35-BA73-3239D7B16874}" name="ÚLTIMA REVISÃO" dataDxfId="756">
      <calculatedColumnFormula array="1">IF(TB_CR.ACOMP[[#This Row],[REV.00]]="","",INDEX(G$4:Q$4,MATCH(2,1/(G6:Q6&lt;&gt;""),1)))</calculatedColumnFormula>
    </tableColumn>
    <tableColumn id="50" xr3:uid="{AD0BE83D-3257-49C8-A35C-D49153701C7C}" name="DATA ENVIO" dataDxfId="755"/>
    <tableColumn id="25" xr3:uid="{71DD906A-1460-4F59-A8D0-C08778F65DC4}" name="STATUS ENVIO (CR)" dataDxfId="754">
      <calculatedColumnFormula array="1">IF(TB_CR.ACOMP[[#This Row],[STATUS DEMANDA]]="CANCELADA","CANCELADA",IF(TB_CR.ACOMP[[#This Row],[DATA ENVIO]]="","PENDENTE",IF(TB_CR.ACOMP[[#This Row],[DATA ENVIO]]&gt;=IFERROR(INDEX(G6:Q6,MATCH(2,1/(G6:Q6&lt;&gt;""))),""),"ENTREGUE","PENDENTE")))</calculatedColumnFormula>
    </tableColumn>
    <tableColumn id="12" xr3:uid="{BC8956FB-F1FB-4B37-A889-30E9CA8698DC}" name="DATA APROV. (CR)" dataDxfId="753"/>
    <tableColumn id="19" xr3:uid="{7C2061DC-2FC3-4CA2-BED4-80628BC68A30}" name="STATUS APROVAÇÃO (CR)" dataDxfId="752"/>
    <tableColumn id="4" xr3:uid="{AEBBABF5-F777-44A8-9697-84D81150F4A1}" name="R$ APROVADO" dataDxfId="751" dataCellStyle="Moeda">
      <calculatedColumnFormula>_xlfn.XLOOKUP(TB_CR.ACOMP[[#This Row],[Nº  SS]],'CONTROLE FIN'!A:A,'CONTROLE FIN'!F:F,"",0,1)</calculatedColumnFormula>
    </tableColumn>
    <tableColumn id="5" xr3:uid="{18B7F36F-8DEE-4B7F-8427-11AC59B017F2}" name="R$ MEDIDO " dataDxfId="750" dataCellStyle="Moeda">
      <calculatedColumnFormula>_xlfn.XLOOKUP(TB_CR.ACOMP[[#This Row],[Nº  SS]],'CONTROLE FIN'!A:A,'CONTROLE FIN'!H:H,"",0,1)</calculatedColumnFormula>
    </tableColumn>
    <tableColumn id="6" xr3:uid="{652169C1-7026-4B43-8DD2-37B7B2950D16}" name="R$ SALDO " dataDxfId="749" dataCellStyle="Moeda">
      <calculatedColumnFormula>_xlfn.XLOOKUP(TB_CR.ACOMP[[#This Row],[Nº  SS]],'CONTROLE EC'!B:B,'CONTROLE EC'!Y:Y,"",0,1)</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1B5365-934C-4771-A997-6784582F1C0D}" name="Tb_ValorSS" displayName="Tb_ValorSS" ref="A5:BG45" totalsRowShown="0" headerRowDxfId="309" dataDxfId="308" headerRowCellStyle="Moeda" dataCellStyle="Moeda">
  <autoFilter ref="A5:BG45" xr:uid="{10CD3B03-2060-4B75-B745-AD9B643E3019}">
    <filterColumn colId="3">
      <filters>
        <filter val="EM ANDAMENTO"/>
        <filter val="EM PLANEJAMENTO"/>
      </filters>
    </filterColumn>
  </autoFilter>
  <tableColumns count="59">
    <tableColumn id="1" xr3:uid="{D2E4255F-A70B-4ABC-8B15-B945CB5D3461}" name="Nº  SS" dataDxfId="307"/>
    <tableColumn id="2" xr3:uid="{148CB862-0255-4445-984F-12D31C1AD088}" name="TÍTULO DA SS" dataDxfId="306"/>
    <tableColumn id="3" xr3:uid="{F7D8806F-CE42-418A-B301-23517F17CC74}" name="TOMADOR" dataDxfId="305"/>
    <tableColumn id="7" xr3:uid="{4E8E68DF-781C-49A9-868A-3EFC7CBFBE86}" name="STATUS" dataDxfId="304"/>
    <tableColumn id="8" xr3:uid="{4796CBD1-4B91-42A3-8D0E-78DD45928B1B}" name="UBR APROV" dataDxfId="303"/>
    <tableColumn id="4" xr3:uid="{BA340C21-91FF-439F-88D8-455B01D32B4A}" name="R$ APROVADO" dataDxfId="302" dataCellStyle="Moeda"/>
    <tableColumn id="9" xr3:uid="{FD491FE7-AF7D-4D88-895E-193B59E7EC5D}" name="UBR MEDIDO" dataDxfId="301" dataCellStyle="Moeda"/>
    <tableColumn id="5" xr3:uid="{F1A7EFE8-C89B-479A-9A85-AF35CECB45EF}" name="R$ MEDIDO " dataDxfId="300" dataCellStyle="Moeda">
      <calculatedColumnFormula>Tb_ValorSS[[#This Row],[UBR MEDIDO]]*296.82</calculatedColumnFormula>
    </tableColumn>
    <tableColumn id="6" xr3:uid="{E74D598F-E2D0-4CD5-B929-99A3745CA7F9}" name="R$ SALDO " dataDxfId="299" dataCellStyle="Moeda">
      <calculatedColumnFormula>IF(ABS(Tb_ValorSS[[#This Row],[R$ APROVADO]]-Tb_ValorSS[[#This Row],[R$ MEDIDO ]])&lt;0.01,0,Tb_ValorSS[[#This Row],[R$ APROVADO]]-Tb_ValorSS[[#This Row],[R$ MEDIDO ]])</calculatedColumnFormula>
    </tableColumn>
    <tableColumn id="10" xr3:uid="{91B2CE7B-0DAB-4135-8E55-E832BD873C45}" name="Coluna1" dataDxfId="298" dataCellStyle="Moeda"/>
    <tableColumn id="11" xr3:uid="{7BFCACF2-ACDA-4273-BFA0-3543F7A594F5}" name="SET.25" dataDxfId="297" dataCellStyle="Moeda"/>
    <tableColumn id="12" xr3:uid="{B5007D82-F729-4842-ADE8-ACEC050B64CF}" name="OUT.25" dataDxfId="296" dataCellStyle="Moeda"/>
    <tableColumn id="13" xr3:uid="{C1938347-6B83-47DC-80FF-73948493830E}" name="NOV.25" dataDxfId="295" dataCellStyle="Moeda"/>
    <tableColumn id="14" xr3:uid="{F392408D-C1A6-4FBF-907A-0514CAA84027}" name="DEZ.25" dataDxfId="294" dataCellStyle="Moeda"/>
    <tableColumn id="15" xr3:uid="{C1353153-F761-4BBE-8827-070548ADC42C}" name="JAN.26" dataDxfId="293" dataCellStyle="Moeda"/>
    <tableColumn id="16" xr3:uid="{A103CD3F-E561-4B42-BB8E-611DDD787359}" name="FEV.26" dataDxfId="292" dataCellStyle="Moeda"/>
    <tableColumn id="17" xr3:uid="{9C8182B4-96B3-4639-9AF0-0F8AE5288E4C}" name="MAR.26" dataDxfId="291" dataCellStyle="Moeda"/>
    <tableColumn id="18" xr3:uid="{320C19C5-D920-48FB-8C42-0CD79F7B0C94}" name="ABR.26" dataDxfId="290" dataCellStyle="Moeda"/>
    <tableColumn id="19" xr3:uid="{47D0BA1D-D65C-42F7-849F-F909570AE0E5}" name="MAI.26" dataDxfId="289" dataCellStyle="Moeda"/>
    <tableColumn id="20" xr3:uid="{806E0260-FCF3-4B7C-B887-39BF46DDF747}" name="JUN.26" dataDxfId="288" dataCellStyle="Moeda"/>
    <tableColumn id="21" xr3:uid="{04CAC61B-2B70-42DF-85A8-9A5F1F3851D3}" name="JUL.26" dataDxfId="287" dataCellStyle="Moeda"/>
    <tableColumn id="22" xr3:uid="{A2B20DF7-C79F-48D6-91CC-DD01FAD99EB7}" name="AGO.26" dataDxfId="286" dataCellStyle="Moeda"/>
    <tableColumn id="23" xr3:uid="{2DC86FC5-89E3-4D52-8952-A5FC2BCC8249}" name="SET.26" dataDxfId="285" dataCellStyle="Moeda"/>
    <tableColumn id="24" xr3:uid="{869E5720-7A5A-4702-A742-3793996D038C}" name="OUT.26" dataDxfId="284" dataCellStyle="Moeda"/>
    <tableColumn id="25" xr3:uid="{7FF353FF-AD28-45FA-99E1-7693B031D6E6}" name="NOV.26" dataDxfId="283" dataCellStyle="Moeda"/>
    <tableColumn id="26" xr3:uid="{EB731BE5-6CF0-4E85-A74B-971520910898}" name="DEZ.26" dataDxfId="282" dataCellStyle="Moeda"/>
    <tableColumn id="27" xr3:uid="{9DED862C-6102-4527-8FD7-753E86A1ED4C}" name="-" dataDxfId="281" dataCellStyle="Moeda"/>
    <tableColumn id="45" xr3:uid="{9A4EF0A9-BAB4-4821-A1CE-519A12E77BA9}" name="1" dataDxfId="280" dataCellStyle="Porcentagem">
      <calculatedColumnFormula>IFERROR(_xlfn.XLOOKUP(Tb_ValorSS[[#This Row],[Nº  SS]],#REF!,#REF!,"",0,1),"")</calculatedColumnFormula>
    </tableColumn>
    <tableColumn id="28" xr3:uid="{68BE7DCF-6404-4C76-A910-9943A7849191}" name="SET.25 " dataDxfId="279" dataCellStyle="Moeda">
      <calculatedColumnFormula>IFERROR(_xlfn.XLOOKUP(Tb_ValorSS[[#This Row],[Nº  SS]],#REF!,#REF!,"",0,1)*Tb_ValorSS[[#This Row],[R$ APROVADO]],"")</calculatedColumnFormula>
    </tableColumn>
    <tableColumn id="44" xr3:uid="{E0153E93-DE49-409B-A3A7-4F86A58E6F4B}" name="2" dataDxfId="278" dataCellStyle="Porcentagem">
      <calculatedColumnFormula>IFERROR(_xlfn.XLOOKUP(Tb_ValorSS[[#This Row],[Nº  SS]],#REF!,#REF!,"",0,1),"")</calculatedColumnFormula>
    </tableColumn>
    <tableColumn id="29" xr3:uid="{574FCB81-9585-434C-A7BC-B33EE6C62864}" name="OUT.25 " dataDxfId="277" dataCellStyle="Moeda">
      <calculatedColumnFormula>IFERROR(_xlfn.XLOOKUP(Tb_ValorSS[[#This Row],[Nº  SS]],#REF!,#REF!,"",0,1)*Tb_ValorSS[[#This Row],[R$ APROVADO]],"")</calculatedColumnFormula>
    </tableColumn>
    <tableColumn id="46" xr3:uid="{1603EBA9-DB22-4357-9BF1-094D2C376279}" name="3" dataDxfId="276" dataCellStyle="Porcentagem">
      <calculatedColumnFormula>IFERROR(_xlfn.XLOOKUP(Tb_ValorSS[[#This Row],[Nº  SS]],#REF!,#REF!,"",0,1),"")</calculatedColumnFormula>
    </tableColumn>
    <tableColumn id="30" xr3:uid="{644AF0D7-0F65-4A42-911E-C08C34C40633}" name="NOV.25 " dataDxfId="275" dataCellStyle="Moeda">
      <calculatedColumnFormula>IFERROR(_xlfn.XLOOKUP(Tb_ValorSS[[#This Row],[Nº  SS]],#REF!,#REF!,"",0,1)*Tb_ValorSS[[#This Row],[R$ APROVADO]],"")</calculatedColumnFormula>
    </tableColumn>
    <tableColumn id="47" xr3:uid="{A02C3CE7-22F4-4AE9-846E-72AEB5D2ADCD}" name="4" dataDxfId="274" dataCellStyle="Porcentagem">
      <calculatedColumnFormula>IFERROR(_xlfn.XLOOKUP(Tb_ValorSS[[#This Row],[Nº  SS]],#REF!,#REF!,"",0,1),"")</calculatedColumnFormula>
    </tableColumn>
    <tableColumn id="31" xr3:uid="{0D043C94-59FF-46F3-9345-A24AA7685A40}" name="DEZ.25 " dataDxfId="273" dataCellStyle="Moeda">
      <calculatedColumnFormula>IFERROR(_xlfn.XLOOKUP(Tb_ValorSS[[#This Row],[Nº  SS]],#REF!,#REF!,"",0,1)*Tb_ValorSS[[#This Row],[R$ APROVADO]],"")</calculatedColumnFormula>
    </tableColumn>
    <tableColumn id="48" xr3:uid="{700B7B94-889A-4615-B15E-D3F4D8ABACF0}" name="5" dataDxfId="272" dataCellStyle="Porcentagem">
      <calculatedColumnFormula>IFERROR(_xlfn.XLOOKUP(Tb_ValorSS[[#This Row],[Nº  SS]],#REF!,#REF!,"",0,1),"")</calculatedColumnFormula>
    </tableColumn>
    <tableColumn id="32" xr3:uid="{50B2C534-6613-4750-B7BE-FEEC7F89F96B}" name="JAN.26 " dataDxfId="271" dataCellStyle="Moeda">
      <calculatedColumnFormula>IFERROR(_xlfn.XLOOKUP(Tb_ValorSS[[#This Row],[Nº  SS]],#REF!,#REF!,"",0,1)*Tb_ValorSS[[#This Row],[R$ APROVADO]],"")</calculatedColumnFormula>
    </tableColumn>
    <tableColumn id="49" xr3:uid="{D77C34F9-5F61-45BC-82A6-B75BEE6F6BA2}" name="6" dataDxfId="270" dataCellStyle="Porcentagem">
      <calculatedColumnFormula>IFERROR(_xlfn.XLOOKUP(Tb_ValorSS[[#This Row],[Nº  SS]],#REF!,#REF!,"",0,1),"")</calculatedColumnFormula>
    </tableColumn>
    <tableColumn id="33" xr3:uid="{7CFF58EC-CADC-4C13-A945-773C45BC8688}" name="FEV.26 " dataDxfId="269" dataCellStyle="Moeda">
      <calculatedColumnFormula>IFERROR(_xlfn.XLOOKUP(Tb_ValorSS[[#This Row],[Nº  SS]],#REF!,#REF!,"",0,1)*Tb_ValorSS[[#This Row],[R$ APROVADO]],"")</calculatedColumnFormula>
    </tableColumn>
    <tableColumn id="50" xr3:uid="{EF4D49FC-0761-4CA1-9A70-F304961C5182}" name="7" dataDxfId="268" dataCellStyle="Porcentagem">
      <calculatedColumnFormula>IFERROR(_xlfn.XLOOKUP(Tb_ValorSS[[#This Row],[Nº  SS]],#REF!,#REF!,"",0,1),"")</calculatedColumnFormula>
    </tableColumn>
    <tableColumn id="34" xr3:uid="{F642588B-73C3-4850-8E35-403204BD461D}" name="MAR.26 " dataDxfId="267" dataCellStyle="Moeda">
      <calculatedColumnFormula>IFERROR(_xlfn.XLOOKUP(Tb_ValorSS[[#This Row],[Nº  SS]],#REF!,#REF!,"",0,1)*Tb_ValorSS[[#This Row],[R$ APROVADO]],"")</calculatedColumnFormula>
    </tableColumn>
    <tableColumn id="51" xr3:uid="{386F2F20-12B2-4232-B186-C0DAB4F964CC}" name="8" dataDxfId="266" dataCellStyle="Porcentagem">
      <calculatedColumnFormula>IFERROR(_xlfn.XLOOKUP(Tb_ValorSS[[#This Row],[Nº  SS]],#REF!,#REF!,"",0,1),"")</calculatedColumnFormula>
    </tableColumn>
    <tableColumn id="35" xr3:uid="{3CF444B7-3413-40EB-83DC-382551198CF1}" name="ABR.26 " dataDxfId="265" dataCellStyle="Moeda">
      <calculatedColumnFormula>IFERROR(_xlfn.XLOOKUP(Tb_ValorSS[[#This Row],[Nº  SS]],#REF!,#REF!,"",0,1)*Tb_ValorSS[[#This Row],[R$ APROVADO]],"")</calculatedColumnFormula>
    </tableColumn>
    <tableColumn id="53" xr3:uid="{14D8EB3C-CBC2-48CD-92EE-B63803533C36}" name="9" dataDxfId="264" dataCellStyle="Porcentagem">
      <calculatedColumnFormula>IFERROR(_xlfn.XLOOKUP(Tb_ValorSS[[#This Row],[Nº  SS]],#REF!,#REF!,"",0,1),"")</calculatedColumnFormula>
    </tableColumn>
    <tableColumn id="36" xr3:uid="{37DFA4BB-1794-4315-83C2-883AE797614E}" name="MAI.26 " dataDxfId="263" dataCellStyle="Moeda">
      <calculatedColumnFormula>IFERROR(_xlfn.XLOOKUP(Tb_ValorSS[[#This Row],[Nº  SS]],#REF!,#REF!,"",0,1)*Tb_ValorSS[[#This Row],[R$ APROVADO]],"")</calculatedColumnFormula>
    </tableColumn>
    <tableColumn id="54" xr3:uid="{60272DB8-F64F-4228-892F-1EFC89FA2894}" name="10" dataDxfId="262" dataCellStyle="Porcentagem">
      <calculatedColumnFormula>IFERROR(_xlfn.XLOOKUP(Tb_ValorSS[[#This Row],[Nº  SS]],#REF!,#REF!,"",0,1),"")</calculatedColumnFormula>
    </tableColumn>
    <tableColumn id="37" xr3:uid="{D2626ACF-7A56-4C91-BBFE-56FDD90CEFB7}" name="JUN.26 " dataDxfId="261" dataCellStyle="Moeda">
      <calculatedColumnFormula>IFERROR(_xlfn.XLOOKUP(Tb_ValorSS[[#This Row],[Nº  SS]],#REF!,#REF!,"",0,1)*Tb_ValorSS[[#This Row],[R$ APROVADO]],"")</calculatedColumnFormula>
    </tableColumn>
    <tableColumn id="60" xr3:uid="{5EEB47FD-E21D-40C5-9E82-F9C626FE9A71}" name="11" dataDxfId="260" dataCellStyle="Porcentagem">
      <calculatedColumnFormula>IFERROR(_xlfn.XLOOKUP(Tb_ValorSS[[#This Row],[Nº  SS]],#REF!,#REF!,"",0,1),"")</calculatedColumnFormula>
    </tableColumn>
    <tableColumn id="38" xr3:uid="{C9E82B7C-A158-468F-B93A-5BB1BA52490A}" name="JUL.26 " dataDxfId="259" dataCellStyle="Moeda">
      <calculatedColumnFormula>IFERROR(_xlfn.XLOOKUP(Tb_ValorSS[[#This Row],[Nº  SS]],#REF!,#REF!,"",0,1)*Tb_ValorSS[[#This Row],[R$ APROVADO]],"")</calculatedColumnFormula>
    </tableColumn>
    <tableColumn id="59" xr3:uid="{2BBB99C4-29FA-4C14-84FA-B37F9389A008}" name="12" dataDxfId="258" dataCellStyle="Porcentagem">
      <calculatedColumnFormula>IFERROR(_xlfn.XLOOKUP(Tb_ValorSS[[#This Row],[Nº  SS]],#REF!,#REF!,"",0,1),"")</calculatedColumnFormula>
    </tableColumn>
    <tableColumn id="39" xr3:uid="{99030A44-B2B4-4B17-8A90-637FC2FC0E12}" name="AGO.26 " dataDxfId="257" dataCellStyle="Moeda">
      <calculatedColumnFormula>IFERROR(_xlfn.XLOOKUP(Tb_ValorSS[[#This Row],[Nº  SS]],#REF!,#REF!,"",0,1)*Tb_ValorSS[[#This Row],[R$ APROVADO]],"")</calculatedColumnFormula>
    </tableColumn>
    <tableColumn id="58" xr3:uid="{27C57D86-E35F-410A-94E7-8FBF3C5EDE3A}" name="13" dataDxfId="256" dataCellStyle="Porcentagem">
      <calculatedColumnFormula>IFERROR(_xlfn.XLOOKUP(Tb_ValorSS[[#This Row],[Nº  SS]],#REF!,#REF!,"",0,1),"")</calculatedColumnFormula>
    </tableColumn>
    <tableColumn id="40" xr3:uid="{96D16788-6DF6-45C6-81DB-B49ABC6B89A9}" name="SET.26 " dataDxfId="255" dataCellStyle="Moeda">
      <calculatedColumnFormula>IFERROR(_xlfn.XLOOKUP(Tb_ValorSS[[#This Row],[Nº  SS]],#REF!,#REF!,"",0,1)*Tb_ValorSS[[#This Row],[R$ APROVADO]],"")</calculatedColumnFormula>
    </tableColumn>
    <tableColumn id="57" xr3:uid="{31FF4773-399E-4D13-B474-DEE276D933AA}" name="14" dataDxfId="254" dataCellStyle="Porcentagem">
      <calculatedColumnFormula>IFERROR(_xlfn.XLOOKUP(Tb_ValorSS[[#This Row],[Nº  SS]],#REF!,#REF!,"",0,1),"")</calculatedColumnFormula>
    </tableColumn>
    <tableColumn id="41" xr3:uid="{C2DC4520-B204-4138-ADEC-6AC49DA9CBBE}" name="OUT.26 " dataDxfId="253" dataCellStyle="Moeda">
      <calculatedColumnFormula>IFERROR(_xlfn.XLOOKUP(Tb_ValorSS[[#This Row],[Nº  SS]],#REF!,#REF!,"",0,1)*Tb_ValorSS[[#This Row],[R$ APROVADO]],"")</calculatedColumnFormula>
    </tableColumn>
    <tableColumn id="56" xr3:uid="{8696E74A-397B-42A0-958E-7846F20CBB4A}" name="15" dataDxfId="252" dataCellStyle="Porcentagem">
      <calculatedColumnFormula>IFERROR(_xlfn.XLOOKUP(Tb_ValorSS[[#This Row],[Nº  SS]],#REF!,#REF!,"",0,1),"")</calculatedColumnFormula>
    </tableColumn>
    <tableColumn id="42" xr3:uid="{25064A1C-7D27-4CE0-A3F8-B623A3822493}" name="NOV.26 " dataDxfId="251" dataCellStyle="Moeda">
      <calculatedColumnFormula>IFERROR(_xlfn.XLOOKUP(Tb_ValorSS[[#This Row],[Nº  SS]],#REF!,#REF!,"",0,1)*Tb_ValorSS[[#This Row],[R$ APROVADO]],"")</calculatedColumnFormula>
    </tableColumn>
    <tableColumn id="55" xr3:uid="{D3A88733-25EB-4F9C-B98D-A9482ABFC132}" name="16" dataDxfId="250" dataCellStyle="Porcentagem">
      <calculatedColumnFormula>IFERROR(_xlfn.XLOOKUP(Tb_ValorSS[[#This Row],[Nº  SS]],#REF!,#REF!,"",0,1),"")</calculatedColumnFormula>
    </tableColumn>
    <tableColumn id="43" xr3:uid="{2712EEE6-C72C-4A11-9378-EFC0F10709B4}" name="DEZ.26 " dataDxfId="249" dataCellStyle="Moeda">
      <calculatedColumnFormula>IFERROR(_xlfn.XLOOKUP(Tb_ValorSS[[#This Row],[Nº  SS]],#REF!,#REF!,"",0,1)*Tb_ValorSS[[#This Row],[R$ APROVADO]],"")</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565EAA3-ABC0-4802-8B0D-3ADE66D40798}" name="DISTR_MÊS" displayName="DISTR_MÊS" ref="A1:E332" tableType="queryTable" totalsRowShown="0">
  <autoFilter ref="A1:E332" xr:uid="{9565EAA3-ABC0-4802-8B0D-3ADE66D40798}"/>
  <tableColumns count="5">
    <tableColumn id="1" xr3:uid="{1BF4EAE9-BC9A-46B0-80E0-A90856841D81}" uniqueName="1" name="Nº  SS" queryTableFieldId="1" dataDxfId="248"/>
    <tableColumn id="2" xr3:uid="{C3B51F61-976B-467D-AC54-D0081E584114}" uniqueName="2" name="TÍTULO DA SS" queryTableFieldId="2" dataDxfId="247"/>
    <tableColumn id="5" xr3:uid="{8786B658-AF41-4AA2-8B74-52976C17F659}" uniqueName="5" name="FASE" queryTableFieldId="5" dataDxfId="246"/>
    <tableColumn id="6" xr3:uid="{A73AEE4F-2290-4CBE-9F7E-98552DFF9FB4}" uniqueName="6" name="MÊS" queryTableFieldId="6" dataDxfId="245"/>
    <tableColumn id="8" xr3:uid="{4C832D8B-56F3-424D-9E3A-7E20F20268F1}" uniqueName="8" name="COD-SS" queryTableFieldId="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C727AE2-5C8A-4442-ABF2-C19FE62088B4}" name="Tb_DISTR.FIN" displayName="Tb_DISTR.FIN" ref="A3:AM40" totalsRowShown="0" headerRowDxfId="119" dataDxfId="118" headerRowCellStyle="Moeda" dataCellStyle="Moeda">
  <autoFilter ref="A3:AM40" xr:uid="{10CD3B03-2060-4B75-B745-AD9B643E3019}"/>
  <tableColumns count="39">
    <tableColumn id="1" xr3:uid="{AB3C8AFD-A7A5-4247-8095-3C79FBF9C095}" name="Nº  SS" dataDxfId="117"/>
    <tableColumn id="2" xr3:uid="{A0AA7EAD-E735-4C77-AA63-D4631A390AF5}" name="TÍTULO DA SS" dataDxfId="116">
      <calculatedColumnFormula>_xlfn.XLOOKUP(Tb_DISTR.FIN[[#This Row],[Nº  SS]],tb_Distr[SS],tb_Distr[DESCRIÇÃO],"",0,1)</calculatedColumnFormula>
    </tableColumn>
    <tableColumn id="3" xr3:uid="{CCD69B5B-7374-4A37-BCA7-982F8457B465}" name="TOMADOR" dataDxfId="115">
      <calculatedColumnFormula>_xlfn.XLOOKUP(Tb_DISTR.FIN[[#This Row],[Nº  SS]],TB_CR.ACOMP[Nº  SS],TB_CR.ACOMP[TOMADOR],"",0,1)</calculatedColumnFormula>
    </tableColumn>
    <tableColumn id="36" xr3:uid="{E9C3748B-BC6B-49F8-9115-66FA58F79A5A}" name="VALOR" dataDxfId="114" dataCellStyle="Vírgula">
      <calculatedColumnFormula>_xlfn.XLOOKUP(Tb_DISTR.FIN[[#This Row],[Nº  SS]],Tb_ValorSS[Nº  SS],Tb_ValorSS[R$ APROVADO],"",0,1)</calculatedColumnFormula>
    </tableColumn>
    <tableColumn id="4" xr3:uid="{23CFF461-5CA9-4872-993E-6600034BC9FB}" name="%Check" dataDxfId="113">
      <calculatedColumnFormula>SUM(Tb_DISTR.FIN[[#This Row],[SET.25]:[DEZ.26]])</calculatedColumnFormula>
    </tableColumn>
    <tableColumn id="11" xr3:uid="{9375AFC2-C78C-47F9-886E-2F9E850BE2DF}" name="SET.25" dataDxfId="112" dataCellStyle="Porcentagem">
      <calculatedColumnFormula>SUMIFS(DISTR_FIN_0[%DISTR],DISTR_FIN_0[SS],Tb_DISTR.FIN[[#This Row],[Nº  SS]],DISTR_FIN_0[MÊS],'DISTR-FIN'!F$2)</calculatedColumnFormula>
    </tableColumn>
    <tableColumn id="12" xr3:uid="{F89AF147-DC94-41F9-9355-2EFD537B756E}" name="OUT.25" dataDxfId="111" dataCellStyle="Porcentagem">
      <calculatedColumnFormula>SUMIFS(DISTR_FIN_0[%DISTR],DISTR_FIN_0[SS],Tb_DISTR.FIN[[#This Row],[Nº  SS]],DISTR_FIN_0[MÊS],'DISTR-FIN'!G$2)</calculatedColumnFormula>
    </tableColumn>
    <tableColumn id="13" xr3:uid="{46CDE8B0-CF9A-4A5E-8EA9-8BD5FD222D53}" name="NOV.25" dataDxfId="110" dataCellStyle="Porcentagem">
      <calculatedColumnFormula>SUMIFS(DISTR_FIN_0[%DISTR],DISTR_FIN_0[SS],Tb_DISTR.FIN[[#This Row],[Nº  SS]],DISTR_FIN_0[MÊS],'DISTR-FIN'!H$2)</calculatedColumnFormula>
    </tableColumn>
    <tableColumn id="14" xr3:uid="{DB43F072-E61A-4540-8145-F2D62CC62062}" name="DEZ.25" dataDxfId="109" dataCellStyle="Porcentagem">
      <calculatedColumnFormula>SUMIFS(DISTR_FIN_0[%DISTR],DISTR_FIN_0[SS],Tb_DISTR.FIN[[#This Row],[Nº  SS]],DISTR_FIN_0[MÊS],'DISTR-FIN'!I$2)</calculatedColumnFormula>
    </tableColumn>
    <tableColumn id="15" xr3:uid="{951241E8-590B-4299-8A4B-440F3EF467F2}" name="JAN.26" dataDxfId="108" dataCellStyle="Porcentagem">
      <calculatedColumnFormula>SUMIFS(DISTR_FIN_0[%DISTR],DISTR_FIN_0[SS],Tb_DISTR.FIN[[#This Row],[Nº  SS]],DISTR_FIN_0[MÊS],'DISTR-FIN'!J$2)</calculatedColumnFormula>
    </tableColumn>
    <tableColumn id="16" xr3:uid="{FF544E42-15B3-4999-AC55-D36ED17E71C0}" name="FEV.26" dataDxfId="107" dataCellStyle="Porcentagem">
      <calculatedColumnFormula>SUMIFS(DISTR_FIN_0[%DISTR],DISTR_FIN_0[SS],Tb_DISTR.FIN[[#This Row],[Nº  SS]],DISTR_FIN_0[MÊS],'DISTR-FIN'!K$2)</calculatedColumnFormula>
    </tableColumn>
    <tableColumn id="17" xr3:uid="{496FDA9B-3750-4191-9357-A265F2DF7EB3}" name="MAR.26" dataDxfId="106" dataCellStyle="Porcentagem">
      <calculatedColumnFormula>SUMIFS(DISTR_FIN_0[%DISTR],DISTR_FIN_0[SS],Tb_DISTR.FIN[[#This Row],[Nº  SS]],DISTR_FIN_0[MÊS],'DISTR-FIN'!L$2)</calculatedColumnFormula>
    </tableColumn>
    <tableColumn id="18" xr3:uid="{59786BBE-BC45-405C-8418-BA9708453663}" name="ABR.26" dataDxfId="105" dataCellStyle="Porcentagem">
      <calculatedColumnFormula>SUMIFS(DISTR_FIN_0[%DISTR],DISTR_FIN_0[SS],Tb_DISTR.FIN[[#This Row],[Nº  SS]],DISTR_FIN_0[MÊS],'DISTR-FIN'!M$2)</calculatedColumnFormula>
    </tableColumn>
    <tableColumn id="19" xr3:uid="{29FD0F11-9DD5-4C95-A68C-9D3111968625}" name="MAI.26" dataDxfId="104" dataCellStyle="Porcentagem">
      <calculatedColumnFormula>SUMIFS(DISTR_FIN_0[%DISTR],DISTR_FIN_0[SS],Tb_DISTR.FIN[[#This Row],[Nº  SS]],DISTR_FIN_0[MÊS],'DISTR-FIN'!N$2)</calculatedColumnFormula>
    </tableColumn>
    <tableColumn id="20" xr3:uid="{4CE6EC10-F023-4A3E-BE12-E3D8C21F1ECE}" name="JUN.26" dataDxfId="103" dataCellStyle="Porcentagem">
      <calculatedColumnFormula>SUMIFS(DISTR_FIN_0[%DISTR],DISTR_FIN_0[SS],Tb_DISTR.FIN[[#This Row],[Nº  SS]],DISTR_FIN_0[MÊS],'DISTR-FIN'!O$2)</calculatedColumnFormula>
    </tableColumn>
    <tableColumn id="21" xr3:uid="{B275C396-E635-474E-B408-3E82C25F6C01}" name="JUL.26" dataDxfId="102" dataCellStyle="Porcentagem">
      <calculatedColumnFormula>SUMIFS(DISTR_FIN_0[%DISTR],DISTR_FIN_0[SS],Tb_DISTR.FIN[[#This Row],[Nº  SS]],DISTR_FIN_0[MÊS],'DISTR-FIN'!P$2)</calculatedColumnFormula>
    </tableColumn>
    <tableColumn id="22" xr3:uid="{03361FE0-D5FD-44EC-BB41-D71EB904E3BE}" name="AGO.26" dataDxfId="101" dataCellStyle="Porcentagem">
      <calculatedColumnFormula>SUMIFS(DISTR_FIN_0[%DISTR],DISTR_FIN_0[SS],Tb_DISTR.FIN[[#This Row],[Nº  SS]],DISTR_FIN_0[MÊS],'DISTR-FIN'!Q$2)</calculatedColumnFormula>
    </tableColumn>
    <tableColumn id="23" xr3:uid="{594E70A5-E7FA-4F9C-8C9B-9A3B47440C5C}" name="SET.26" dataDxfId="100" dataCellStyle="Porcentagem">
      <calculatedColumnFormula>SUMIFS(DISTR_FIN_0[%DISTR],DISTR_FIN_0[SS],Tb_DISTR.FIN[[#This Row],[Nº  SS]],DISTR_FIN_0[MÊS],'DISTR-FIN'!R$2)</calculatedColumnFormula>
    </tableColumn>
    <tableColumn id="24" xr3:uid="{EF83D764-7C59-4CF8-8B47-6A6391041BB6}" name="OUT.26" dataDxfId="99" dataCellStyle="Porcentagem">
      <calculatedColumnFormula>SUMIFS(DISTR_FIN_0[%DISTR],DISTR_FIN_0[SS],Tb_DISTR.FIN[[#This Row],[Nº  SS]],DISTR_FIN_0[MÊS],'DISTR-FIN'!S$2)</calculatedColumnFormula>
    </tableColumn>
    <tableColumn id="25" xr3:uid="{D962D6CC-9839-4819-99D1-D1E2EB4C2A87}" name="NOV.26" dataDxfId="98" dataCellStyle="Porcentagem">
      <calculatedColumnFormula>SUMIFS(DISTR_FIN_0[%DISTR],DISTR_FIN_0[SS],Tb_DISTR.FIN[[#This Row],[Nº  SS]],DISTR_FIN_0[MÊS],'DISTR-FIN'!T$2)</calculatedColumnFormula>
    </tableColumn>
    <tableColumn id="26" xr3:uid="{8DB97F06-D6CA-4AE4-BA64-7EA0B1BAEB5D}" name="DEZ.26" dataDxfId="97" dataCellStyle="Porcentagem">
      <calculatedColumnFormula>SUMIFS(DISTR_FIN_0[%DISTR],DISTR_FIN_0[SS],Tb_DISTR.FIN[[#This Row],[Nº  SS]],DISTR_FIN_0[MÊS],'DISTR-FIN'!U$2)</calculatedColumnFormula>
    </tableColumn>
    <tableColumn id="38" xr3:uid="{706DD46B-E88E-431C-AC04-4BAB815AA2C0}" name="JAN.27" dataDxfId="96" dataCellStyle="Porcentagem">
      <calculatedColumnFormula>SUMIFS(DISTR_FIN_0[%DISTR],DISTR_FIN_0[SS],Tb_DISTR.FIN[[#This Row],[Nº  SS]],DISTR_FIN_0[MÊS],'DISTR-FIN'!V$2)</calculatedColumnFormula>
    </tableColumn>
    <tableColumn id="39" xr3:uid="{E13AE265-54C8-4F4A-A047-93D92C83F6EE}" name="FEV.262" dataDxfId="95" dataCellStyle="Porcentagem">
      <calculatedColumnFormula>SUMIFS(DISTR_FIN_0[%DISTR],DISTR_FIN_0[SS],Tb_DISTR.FIN[[#This Row],[Nº  SS]],DISTR_FIN_0[MÊS],'DISTR-FIN'!W$2)</calculatedColumnFormula>
    </tableColumn>
    <tableColumn id="5" xr3:uid="{9863DCA5-5669-4ACE-A920-CB742AD826BD}" name="1" dataDxfId="94" dataCellStyle="Moeda"/>
    <tableColumn id="6" xr3:uid="{DFDE37BA-0529-4C28-875A-D7A0A7E1BAD5}" name="%Check " dataDxfId="93" dataCellStyle="Porcentagem">
      <calculatedColumnFormula>SUM(Tb_DISTR.FIN[[#This Row],[PLAN]:[ENTR.]])</calculatedColumnFormula>
    </tableColumn>
    <tableColumn id="7" xr3:uid="{5D5B9C61-D5C5-4661-B944-616D9FE9DE03}" name="PLAN" dataDxfId="92" dataCellStyle="Porcentagem"/>
    <tableColumn id="8" xr3:uid="{BD721911-8671-4D58-8D5B-EE6023969AFD}" name="MOB" dataDxfId="91" dataCellStyle="Porcentagem"/>
    <tableColumn id="9" xr3:uid="{7D1559A4-5000-403F-BE99-F0515F0006FF}" name="ETP.01" dataDxfId="90" dataCellStyle="Porcentagem"/>
    <tableColumn id="10" xr3:uid="{625CFF72-F70B-4E9C-8164-0B865BD1DD52}" name="ETP.02" dataDxfId="89" dataCellStyle="Porcentagem"/>
    <tableColumn id="27" xr3:uid="{A0D3A826-4FDB-4B8F-815E-96A47AA73BE0}" name="ETP.03" dataDxfId="88" dataCellStyle="Porcentagem"/>
    <tableColumn id="28" xr3:uid="{18D5E559-7DC4-40E6-B8BD-3559E481C2CF}" name="ETP.04" dataDxfId="87" dataCellStyle="Porcentagem"/>
    <tableColumn id="29" xr3:uid="{B6823EE1-0961-4E57-8265-75692B6EC4BA}" name="ETP.05" dataDxfId="86" dataCellStyle="Porcentagem"/>
    <tableColumn id="30" xr3:uid="{FEA510E5-FDDE-43FD-91AC-B8494FD4CFF1}" name="ETP.06" dataDxfId="85" dataCellStyle="Porcentagem"/>
    <tableColumn id="31" xr3:uid="{85FCC367-DB4E-42FF-9840-E502B284B319}" name="ETP.07" dataDxfId="84" dataCellStyle="Porcentagem"/>
    <tableColumn id="32" xr3:uid="{D244169E-34FB-4CFF-907F-1A741153703B}" name="ETP.08" dataDxfId="83" dataCellStyle="Porcentagem"/>
    <tableColumn id="33" xr3:uid="{E9654783-7D08-4DFB-B54C-8C0DCF1FA122}" name="ETP.09" dataDxfId="82" dataCellStyle="Porcentagem"/>
    <tableColumn id="34" xr3:uid="{1785A652-FCA2-4D88-A5B0-74C65DBED0CA}" name="ETP.10" dataDxfId="81" dataCellStyle="Porcentagem"/>
    <tableColumn id="37" xr3:uid="{871CDD61-A9AA-448F-B6E9-DAC8C24EB222}" name="ETP.11" dataDxfId="80" dataCellStyle="Porcentagem"/>
    <tableColumn id="35" xr3:uid="{1F14817A-060A-4827-946C-9C86D9B63541}" name="ENTR." dataDxfId="79" dataCellStyle="Porcentagem"/>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8A740AA-2EBB-40D2-9712-FA2A924F6823}" name="Tb_HhPLAN" displayName="Tb_HhPLAN" ref="A1:J128" totalsRowShown="0" headerRowDxfId="76" dataDxfId="75">
  <autoFilter ref="A1:J128" xr:uid="{150F4BA0-8D79-48F8-A40E-19BF0C55D8B8}"/>
  <tableColumns count="10">
    <tableColumn id="9" xr3:uid="{2F3610C4-A8FD-4EBE-94A8-38DE1216B7FD}" name="COD-SS" dataDxfId="74">
      <calculatedColumnFormula>Tb_HhPLAN[[#This Row],[SS]]&amp;Tb_HhPLAN[[#This Row],[DISCIPLINA]]</calculatedColumnFormula>
    </tableColumn>
    <tableColumn id="11" xr3:uid="{C634FD0A-FF9C-412F-A911-AE3F0FEA9137}" name="COD-AUX" dataDxfId="73">
      <calculatedColumnFormula>Tb_HhPLAN[[#This Row],[SS]]&amp;"ASG"</calculatedColumnFormula>
    </tableColumn>
    <tableColumn id="6" xr3:uid="{030B9C82-51AD-424A-85AF-675CC6904158}" name="TIPO" dataDxfId="72">
      <calculatedColumnFormula>LEFT(Tb_HhPLAN[[#This Row],[SS]],5)</calculatedColumnFormula>
    </tableColumn>
    <tableColumn id="1" xr3:uid="{41CFE129-EC45-4E56-907A-AFBA37F839E1}" name="SS" dataDxfId="71"/>
    <tableColumn id="2" xr3:uid="{FB0B4AEB-411F-4130-903E-D9DA21898EF8}" name="Nome do recurso" dataDxfId="70"/>
    <tableColumn id="3" xr3:uid="{8E527F03-898D-407E-89F6-160CB66CA709}" name="Trabalho" dataDxfId="69"/>
    <tableColumn id="7" xr3:uid="{44319408-13E7-473F-9630-D31CA152F7DB}" name="DISCIPLINA"/>
    <tableColumn id="4" xr3:uid="{8EF89EE8-9098-47AE-9C9E-DF7B8FD04789}" name="Ajustado" dataDxfId="68" dataCellStyle="Vírgula">
      <calculatedColumnFormula>VALUE(SUBSTITUTE(F2," hrs",""))</calculatedColumnFormula>
    </tableColumn>
    <tableColumn id="8" xr3:uid="{722DD409-81DB-48EA-B50A-72EF386AFF49}" name="CÁLCULO" dataDxfId="67">
      <calculatedColumnFormula>IF(A2="ASG", H2, IF(COUNTIF($A$2:A2,A2)=1, SUMIFS(Tb_HhPLAN[Ajustado], Tb_HhPLAN[COD-SS], Tb_HhPLAN[[#This Row],[COD-SS]]),""))</calculatedColumnFormula>
    </tableColumn>
    <tableColumn id="12" xr3:uid="{ACFDF920-C15A-435A-A761-ECDE6413296A}" name="Hh DISC" dataDxfId="66">
      <calculatedColumnFormula>IFERROR(IF(Tb_HhPLAN[[#This Row],[DISCIPLINA]]="ASG","",((Tb_HhPLAN[[#This Row],[CÁLCULO]]/(SUMIFS(Tb_HhPLAN[Ajustado],Tb_HhPLAN[SS],Tb_HhPLAN[[#This Row],[SS]])-_xlfn.XLOOKUP(Tb_HhPLAN[[#This Row],[COD-AUX]],Tb_HhPLAN[COD-SS],Tb_HhPLAN[Ajustado],"",0,1)))*_xlfn.XLOOKUP(Tb_HhPLAN[[#This Row],[COD-AUX]],Tb_HhPLAN[COD-SS],Tb_HhPLAN[Ajustado],"",0,1))+IF(A2="ASG",H2,IF(COUNTIF($A$2:A2,A2)=1,SUMIFS(Tb_HhPLAN[Ajustado],Tb_HhPLAN[COD-SS],Tb_HhPLAN[[#This Row],[COD-SS]]),""))),"")</calculatedColumnFormula>
    </tableColumn>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3683098-6F33-478F-A68B-1D94CF039089}" name="Hh_EXE_TOTAL" displayName="Hh_EXE_TOTAL" ref="A1:D97" tableType="queryTable" totalsRowShown="0">
  <autoFilter ref="A1:D97" xr:uid="{83683098-6F33-478F-A68B-1D94CF039089}"/>
  <sortState xmlns:xlrd2="http://schemas.microsoft.com/office/spreadsheetml/2017/richdata2" ref="A2:D97">
    <sortCondition ref="A1:A97"/>
  </sortState>
  <tableColumns count="4">
    <tableColumn id="1" xr3:uid="{E34A6A25-9312-4846-A795-E3B16B84A6C3}" uniqueName="1" name="Nº  SS" queryTableFieldId="1" dataDxfId="65"/>
    <tableColumn id="2" xr3:uid="{3982CBA0-10A1-49A4-B0E7-6EF2168D89B4}" uniqueName="2" name="TOMADOR" queryTableFieldId="2" dataDxfId="64"/>
    <tableColumn id="3" xr3:uid="{13511F05-3812-4886-A731-2D12FCC16BAB}" uniqueName="3" name="DISCIPLINA" queryTableFieldId="3" dataDxfId="63"/>
    <tableColumn id="4" xr3:uid="{2F7FD1F5-303E-4203-ABBA-3042BFF806FD}" uniqueName="4" name="Hh" queryTableFieldId="4" dataDxfId="62"/>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A0EC3A1-A7C8-41C3-B18C-026E3740AF35}" name="Tb_HhEXEC_UTGC" displayName="Tb_HhEXEC_UTGC" ref="A1:E145" tableType="queryTable" totalsRowShown="0">
  <autoFilter ref="A1:E145" xr:uid="{9A0EC3A1-A7C8-41C3-B18C-026E3740AF35}"/>
  <tableColumns count="5">
    <tableColumn id="1" xr3:uid="{F47EE50E-7BB8-4370-9FCA-3599FE497F58}" uniqueName="1" name="Nº  SS" queryTableFieldId="1" dataDxfId="61"/>
    <tableColumn id="2" xr3:uid="{27073B2E-B8B1-453E-A554-A6F05AEB267E}" uniqueName="2" name="TOMADOR" queryTableFieldId="2" dataDxfId="60"/>
    <tableColumn id="18" xr3:uid="{A91DBB2E-1D15-46C4-A5E9-8017D6E26746}" uniqueName="18" name="DISCIPLINA" queryTableFieldId="24" dataDxfId="59"/>
    <tableColumn id="21" xr3:uid="{55A8B7F0-3CD1-4392-96F3-D1418744FAF2}" uniqueName="21" name="Hh" queryTableFieldId="27"/>
    <tableColumn id="22" xr3:uid="{7A31DE29-91C0-4FD1-8D82-5327736766B5}" uniqueName="22" name="COD-COLUNA" queryTableFieldId="28" dataDxfId="58"/>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5365987-AFF2-413B-8ADD-20BBE6251638}" name="Tb_HhEXEC_EDIVIT" displayName="Tb_HhEXEC_EDIVIT" ref="A1:E145" tableType="queryTable" totalsRowShown="0">
  <autoFilter ref="A1:E145" xr:uid="{25365987-AFF2-413B-8ADD-20BBE6251638}"/>
  <tableColumns count="5">
    <tableColumn id="1" xr3:uid="{BC56331F-062B-45D3-B9F3-4F5F176F9B5E}" uniqueName="1" name="Nº  SS" queryTableFieldId="1" dataDxfId="57"/>
    <tableColumn id="2" xr3:uid="{43BD1A87-EEFF-44A3-8064-4221DF021B45}" uniqueName="2" name="TOMADOR" queryTableFieldId="2" dataDxfId="56"/>
    <tableColumn id="10" xr3:uid="{17081D77-2B9D-4DA9-B816-387BE14957D6}" uniqueName="10" name="DISCIPLINA" queryTableFieldId="16" dataDxfId="55"/>
    <tableColumn id="3" xr3:uid="{97930A26-E744-434B-8235-3B34B7A65EB9}" uniqueName="3" name="Hh" queryTableFieldId="3" dataDxfId="54"/>
    <tableColumn id="11" xr3:uid="{02FD1753-67E9-4DAF-9395-6BC8542EE408}" uniqueName="11" name="COD-COLUNA" queryTableFieldId="18" dataDxfId="53"/>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CB34852-C74A-4ABC-8C8D-A681F23FDB67}" name="DISTR_FIN_0" displayName="DISTR_FIN_0" ref="A1:I221" tableType="queryTable" totalsRowShown="0">
  <autoFilter ref="A1:I221" xr:uid="{3CB34852-C74A-4ABC-8C8D-A681F23FDB67}"/>
  <tableColumns count="9">
    <tableColumn id="1" xr3:uid="{6896B022-F498-48D8-876E-4205D309EB04}" uniqueName="1" name="SS" queryTableFieldId="1" dataDxfId="52"/>
    <tableColumn id="2" xr3:uid="{D00C7565-D3BF-45FD-9AD2-D0A2D12CE49E}" uniqueName="2" name="DESCRIÇÃO" queryTableFieldId="2" dataDxfId="51"/>
    <tableColumn id="9" xr3:uid="{D6A3684B-5C5C-41A4-8C93-9BF32068C4E6}" uniqueName="9" name="ETP.11" queryTableFieldId="9"/>
    <tableColumn id="3" xr3:uid="{615386BF-43EB-46B4-A1AA-F05736F62972}" uniqueName="3" name="FASE" queryTableFieldId="3" dataDxfId="50"/>
    <tableColumn id="4" xr3:uid="{66849FE1-6F60-4F8A-B269-853F9B43C2A6}" uniqueName="4" name="%DISTR" queryTableFieldId="4" dataDxfId="49" dataCellStyle="Porcentagem"/>
    <tableColumn id="5" xr3:uid="{77E0F4F5-8BBC-4036-9ECD-76DF381DFE83}" uniqueName="5" name="COD-SS" queryTableFieldId="5"/>
    <tableColumn id="6" xr3:uid="{0E513A99-BC44-4919-B417-FBBA79866ECF}" uniqueName="6" name="MÊS" queryTableFieldId="6" dataDxfId="48"/>
    <tableColumn id="7" xr3:uid="{D6DE45C1-AC0B-4C90-B945-C84A3C435FAC}" uniqueName="7" name="FASE-FINAL" queryTableFieldId="7" dataDxfId="47">
      <calculatedColumnFormula>IF(OR(D2="PLAN",D2="MOB"),D2,"SERV")</calculatedColumnFormula>
    </tableColumn>
    <tableColumn id="8" xr3:uid="{58190B40-AB1A-4349-A102-928B9114BA4A}" uniqueName="8" name="VALOR" queryTableFieldId="8" dataDxfId="46" dataCellStyle="Vírgula">
      <calculatedColumnFormula>_xlfn.XLOOKUP(DISTR_FIN_0[[#This Row],[SS]],Tb_DISTR.FIN[Nº  SS],Tb_DISTR.FIN[VALOR],"",0,1)*DISTR_FIN_0[[#This Row],[%DISTR]]</calculatedColumnFormula>
    </tableColumn>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A934718-85ED-465E-96DC-F4EE8CCF2365}" name="DISTR_FASE" displayName="DISTR_FASE" ref="A1:G221" tableType="queryTable" totalsRowShown="0">
  <autoFilter ref="A1:G221" xr:uid="{7A934718-85ED-465E-96DC-F4EE8CCF2365}"/>
  <tableColumns count="7">
    <tableColumn id="1" xr3:uid="{536C0ADD-5593-4843-BB05-BB2D51725C11}" uniqueName="1" name="SS" queryTableFieldId="1" dataDxfId="45"/>
    <tableColumn id="2" xr3:uid="{478C4941-EAC2-4D42-9923-327A171EECBB}" uniqueName="2" name="DESCRIÇÃO" queryTableFieldId="2" dataDxfId="44"/>
    <tableColumn id="3" xr3:uid="{057C372C-431B-4152-AFC2-C18F7A139F47}" uniqueName="3" name="ETP.11" queryTableFieldId="10" dataDxfId="43" dataCellStyle="Porcentagem"/>
    <tableColumn id="6" xr3:uid="{440E73CE-3A27-42C5-9484-CDA6182F2186}" uniqueName="6" name="FASE" queryTableFieldId="6" dataDxfId="42"/>
    <tableColumn id="7" xr3:uid="{2981A3B8-F855-4FF9-A9DB-94989B053FC5}" uniqueName="7" name="%DISTR" queryTableFieldId="7" dataDxfId="41" dataCellStyle="Porcentagem"/>
    <tableColumn id="9" xr3:uid="{2F1AF3B4-4318-4B54-9728-D3F7BAB53311}" uniqueName="9" name="COD-SS" queryTableFieldId="9" dataDxfId="40" dataCellStyle="Porcentagem"/>
    <tableColumn id="8" xr3:uid="{60FF8C3B-3172-4804-AB36-B281416CE119}" uniqueName="8" name="MÊS" queryTableFieldId="8" dataDxfId="39"/>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489A993-9428-4450-B121-917F6A3CE82C}" name="tb_Distr" displayName="tb_Distr" ref="A1:Q41" totalsRowShown="0" headerRowDxfId="38" dataDxfId="37">
  <autoFilter ref="A1:Q41" xr:uid="{D489A993-9428-4450-B121-917F6A3CE82C}"/>
  <tableColumns count="17">
    <tableColumn id="1" xr3:uid="{109EF8F8-ECEB-4CFB-8E6F-F5A7F8EB12A6}" name="SS" dataDxfId="36"/>
    <tableColumn id="2" xr3:uid="{FECE9BB4-2089-45DD-857C-0E0280076AB9}" name="DESCRIÇÃO" dataDxfId="35"/>
    <tableColumn id="15" xr3:uid="{C6519E8C-06DF-43AD-95A7-56B7476810F7}" name="%Check " dataDxfId="34" dataCellStyle="Porcentagem">
      <calculatedColumnFormula>SUM(tb_Distr[[#This Row],[PLAN]:[ENTR.]])</calculatedColumnFormula>
    </tableColumn>
    <tableColumn id="3" xr3:uid="{0C6094B8-5F45-415B-A31C-28F43774A208}" name="PLAN" dataDxfId="33" dataCellStyle="Porcentagem"/>
    <tableColumn id="4" xr3:uid="{FEBF1351-7D60-45C3-BED8-D32013651366}" name="MOB" dataDxfId="32" dataCellStyle="Porcentagem"/>
    <tableColumn id="5" xr3:uid="{24416330-7916-4E42-95F2-0C22CA5688D9}" name="ETP.01" dataDxfId="31" dataCellStyle="Porcentagem"/>
    <tableColumn id="6" xr3:uid="{DC07BBFE-1847-417D-A1BB-9988A2E967CD}" name="ETP.02" dataDxfId="30" dataCellStyle="Porcentagem"/>
    <tableColumn id="7" xr3:uid="{682973C5-F4D9-4D79-892D-C428443FA6A8}" name="ETP.03" dataDxfId="29" dataCellStyle="Porcentagem"/>
    <tableColumn id="8" xr3:uid="{520922D5-223D-4E3B-AC57-A48C0276568D}" name="ETP.04" dataDxfId="28" dataCellStyle="Porcentagem"/>
    <tableColumn id="9" xr3:uid="{166FDC6D-9787-470D-9C50-6E18BB86234C}" name="ETP.05" dataDxfId="27" dataCellStyle="Porcentagem"/>
    <tableColumn id="10" xr3:uid="{745398A0-C26A-4C59-BE23-98537F3C2B6A}" name="ETP.06" dataDxfId="26" dataCellStyle="Porcentagem"/>
    <tableColumn id="11" xr3:uid="{D397D897-0ABD-4E09-B4C3-2196C3B4375A}" name="ETP.07" dataDxfId="25" dataCellStyle="Porcentagem"/>
    <tableColumn id="12" xr3:uid="{22AADA18-9EA7-4D20-B729-23CB6FC67963}" name="ETP.08" dataDxfId="24" dataCellStyle="Porcentagem"/>
    <tableColumn id="13" xr3:uid="{50E2CD84-7C32-405B-993D-3DB73ED84EDD}" name="ETP.09" dataDxfId="23" dataCellStyle="Porcentagem"/>
    <tableColumn id="14" xr3:uid="{0F69B6D9-4923-425A-9A2B-B4939C4906A0}" name="ETP.10" dataDxfId="22" dataCellStyle="Porcentagem"/>
    <tableColumn id="17" xr3:uid="{108163DA-A8A2-4239-9EF5-C5CC06189957}" name="ETP.11" dataDxfId="21" dataCellStyle="Porcentagem"/>
    <tableColumn id="16" xr3:uid="{58A55E8C-7D8B-4A05-9505-4E5333CB672D}" name="ENTR." dataDxfId="20" dataCellStyle="Porcentagem"/>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037A40-84EC-4141-A6AD-723AE240C4DC}" name="Tb_ClassFIN" displayName="Tb_ClassFIN" ref="A6:R10" totalsRowShown="0" headerRowDxfId="19" dataDxfId="18">
  <autoFilter ref="A6:R10" xr:uid="{25037A40-84EC-4141-A6AD-723AE240C4DC}"/>
  <tableColumns count="18">
    <tableColumn id="1" xr3:uid="{5F000FF2-0899-4F1D-993E-36D5AF4F0E50}" name="DESCRIÇÃO" dataDxfId="17"/>
    <tableColumn id="18" xr3:uid="{29BA1083-7A27-4B6C-A88C-C56C251B8807}" name="FASE" dataDxfId="16"/>
    <tableColumn id="2" xr3:uid="{412A8AE3-09E8-4436-9052-C4D4338E1406}" name="SET.25" dataDxfId="15"/>
    <tableColumn id="3" xr3:uid="{DFAA512F-1DD6-48C6-9D19-CE8E27905B4A}" name="OUT.25" dataDxfId="14"/>
    <tableColumn id="4" xr3:uid="{E07B4E12-F6B1-4FFA-A624-7F017605C80E}" name="NOV.25" dataDxfId="13">
      <calculatedColumnFormula>SUM('CONTROLE FIN'!AG6:AG8)</calculatedColumnFormula>
    </tableColumn>
    <tableColumn id="5" xr3:uid="{68B9A17E-27F4-4BA6-9573-688378CF515D}" name="DEZ.25" dataDxfId="12">
      <calculatedColumnFormula>SUM('CONTROLE FIN'!AI6:AI8)</calculatedColumnFormula>
    </tableColumn>
    <tableColumn id="6" xr3:uid="{2E3B61DB-6A14-42FE-BB2A-31793A0A1C8D}" name="JAN.26" dataDxfId="11">
      <calculatedColumnFormula>SUM('CONTROLE FIN'!AK6:AK8)</calculatedColumnFormula>
    </tableColumn>
    <tableColumn id="7" xr3:uid="{5A253953-C759-4750-9DEA-71DA06C8A60C}" name="FEV.26" dataDxfId="10">
      <calculatedColumnFormula>SUM('CONTROLE FIN'!AM6:AM8)</calculatedColumnFormula>
    </tableColumn>
    <tableColumn id="8" xr3:uid="{E377467F-E2E4-437B-A2ED-75B40D68E167}" name="MAR.26" dataDxfId="9">
      <calculatedColumnFormula>SUM('CONTROLE FIN'!AO6:AO8)</calculatedColumnFormula>
    </tableColumn>
    <tableColumn id="9" xr3:uid="{8ED114F3-271F-40A0-A5E1-417FE20E8FC4}" name="ABR.26" dataDxfId="8">
      <calculatedColumnFormula>SUM('CONTROLE FIN'!AQ6:AQ8)</calculatedColumnFormula>
    </tableColumn>
    <tableColumn id="10" xr3:uid="{725EA44E-3E10-41D2-8487-A1417A81DC8B}" name="MAI.26" dataDxfId="7">
      <calculatedColumnFormula>SUM('CONTROLE FIN'!AS6:AS8)</calculatedColumnFormula>
    </tableColumn>
    <tableColumn id="11" xr3:uid="{AED808DC-3249-4906-8FEA-D1D9F9522155}" name="JUN.26" dataDxfId="6">
      <calculatedColumnFormula>SUM('CONTROLE FIN'!AU6:AU8)</calculatedColumnFormula>
    </tableColumn>
    <tableColumn id="12" xr3:uid="{75E1DC69-220B-4B60-93C6-78D2B6415AB3}" name="JUL.26" dataDxfId="5">
      <calculatedColumnFormula>SUM('CONTROLE FIN'!AW6:AW8)</calculatedColumnFormula>
    </tableColumn>
    <tableColumn id="13" xr3:uid="{BC46B97E-FB0D-4C74-956C-B5EAEF454482}" name="AGO.26" dataDxfId="4">
      <calculatedColumnFormula>SUM('CONTROLE FIN'!AY6:AY8)</calculatedColumnFormula>
    </tableColumn>
    <tableColumn id="14" xr3:uid="{4F18714A-C3E2-49F6-9C76-95E769B62735}" name="SET.26" dataDxfId="3">
      <calculatedColumnFormula>SUM('CONTROLE FIN'!BA6:BA8)</calculatedColumnFormula>
    </tableColumn>
    <tableColumn id="15" xr3:uid="{24578F80-3199-446D-BA3C-144A23EF14BC}" name="OUT.26" dataDxfId="2">
      <calculatedColumnFormula>SUM('CONTROLE FIN'!BC6:BC8)</calculatedColumnFormula>
    </tableColumn>
    <tableColumn id="16" xr3:uid="{BF66FC13-A742-4028-8843-81256E178D66}" name="NOV.26" dataDxfId="1">
      <calculatedColumnFormula>SUM('CONTROLE FIN'!BE6:BE8)</calculatedColumnFormula>
    </tableColumn>
    <tableColumn id="17" xr3:uid="{BBC7D1AF-E736-4A2A-B097-1D9EFCB5025F}" name="DEZ.26" dataDxfId="0">
      <calculatedColumnFormula>SUM('CONTROLE FIN'!BG6:BG8)</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07/relationships/slicer" Target="../slicers/slicer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microsoft.com/office/2007/relationships/slicer" Target="../slicers/slicer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microsoft.com/office/2007/relationships/slicer" Target="../slicers/slicer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AC035-A4E7-40EF-B0DF-370F9C1AF50E}">
  <sheetPr codeName="Planilha1">
    <tabColor theme="1"/>
    <outlinePr summaryBelow="0"/>
  </sheetPr>
  <dimension ref="A1:VC51"/>
  <sheetViews>
    <sheetView topLeftCell="A2" zoomScale="85" zoomScaleNormal="85" workbookViewId="0">
      <selection activeCell="O2" sqref="O2"/>
    </sheetView>
  </sheetViews>
  <sheetFormatPr defaultColWidth="0" defaultRowHeight="14.4" zeroHeight="1" x14ac:dyDescent="0.3"/>
  <cols>
    <col min="1" max="1" width="1" customWidth="1"/>
    <col min="2" max="2" width="18" bestFit="1" customWidth="1"/>
    <col min="3" max="3" width="27.109375" bestFit="1" customWidth="1"/>
    <col min="4" max="4" width="31.44140625" customWidth="1"/>
    <col min="5" max="5" width="6.6640625" bestFit="1" customWidth="1"/>
    <col min="6" max="6" width="27.88671875" customWidth="1"/>
    <col min="7" max="7" width="30.6640625" customWidth="1"/>
    <col min="8" max="8" width="11.33203125" customWidth="1"/>
    <col min="9" max="9" width="35.109375" customWidth="1"/>
    <col min="10" max="10" width="31.109375" customWidth="1"/>
    <col min="11" max="14" width="9.109375" customWidth="1"/>
    <col min="15" max="15" width="18.109375" bestFit="1" customWidth="1"/>
    <col min="16" max="16" width="1" customWidth="1"/>
    <col min="17" max="17" width="18.109375" hidden="1" customWidth="1"/>
    <col min="18" max="572" width="22.33203125" hidden="1" customWidth="1"/>
    <col min="573" max="573" width="27.33203125" hidden="1" customWidth="1"/>
    <col min="574" max="574" width="24.6640625" hidden="1" customWidth="1"/>
    <col min="575" max="575" width="23.109375" hidden="1" customWidth="1"/>
    <col min="576" max="16384" width="9.109375" hidden="1"/>
  </cols>
  <sheetData>
    <row r="1" spans="1:17" ht="17.25" customHeight="1" x14ac:dyDescent="0.3">
      <c r="A1" s="14"/>
      <c r="B1" s="319"/>
      <c r="C1" s="320"/>
      <c r="D1" s="320"/>
      <c r="E1" s="320"/>
      <c r="F1" s="320"/>
      <c r="G1" s="320"/>
      <c r="H1" s="320"/>
      <c r="I1" s="320"/>
      <c r="J1" s="320"/>
      <c r="K1" s="320"/>
      <c r="L1" s="320"/>
      <c r="M1" s="320"/>
      <c r="N1" s="320"/>
      <c r="O1" s="321" t="s">
        <v>0</v>
      </c>
      <c r="P1" s="48"/>
    </row>
    <row r="2" spans="1:17" ht="49.95" customHeight="1" thickBot="1" x14ac:dyDescent="0.35">
      <c r="A2" s="14"/>
      <c r="B2" s="322"/>
      <c r="C2" s="323"/>
      <c r="D2" s="323"/>
      <c r="E2" s="323"/>
      <c r="F2" s="323"/>
      <c r="G2" s="323"/>
      <c r="H2" s="323"/>
      <c r="I2" s="323"/>
      <c r="J2" s="323"/>
      <c r="K2" s="323"/>
      <c r="L2" s="323"/>
      <c r="M2" s="323"/>
      <c r="N2" s="323"/>
      <c r="O2" s="324" t="e">
        <f>GETPIVOTDATA("STATUS. ENVIO",$B$5)</f>
        <v>#REF!</v>
      </c>
      <c r="P2" s="49"/>
    </row>
    <row r="3" spans="1:17" hidden="1" x14ac:dyDescent="0.3">
      <c r="A3" s="14" t="s">
        <v>1</v>
      </c>
      <c r="B3" s="14" t="s">
        <v>2</v>
      </c>
      <c r="C3" s="14" t="s">
        <v>1</v>
      </c>
      <c r="D3" s="14"/>
      <c r="E3" s="14"/>
      <c r="F3" s="14" t="s">
        <v>2</v>
      </c>
      <c r="G3" s="14" t="s">
        <v>1</v>
      </c>
      <c r="H3" s="14"/>
      <c r="I3" s="14" t="s">
        <v>2</v>
      </c>
      <c r="J3" s="14" t="s">
        <v>1</v>
      </c>
      <c r="K3" s="14"/>
      <c r="L3" s="14" t="s">
        <v>2</v>
      </c>
      <c r="M3" s="14" t="s">
        <v>1</v>
      </c>
      <c r="N3" s="14"/>
      <c r="O3" s="14" t="s">
        <v>2</v>
      </c>
      <c r="P3" s="14" t="s">
        <v>1</v>
      </c>
    </row>
    <row r="4" spans="1:17" hidden="1" x14ac:dyDescent="0.3">
      <c r="A4" s="14"/>
      <c r="B4" s="14"/>
      <c r="C4" s="14"/>
      <c r="D4" s="14"/>
      <c r="E4" s="14"/>
      <c r="F4" s="14"/>
      <c r="G4" s="14"/>
      <c r="H4" s="14"/>
      <c r="I4" s="14"/>
      <c r="J4" s="14"/>
      <c r="K4" s="14"/>
      <c r="L4" s="14"/>
      <c r="M4" s="14"/>
      <c r="N4" s="14"/>
      <c r="O4" s="14"/>
      <c r="P4" s="14"/>
    </row>
    <row r="5" spans="1:17" hidden="1" x14ac:dyDescent="0.3">
      <c r="A5" s="14" t="s">
        <v>3</v>
      </c>
      <c r="D5" s="14"/>
      <c r="E5" s="14"/>
      <c r="F5" s="14" t="s">
        <v>4</v>
      </c>
      <c r="G5" s="14" t="s">
        <v>5</v>
      </c>
      <c r="H5" s="14"/>
      <c r="I5" s="14" t="s">
        <v>4</v>
      </c>
      <c r="J5" s="14" t="s">
        <v>6</v>
      </c>
      <c r="K5" s="14"/>
      <c r="L5" s="14" t="s">
        <v>4</v>
      </c>
      <c r="M5" s="14" t="s">
        <v>7</v>
      </c>
      <c r="N5" s="14"/>
      <c r="O5" s="14" t="s">
        <v>8</v>
      </c>
      <c r="P5" s="14" t="s">
        <v>3</v>
      </c>
      <c r="Q5" t="s">
        <v>9</v>
      </c>
    </row>
    <row r="6" spans="1:17" hidden="1" x14ac:dyDescent="0.3">
      <c r="A6" s="50">
        <v>212033702.91454929</v>
      </c>
      <c r="D6" s="14"/>
      <c r="E6" s="14"/>
      <c r="F6" s="459" t="s">
        <v>620</v>
      </c>
      <c r="G6" s="14">
        <v>2</v>
      </c>
      <c r="H6" s="14"/>
      <c r="I6" s="459" t="s">
        <v>11</v>
      </c>
      <c r="J6" s="14">
        <v>31</v>
      </c>
      <c r="K6" s="14"/>
      <c r="L6" s="459" t="s">
        <v>620</v>
      </c>
      <c r="M6" s="14">
        <v>2</v>
      </c>
      <c r="N6" s="14"/>
      <c r="O6" s="50">
        <v>25645357.794471398</v>
      </c>
      <c r="P6" s="50">
        <v>14843091.568843804</v>
      </c>
      <c r="Q6" s="460">
        <v>10802266.220959999</v>
      </c>
    </row>
    <row r="7" spans="1:17" hidden="1" x14ac:dyDescent="0.3">
      <c r="A7" s="14"/>
      <c r="D7" s="14"/>
      <c r="E7" s="14"/>
      <c r="F7" s="459" t="s">
        <v>247</v>
      </c>
      <c r="G7" s="14">
        <v>14</v>
      </c>
      <c r="H7" s="14"/>
      <c r="I7" s="459" t="s">
        <v>432</v>
      </c>
      <c r="J7" s="14">
        <v>3</v>
      </c>
      <c r="K7" s="14"/>
      <c r="L7" s="459" t="s">
        <v>537</v>
      </c>
      <c r="M7" s="14">
        <v>1</v>
      </c>
      <c r="N7" s="14"/>
      <c r="O7" s="14"/>
      <c r="P7" s="14"/>
    </row>
    <row r="8" spans="1:17" s="14" customFormat="1" hidden="1" x14ac:dyDescent="0.3">
      <c r="B8"/>
      <c r="C8"/>
      <c r="F8" s="459" t="s">
        <v>10</v>
      </c>
      <c r="G8" s="14">
        <v>17</v>
      </c>
      <c r="I8" s="459" t="s">
        <v>433</v>
      </c>
      <c r="J8" s="14">
        <v>1</v>
      </c>
      <c r="L8" s="459" t="s">
        <v>16</v>
      </c>
      <c r="M8" s="14">
        <v>31</v>
      </c>
    </row>
    <row r="9" spans="1:17" s="14" customFormat="1" hidden="1" x14ac:dyDescent="0.3">
      <c r="B9"/>
      <c r="C9"/>
      <c r="F9" s="459" t="s">
        <v>12</v>
      </c>
      <c r="G9" s="14">
        <v>1</v>
      </c>
      <c r="I9" s="459" t="s">
        <v>620</v>
      </c>
      <c r="J9" s="14">
        <v>2</v>
      </c>
      <c r="L9" s="459" t="s">
        <v>432</v>
      </c>
      <c r="M9" s="14">
        <v>3</v>
      </c>
    </row>
    <row r="10" spans="1:17" s="14" customFormat="1" hidden="1" x14ac:dyDescent="0.3">
      <c r="F10" s="459" t="s">
        <v>432</v>
      </c>
      <c r="G10" s="14">
        <v>3</v>
      </c>
      <c r="I10" s="459" t="s">
        <v>14</v>
      </c>
      <c r="J10" s="14">
        <v>37</v>
      </c>
      <c r="L10" s="459" t="s">
        <v>14</v>
      </c>
      <c r="M10" s="14">
        <v>37</v>
      </c>
    </row>
    <row r="11" spans="1:17" s="14" customFormat="1" hidden="1" x14ac:dyDescent="0.3">
      <c r="F11" s="459" t="s">
        <v>14</v>
      </c>
      <c r="G11" s="14">
        <v>37</v>
      </c>
      <c r="I11"/>
      <c r="J11"/>
      <c r="L11"/>
      <c r="M11"/>
    </row>
    <row r="12" spans="1:17" s="14" customFormat="1" hidden="1" x14ac:dyDescent="0.3"/>
    <row r="13" spans="1:17" s="14" customFormat="1" hidden="1" x14ac:dyDescent="0.3"/>
    <row r="14" spans="1:17" x14ac:dyDescent="0.3">
      <c r="A14" s="14"/>
      <c r="B14" s="14"/>
      <c r="C14" s="14"/>
      <c r="D14" s="14"/>
      <c r="E14" s="14"/>
      <c r="F14" s="14"/>
      <c r="G14" s="14"/>
      <c r="H14" s="14"/>
      <c r="I14" s="14"/>
      <c r="J14" s="14"/>
      <c r="K14" s="14"/>
      <c r="L14" s="14"/>
      <c r="M14" s="14"/>
      <c r="N14" s="14"/>
      <c r="O14" s="14"/>
      <c r="P14" s="14"/>
    </row>
    <row r="15" spans="1:17" x14ac:dyDescent="0.3">
      <c r="A15" s="14"/>
      <c r="B15" s="14"/>
      <c r="C15" s="14"/>
      <c r="D15" s="14"/>
      <c r="E15" s="14"/>
      <c r="F15" s="14"/>
      <c r="G15" s="14"/>
      <c r="H15" s="14"/>
      <c r="I15" s="14"/>
      <c r="J15" s="14"/>
      <c r="K15" s="14"/>
      <c r="L15" s="14"/>
      <c r="M15" s="14"/>
      <c r="N15" s="14"/>
      <c r="O15" s="14"/>
      <c r="P15" s="14"/>
    </row>
    <row r="16" spans="1:17" x14ac:dyDescent="0.3">
      <c r="A16" s="14"/>
      <c r="B16" s="14"/>
      <c r="C16" s="14"/>
      <c r="D16" s="14"/>
      <c r="E16" s="14"/>
      <c r="F16" s="14"/>
      <c r="G16" s="14"/>
      <c r="H16" s="14"/>
      <c r="I16" s="14"/>
      <c r="J16" s="14"/>
      <c r="K16" s="14"/>
      <c r="L16" s="14"/>
      <c r="M16" s="14"/>
      <c r="N16" s="14"/>
      <c r="O16" s="14"/>
      <c r="P16" s="14"/>
    </row>
    <row r="17" spans="1:18" x14ac:dyDescent="0.3">
      <c r="A17" s="14"/>
      <c r="B17" s="14"/>
      <c r="C17" s="14"/>
      <c r="D17" s="14"/>
      <c r="E17" s="14"/>
      <c r="F17" s="14"/>
      <c r="G17" s="14"/>
      <c r="H17" s="14"/>
      <c r="I17" s="14"/>
      <c r="J17" s="14"/>
      <c r="K17" s="14"/>
      <c r="L17" s="14"/>
      <c r="M17" s="14"/>
      <c r="N17" s="14"/>
      <c r="O17" s="14"/>
      <c r="P17" s="14"/>
    </row>
    <row r="18" spans="1:18" x14ac:dyDescent="0.3">
      <c r="A18" s="14"/>
      <c r="B18" s="14"/>
      <c r="C18" s="14"/>
      <c r="D18" s="14"/>
      <c r="E18" s="14"/>
      <c r="F18" s="14"/>
      <c r="G18" s="14"/>
      <c r="H18" s="14"/>
      <c r="I18" s="14"/>
      <c r="J18" s="14"/>
      <c r="K18" s="14"/>
      <c r="L18" s="14"/>
      <c r="M18" s="14"/>
      <c r="N18" s="14"/>
      <c r="O18" s="14"/>
      <c r="P18" s="14"/>
    </row>
    <row r="19" spans="1:18" x14ac:dyDescent="0.3">
      <c r="A19" s="14"/>
      <c r="B19" s="14"/>
      <c r="C19" s="14"/>
      <c r="D19" s="14"/>
      <c r="E19" s="14"/>
      <c r="F19" s="14"/>
      <c r="G19" s="14"/>
      <c r="H19" s="14"/>
      <c r="I19" s="14"/>
      <c r="J19" s="14"/>
      <c r="K19" s="14"/>
      <c r="L19" s="14"/>
      <c r="M19" s="14"/>
      <c r="N19" s="14"/>
      <c r="O19" s="14"/>
      <c r="P19" s="14"/>
      <c r="R19" s="12"/>
    </row>
    <row r="20" spans="1:18" x14ac:dyDescent="0.3">
      <c r="A20" s="14"/>
      <c r="B20" s="14"/>
      <c r="C20" s="14"/>
      <c r="D20" s="14"/>
      <c r="E20" s="14"/>
      <c r="F20" s="14"/>
      <c r="G20" s="14"/>
      <c r="H20" s="14"/>
      <c r="I20" s="14"/>
      <c r="J20" s="14"/>
      <c r="K20" s="14"/>
      <c r="L20" s="14"/>
      <c r="M20" s="14"/>
      <c r="N20" s="14"/>
      <c r="O20" s="14"/>
      <c r="P20" s="14"/>
      <c r="R20" s="13"/>
    </row>
    <row r="21" spans="1:18" x14ac:dyDescent="0.3">
      <c r="A21" s="14"/>
      <c r="B21" s="14"/>
      <c r="C21" s="14"/>
      <c r="D21" s="14"/>
      <c r="E21" s="14"/>
      <c r="F21" s="14"/>
      <c r="G21" s="14"/>
      <c r="H21" s="14"/>
      <c r="I21" s="14"/>
      <c r="J21" s="14"/>
      <c r="K21" s="14"/>
      <c r="L21" s="14"/>
      <c r="M21" s="14"/>
      <c r="N21" s="14"/>
      <c r="O21" s="14"/>
      <c r="P21" s="14"/>
    </row>
    <row r="22" spans="1:18" x14ac:dyDescent="0.3">
      <c r="A22" s="14"/>
      <c r="B22" s="14"/>
      <c r="C22" s="14"/>
      <c r="D22" s="14"/>
      <c r="E22" s="14"/>
      <c r="F22" s="14"/>
      <c r="G22" s="14"/>
      <c r="H22" s="14"/>
      <c r="I22" s="14"/>
      <c r="J22" s="14"/>
      <c r="K22" s="14"/>
      <c r="L22" s="14"/>
      <c r="M22" s="14"/>
      <c r="N22" s="14"/>
      <c r="O22" s="14"/>
      <c r="P22" s="14"/>
    </row>
    <row r="23" spans="1:18" x14ac:dyDescent="0.3">
      <c r="A23" s="14"/>
      <c r="B23" s="14"/>
      <c r="C23" s="14"/>
      <c r="D23" s="14"/>
      <c r="E23" s="14"/>
      <c r="F23" s="14"/>
      <c r="G23" s="14"/>
      <c r="H23" s="14"/>
      <c r="I23" s="14"/>
      <c r="J23" s="14"/>
      <c r="K23" s="14"/>
      <c r="L23" s="14"/>
      <c r="M23" s="14"/>
      <c r="N23" s="14"/>
      <c r="O23" s="14"/>
      <c r="P23" s="14"/>
    </row>
    <row r="24" spans="1:18" x14ac:dyDescent="0.3">
      <c r="A24" s="14"/>
      <c r="B24" s="14"/>
      <c r="C24" s="14"/>
      <c r="D24" s="14"/>
      <c r="E24" s="14"/>
      <c r="F24" s="14"/>
      <c r="G24" s="14"/>
      <c r="H24" s="14"/>
      <c r="I24" s="14"/>
      <c r="J24" s="14"/>
      <c r="K24" s="14"/>
      <c r="L24" s="14"/>
      <c r="M24" s="14"/>
      <c r="N24" s="14"/>
      <c r="O24" s="14"/>
      <c r="P24" s="14"/>
    </row>
    <row r="25" spans="1:18" x14ac:dyDescent="0.3">
      <c r="A25" s="14"/>
      <c r="B25" s="14"/>
      <c r="C25" s="14"/>
      <c r="D25" s="14"/>
      <c r="E25" s="14"/>
      <c r="F25" s="14"/>
      <c r="G25" s="14"/>
      <c r="H25" s="14"/>
      <c r="I25" s="14"/>
      <c r="J25" s="14"/>
      <c r="K25" s="14"/>
      <c r="L25" s="14"/>
      <c r="M25" s="14"/>
      <c r="N25" s="14"/>
      <c r="O25" s="14"/>
      <c r="P25" s="14"/>
    </row>
    <row r="26" spans="1:18" x14ac:dyDescent="0.3">
      <c r="A26" s="14"/>
      <c r="B26" s="14"/>
      <c r="C26" s="14"/>
      <c r="D26" s="14"/>
      <c r="E26" s="14"/>
      <c r="F26" s="14"/>
      <c r="G26" s="14"/>
      <c r="H26" s="14"/>
      <c r="I26" s="14"/>
      <c r="J26" s="14"/>
      <c r="K26" s="14"/>
      <c r="L26" s="14"/>
      <c r="M26" s="14"/>
      <c r="N26" s="14"/>
      <c r="O26" s="14"/>
      <c r="P26" s="14"/>
    </row>
    <row r="27" spans="1:18" x14ac:dyDescent="0.3">
      <c r="A27" s="14"/>
      <c r="B27" s="14"/>
      <c r="C27" s="14"/>
      <c r="D27" s="14"/>
      <c r="E27" s="14"/>
      <c r="F27" s="14"/>
      <c r="G27" s="14"/>
      <c r="H27" s="14"/>
      <c r="I27" s="14"/>
      <c r="J27" s="14"/>
      <c r="K27" s="14"/>
      <c r="L27" s="14"/>
      <c r="M27" s="14"/>
      <c r="N27" s="14"/>
      <c r="O27" s="14"/>
      <c r="P27" s="14"/>
    </row>
    <row r="28" spans="1:18" x14ac:dyDescent="0.3">
      <c r="A28" s="14"/>
      <c r="B28" s="14"/>
      <c r="C28" s="14"/>
      <c r="D28" s="14"/>
      <c r="E28" s="14"/>
      <c r="F28" s="14"/>
      <c r="G28" s="14"/>
      <c r="H28" s="14"/>
      <c r="I28" s="14"/>
      <c r="J28" s="14"/>
      <c r="K28" s="14"/>
      <c r="L28" s="14"/>
      <c r="M28" s="14"/>
      <c r="N28" s="14"/>
      <c r="O28" s="14"/>
      <c r="P28" s="14"/>
    </row>
    <row r="29" spans="1:18" x14ac:dyDescent="0.3">
      <c r="A29" s="14"/>
      <c r="B29" s="14"/>
      <c r="C29" s="14"/>
      <c r="D29" s="14"/>
      <c r="E29" s="14"/>
      <c r="F29" s="14"/>
      <c r="G29" s="14"/>
      <c r="H29" s="14"/>
      <c r="I29" s="14"/>
      <c r="J29" s="14"/>
      <c r="K29" s="14"/>
      <c r="L29" s="14"/>
      <c r="M29" s="14"/>
      <c r="N29" s="14"/>
      <c r="O29" s="14"/>
      <c r="P29" s="14"/>
    </row>
    <row r="30" spans="1:18" x14ac:dyDescent="0.3">
      <c r="A30" s="14"/>
      <c r="B30" s="14"/>
      <c r="C30" s="14"/>
      <c r="D30" s="14"/>
      <c r="E30" s="14"/>
      <c r="F30" s="14"/>
      <c r="G30" s="14"/>
      <c r="H30" s="14"/>
      <c r="I30" s="14"/>
      <c r="J30" s="14"/>
      <c r="K30" s="14"/>
      <c r="L30" s="14"/>
      <c r="M30" s="14"/>
      <c r="N30" s="14"/>
      <c r="O30" s="14"/>
      <c r="P30" s="14"/>
    </row>
    <row r="31" spans="1:18" x14ac:dyDescent="0.3">
      <c r="A31" s="14"/>
      <c r="B31" s="14"/>
      <c r="C31" s="14"/>
      <c r="D31" s="14"/>
      <c r="E31" s="14"/>
      <c r="F31" s="14"/>
      <c r="G31" s="14"/>
      <c r="H31" s="14"/>
      <c r="I31" s="14"/>
      <c r="J31" s="14"/>
      <c r="K31" s="14"/>
      <c r="L31" s="14"/>
      <c r="M31" s="14"/>
      <c r="N31" s="14"/>
      <c r="O31" s="14"/>
      <c r="P31" s="14"/>
    </row>
    <row r="32" spans="1:18" x14ac:dyDescent="0.3">
      <c r="A32" s="14"/>
      <c r="B32" s="14"/>
      <c r="C32" s="14"/>
      <c r="D32" s="14"/>
      <c r="E32" s="14"/>
      <c r="F32" s="14"/>
      <c r="G32" s="14"/>
      <c r="H32" s="14"/>
      <c r="I32" s="14"/>
      <c r="J32" s="14"/>
      <c r="K32" s="14"/>
      <c r="L32" s="14"/>
      <c r="M32" s="14"/>
      <c r="N32" s="14"/>
      <c r="O32" s="14"/>
      <c r="P32" s="14"/>
    </row>
    <row r="33" spans="1:16" x14ac:dyDescent="0.3">
      <c r="A33" s="14"/>
      <c r="B33" s="14"/>
      <c r="C33" s="14"/>
      <c r="D33" s="14"/>
      <c r="E33" s="14"/>
      <c r="F33" s="14"/>
      <c r="G33" s="14"/>
      <c r="H33" s="14"/>
      <c r="I33" s="14"/>
      <c r="J33" s="14"/>
      <c r="K33" s="14"/>
      <c r="L33" s="14"/>
      <c r="M33" s="14"/>
      <c r="N33" s="14"/>
      <c r="O33" s="14"/>
      <c r="P33" s="14"/>
    </row>
    <row r="34" spans="1:16" x14ac:dyDescent="0.3">
      <c r="A34" s="14"/>
      <c r="B34" s="14"/>
      <c r="C34" s="14"/>
      <c r="D34" s="14"/>
      <c r="E34" s="14"/>
      <c r="F34" s="14"/>
      <c r="G34" s="14"/>
      <c r="H34" s="14"/>
      <c r="I34" s="14"/>
      <c r="J34" s="14"/>
      <c r="K34" s="14"/>
      <c r="L34" s="14"/>
      <c r="M34" s="14"/>
      <c r="N34" s="14"/>
      <c r="O34" s="14"/>
      <c r="P34" s="14"/>
    </row>
    <row r="35" spans="1:16" x14ac:dyDescent="0.3">
      <c r="A35" s="14"/>
      <c r="B35" s="14"/>
      <c r="C35" s="14"/>
      <c r="D35" s="14"/>
      <c r="E35" s="14"/>
      <c r="F35" s="14"/>
      <c r="G35" s="14"/>
      <c r="H35" s="14"/>
      <c r="I35" s="14"/>
      <c r="J35" s="14"/>
      <c r="K35" s="14"/>
      <c r="L35" s="14"/>
      <c r="M35" s="14"/>
      <c r="N35" s="14"/>
      <c r="O35" s="14"/>
      <c r="P35" s="14"/>
    </row>
    <row r="36" spans="1:16" x14ac:dyDescent="0.3">
      <c r="A36" s="14"/>
      <c r="B36" s="14"/>
      <c r="C36" s="14"/>
      <c r="D36" s="14"/>
      <c r="E36" s="14"/>
      <c r="F36" s="14"/>
      <c r="G36" s="14"/>
      <c r="H36" s="14"/>
      <c r="I36" s="14"/>
      <c r="J36" s="14"/>
      <c r="K36" s="14"/>
      <c r="L36" s="14"/>
      <c r="M36" s="14"/>
      <c r="N36" s="14"/>
      <c r="O36" s="14"/>
      <c r="P36" s="14"/>
    </row>
    <row r="37" spans="1:16" x14ac:dyDescent="0.3">
      <c r="A37" s="14"/>
      <c r="B37" s="14"/>
      <c r="C37" s="14"/>
      <c r="D37" s="14"/>
      <c r="E37" s="14"/>
      <c r="F37" s="14"/>
      <c r="G37" s="14"/>
      <c r="H37" s="14"/>
      <c r="I37" s="14"/>
      <c r="J37" s="14"/>
      <c r="K37" s="14"/>
      <c r="L37" s="14"/>
      <c r="M37" s="14"/>
      <c r="N37" s="14"/>
      <c r="O37" s="14"/>
      <c r="P37" s="14"/>
    </row>
    <row r="38" spans="1:16" x14ac:dyDescent="0.3">
      <c r="A38" s="14"/>
      <c r="B38" s="14"/>
      <c r="C38" s="14"/>
      <c r="D38" s="14"/>
      <c r="E38" s="14"/>
      <c r="F38" s="14"/>
      <c r="G38" s="14"/>
      <c r="H38" s="14"/>
      <c r="I38" s="14"/>
      <c r="J38" s="14"/>
      <c r="K38" s="14"/>
      <c r="L38" s="14"/>
      <c r="M38" s="14"/>
      <c r="N38" s="14"/>
      <c r="O38" s="14"/>
      <c r="P38" s="14"/>
    </row>
    <row r="39" spans="1:16" x14ac:dyDescent="0.3">
      <c r="A39" s="14"/>
      <c r="B39" s="14"/>
      <c r="C39" s="14"/>
      <c r="D39" s="14"/>
      <c r="E39" s="14"/>
      <c r="F39" s="14"/>
      <c r="G39" s="14"/>
      <c r="H39" s="14"/>
      <c r="I39" s="14"/>
      <c r="J39" s="14"/>
      <c r="K39" s="14"/>
      <c r="L39" s="14"/>
      <c r="M39" s="14"/>
      <c r="N39" s="14"/>
      <c r="O39" s="14"/>
      <c r="P39" s="14"/>
    </row>
    <row r="40" spans="1:16" x14ac:dyDescent="0.3">
      <c r="A40" s="14"/>
      <c r="B40" s="14"/>
      <c r="C40" s="14"/>
      <c r="D40" s="14"/>
      <c r="E40" s="14"/>
      <c r="F40" s="14"/>
      <c r="G40" s="14"/>
      <c r="H40" s="14"/>
      <c r="I40" s="14"/>
      <c r="J40" s="14"/>
      <c r="K40" s="14"/>
      <c r="L40" s="14"/>
      <c r="M40" s="14"/>
      <c r="N40" s="14"/>
      <c r="O40" s="14"/>
      <c r="P40" s="14"/>
    </row>
    <row r="41" spans="1:16" x14ac:dyDescent="0.3">
      <c r="A41" s="14"/>
      <c r="B41" s="14"/>
      <c r="C41" s="14"/>
      <c r="D41" s="14"/>
      <c r="E41" s="14"/>
      <c r="F41" s="14"/>
      <c r="G41" s="14"/>
      <c r="H41" s="14"/>
      <c r="I41" s="14"/>
      <c r="J41" s="14"/>
      <c r="K41" s="14"/>
      <c r="L41" s="14"/>
      <c r="M41" s="14"/>
      <c r="N41" s="14"/>
      <c r="O41" s="14"/>
      <c r="P41" s="14"/>
    </row>
    <row r="42" spans="1:16" x14ac:dyDescent="0.3">
      <c r="A42" s="14"/>
      <c r="B42" s="14"/>
      <c r="C42" s="14"/>
      <c r="D42" s="14"/>
      <c r="E42" s="14"/>
      <c r="F42" s="14"/>
      <c r="G42" s="14"/>
      <c r="H42" s="14"/>
      <c r="I42" s="14"/>
      <c r="J42" s="14"/>
      <c r="K42" s="14"/>
      <c r="L42" s="14"/>
      <c r="M42" s="14"/>
      <c r="N42" s="14"/>
      <c r="O42" s="14"/>
      <c r="P42" s="14"/>
    </row>
    <row r="43" spans="1:16" x14ac:dyDescent="0.3">
      <c r="A43" s="14"/>
      <c r="B43" s="14"/>
      <c r="C43" s="14"/>
      <c r="D43" s="14"/>
      <c r="E43" s="14"/>
      <c r="F43" s="14"/>
      <c r="G43" s="14"/>
      <c r="H43" s="14"/>
      <c r="I43" s="14"/>
      <c r="J43" s="14"/>
      <c r="K43" s="14"/>
      <c r="L43" s="14"/>
      <c r="M43" s="14"/>
      <c r="N43" s="14"/>
      <c r="O43" s="14"/>
      <c r="P43" s="14"/>
    </row>
    <row r="44" spans="1:16" x14ac:dyDescent="0.3">
      <c r="A44" s="14"/>
      <c r="B44" s="14"/>
      <c r="C44" s="14"/>
      <c r="D44" s="14"/>
      <c r="E44" s="14"/>
      <c r="F44" s="14"/>
      <c r="G44" s="14"/>
      <c r="H44" s="14"/>
      <c r="I44" s="14"/>
      <c r="J44" s="14"/>
      <c r="K44" s="14"/>
      <c r="L44" s="14"/>
      <c r="M44" s="14"/>
      <c r="N44" s="14"/>
      <c r="O44" s="14"/>
      <c r="P44" s="14"/>
    </row>
    <row r="45" spans="1:16" x14ac:dyDescent="0.3">
      <c r="A45" s="14"/>
      <c r="B45" s="14"/>
      <c r="C45" s="14"/>
      <c r="D45" s="14"/>
      <c r="E45" s="14"/>
      <c r="F45" s="14"/>
      <c r="G45" s="14"/>
      <c r="H45" s="14"/>
      <c r="I45" s="14"/>
      <c r="J45" s="14"/>
      <c r="K45" s="14"/>
      <c r="L45" s="14"/>
      <c r="M45" s="14"/>
      <c r="N45" s="14"/>
      <c r="O45" s="14"/>
      <c r="P45" s="14"/>
    </row>
    <row r="46" spans="1:16" x14ac:dyDescent="0.3">
      <c r="A46" s="14"/>
      <c r="B46" s="14"/>
      <c r="C46" s="14"/>
      <c r="D46" s="14"/>
      <c r="E46" s="14"/>
      <c r="F46" s="14"/>
      <c r="G46" s="14"/>
      <c r="H46" s="14"/>
      <c r="I46" s="14"/>
      <c r="J46" s="14"/>
      <c r="K46" s="14"/>
      <c r="L46" s="14"/>
      <c r="M46" s="14"/>
      <c r="N46" s="14"/>
      <c r="O46" s="14"/>
      <c r="P46" s="14"/>
    </row>
    <row r="47" spans="1:16" x14ac:dyDescent="0.3">
      <c r="A47" s="14"/>
      <c r="B47" s="14"/>
      <c r="C47" s="14"/>
      <c r="D47" s="14"/>
      <c r="E47" s="14"/>
      <c r="F47" s="14"/>
      <c r="G47" s="14"/>
      <c r="H47" s="14"/>
      <c r="I47" s="14"/>
      <c r="J47" s="14"/>
      <c r="K47" s="14"/>
      <c r="L47" s="14"/>
      <c r="M47" s="14"/>
      <c r="N47" s="14"/>
      <c r="O47" s="14"/>
      <c r="P47" s="14"/>
    </row>
    <row r="48" spans="1:16" x14ac:dyDescent="0.3">
      <c r="A48" s="14"/>
      <c r="B48" s="14"/>
      <c r="C48" s="14"/>
      <c r="D48" s="14"/>
      <c r="E48" s="14"/>
      <c r="F48" s="14"/>
      <c r="G48" s="14"/>
      <c r="H48" s="14"/>
      <c r="I48" s="14"/>
      <c r="J48" s="14"/>
      <c r="K48" s="14"/>
      <c r="L48" s="14"/>
      <c r="M48" s="14"/>
      <c r="N48" s="14"/>
      <c r="O48" s="14"/>
      <c r="P48" s="14"/>
    </row>
    <row r="49" spans="1:16" x14ac:dyDescent="0.3">
      <c r="A49" s="14"/>
      <c r="B49" s="14"/>
      <c r="C49" s="14"/>
      <c r="D49" s="14"/>
      <c r="E49" s="14"/>
      <c r="F49" s="14"/>
      <c r="G49" s="14"/>
      <c r="H49" s="14"/>
      <c r="I49" s="14"/>
      <c r="J49" s="14"/>
      <c r="K49" s="14"/>
      <c r="L49" s="14"/>
      <c r="M49" s="14"/>
      <c r="N49" s="14"/>
      <c r="O49" s="14"/>
      <c r="P49" s="14"/>
    </row>
    <row r="50" spans="1:16" x14ac:dyDescent="0.3">
      <c r="A50" s="14"/>
      <c r="B50" s="14"/>
      <c r="C50" s="14"/>
      <c r="D50" s="14"/>
      <c r="E50" s="14"/>
      <c r="F50" s="14"/>
      <c r="G50" s="14"/>
      <c r="H50" s="14"/>
      <c r="I50" s="14"/>
      <c r="J50" s="14"/>
      <c r="K50" s="14"/>
      <c r="L50" s="14"/>
      <c r="M50" s="14"/>
      <c r="N50" s="14"/>
      <c r="O50" s="14"/>
      <c r="P50" s="14"/>
    </row>
    <row r="51" spans="1:16" ht="48" customHeight="1" x14ac:dyDescent="0.3">
      <c r="A51" s="14"/>
      <c r="B51" s="14"/>
      <c r="C51" s="14"/>
      <c r="D51" s="14"/>
      <c r="E51" s="14"/>
      <c r="F51" s="14"/>
      <c r="G51" s="14"/>
      <c r="H51" s="14"/>
      <c r="I51" s="14"/>
      <c r="J51" s="14"/>
      <c r="K51" s="14"/>
      <c r="L51" s="14"/>
      <c r="M51" s="14"/>
      <c r="N51" s="14"/>
      <c r="O51" s="14"/>
      <c r="P51" s="14"/>
    </row>
  </sheetData>
  <sheetProtection autoFilter="0" pivotTables="0"/>
  <pageMargins left="0.511811024" right="0.511811024" top="0.78740157499999996" bottom="0.78740157499999996" header="0.31496062000000002" footer="0.31496062000000002"/>
  <pageSetup paperSize="9" orientation="portrait"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135F-74D7-41F1-8B51-71BEE96DC001}">
  <sheetPr codeName="Planilha2">
    <tabColor theme="4" tint="-0.499984740745262"/>
    <outlinePr summaryRight="0"/>
  </sheetPr>
  <dimension ref="A1:BB45"/>
  <sheetViews>
    <sheetView showGridLines="0" showZeros="0" tabSelected="1" zoomScale="90" zoomScaleNormal="90" workbookViewId="0">
      <pane xSplit="6" ySplit="5" topLeftCell="U6" activePane="bottomRight" state="frozen"/>
      <selection pane="topRight" activeCell="F1" sqref="F1"/>
      <selection pane="bottomLeft" activeCell="B6" sqref="B6"/>
      <selection pane="bottomRight" activeCell="C3" sqref="C3:C4"/>
    </sheetView>
  </sheetViews>
  <sheetFormatPr defaultColWidth="9.109375" defaultRowHeight="14.4" outlineLevelCol="2" x14ac:dyDescent="0.3"/>
  <cols>
    <col min="1" max="1" width="9.109375" style="2" hidden="1" customWidth="1"/>
    <col min="2" max="2" width="12.6640625" style="2" customWidth="1"/>
    <col min="3" max="3" width="84.6640625" style="2" customWidth="1"/>
    <col min="4" max="4" width="10.6640625" style="2" hidden="1" customWidth="1"/>
    <col min="5" max="5" width="10.6640625" style="2" customWidth="1"/>
    <col min="6" max="6" width="18.6640625" style="2" customWidth="1"/>
    <col min="7" max="7" width="8.6640625" style="2" customWidth="1"/>
    <col min="8" max="10" width="10.6640625" style="2" customWidth="1"/>
    <col min="11" max="12" width="11.6640625" style="2" customWidth="1"/>
    <col min="13" max="13" width="9.6640625" style="2" customWidth="1"/>
    <col min="14" max="14" width="14.6640625" style="2" hidden="1" customWidth="1"/>
    <col min="15" max="15" width="8.6640625" style="2" customWidth="1"/>
    <col min="16" max="18" width="10.6640625" style="2" customWidth="1"/>
    <col min="19" max="20" width="11.6640625" style="2" customWidth="1"/>
    <col min="21" max="21" width="3.6640625" style="2" customWidth="1"/>
    <col min="22" max="24" width="9.6640625" style="2" customWidth="1" outlineLevel="1"/>
    <col min="25" max="26" width="8.6640625" style="2" customWidth="1" outlineLevel="1"/>
    <col min="27" max="28" width="10.6640625" style="2" customWidth="1" outlineLevel="1"/>
    <col min="29" max="30" width="6.6640625" style="2" customWidth="1" outlineLevel="1"/>
    <col min="31" max="31" width="3.6640625" style="2" customWidth="1" collapsed="1"/>
    <col min="32" max="32" width="9.6640625" style="2" hidden="1" customWidth="1" outlineLevel="1" collapsed="1"/>
    <col min="33" max="33" width="9.6640625" style="2" hidden="1" customWidth="1" outlineLevel="2"/>
    <col min="34" max="35" width="9.6640625" style="2" hidden="1" customWidth="1" outlineLevel="1"/>
    <col min="36" max="36" width="9.6640625" style="2" hidden="1" customWidth="1" outlineLevel="1" collapsed="1"/>
    <col min="37" max="37" width="9.6640625" style="2" hidden="1" customWidth="1" outlineLevel="2"/>
    <col min="38" max="39" width="9.6640625" style="2" hidden="1" customWidth="1" outlineLevel="1"/>
    <col min="40" max="40" width="9.6640625" style="2" hidden="1" customWidth="1" outlineLevel="1" collapsed="1"/>
    <col min="41" max="41" width="9.6640625" style="2" hidden="1" customWidth="1" outlineLevel="2"/>
    <col min="42" max="43" width="9.6640625" style="2" hidden="1" customWidth="1" outlineLevel="1"/>
    <col min="44" max="44" width="9.6640625" style="2" hidden="1" customWidth="1" outlineLevel="1" collapsed="1"/>
    <col min="45" max="45" width="9.6640625" style="2" hidden="1" customWidth="1" outlineLevel="2"/>
    <col min="46" max="51" width="9.6640625" style="2" hidden="1" customWidth="1" outlineLevel="1"/>
    <col min="52" max="54" width="20.33203125" style="7" customWidth="1"/>
    <col min="55" max="55" width="2" style="2" customWidth="1"/>
    <col min="56" max="16384" width="9.109375" style="2"/>
  </cols>
  <sheetData>
    <row r="1" spans="1:54" ht="18" customHeight="1" x14ac:dyDescent="0.3">
      <c r="B1" s="19"/>
      <c r="C1" s="20"/>
      <c r="D1" s="20"/>
      <c r="E1" s="250" t="s">
        <v>0</v>
      </c>
      <c r="F1" s="22"/>
      <c r="G1" s="20"/>
      <c r="H1" s="20"/>
      <c r="I1" s="20"/>
      <c r="J1" s="20"/>
      <c r="K1" s="20"/>
      <c r="L1" s="20"/>
      <c r="M1" s="20"/>
      <c r="N1" s="20"/>
      <c r="O1" s="20"/>
      <c r="P1" s="20"/>
      <c r="Q1" s="120"/>
      <c r="R1" s="120"/>
      <c r="S1" s="120"/>
      <c r="T1" s="120"/>
      <c r="U1" s="494" t="s">
        <v>3277</v>
      </c>
      <c r="V1" s="20"/>
      <c r="W1" s="20"/>
      <c r="X1" s="20"/>
      <c r="Y1" s="20"/>
      <c r="Z1" s="20"/>
      <c r="AA1" s="20"/>
      <c r="AB1" s="20"/>
      <c r="AC1" s="20"/>
      <c r="AD1" s="20"/>
      <c r="AE1" s="494" t="s">
        <v>248</v>
      </c>
      <c r="AF1" s="20"/>
      <c r="AG1" s="20"/>
      <c r="AH1" s="20"/>
      <c r="AI1" s="20"/>
      <c r="AJ1" s="20"/>
      <c r="AK1" s="20"/>
      <c r="AL1" s="20"/>
      <c r="AM1" s="20"/>
      <c r="AN1" s="20"/>
      <c r="AO1" s="20"/>
      <c r="AP1" s="20"/>
      <c r="AQ1" s="20"/>
      <c r="AR1" s="20"/>
      <c r="AS1" s="20"/>
      <c r="AT1" s="20"/>
      <c r="AU1" s="20"/>
      <c r="AV1" s="20"/>
      <c r="AW1" s="20"/>
      <c r="AX1" s="20"/>
      <c r="AY1" s="20"/>
      <c r="AZ1" s="11"/>
      <c r="BA1" s="11"/>
      <c r="BB1" s="43"/>
    </row>
    <row r="2" spans="1:54" ht="48" customHeight="1" thickBot="1" x14ac:dyDescent="0.35">
      <c r="A2" s="23"/>
      <c r="B2" s="21"/>
      <c r="C2" s="22"/>
      <c r="D2" s="22"/>
      <c r="E2" s="260">
        <f>SUBTOTAL(9,A:A)</f>
        <v>17</v>
      </c>
      <c r="F2" s="22"/>
      <c r="G2" s="22"/>
      <c r="H2" s="22"/>
      <c r="I2" s="22"/>
      <c r="J2" s="22"/>
      <c r="K2" s="22"/>
      <c r="L2" s="22"/>
      <c r="M2" s="22"/>
      <c r="N2" s="22"/>
      <c r="O2" s="22"/>
      <c r="P2" s="22"/>
      <c r="Q2" s="22"/>
      <c r="R2" s="22"/>
      <c r="S2" s="22"/>
      <c r="T2" s="22"/>
      <c r="U2" s="495"/>
      <c r="V2" s="22"/>
      <c r="W2" s="22"/>
      <c r="X2" s="22"/>
      <c r="Y2" s="22"/>
      <c r="Z2" s="22"/>
      <c r="AA2" s="22"/>
      <c r="AB2" s="22"/>
      <c r="AC2" s="22"/>
      <c r="AD2" s="22"/>
      <c r="AE2" s="495"/>
      <c r="AF2" s="22"/>
      <c r="AG2" s="22"/>
      <c r="AH2" s="22"/>
      <c r="AI2" s="22"/>
      <c r="AJ2" s="22"/>
      <c r="AK2" s="22"/>
      <c r="AL2" s="22"/>
      <c r="AM2" s="22"/>
      <c r="AN2" s="22"/>
      <c r="AO2" s="22"/>
      <c r="AP2" s="22"/>
      <c r="AQ2" s="22"/>
      <c r="AR2" s="22"/>
      <c r="AS2" s="22"/>
      <c r="AT2" s="22"/>
      <c r="AU2" s="22"/>
      <c r="AV2" s="22"/>
      <c r="AW2" s="22"/>
      <c r="AX2" s="22"/>
      <c r="AY2" s="22"/>
      <c r="AZ2" s="261"/>
      <c r="BA2" s="261"/>
      <c r="BB2" s="262"/>
    </row>
    <row r="3" spans="1:54" s="3" customFormat="1" ht="15.9" customHeight="1" x14ac:dyDescent="0.3">
      <c r="A3" s="491" t="s">
        <v>17</v>
      </c>
      <c r="B3" s="493" t="s">
        <v>18</v>
      </c>
      <c r="C3" s="489" t="s">
        <v>19</v>
      </c>
      <c r="D3" s="489" t="s">
        <v>434</v>
      </c>
      <c r="E3" s="479" t="s">
        <v>2</v>
      </c>
      <c r="F3" s="479" t="s">
        <v>20</v>
      </c>
      <c r="G3" s="496" t="s">
        <v>21</v>
      </c>
      <c r="H3" s="497"/>
      <c r="I3" s="497"/>
      <c r="J3" s="497"/>
      <c r="K3" s="497"/>
      <c r="L3" s="497"/>
      <c r="M3" s="497"/>
      <c r="N3" s="498"/>
      <c r="O3" s="496" t="s">
        <v>22</v>
      </c>
      <c r="P3" s="497"/>
      <c r="Q3" s="497"/>
      <c r="R3" s="497"/>
      <c r="S3" s="497"/>
      <c r="T3" s="498"/>
      <c r="U3" s="434"/>
      <c r="V3" s="487" t="s">
        <v>23</v>
      </c>
      <c r="W3" s="487"/>
      <c r="X3" s="487"/>
      <c r="Y3" s="487"/>
      <c r="Z3" s="487"/>
      <c r="AA3" s="488"/>
      <c r="AB3" s="263">
        <f>SUBTOTAL(1,TB_INTEGRADA[DESVIO (%)])</f>
        <v>-6.4717647058823533E-2</v>
      </c>
      <c r="AC3" s="264">
        <f>SUBTOTAL(9,TB_INTEGRADA[M.O PREV.])</f>
        <v>60</v>
      </c>
      <c r="AD3" s="421">
        <f>SUBTOTAL(9,TB_INTEGRADA[M.O REAL])</f>
        <v>64</v>
      </c>
      <c r="AE3" s="442"/>
      <c r="AF3" s="481" t="s">
        <v>3252</v>
      </c>
      <c r="AG3" s="482"/>
      <c r="AH3" s="482"/>
      <c r="AI3" s="483"/>
      <c r="AJ3" s="484" t="s">
        <v>3098</v>
      </c>
      <c r="AK3" s="485"/>
      <c r="AL3" s="485"/>
      <c r="AM3" s="486"/>
      <c r="AN3" s="481" t="s">
        <v>3256</v>
      </c>
      <c r="AO3" s="482"/>
      <c r="AP3" s="482"/>
      <c r="AQ3" s="483"/>
      <c r="AR3" s="484" t="s">
        <v>3257</v>
      </c>
      <c r="AS3" s="485"/>
      <c r="AT3" s="485"/>
      <c r="AU3" s="486"/>
      <c r="AV3" s="481" t="s">
        <v>82</v>
      </c>
      <c r="AW3" s="482"/>
      <c r="AX3" s="482"/>
      <c r="AY3" s="483"/>
      <c r="AZ3" s="422">
        <f>SUBTOTAL(9,TB_INTEGRADA[R$ APROVADO])</f>
        <v>20337630.68564</v>
      </c>
      <c r="BA3" s="265">
        <f>SUBTOTAL(9,TB_INTEGRADA[R$ MEDIDO ])</f>
        <v>9535364.4646799993</v>
      </c>
      <c r="BB3" s="266">
        <f>SUBTOTAL(9,TB_INTEGRADA[R$ SALDO ])</f>
        <v>10802266.220959999</v>
      </c>
    </row>
    <row r="4" spans="1:54" s="3" customFormat="1" ht="27.9" customHeight="1" x14ac:dyDescent="0.3">
      <c r="A4" s="492"/>
      <c r="B4" s="492"/>
      <c r="C4" s="490"/>
      <c r="D4" s="490"/>
      <c r="E4" s="480"/>
      <c r="F4" s="480"/>
      <c r="G4" s="44" t="s">
        <v>24</v>
      </c>
      <c r="H4" s="27" t="s">
        <v>25</v>
      </c>
      <c r="I4" s="27" t="s">
        <v>26</v>
      </c>
      <c r="J4" s="27" t="s">
        <v>27</v>
      </c>
      <c r="K4" s="27" t="s">
        <v>3279</v>
      </c>
      <c r="L4" s="27" t="s">
        <v>28</v>
      </c>
      <c r="M4" s="27" t="s">
        <v>29</v>
      </c>
      <c r="N4" s="45" t="s">
        <v>30</v>
      </c>
      <c r="O4" s="44" t="s">
        <v>24</v>
      </c>
      <c r="P4" s="27" t="s">
        <v>25</v>
      </c>
      <c r="Q4" s="27" t="s">
        <v>26</v>
      </c>
      <c r="R4" s="27" t="s">
        <v>27</v>
      </c>
      <c r="S4" s="27" t="s">
        <v>3279</v>
      </c>
      <c r="T4" s="40" t="s">
        <v>28</v>
      </c>
      <c r="U4" s="436"/>
      <c r="V4" s="433" t="s">
        <v>31</v>
      </c>
      <c r="W4" s="395" t="s">
        <v>32</v>
      </c>
      <c r="X4" s="395" t="s">
        <v>33</v>
      </c>
      <c r="Y4" s="395" t="s">
        <v>34</v>
      </c>
      <c r="Z4" s="395" t="s">
        <v>35</v>
      </c>
      <c r="AA4" s="392" t="s">
        <v>3275</v>
      </c>
      <c r="AB4" s="392" t="s">
        <v>3276</v>
      </c>
      <c r="AC4" s="392" t="s">
        <v>37</v>
      </c>
      <c r="AD4" s="385" t="s">
        <v>38</v>
      </c>
      <c r="AE4" s="436"/>
      <c r="AF4" s="431" t="s">
        <v>3253</v>
      </c>
      <c r="AG4" s="397" t="s">
        <v>3259</v>
      </c>
      <c r="AH4" s="384" t="s">
        <v>3254</v>
      </c>
      <c r="AI4" s="396" t="s">
        <v>3255</v>
      </c>
      <c r="AJ4" s="428" t="s">
        <v>3253</v>
      </c>
      <c r="AK4" s="397" t="s">
        <v>3259</v>
      </c>
      <c r="AL4" s="385" t="s">
        <v>3254</v>
      </c>
      <c r="AM4" s="414" t="s">
        <v>3255</v>
      </c>
      <c r="AN4" s="431" t="s">
        <v>3253</v>
      </c>
      <c r="AO4" s="397" t="s">
        <v>3259</v>
      </c>
      <c r="AP4" s="384" t="s">
        <v>3254</v>
      </c>
      <c r="AQ4" s="396" t="s">
        <v>3255</v>
      </c>
      <c r="AR4" s="428" t="s">
        <v>3253</v>
      </c>
      <c r="AS4" s="397" t="s">
        <v>3259</v>
      </c>
      <c r="AT4" s="385" t="s">
        <v>3254</v>
      </c>
      <c r="AU4" s="414" t="s">
        <v>3255</v>
      </c>
      <c r="AV4" s="425" t="s">
        <v>3253</v>
      </c>
      <c r="AW4" s="390" t="s">
        <v>3254</v>
      </c>
      <c r="AX4" s="390" t="s">
        <v>3255</v>
      </c>
      <c r="AY4" s="396" t="s">
        <v>3274</v>
      </c>
      <c r="AZ4" s="423" t="s">
        <v>39</v>
      </c>
      <c r="BA4" s="173" t="s">
        <v>40</v>
      </c>
      <c r="BB4" s="5" t="s">
        <v>41</v>
      </c>
    </row>
    <row r="5" spans="1:54" s="3" customFormat="1" ht="8.25" customHeight="1" thickBot="1" x14ac:dyDescent="0.35">
      <c r="A5" s="110" t="s">
        <v>17</v>
      </c>
      <c r="B5" s="32" t="s">
        <v>18</v>
      </c>
      <c r="C5" s="33" t="s">
        <v>42</v>
      </c>
      <c r="D5" s="34" t="s">
        <v>434</v>
      </c>
      <c r="E5" s="34" t="s">
        <v>2</v>
      </c>
      <c r="F5" s="34" t="s">
        <v>20</v>
      </c>
      <c r="G5" s="32" t="s">
        <v>43</v>
      </c>
      <c r="H5" s="33" t="s">
        <v>44</v>
      </c>
      <c r="I5" s="33" t="s">
        <v>45</v>
      </c>
      <c r="J5" s="33" t="s">
        <v>27</v>
      </c>
      <c r="K5" s="33" t="s">
        <v>3279</v>
      </c>
      <c r="L5" s="33" t="s">
        <v>46</v>
      </c>
      <c r="M5" s="33" t="s">
        <v>29</v>
      </c>
      <c r="N5" s="34" t="s">
        <v>47</v>
      </c>
      <c r="O5" s="32" t="s">
        <v>48</v>
      </c>
      <c r="P5" s="33" t="s">
        <v>49</v>
      </c>
      <c r="Q5" s="33" t="s">
        <v>50</v>
      </c>
      <c r="R5" s="33" t="s">
        <v>51</v>
      </c>
      <c r="S5" s="33" t="s">
        <v>3280</v>
      </c>
      <c r="T5" s="42" t="s">
        <v>52</v>
      </c>
      <c r="U5" s="435" t="s">
        <v>3277</v>
      </c>
      <c r="V5" s="394" t="s">
        <v>53</v>
      </c>
      <c r="W5" s="389" t="s">
        <v>32</v>
      </c>
      <c r="X5" s="389" t="s">
        <v>33</v>
      </c>
      <c r="Y5" s="389" t="s">
        <v>34</v>
      </c>
      <c r="Z5" s="389" t="s">
        <v>35</v>
      </c>
      <c r="AA5" s="389" t="s">
        <v>249</v>
      </c>
      <c r="AB5" s="389" t="s">
        <v>36</v>
      </c>
      <c r="AC5" s="389" t="s">
        <v>37</v>
      </c>
      <c r="AD5" s="391" t="s">
        <v>38</v>
      </c>
      <c r="AE5" s="435" t="s">
        <v>3278</v>
      </c>
      <c r="AF5" s="432" t="s">
        <v>3253</v>
      </c>
      <c r="AG5" s="412" t="s">
        <v>3259</v>
      </c>
      <c r="AH5" s="412" t="s">
        <v>3254</v>
      </c>
      <c r="AI5" s="427" t="s">
        <v>3255</v>
      </c>
      <c r="AJ5" s="429" t="s">
        <v>3264</v>
      </c>
      <c r="AK5" s="393" t="s">
        <v>3265</v>
      </c>
      <c r="AL5" s="393" t="s">
        <v>3266</v>
      </c>
      <c r="AM5" s="430" t="s">
        <v>3267</v>
      </c>
      <c r="AN5" s="432" t="s">
        <v>3262</v>
      </c>
      <c r="AO5" s="412" t="s">
        <v>3268</v>
      </c>
      <c r="AP5" s="412" t="s">
        <v>3269</v>
      </c>
      <c r="AQ5" s="427" t="s">
        <v>3260</v>
      </c>
      <c r="AR5" s="429" t="s">
        <v>3261</v>
      </c>
      <c r="AS5" s="393" t="s">
        <v>3263</v>
      </c>
      <c r="AT5" s="393" t="s">
        <v>3270</v>
      </c>
      <c r="AU5" s="430" t="s">
        <v>3271</v>
      </c>
      <c r="AV5" s="426" t="s">
        <v>3314</v>
      </c>
      <c r="AW5" s="413" t="s">
        <v>3315</v>
      </c>
      <c r="AX5" s="413" t="s">
        <v>3273</v>
      </c>
      <c r="AY5" s="427" t="s">
        <v>3274</v>
      </c>
      <c r="AZ5" s="424" t="s">
        <v>39</v>
      </c>
      <c r="BA5" s="174" t="s">
        <v>40</v>
      </c>
      <c r="BB5" s="10" t="s">
        <v>41</v>
      </c>
    </row>
    <row r="6" spans="1:54" hidden="1" x14ac:dyDescent="0.3">
      <c r="A6" s="326">
        <f>IF(COUNTIFS($B$5:B6,TB_INTEGRADA[[#This Row],[Nº  SS]])&lt;&gt;1,"",COUNTIFS($B$5:B6,TB_INTEGRADA[[#This Row],[Nº  SS]]))</f>
        <v>1</v>
      </c>
      <c r="B6" s="103" t="s">
        <v>436</v>
      </c>
      <c r="C6" s="104" t="str">
        <f>_xlfn.XLOOKUP(TB_INTEGRADA[[#This Row],[Nº  SS]],'CONTROLE EC'!B:B,'CONTROLE EC'!C:C,"",0,1)</f>
        <v xml:space="preserve"> -- IMPLANTAÇÃO ÁREA I (EDIVIT, UTG-SUL, TIMS)</v>
      </c>
      <c r="D6" s="104" t="str">
        <f>_xlfn.XLOOKUP(TB_INTEGRADA[[#This Row],[Nº  SS]],'CONTROLE CRONOG'!B:B,'CONTROLE CRONOG'!D:D,"",0,1)</f>
        <v>ADM</v>
      </c>
      <c r="E6" s="104" t="str">
        <f>_xlfn.XLOOKUP(TB_INTEGRADA[[#This Row],[Nº  SS]],'CONTROLE EC'!B:B,'CONTROLE EC'!E:E,"",0,1)</f>
        <v>EDIVIT</v>
      </c>
      <c r="F6" s="111" t="str">
        <f>_xlfn.XLOOKUP(TB_INTEGRADA[[#This Row],[Nº  SS]],'CONTROLE EC'!B:B,'CONTROLE EC'!F:F,"",0,1)</f>
        <v>EM ANDAMENTO</v>
      </c>
      <c r="G6" s="112" t="str">
        <f>_xlfn.XLOOKUP(TB_INTEGRADA[[#This Row],[Nº  SS]],'CONTROLE EC'!B:B,'CONTROLE EC'!R:R,"",0,1)</f>
        <v>REV.00</v>
      </c>
      <c r="H6" s="113" t="str">
        <f>IF(TB_INTEGRADA[[#This Row],[REVISÃO (EC)]]="","",_xlfn.XLOOKUP(TB_INTEGRADA[[#This Row],[Nº  SS]],'CONTROLE EC'!B:B,'CONTROLE EC'!S:S,"",0,1))</f>
        <v>N/A</v>
      </c>
      <c r="I6" s="113" t="str">
        <f>IF(TB_INTEGRADA[[#This Row],[REVISÃO (EC)]]="","",_xlfn.XLOOKUP(TB_INTEGRADA[[#This Row],[Nº  SS]],'CONTROLE EC'!B:B,'CONTROLE EC'!U:U,"",0,1))</f>
        <v>N/A</v>
      </c>
      <c r="J6" s="113" t="str" cm="1">
        <f t="array" ref="J6">IF(TB_INTEGRADA[[#This Row],[DATA ENVIO. (EC)]]=IFERROR(INDEX('CONTROLE EC'!G6:Q6,MATCH(2,1/('CONTROLE EC'!G6:Q6&lt;&gt;""))),""),"",IFERROR(INDEX('CONTROLE EC'!G6:Q6,MATCH(2,1/('CONTROLE EC'!G6:Q6&lt;&gt;""))),""))</f>
        <v/>
      </c>
      <c r="K6" s="113" t="str">
        <f>IF(TB_INTEGRADA[[#This Row],[STATUS DEMANDA]]="NÃO EMITIDA SAMC","S/ EMISSÃO",_xlfn.XLOOKUP(TB_INTEGRADA[[#This Row],[Nº  SS]],'CONTROLE EC'!B:B,'CONTROLE EC'!T:T,"",0,-1))</f>
        <v>ENTREGUE</v>
      </c>
      <c r="L6" s="105"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6" s="106" cm="1">
        <f t="array" aca="1" ref="M6"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6" s="114" t="str">
        <f ca="1">IF(TB_INTEGRADA[[#This Row],[STATUS DEMANDA]]="NÃO EMITIDA SAMC","S/ EMISSÃO",IF(TB_INTEGRADA[[#This Row],[STATUS DEMANDA]]="ON HOLD","ON HOLD",IF(F6="CANCELADA","CANCELADA",IF(L6="REPROVADO","EM PLANEJ.",IF(K6&lt;&gt;"ENTREGUE","EM PLANEJ.",IF(H6="","EM PLANEJ.",IF(I6="","FISCALIZ.",IF(M6&lt;0,"EM PLANEJ.",IF(TB_INTEGRADA[[#This Row],[DATA APROV. (EC)]]&gt;=TB_INTEGRADA[[#This Row],[DATA ENVIO. (EC)]],"RETORNO OK","FISCALIZ.")))))))))</f>
        <v>RETORNO OK</v>
      </c>
      <c r="O6" s="112" t="str">
        <f>_xlfn.XLOOKUP(TB_INTEGRADA[[#This Row],[Nº  SS]],'CONTROLE CRONOG'!B:B,'CONTROLE CRONOG'!R:R,"",0,1)</f>
        <v>REV.00</v>
      </c>
      <c r="P6" s="113" t="str">
        <f>IF(TB_INTEGRADA[[#This Row],[REVISÃO (CR)]]="","",_xlfn.XLOOKUP(TB_INTEGRADA[[#This Row],[Nº  SS]],'CONTROLE CRONOG'!B:B,'CONTROLE CRONOG'!S:S,"",0,1))</f>
        <v>N/A</v>
      </c>
      <c r="Q6" s="115" t="str">
        <f>IF(TB_INTEGRADA[[#This Row],[REVISÃO (CR)]]="","",_xlfn.XLOOKUP(TB_INTEGRADA[[#This Row],[Nº  SS]],'CONTROLE CRONOG'!B:B,'CONTROLE CRONOG'!U:U,"",0,1))</f>
        <v>N/A</v>
      </c>
      <c r="R6" s="113" t="str" cm="1">
        <f t="array" ref="R6">IF(TB_INTEGRADA[[#This Row],[DATA ENVIO. (CR)]]=IFERROR(INDEX('CONTROLE CRONOG'!G6:Q6,MATCH(2,1/('CONTROLE CRONOG'!G6:Q6&lt;&gt;""))),""),"",IFERROR(INDEX('CONTROLE CRONOG'!G6:Q6,MATCH(2,1/('CONTROLE CRONOG'!G6:Q6&lt;&gt;""))),""))</f>
        <v/>
      </c>
      <c r="S6" s="113" t="str">
        <f>_xlfn.XLOOKUP(TB_INTEGRADA[[#This Row],[Nº  SS]],'CONTROLE CRONOG'!B:B,'CONTROLE CRONOG'!T:T,"",0,-1)</f>
        <v>ENTREGUE</v>
      </c>
      <c r="T6" s="116"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6" s="437"/>
      <c r="V6" s="117"/>
      <c r="W6" s="113"/>
      <c r="X6" s="106">
        <f>IFERROR(TB_INTEGRADA[[#This Row],[TÉRM. TD]]-TB_INTEGRADA[[#This Row],[TÉRMINO LB]],0)</f>
        <v>0</v>
      </c>
      <c r="Y6" s="118"/>
      <c r="Z6" s="118"/>
      <c r="AA6" s="107"/>
      <c r="AB6" s="107">
        <f>IFERROR(TB_INTEGRADA[[#This Row],[REAL (%)]]-TB_INTEGRADA[[#This Row],[PREV (%)]],0)</f>
        <v>0</v>
      </c>
      <c r="AC6" s="105"/>
      <c r="AD6" s="114"/>
      <c r="AE6" s="437"/>
      <c r="AF6" s="419">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0</v>
      </c>
      <c r="AG6" s="175"/>
      <c r="AH6" s="175">
        <f>SUMIFS(Tb_HhPLAN[Hh DISC],Tb_HhPLAN[SS],TB_INTEGRADA[[#This Row],[Nº  SS]],Tb_HhPLAN[DISCIPLINA],"MEC")</f>
        <v>0</v>
      </c>
      <c r="AI6" s="402">
        <f>SUMIFS(Hh_EXE_TOTAL[Hh],Hh_EXE_TOTAL[Nº  SS],TB_INTEGRADA[[#This Row],[Nº  SS]],Hh_EXE_TOTAL[DISCIPLINA],"MEC")</f>
        <v>0</v>
      </c>
      <c r="AJ6" s="398">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6" s="175"/>
      <c r="AL6" s="175">
        <f>SUMIFS(Tb_HhPLAN[Hh DISC],Tb_HhPLAN[SS],TB_INTEGRADA[[#This Row],[Nº  SS]],Tb_HhPLAN[DISCIPLINA],"CIVIL")</f>
        <v>0</v>
      </c>
      <c r="AM6" s="402">
        <f>SUMIFS(Hh_EXE_TOTAL[Hh],Hh_EXE_TOTAL[Nº  SS],TB_INTEGRADA[[#This Row],[Nº  SS]],Hh_EXE_TOTAL[DISCIPLINA],"CIVIL")</f>
        <v>0</v>
      </c>
      <c r="AN6" s="398">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0</v>
      </c>
      <c r="AO6" s="175"/>
      <c r="AP6" s="175">
        <f>SUMIFS(Tb_HhPLAN[Hh DISC],Tb_HhPLAN[SS],TB_INTEGRADA[[#This Row],[Nº  SS]],Tb_HhPLAN[DISCIPLINA],"ELÉT")</f>
        <v>0</v>
      </c>
      <c r="AQ6" s="402">
        <f>SUMIFS(Hh_EXE_TOTAL[Hh],Hh_EXE_TOTAL[Nº  SS],TB_INTEGRADA[[#This Row],[Nº  SS]],Hh_EXE_TOTAL[DISCIPLINA],"ELÉT")</f>
        <v>0</v>
      </c>
      <c r="AR6" s="398">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6" s="175"/>
      <c r="AT6" s="175">
        <f>SUMIFS(Tb_HhPLAN[Hh DISC],Tb_HhPLAN[SS],TB_INTEGRADA[[#This Row],[Nº  SS]],Tb_HhPLAN[DISCIPLINA],"PINT")</f>
        <v>0</v>
      </c>
      <c r="AU6" s="402">
        <f>SUMIFS(Hh_EXE_TOTAL[Hh],Hh_EXE_TOTAL[Nº  SS],TB_INTEGRADA[[#This Row],[Nº  SS]],Hh_EXE_TOTAL[DISCIPLINA],"PINT")</f>
        <v>0</v>
      </c>
      <c r="AV6" s="398">
        <f>TB_INTEGRADA[[#This Row],[ORÇADO]]+TB_INTEGRADA[[#This Row],[ORÇADO1]]+TB_INTEGRADA[[#This Row],[ORÇADO2]]+TB_INTEGRADA[[#This Row],[ORÇADO3]]</f>
        <v>0</v>
      </c>
      <c r="AW6" s="175">
        <f>TB_INTEGRADA[[#This Row],[PLANEJ]]+TB_INTEGRADA[[#This Row],[PLANEJ1]]+TB_INTEGRADA[[#This Row],[PLANEJ2]]+TB_INTEGRADA[[#This Row],[PLANEJ3]]</f>
        <v>0</v>
      </c>
      <c r="AX6" s="175">
        <f>TB_INTEGRADA[[#This Row],[REALIZ]]+TB_INTEGRADA[[#This Row],[REALIZ1]]+TB_INTEGRADA[[#This Row],[REALIZ2]]+TB_INTEGRADA[[#This Row],[REALIZ3]]</f>
        <v>0</v>
      </c>
      <c r="AY6" s="415"/>
      <c r="AZ6" s="254">
        <f>_xlfn.XLOOKUP(TB_INTEGRADA[[#This Row],[Nº  SS]],'CONTROLE EC'!B:B,'CONTROLE EC'!W:W,"",0,1)</f>
        <v>7940511.1276199995</v>
      </c>
      <c r="BA6" s="253">
        <f>_xlfn.XLOOKUP(TB_INTEGRADA[[#This Row],[Nº  SS]],'CONTROLE EC'!B:B,'CONTROLE EC'!X:X,"",0,1)</f>
        <v>2080364.77926</v>
      </c>
      <c r="BB6" s="108">
        <f>_xlfn.XLOOKUP(TB_INTEGRADA[[#This Row],[Nº  SS]],'CONTROLE EC'!B:B,'CONTROLE EC'!Y:Y,"",0,1)</f>
        <v>5860146.3483599992</v>
      </c>
    </row>
    <row r="7" spans="1:54" hidden="1" x14ac:dyDescent="0.3">
      <c r="A7" s="327">
        <f>IF(COUNTIFS($B$5:B7,TB_INTEGRADA[[#This Row],[Nº  SS]])&lt;&gt;1,"",COUNTIFS($B$5:B7,TB_INTEGRADA[[#This Row],[Nº  SS]]))</f>
        <v>1</v>
      </c>
      <c r="B7" s="17" t="s">
        <v>437</v>
      </c>
      <c r="C7" s="18" t="str">
        <f>_xlfn.XLOOKUP(TB_INTEGRADA[[#This Row],[Nº  SS]],'CONTROLE EC'!B:B,'CONTROLE EC'!C:C,"",0,1)</f>
        <v xml:space="preserve"> -- IMPLANTAÇÃO ÁREA II (UTGC)</v>
      </c>
      <c r="D7" s="18" t="str">
        <f>_xlfn.XLOOKUP(TB_INTEGRADA[[#This Row],[Nº  SS]],'CONTROLE CRONOG'!B:B,'CONTROLE CRONOG'!D:D,"",0,1)</f>
        <v>ADM</v>
      </c>
      <c r="E7" s="18" t="str">
        <f>_xlfn.XLOOKUP(TB_INTEGRADA[[#This Row],[Nº  SS]],'CONTROLE EC'!B:B,'CONTROLE EC'!E:E,"",0,1)</f>
        <v>UTGC</v>
      </c>
      <c r="F7" s="80" t="str">
        <f>_xlfn.XLOOKUP(TB_INTEGRADA[[#This Row],[Nº  SS]],'CONTROLE EC'!B:B,'CONTROLE EC'!F:F,"",0,1)</f>
        <v>EM ANDAMENTO</v>
      </c>
      <c r="G7" s="328" t="str">
        <f>_xlfn.XLOOKUP(TB_INTEGRADA[[#This Row],[Nº  SS]],'CONTROLE EC'!B:B,'CONTROLE EC'!R:R,"",0,1)</f>
        <v>REV.00</v>
      </c>
      <c r="H7" s="329" t="str">
        <f>IF(TB_INTEGRADA[[#This Row],[REVISÃO (EC)]]="","",_xlfn.XLOOKUP(TB_INTEGRADA[[#This Row],[Nº  SS]],'CONTROLE EC'!B:B,'CONTROLE EC'!S:S,"",0,1))</f>
        <v>N/A</v>
      </c>
      <c r="I7" s="329" t="str">
        <f>IF(TB_INTEGRADA[[#This Row],[REVISÃO (EC)]]="","",_xlfn.XLOOKUP(TB_INTEGRADA[[#This Row],[Nº  SS]],'CONTROLE EC'!B:B,'CONTROLE EC'!U:U,"",0,1))</f>
        <v>N/A</v>
      </c>
      <c r="J7" s="329" t="str" cm="1">
        <f t="array" ref="J7">IF(TB_INTEGRADA[[#This Row],[DATA ENVIO. (EC)]]=IFERROR(INDEX('CONTROLE EC'!G7:Q7,MATCH(2,1/('CONTROLE EC'!G7:Q7&lt;&gt;""))),""),"",IFERROR(INDEX('CONTROLE EC'!G7:Q7,MATCH(2,1/('CONTROLE EC'!G7:Q7&lt;&gt;""))),""))</f>
        <v/>
      </c>
      <c r="K7" s="329" t="str">
        <f>IF(TB_INTEGRADA[[#This Row],[STATUS DEMANDA]]="NÃO EMITIDA SAMC","S/ EMISSÃO",_xlfn.XLOOKUP(TB_INTEGRADA[[#This Row],[Nº  SS]],'CONTROLE EC'!B:B,'CONTROLE EC'!T:T,"",0,-1))</f>
        <v>ENTREGUE</v>
      </c>
      <c r="L7" s="330"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7" s="15" cm="1">
        <f t="array" aca="1" ref="M7"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7" s="331" t="str">
        <f ca="1">IF(TB_INTEGRADA[[#This Row],[STATUS DEMANDA]]="NÃO EMITIDA SAMC","S/ EMISSÃO",IF(TB_INTEGRADA[[#This Row],[STATUS DEMANDA]]="ON HOLD","ON HOLD",IF(F7="CANCELADA","CANCELADA",IF(L7="REPROVADO","EM PLANEJ.",IF(K7&lt;&gt;"ENTREGUE","EM PLANEJ.",IF(H7="","EM PLANEJ.",IF(I7="","FISCALIZ.",IF(M7&lt;0,"EM PLANEJ.",IF(TB_INTEGRADA[[#This Row],[DATA APROV. (EC)]]&gt;=TB_INTEGRADA[[#This Row],[DATA ENVIO. (EC)]],"RETORNO OK","FISCALIZ.")))))))))</f>
        <v>RETORNO OK</v>
      </c>
      <c r="O7" s="328" t="str">
        <f>_xlfn.XLOOKUP(TB_INTEGRADA[[#This Row],[Nº  SS]],'CONTROLE CRONOG'!B:B,'CONTROLE CRONOG'!R:R,"",0,1)</f>
        <v>REV.00</v>
      </c>
      <c r="P7" s="329" t="str">
        <f>IF(TB_INTEGRADA[[#This Row],[REVISÃO (CR)]]="","",_xlfn.XLOOKUP(TB_INTEGRADA[[#This Row],[Nº  SS]],'CONTROLE CRONOG'!B:B,'CONTROLE CRONOG'!S:S,"",0,1))</f>
        <v>N/A</v>
      </c>
      <c r="Q7" s="332" t="str">
        <f>IF(TB_INTEGRADA[[#This Row],[REVISÃO (CR)]]="","",_xlfn.XLOOKUP(TB_INTEGRADA[[#This Row],[Nº  SS]],'CONTROLE CRONOG'!B:B,'CONTROLE CRONOG'!U:U,"",0,1))</f>
        <v>N/A</v>
      </c>
      <c r="R7" s="329" t="str" cm="1">
        <f t="array" ref="R7">IF(TB_INTEGRADA[[#This Row],[DATA ENVIO. (CR)]]=IFERROR(INDEX('CONTROLE CRONOG'!G7:Q7,MATCH(2,1/('CONTROLE CRONOG'!G7:Q7&lt;&gt;""))),""),"",IFERROR(INDEX('CONTROLE CRONOG'!G7:Q7,MATCH(2,1/('CONTROLE CRONOG'!G7:Q7&lt;&gt;""))),""))</f>
        <v/>
      </c>
      <c r="S7" s="329" t="str">
        <f>_xlfn.XLOOKUP(TB_INTEGRADA[[#This Row],[Nº  SS]],'CONTROLE CRONOG'!B:B,'CONTROLE CRONOG'!T:T,"",0,-1)</f>
        <v>ENTREGUE</v>
      </c>
      <c r="T7" s="333"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7" s="438"/>
      <c r="V7" s="334"/>
      <c r="W7" s="329"/>
      <c r="X7" s="15">
        <f>IFERROR(TB_INTEGRADA[[#This Row],[TÉRM. TD]]-TB_INTEGRADA[[#This Row],[TÉRMINO LB]],0)</f>
        <v>0</v>
      </c>
      <c r="Y7" s="91"/>
      <c r="Z7" s="91"/>
      <c r="AA7" s="335"/>
      <c r="AB7" s="335">
        <f>IFERROR(TB_INTEGRADA[[#This Row],[REAL (%)]]-TB_INTEGRADA[[#This Row],[PREV (%)]],0)</f>
        <v>0</v>
      </c>
      <c r="AC7" s="330"/>
      <c r="AD7" s="331"/>
      <c r="AE7" s="438"/>
      <c r="AF7" s="420">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0</v>
      </c>
      <c r="AG7" s="336"/>
      <c r="AH7" s="336">
        <f>SUMIFS(Tb_HhPLAN[Hh DISC],Tb_HhPLAN[SS],TB_INTEGRADA[[#This Row],[Nº  SS]],Tb_HhPLAN[DISCIPLINA],"MEC")</f>
        <v>0</v>
      </c>
      <c r="AI7" s="403">
        <f>SUMIFS(Hh_EXE_TOTAL[Hh],Hh_EXE_TOTAL[Nº  SS],TB_INTEGRADA[[#This Row],[Nº  SS]],Hh_EXE_TOTAL[DISCIPLINA],"MEC")</f>
        <v>0</v>
      </c>
      <c r="AJ7" s="399">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7" s="336"/>
      <c r="AL7" s="336">
        <f>SUMIFS(Tb_HhPLAN[Hh DISC],Tb_HhPLAN[SS],TB_INTEGRADA[[#This Row],[Nº  SS]],Tb_HhPLAN[DISCIPLINA],"CIVIL")</f>
        <v>0</v>
      </c>
      <c r="AM7" s="403">
        <f>SUMIFS(Hh_EXE_TOTAL[Hh],Hh_EXE_TOTAL[Nº  SS],TB_INTEGRADA[[#This Row],[Nº  SS]],Hh_EXE_TOTAL[DISCIPLINA],"CIVIL")</f>
        <v>0</v>
      </c>
      <c r="AN7" s="399">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0</v>
      </c>
      <c r="AO7" s="336"/>
      <c r="AP7" s="336">
        <f>SUMIFS(Tb_HhPLAN[Hh DISC],Tb_HhPLAN[SS],TB_INTEGRADA[[#This Row],[Nº  SS]],Tb_HhPLAN[DISCIPLINA],"ELÉT")</f>
        <v>0</v>
      </c>
      <c r="AQ7" s="403">
        <f>SUMIFS(Hh_EXE_TOTAL[Hh],Hh_EXE_TOTAL[Nº  SS],TB_INTEGRADA[[#This Row],[Nº  SS]],Hh_EXE_TOTAL[DISCIPLINA],"ELÉT")</f>
        <v>0</v>
      </c>
      <c r="AR7" s="399">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7" s="336"/>
      <c r="AT7" s="336">
        <f>SUMIFS(Tb_HhPLAN[Hh DISC],Tb_HhPLAN[SS],TB_INTEGRADA[[#This Row],[Nº  SS]],Tb_HhPLAN[DISCIPLINA],"PINT")</f>
        <v>0</v>
      </c>
      <c r="AU7" s="403">
        <f>SUMIFS(Hh_EXE_TOTAL[Hh],Hh_EXE_TOTAL[Nº  SS],TB_INTEGRADA[[#This Row],[Nº  SS]],Hh_EXE_TOTAL[DISCIPLINA],"PINT")</f>
        <v>0</v>
      </c>
      <c r="AV7" s="399">
        <f>TB_INTEGRADA[[#This Row],[ORÇADO]]+TB_INTEGRADA[[#This Row],[ORÇADO1]]+TB_INTEGRADA[[#This Row],[ORÇADO2]]+TB_INTEGRADA[[#This Row],[ORÇADO3]]</f>
        <v>0</v>
      </c>
      <c r="AW7" s="336">
        <f>TB_INTEGRADA[[#This Row],[PLANEJ]]+TB_INTEGRADA[[#This Row],[PLANEJ1]]+TB_INTEGRADA[[#This Row],[PLANEJ2]]+TB_INTEGRADA[[#This Row],[PLANEJ3]]</f>
        <v>0</v>
      </c>
      <c r="AX7" s="336">
        <f>TB_INTEGRADA[[#This Row],[REALIZ]]+TB_INTEGRADA[[#This Row],[REALIZ1]]+TB_INTEGRADA[[#This Row],[REALIZ2]]+TB_INTEGRADA[[#This Row],[REALIZ3]]</f>
        <v>0</v>
      </c>
      <c r="AY7" s="416"/>
      <c r="AZ7" s="337">
        <f>_xlfn.XLOOKUP(TB_INTEGRADA[[#This Row],[Nº  SS]],'CONTROLE EC'!B:B,'CONTROLE EC'!W:W,"",0,1)</f>
        <v>10320001.30782</v>
      </c>
      <c r="BA7" s="338">
        <f>_xlfn.XLOOKUP(TB_INTEGRADA[[#This Row],[Nº  SS]],'CONTROLE EC'!B:B,'CONTROLE EC'!X:X,"",0,1)</f>
        <v>3321231.7716000001</v>
      </c>
      <c r="BB7" s="339">
        <f>_xlfn.XLOOKUP(TB_INTEGRADA[[#This Row],[Nº  SS]],'CONTROLE EC'!B:B,'CONTROLE EC'!Y:Y,"",0,1)</f>
        <v>6998769.5362199992</v>
      </c>
    </row>
    <row r="8" spans="1:54" hidden="1" x14ac:dyDescent="0.3">
      <c r="A8" s="327">
        <f>IF(COUNTIFS($B$5:B8,TB_INTEGRADA[[#This Row],[Nº  SS]])&lt;&gt;1,"",COUNTIFS($B$5:B8,TB_INTEGRADA[[#This Row],[Nº  SS]]))</f>
        <v>1</v>
      </c>
      <c r="B8" s="17" t="s">
        <v>438</v>
      </c>
      <c r="C8" s="18" t="str">
        <f>_xlfn.XLOOKUP(TB_INTEGRADA[[#This Row],[Nº  SS]],'CONTROLE EC'!B:B,'CONTROLE EC'!C:C,"",0,1)</f>
        <v xml:space="preserve"> -- IMPLANTAÇÃO ÁREA III (REGAP, UTE-IBT)</v>
      </c>
      <c r="D8" s="18" t="str">
        <f>_xlfn.XLOOKUP(TB_INTEGRADA[[#This Row],[Nº  SS]],'CONTROLE CRONOG'!B:B,'CONTROLE CRONOG'!D:D,"",0,1)</f>
        <v>ADM</v>
      </c>
      <c r="E8" s="18" t="str">
        <f>_xlfn.XLOOKUP(TB_INTEGRADA[[#This Row],[Nº  SS]],'CONTROLE EC'!B:B,'CONTROLE EC'!E:E,"",0,1)</f>
        <v>REGAP</v>
      </c>
      <c r="F8" s="80" t="str">
        <f>_xlfn.XLOOKUP(TB_INTEGRADA[[#This Row],[Nº  SS]],'CONTROLE EC'!B:B,'CONTROLE EC'!F:F,"",0,1)</f>
        <v>NÃO EMITIDA SAMC</v>
      </c>
      <c r="G8" s="328" t="str">
        <f>_xlfn.XLOOKUP(TB_INTEGRADA[[#This Row],[Nº  SS]],'CONTROLE EC'!B:B,'CONTROLE EC'!R:R,"",0,1)</f>
        <v/>
      </c>
      <c r="H8" s="329" t="str">
        <f>IF(TB_INTEGRADA[[#This Row],[REVISÃO (EC)]]="","",_xlfn.XLOOKUP(TB_INTEGRADA[[#This Row],[Nº  SS]],'CONTROLE EC'!B:B,'CONTROLE EC'!S:S,"",0,1))</f>
        <v/>
      </c>
      <c r="I8" s="329" t="str">
        <f>IF(TB_INTEGRADA[[#This Row],[REVISÃO (EC)]]="","",_xlfn.XLOOKUP(TB_INTEGRADA[[#This Row],[Nº  SS]],'CONTROLE EC'!B:B,'CONTROLE EC'!U:U,"",0,1))</f>
        <v/>
      </c>
      <c r="J8" s="329" t="str" cm="1">
        <f t="array" ref="J8">IF(TB_INTEGRADA[[#This Row],[DATA ENVIO. (EC)]]=IFERROR(INDEX('CONTROLE EC'!G8:Q8,MATCH(2,1/('CONTROLE EC'!G8:Q8&lt;&gt;""))),""),"",IFERROR(INDEX('CONTROLE EC'!G8:Q8,MATCH(2,1/('CONTROLE EC'!G8:Q8&lt;&gt;""))),""))</f>
        <v/>
      </c>
      <c r="K8" s="329" t="str">
        <f>IF(TB_INTEGRADA[[#This Row],[STATUS DEMANDA]]="NÃO EMITIDA SAMC","S/ EMISSÃO",_xlfn.XLOOKUP(TB_INTEGRADA[[#This Row],[Nº  SS]],'CONTROLE EC'!B:B,'CONTROLE EC'!T:T,"",0,-1))</f>
        <v>S/ EMISSÃO</v>
      </c>
      <c r="L8" s="330"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S/ EMISSÃO</v>
      </c>
      <c r="M8" s="15" t="str" cm="1">
        <f t="array" aca="1" ref="M8"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
      </c>
      <c r="N8" s="331" t="str">
        <f>IF(TB_INTEGRADA[[#This Row],[STATUS DEMANDA]]="NÃO EMITIDA SAMC","S/ EMISSÃO",IF(TB_INTEGRADA[[#This Row],[STATUS DEMANDA]]="ON HOLD","ON HOLD",IF(F8="CANCELADA","CANCELADA",IF(L8="REPROVADO","EM PLANEJ.",IF(K8&lt;&gt;"ENTREGUE","EM PLANEJ.",IF(H8="","EM PLANEJ.",IF(I8="","FISCALIZ.",IF(M8&lt;0,"EM PLANEJ.",IF(TB_INTEGRADA[[#This Row],[DATA APROV. (EC)]]&gt;=TB_INTEGRADA[[#This Row],[DATA ENVIO. (EC)]],"RETORNO OK","FISCALIZ.")))))))))</f>
        <v>S/ EMISSÃO</v>
      </c>
      <c r="O8" s="328" t="str">
        <f>_xlfn.XLOOKUP(TB_INTEGRADA[[#This Row],[Nº  SS]],'CONTROLE CRONOG'!B:B,'CONTROLE CRONOG'!R:R,"",0,1)</f>
        <v/>
      </c>
      <c r="P8" s="329" t="str">
        <f>IF(TB_INTEGRADA[[#This Row],[REVISÃO (CR)]]="","",_xlfn.XLOOKUP(TB_INTEGRADA[[#This Row],[Nº  SS]],'CONTROLE CRONOG'!B:B,'CONTROLE CRONOG'!S:S,"",0,1))</f>
        <v/>
      </c>
      <c r="Q8" s="332" t="str">
        <f>IF(TB_INTEGRADA[[#This Row],[REVISÃO (CR)]]="","",_xlfn.XLOOKUP(TB_INTEGRADA[[#This Row],[Nº  SS]],'CONTROLE CRONOG'!B:B,'CONTROLE CRONOG'!U:U,"",0,1))</f>
        <v/>
      </c>
      <c r="R8" s="329" t="str" cm="1">
        <f t="array" ref="R8">IF(TB_INTEGRADA[[#This Row],[DATA ENVIO. (CR)]]=IFERROR(INDEX('CONTROLE CRONOG'!G8:Q8,MATCH(2,1/('CONTROLE CRONOG'!G8:Q8&lt;&gt;""))),""),"",IFERROR(INDEX('CONTROLE CRONOG'!G8:Q8,MATCH(2,1/('CONTROLE CRONOG'!G8:Q8&lt;&gt;""))),""))</f>
        <v/>
      </c>
      <c r="S8" s="329" t="str">
        <f>_xlfn.XLOOKUP(TB_INTEGRADA[[#This Row],[Nº  SS]],'CONTROLE CRONOG'!B:B,'CONTROLE CRONOG'!T:T,"",0,-1)</f>
        <v>PENDENTE</v>
      </c>
      <c r="T8" s="333"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
      </c>
      <c r="U8" s="438"/>
      <c r="V8" s="334"/>
      <c r="W8" s="329"/>
      <c r="X8" s="15">
        <f>IFERROR(TB_INTEGRADA[[#This Row],[TÉRM. TD]]-TB_INTEGRADA[[#This Row],[TÉRMINO LB]],0)</f>
        <v>0</v>
      </c>
      <c r="Y8" s="91"/>
      <c r="Z8" s="91"/>
      <c r="AA8" s="335"/>
      <c r="AB8" s="335">
        <f>IFERROR(TB_INTEGRADA[[#This Row],[REAL (%)]]-TB_INTEGRADA[[#This Row],[PREV (%)]],0)</f>
        <v>0</v>
      </c>
      <c r="AC8" s="330"/>
      <c r="AD8" s="331"/>
      <c r="AE8" s="438"/>
      <c r="AF8" s="420">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0</v>
      </c>
      <c r="AG8" s="336"/>
      <c r="AH8" s="336">
        <f>SUMIFS(Tb_HhPLAN[Hh DISC],Tb_HhPLAN[SS],TB_INTEGRADA[[#This Row],[Nº  SS]],Tb_HhPLAN[DISCIPLINA],"MEC")</f>
        <v>0</v>
      </c>
      <c r="AI8" s="403">
        <f>SUMIFS(Hh_EXE_TOTAL[Hh],Hh_EXE_TOTAL[Nº  SS],TB_INTEGRADA[[#This Row],[Nº  SS]],Hh_EXE_TOTAL[DISCIPLINA],"MEC")</f>
        <v>0</v>
      </c>
      <c r="AJ8" s="399">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8" s="336"/>
      <c r="AL8" s="336">
        <f>SUMIFS(Tb_HhPLAN[Hh DISC],Tb_HhPLAN[SS],TB_INTEGRADA[[#This Row],[Nº  SS]],Tb_HhPLAN[DISCIPLINA],"CIVIL")</f>
        <v>0</v>
      </c>
      <c r="AM8" s="403">
        <f>SUMIFS(Hh_EXE_TOTAL[Hh],Hh_EXE_TOTAL[Nº  SS],TB_INTEGRADA[[#This Row],[Nº  SS]],Hh_EXE_TOTAL[DISCIPLINA],"CIVIL")</f>
        <v>0</v>
      </c>
      <c r="AN8" s="399">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0</v>
      </c>
      <c r="AO8" s="336"/>
      <c r="AP8" s="336">
        <f>SUMIFS(Tb_HhPLAN[Hh DISC],Tb_HhPLAN[SS],TB_INTEGRADA[[#This Row],[Nº  SS]],Tb_HhPLAN[DISCIPLINA],"ELÉT")</f>
        <v>0</v>
      </c>
      <c r="AQ8" s="403">
        <f>SUMIFS(Hh_EXE_TOTAL[Hh],Hh_EXE_TOTAL[Nº  SS],TB_INTEGRADA[[#This Row],[Nº  SS]],Hh_EXE_TOTAL[DISCIPLINA],"ELÉT")</f>
        <v>0</v>
      </c>
      <c r="AR8" s="399">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8" s="336"/>
      <c r="AT8" s="336">
        <f>SUMIFS(Tb_HhPLAN[Hh DISC],Tb_HhPLAN[SS],TB_INTEGRADA[[#This Row],[Nº  SS]],Tb_HhPLAN[DISCIPLINA],"PINT")</f>
        <v>0</v>
      </c>
      <c r="AU8" s="403">
        <f>SUMIFS(Hh_EXE_TOTAL[Hh],Hh_EXE_TOTAL[Nº  SS],TB_INTEGRADA[[#This Row],[Nº  SS]],Hh_EXE_TOTAL[DISCIPLINA],"PINT")</f>
        <v>0</v>
      </c>
      <c r="AV8" s="399">
        <f>TB_INTEGRADA[[#This Row],[ORÇADO]]+TB_INTEGRADA[[#This Row],[ORÇADO1]]+TB_INTEGRADA[[#This Row],[ORÇADO2]]+TB_INTEGRADA[[#This Row],[ORÇADO3]]</f>
        <v>0</v>
      </c>
      <c r="AW8" s="336">
        <f>TB_INTEGRADA[[#This Row],[PLANEJ]]+TB_INTEGRADA[[#This Row],[PLANEJ1]]+TB_INTEGRADA[[#This Row],[PLANEJ2]]+TB_INTEGRADA[[#This Row],[PLANEJ3]]</f>
        <v>0</v>
      </c>
      <c r="AX8" s="336">
        <f>TB_INTEGRADA[[#This Row],[REALIZ]]+TB_INTEGRADA[[#This Row],[REALIZ1]]+TB_INTEGRADA[[#This Row],[REALIZ2]]+TB_INTEGRADA[[#This Row],[REALIZ3]]</f>
        <v>0</v>
      </c>
      <c r="AY8" s="416"/>
      <c r="AZ8" s="337">
        <f>_xlfn.XLOOKUP(TB_INTEGRADA[[#This Row],[Nº  SS]],'CONTROLE EC'!B:B,'CONTROLE EC'!W:W,"",0,1)</f>
        <v>0</v>
      </c>
      <c r="BA8" s="338">
        <f>_xlfn.XLOOKUP(TB_INTEGRADA[[#This Row],[Nº  SS]],'CONTROLE EC'!B:B,'CONTROLE EC'!X:X,"",0,1)</f>
        <v>0</v>
      </c>
      <c r="BB8" s="339">
        <f>_xlfn.XLOOKUP(TB_INTEGRADA[[#This Row],[Nº  SS]],'CONTROLE EC'!B:B,'CONTROLE EC'!Y:Y,"",0,1)</f>
        <v>0</v>
      </c>
    </row>
    <row r="9" spans="1:54" x14ac:dyDescent="0.3">
      <c r="A9" s="340">
        <f>IF(COUNTIFS($B$5:B9,TB_INTEGRADA[[#This Row],[Nº  SS]])&lt;&gt;1,"",COUNTIFS($B$5:B9,TB_INTEGRADA[[#This Row],[Nº  SS]]))</f>
        <v>1</v>
      </c>
      <c r="B9" s="475" t="s">
        <v>439</v>
      </c>
      <c r="C9" s="476" t="str">
        <f>_xlfn.XLOOKUP(TB_INTEGRADA[[#This Row],[Nº  SS]],'CONTROLE EC'!B:B,'CONTROLE EC'!C:C,"",0,1)</f>
        <v>24-0651-ES - MONTAGEM DO GALPÃO DA UPGN-2</v>
      </c>
      <c r="D9" s="18" t="str">
        <f>_xlfn.XLOOKUP(TB_INTEGRADA[[#This Row],[Nº  SS]],'CONTROLE CRONOG'!B:B,'CONTROLE CRONOG'!D:D,"",0,1)</f>
        <v>SERVIÇO</v>
      </c>
      <c r="E9" s="476" t="str">
        <f>_xlfn.XLOOKUP(TB_INTEGRADA[[#This Row],[Nº  SS]],'CONTROLE EC'!B:B,'CONTROLE EC'!E:E,"",0,1)</f>
        <v>UTGC</v>
      </c>
      <c r="F9" s="477" t="str">
        <f>_xlfn.XLOOKUP(TB_INTEGRADA[[#This Row],[Nº  SS]],'CONTROLE EC'!B:B,'CONTROLE EC'!F:F,"",0,1)</f>
        <v>EM ANDAMENTO</v>
      </c>
      <c r="G9" s="275" t="str">
        <f>_xlfn.XLOOKUP(TB_INTEGRADA[[#This Row],[Nº  SS]],'CONTROLE EC'!B:B,'CONTROLE EC'!R:R,"",0,1)</f>
        <v>REV.05</v>
      </c>
      <c r="H9" s="276">
        <f>IF(TB_INTEGRADA[[#This Row],[REVISÃO (EC)]]="","",_xlfn.XLOOKUP(TB_INTEGRADA[[#This Row],[Nº  SS]],'CONTROLE EC'!B:B,'CONTROLE EC'!S:S,"",0,1))</f>
        <v>45953</v>
      </c>
      <c r="I9" s="276">
        <f>IF(TB_INTEGRADA[[#This Row],[REVISÃO (EC)]]="","",_xlfn.XLOOKUP(TB_INTEGRADA[[#This Row],[Nº  SS]],'CONTROLE EC'!B:B,'CONTROLE EC'!U:U,"",0,1))</f>
        <v>45954</v>
      </c>
      <c r="J9" s="276" t="str" cm="1">
        <f t="array" ref="J9">IF(TB_INTEGRADA[[#This Row],[DATA ENVIO. (EC)]]=IFERROR(INDEX('CONTROLE EC'!G9:Q9,MATCH(2,1/('CONTROLE EC'!G9:Q9&lt;&gt;""))),""),"",IFERROR(INDEX('CONTROLE EC'!G9:Q9,MATCH(2,1/('CONTROLE EC'!G9:Q9&lt;&gt;""))),""))</f>
        <v/>
      </c>
      <c r="K9" s="276" t="str">
        <f>IF(TB_INTEGRADA[[#This Row],[STATUS DEMANDA]]="NÃO EMITIDA SAMC","S/ EMISSÃO",_xlfn.XLOOKUP(TB_INTEGRADA[[#This Row],[Nº  SS]],'CONTROLE EC'!B:B,'CONTROLE EC'!T:T,"",0,-1))</f>
        <v>ENTREGUE</v>
      </c>
      <c r="L9"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9" s="15" cm="1">
        <f t="array" aca="1" ref="M9"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9" s="283" t="str">
        <f ca="1">IF(TB_INTEGRADA[[#This Row],[STATUS DEMANDA]]="NÃO EMITIDA SAMC","S/ EMISSÃO",IF(TB_INTEGRADA[[#This Row],[STATUS DEMANDA]]="ON HOLD","ON HOLD",IF(F9="CANCELADA","CANCELADA",IF(L9="REPROVADO","EM PLANEJ.",IF(K9&lt;&gt;"ENTREGUE","EM PLANEJ.",IF(H9="","EM PLANEJ.",IF(I9="","FISCALIZ.",IF(M9&lt;0,"EM PLANEJ.",IF(TB_INTEGRADA[[#This Row],[DATA APROV. (EC)]]&gt;=TB_INTEGRADA[[#This Row],[DATA ENVIO. (EC)]],"RETORNO OK","FISCALIZ.")))))))))</f>
        <v>RETORNO OK</v>
      </c>
      <c r="O9" s="275" t="str">
        <f>_xlfn.XLOOKUP(TB_INTEGRADA[[#This Row],[Nº  SS]],'CONTROLE CRONOG'!B:B,'CONTROLE CRONOG'!R:R,"",0,1)</f>
        <v>REV.03</v>
      </c>
      <c r="P9" s="276">
        <f>IF(TB_INTEGRADA[[#This Row],[REVISÃO (CR)]]="","",_xlfn.XLOOKUP(TB_INTEGRADA[[#This Row],[Nº  SS]],'CONTROLE CRONOG'!B:B,'CONTROLE CRONOG'!S:S,"",0,1))</f>
        <v>45953</v>
      </c>
      <c r="Q9" s="284">
        <f>IF(TB_INTEGRADA[[#This Row],[REVISÃO (CR)]]="","",_xlfn.XLOOKUP(TB_INTEGRADA[[#This Row],[Nº  SS]],'CONTROLE CRONOG'!B:B,'CONTROLE CRONOG'!U:U,"",0,1))</f>
        <v>45953</v>
      </c>
      <c r="R9" s="276" t="str" cm="1">
        <f t="array" ref="R9">IF(TB_INTEGRADA[[#This Row],[DATA ENVIO. (CR)]]=IFERROR(INDEX('CONTROLE CRONOG'!G9:Q9,MATCH(2,1/('CONTROLE CRONOG'!G9:Q9&lt;&gt;""))),""),"",IFERROR(INDEX('CONTROLE CRONOG'!G9:Q9,MATCH(2,1/('CONTROLE CRONOG'!G9:Q9&lt;&gt;""))),""))</f>
        <v/>
      </c>
      <c r="S9" s="276" t="str">
        <f>_xlfn.XLOOKUP(TB_INTEGRADA[[#This Row],[Nº  SS]],'CONTROLE CRONOG'!B:B,'CONTROLE CRONOG'!T:T,"",0,-1)</f>
        <v>ENTREGUE</v>
      </c>
      <c r="T9"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9" s="439"/>
      <c r="V9" s="285">
        <v>46197</v>
      </c>
      <c r="W9" s="276">
        <v>46198</v>
      </c>
      <c r="X9" s="286">
        <f>IFERROR(TB_INTEGRADA[[#This Row],[TÉRM. TD]]-TB_INTEGRADA[[#This Row],[TÉRMINO LB]],0)</f>
        <v>1</v>
      </c>
      <c r="Y9" s="91">
        <v>0.44840000000000002</v>
      </c>
      <c r="Z9" s="91">
        <v>0.4219</v>
      </c>
      <c r="AA9" s="91">
        <v>-1.5199999999999991E-2</v>
      </c>
      <c r="AB9" s="91">
        <f>IFERROR(TB_INTEGRADA[[#This Row],[REAL (%)]]-TB_INTEGRADA[[#This Row],[PREV (%)]],0)</f>
        <v>-2.6500000000000024E-2</v>
      </c>
      <c r="AC9" s="277">
        <v>6</v>
      </c>
      <c r="AD9" s="283">
        <v>16</v>
      </c>
      <c r="AE9" s="439"/>
      <c r="AF9"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8862.4241999999995</v>
      </c>
      <c r="AG9" s="287">
        <v>6028.86</v>
      </c>
      <c r="AH9" s="287">
        <f>SUMIFS(Tb_HhPLAN[Hh DISC],Tb_HhPLAN[SS],TB_INTEGRADA[[#This Row],[Nº  SS]],Tb_HhPLAN[DISCIPLINA],"MEC")</f>
        <v>5356.0441217489406</v>
      </c>
      <c r="AI9" s="404">
        <f>SUMIFS(Hh_EXE_TOTAL[Hh],Hh_EXE_TOTAL[Nº  SS],TB_INTEGRADA[[#This Row],[Nº  SS]],Hh_EXE_TOTAL[DISCIPLINA],"MEC")</f>
        <v>4618.2781456953644</v>
      </c>
      <c r="AJ9"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92.448300000000003</v>
      </c>
      <c r="AK9" s="287">
        <v>62.89</v>
      </c>
      <c r="AL9" s="287">
        <f>SUMIFS(Tb_HhPLAN[Hh DISC],Tb_HhPLAN[SS],TB_INTEGRADA[[#This Row],[Nº  SS]],Tb_HhPLAN[DISCIPLINA],"CIVIL")</f>
        <v>641.89229347447758</v>
      </c>
      <c r="AM9" s="404">
        <f>SUMIFS(Hh_EXE_TOTAL[Hh],Hh_EXE_TOTAL[Nº  SS],TB_INTEGRADA[[#This Row],[Nº  SS]],Hh_EXE_TOTAL[DISCIPLINA],"CIVIL")</f>
        <v>70.278145695364245</v>
      </c>
      <c r="AN9"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3410.2382999999995</v>
      </c>
      <c r="AO9" s="287">
        <v>2319.89</v>
      </c>
      <c r="AP9" s="287">
        <f>SUMIFS(Tb_HhPLAN[Hh DISC],Tb_HhPLAN[SS],TB_INTEGRADA[[#This Row],[Nº  SS]],Tb_HhPLAN[DISCIPLINA],"ELÉT")</f>
        <v>671.06921590513571</v>
      </c>
      <c r="AQ9" s="404">
        <f>SUMIFS(Hh_EXE_TOTAL[Hh],Hh_EXE_TOTAL[Nº  SS],TB_INTEGRADA[[#This Row],[Nº  SS]],Hh_EXE_TOTAL[DISCIPLINA],"ELÉT")</f>
        <v>421.66887417218544</v>
      </c>
      <c r="AR9"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10374.539699999999</v>
      </c>
      <c r="AS9" s="287">
        <v>7057.51</v>
      </c>
      <c r="AT9" s="287">
        <f>SUMIFS(Tb_HhPLAN[Hh DISC],Tb_HhPLAN[SS],TB_INTEGRADA[[#This Row],[Nº  SS]],Tb_HhPLAN[DISCIPLINA],"PINT")</f>
        <v>2447.2143688714459</v>
      </c>
      <c r="AU9" s="404">
        <f>SUMIFS(Hh_EXE_TOTAL[Hh],Hh_EXE_TOTAL[Nº  SS],TB_INTEGRADA[[#This Row],[Nº  SS]],Hh_EXE_TOTAL[DISCIPLINA],"PINT")</f>
        <v>953.77483443708616</v>
      </c>
      <c r="AV9" s="400">
        <f>TB_INTEGRADA[[#This Row],[ORÇADO]]+TB_INTEGRADA[[#This Row],[ORÇADO1]]+TB_INTEGRADA[[#This Row],[ORÇADO2]]+TB_INTEGRADA[[#This Row],[ORÇADO3]]</f>
        <v>22739.650499999996</v>
      </c>
      <c r="AW9" s="287">
        <f>TB_INTEGRADA[[#This Row],[PLANEJ]]+TB_INTEGRADA[[#This Row],[PLANEJ1]]+TB_INTEGRADA[[#This Row],[PLANEJ2]]+TB_INTEGRADA[[#This Row],[PLANEJ3]]</f>
        <v>9116.2200000000012</v>
      </c>
      <c r="AX9" s="287">
        <f>TB_INTEGRADA[[#This Row],[REALIZ]]+TB_INTEGRADA[[#This Row],[REALIZ1]]+TB_INTEGRADA[[#This Row],[REALIZ2]]+TB_INTEGRADA[[#This Row],[REALIZ3]]</f>
        <v>6064</v>
      </c>
      <c r="AY9" s="417">
        <f>IFERROR(TB_INTEGRADA[[#This Row],[REALIZ4]]/TB_INTEGRADA[[#This Row],[ORÇADO4]],"")</f>
        <v>0.26667076523449651</v>
      </c>
      <c r="AZ9" s="341">
        <f>_xlfn.XLOOKUP(TB_INTEGRADA[[#This Row],[Nº  SS]],'CONTROLE EC'!B:B,'CONTROLE EC'!W:W,"",0,1)</f>
        <v>9201249.3284999989</v>
      </c>
      <c r="BA9" s="342">
        <f>_xlfn.XLOOKUP(TB_INTEGRADA[[#This Row],[Nº  SS]],'CONTROLE EC'!B:B,'CONTROLE EC'!X:X,"",0,1)</f>
        <v>4922668.2794399997</v>
      </c>
      <c r="BB9" s="343">
        <f>_xlfn.XLOOKUP(TB_INTEGRADA[[#This Row],[Nº  SS]],'CONTROLE EC'!B:B,'CONTROLE EC'!Y:Y,"",0,1)</f>
        <v>4278581.0490599992</v>
      </c>
    </row>
    <row r="10" spans="1:54" hidden="1" x14ac:dyDescent="0.3">
      <c r="A10" s="340">
        <f>IF(COUNTIFS($B$5:B10,TB_INTEGRADA[[#This Row],[Nº  SS]])&lt;&gt;1,"",COUNTIFS($B$5:B10,TB_INTEGRADA[[#This Row],[Nº  SS]]))</f>
        <v>1</v>
      </c>
      <c r="B10" s="267" t="s">
        <v>440</v>
      </c>
      <c r="C10" s="269" t="str">
        <f>_xlfn.XLOOKUP(TB_INTEGRADA[[#This Row],[Nº  SS]],'CONTROLE EC'!B:B,'CONTROLE EC'!C:C,"",0,1)</f>
        <v>23-0706-ES - MANUTENÇÃO DO GALPÃO SECGN</v>
      </c>
      <c r="D10" s="18" t="str">
        <f>_xlfn.XLOOKUP(TB_INTEGRADA[[#This Row],[Nº  SS]],'CONTROLE CRONOG'!B:B,'CONTROLE CRONOG'!D:D,"",0,1)</f>
        <v>SERVIÇO</v>
      </c>
      <c r="E10" s="269" t="str">
        <f>_xlfn.XLOOKUP(TB_INTEGRADA[[#This Row],[Nº  SS]],'CONTROLE EC'!B:B,'CONTROLE EC'!E:E,"",0,1)</f>
        <v>UTGC</v>
      </c>
      <c r="F10" s="274" t="str">
        <f>_xlfn.XLOOKUP(TB_INTEGRADA[[#This Row],[Nº  SS]],'CONTROLE EC'!B:B,'CONTROLE EC'!F:F,"",0,1)</f>
        <v>CONCLUÍDA</v>
      </c>
      <c r="G10" s="275" t="str">
        <f>_xlfn.XLOOKUP(TB_INTEGRADA[[#This Row],[Nº  SS]],'CONTROLE EC'!B:B,'CONTROLE EC'!R:R,"",0,1)</f>
        <v>REV.03</v>
      </c>
      <c r="H10" s="276">
        <f>IF(TB_INTEGRADA[[#This Row],[REVISÃO (EC)]]="","",_xlfn.XLOOKUP(TB_INTEGRADA[[#This Row],[Nº  SS]],'CONTROLE EC'!B:B,'CONTROLE EC'!S:S,"",0,1))</f>
        <v>45932</v>
      </c>
      <c r="I10" s="276">
        <f>IF(TB_INTEGRADA[[#This Row],[REVISÃO (EC)]]="","",_xlfn.XLOOKUP(TB_INTEGRADA[[#This Row],[Nº  SS]],'CONTROLE EC'!B:B,'CONTROLE EC'!U:U,"",0,1))</f>
        <v>45932</v>
      </c>
      <c r="J10" s="276" t="str" cm="1">
        <f t="array" ref="J10">IF(TB_INTEGRADA[[#This Row],[DATA ENVIO. (EC)]]=IFERROR(INDEX('CONTROLE EC'!G10:Q10,MATCH(2,1/('CONTROLE EC'!G10:Q10&lt;&gt;""))),""),"",IFERROR(INDEX('CONTROLE EC'!G10:Q10,MATCH(2,1/('CONTROLE EC'!G10:Q10&lt;&gt;""))),""))</f>
        <v/>
      </c>
      <c r="K10" s="276" t="str">
        <f>IF(TB_INTEGRADA[[#This Row],[STATUS DEMANDA]]="NÃO EMITIDA SAMC","S/ EMISSÃO",_xlfn.XLOOKUP(TB_INTEGRADA[[#This Row],[Nº  SS]],'CONTROLE EC'!B:B,'CONTROLE EC'!T:T,"",0,-1))</f>
        <v>ENTREGUE</v>
      </c>
      <c r="L10"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10" s="15" cm="1">
        <f t="array" aca="1" ref="M10"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10" s="283" t="str">
        <f ca="1">IF(TB_INTEGRADA[[#This Row],[STATUS DEMANDA]]="NÃO EMITIDA SAMC","S/ EMISSÃO",IF(TB_INTEGRADA[[#This Row],[STATUS DEMANDA]]="ON HOLD","ON HOLD",IF(F10="CANCELADA","CANCELADA",IF(L10="REPROVADO","EM PLANEJ.",IF(K10&lt;&gt;"ENTREGUE","EM PLANEJ.",IF(H10="","EM PLANEJ.",IF(I10="","FISCALIZ.",IF(M10&lt;0,"EM PLANEJ.",IF(TB_INTEGRADA[[#This Row],[DATA APROV. (EC)]]&gt;=TB_INTEGRADA[[#This Row],[DATA ENVIO. (EC)]],"RETORNO OK","FISCALIZ.")))))))))</f>
        <v>RETORNO OK</v>
      </c>
      <c r="O10" s="275" t="str">
        <f>_xlfn.XLOOKUP(TB_INTEGRADA[[#This Row],[Nº  SS]],'CONTROLE CRONOG'!B:B,'CONTROLE CRONOG'!R:R,"",0,1)</f>
        <v>REV.01</v>
      </c>
      <c r="P10" s="276">
        <f>IF(TB_INTEGRADA[[#This Row],[REVISÃO (CR)]]="","",_xlfn.XLOOKUP(TB_INTEGRADA[[#This Row],[Nº  SS]],'CONTROLE CRONOG'!B:B,'CONTROLE CRONOG'!S:S,"",0,1))</f>
        <v>45925</v>
      </c>
      <c r="Q10" s="284">
        <f>IF(TB_INTEGRADA[[#This Row],[REVISÃO (CR)]]="","",_xlfn.XLOOKUP(TB_INTEGRADA[[#This Row],[Nº  SS]],'CONTROLE CRONOG'!B:B,'CONTROLE CRONOG'!U:U,"",0,1))</f>
        <v>45925</v>
      </c>
      <c r="R10" s="276" t="str" cm="1">
        <f t="array" ref="R10">IF(TB_INTEGRADA[[#This Row],[DATA ENVIO. (CR)]]=IFERROR(INDEX('CONTROLE CRONOG'!G10:Q10,MATCH(2,1/('CONTROLE CRONOG'!G10:Q10&lt;&gt;""))),""),"",IFERROR(INDEX('CONTROLE CRONOG'!G10:Q10,MATCH(2,1/('CONTROLE CRONOG'!G10:Q10&lt;&gt;""))),""))</f>
        <v/>
      </c>
      <c r="S10" s="276" t="str">
        <f>_xlfn.XLOOKUP(TB_INTEGRADA[[#This Row],[Nº  SS]],'CONTROLE CRONOG'!B:B,'CONTROLE CRONOG'!T:T,"",0,-1)</f>
        <v>ENTREGUE</v>
      </c>
      <c r="T10"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10" s="439"/>
      <c r="V10" s="285">
        <v>46009</v>
      </c>
      <c r="W10" s="276">
        <v>46059</v>
      </c>
      <c r="X10" s="286">
        <f>IFERROR(TB_INTEGRADA[[#This Row],[TÉRM. TD]]-TB_INTEGRADA[[#This Row],[TÉRMINO LB]],0)</f>
        <v>50</v>
      </c>
      <c r="Y10" s="91">
        <v>1</v>
      </c>
      <c r="Z10" s="91">
        <v>1</v>
      </c>
      <c r="AA10" s="91">
        <v>0</v>
      </c>
      <c r="AB10" s="91">
        <f>IFERROR(TB_INTEGRADA[[#This Row],[REAL (%)]]-TB_INTEGRADA[[#This Row],[PREV (%)]],0)</f>
        <v>0</v>
      </c>
      <c r="AC10" s="277">
        <v>0</v>
      </c>
      <c r="AD10" s="283">
        <v>0</v>
      </c>
      <c r="AE10" s="439"/>
      <c r="AF10"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1119.3168000000001</v>
      </c>
      <c r="AG10" s="287">
        <v>761.44</v>
      </c>
      <c r="AH10" s="287">
        <f>SUMIFS(Tb_HhPLAN[Hh DISC],Tb_HhPLAN[SS],TB_INTEGRADA[[#This Row],[Nº  SS]],Tb_HhPLAN[DISCIPLINA],"MEC")</f>
        <v>1392</v>
      </c>
      <c r="AI10" s="404">
        <f>SUMIFS(Hh_EXE_TOTAL[Hh],Hh_EXE_TOTAL[Nº  SS],TB_INTEGRADA[[#This Row],[Nº  SS]],Hh_EXE_TOTAL[DISCIPLINA],"MEC")</f>
        <v>3037.0891566265059</v>
      </c>
      <c r="AJ10"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10" s="287">
        <v>0</v>
      </c>
      <c r="AL10" s="287">
        <f>SUMIFS(Tb_HhPLAN[Hh DISC],Tb_HhPLAN[SS],TB_INTEGRADA[[#This Row],[Nº  SS]],Tb_HhPLAN[DISCIPLINA],"CIVIL")</f>
        <v>0</v>
      </c>
      <c r="AM10" s="404">
        <f>SUMIFS(Hh_EXE_TOTAL[Hh],Hh_EXE_TOTAL[Nº  SS],TB_INTEGRADA[[#This Row],[Nº  SS]],Hh_EXE_TOTAL[DISCIPLINA],"CIVIL")</f>
        <v>38.322891566265064</v>
      </c>
      <c r="AN10"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1160.124</v>
      </c>
      <c r="AO10" s="287">
        <v>789.2</v>
      </c>
      <c r="AP10" s="287">
        <f>SUMIFS(Tb_HhPLAN[Hh DISC],Tb_HhPLAN[SS],TB_INTEGRADA[[#This Row],[Nº  SS]],Tb_HhPLAN[DISCIPLINA],"ELÉT")</f>
        <v>264</v>
      </c>
      <c r="AQ10" s="404">
        <f>SUMIFS(Hh_EXE_TOTAL[Hh],Hh_EXE_TOTAL[Nº  SS],TB_INTEGRADA[[#This Row],[Nº  SS]],Hh_EXE_TOTAL[DISCIPLINA],"ELÉT")</f>
        <v>584.42409638554216</v>
      </c>
      <c r="AR10"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552.99929999999995</v>
      </c>
      <c r="AS10" s="287">
        <v>376.19</v>
      </c>
      <c r="AT10" s="287">
        <f>SUMIFS(Tb_HhPLAN[Hh DISC],Tb_HhPLAN[SS],TB_INTEGRADA[[#This Row],[Nº  SS]],Tb_HhPLAN[DISCIPLINA],"PINT")</f>
        <v>384</v>
      </c>
      <c r="AU10" s="404">
        <f>SUMIFS(Hh_EXE_TOTAL[Hh],Hh_EXE_TOTAL[Nº  SS],TB_INTEGRADA[[#This Row],[Nº  SS]],Hh_EXE_TOTAL[DISCIPLINA],"PINT")</f>
        <v>316.16385542168678</v>
      </c>
      <c r="AV10" s="400">
        <f>TB_INTEGRADA[[#This Row],[ORÇADO]]+TB_INTEGRADA[[#This Row],[ORÇADO1]]+TB_INTEGRADA[[#This Row],[ORÇADO2]]+TB_INTEGRADA[[#This Row],[ORÇADO3]]</f>
        <v>2832.4401000000003</v>
      </c>
      <c r="AW10" s="287">
        <f>TB_INTEGRADA[[#This Row],[PLANEJ]]+TB_INTEGRADA[[#This Row],[PLANEJ1]]+TB_INTEGRADA[[#This Row],[PLANEJ2]]+TB_INTEGRADA[[#This Row],[PLANEJ3]]</f>
        <v>2040</v>
      </c>
      <c r="AX10" s="287">
        <f>TB_INTEGRADA[[#This Row],[REALIZ]]+TB_INTEGRADA[[#This Row],[REALIZ1]]+TB_INTEGRADA[[#This Row],[REALIZ2]]+TB_INTEGRADA[[#This Row],[REALIZ3]]</f>
        <v>3976</v>
      </c>
      <c r="AY10" s="417">
        <f>IFERROR(TB_INTEGRADA[[#This Row],[REALIZ4]]/TB_INTEGRADA[[#This Row],[ORÇADO4]],"")</f>
        <v>1.4037366580144095</v>
      </c>
      <c r="AZ10" s="341">
        <f>_xlfn.XLOOKUP(TB_INTEGRADA[[#This Row],[Nº  SS]],'CONTROLE EC'!B:B,'CONTROLE EC'!W:W,"",0,1)</f>
        <v>857462.22378</v>
      </c>
      <c r="BA10" s="342">
        <f>_xlfn.XLOOKUP(TB_INTEGRADA[[#This Row],[Nº  SS]],'CONTROLE EC'!B:B,'CONTROLE EC'!X:X,"",0,1)</f>
        <v>857462.22378</v>
      </c>
      <c r="BB10" s="343">
        <f>_xlfn.XLOOKUP(TB_INTEGRADA[[#This Row],[Nº  SS]],'CONTROLE EC'!B:B,'CONTROLE EC'!Y:Y,"",0,1)</f>
        <v>0</v>
      </c>
    </row>
    <row r="11" spans="1:54" hidden="1" x14ac:dyDescent="0.3">
      <c r="A11" s="340">
        <f>IF(COUNTIFS($B$5:B11,TB_INTEGRADA[[#This Row],[Nº  SS]])&lt;&gt;1,"",COUNTIFS($B$5:B11,TB_INTEGRADA[[#This Row],[Nº  SS]]))</f>
        <v>1</v>
      </c>
      <c r="B11" s="267" t="s">
        <v>441</v>
      </c>
      <c r="C11" s="269" t="str">
        <f>_xlfn.XLOOKUP(TB_INTEGRADA[[#This Row],[Nº  SS]],'CONTROLE EC'!B:B,'CONTROLE EC'!C:C,"",0,1)</f>
        <v>23-0803-ES - MANUTENÇÃO DO GALPÃO K-14</v>
      </c>
      <c r="D11" s="18" t="str">
        <f>_xlfn.XLOOKUP(TB_INTEGRADA[[#This Row],[Nº  SS]],'CONTROLE CRONOG'!B:B,'CONTROLE CRONOG'!D:D,"",0,1)</f>
        <v>SERVIÇO</v>
      </c>
      <c r="E11" s="269" t="str">
        <f>_xlfn.XLOOKUP(TB_INTEGRADA[[#This Row],[Nº  SS]],'CONTROLE EC'!B:B,'CONTROLE EC'!E:E,"",0,1)</f>
        <v>UTGC</v>
      </c>
      <c r="F11" s="274" t="str">
        <f>_xlfn.XLOOKUP(TB_INTEGRADA[[#This Row],[Nº  SS]],'CONTROLE EC'!B:B,'CONTROLE EC'!F:F,"",0,1)</f>
        <v>CONCLUÍDA</v>
      </c>
      <c r="G11" s="275" t="str">
        <f>_xlfn.XLOOKUP(TB_INTEGRADA[[#This Row],[Nº  SS]],'CONTROLE EC'!B:B,'CONTROLE EC'!R:R,"",0,1)</f>
        <v>REV.04</v>
      </c>
      <c r="H11" s="276">
        <f>IF(TB_INTEGRADA[[#This Row],[REVISÃO (EC)]]="","",_xlfn.XLOOKUP(TB_INTEGRADA[[#This Row],[Nº  SS]],'CONTROLE EC'!B:B,'CONTROLE EC'!S:S,"",0,1))</f>
        <v>45947</v>
      </c>
      <c r="I11" s="276">
        <f>IF(TB_INTEGRADA[[#This Row],[REVISÃO (EC)]]="","",_xlfn.XLOOKUP(TB_INTEGRADA[[#This Row],[Nº  SS]],'CONTROLE EC'!B:B,'CONTROLE EC'!U:U,"",0,1))</f>
        <v>45947</v>
      </c>
      <c r="J11" s="276" t="str" cm="1">
        <f t="array" ref="J11">IF(TB_INTEGRADA[[#This Row],[DATA ENVIO. (EC)]]=IFERROR(INDEX('CONTROLE EC'!G11:Q11,MATCH(2,1/('CONTROLE EC'!G11:Q11&lt;&gt;""))),""),"",IFERROR(INDEX('CONTROLE EC'!G11:Q11,MATCH(2,1/('CONTROLE EC'!G11:Q11&lt;&gt;""))),""))</f>
        <v/>
      </c>
      <c r="K11" s="276" t="str">
        <f>IF(TB_INTEGRADA[[#This Row],[STATUS DEMANDA]]="NÃO EMITIDA SAMC","S/ EMISSÃO",_xlfn.XLOOKUP(TB_INTEGRADA[[#This Row],[Nº  SS]],'CONTROLE EC'!B:B,'CONTROLE EC'!T:T,"",0,-1))</f>
        <v>ENTREGUE</v>
      </c>
      <c r="L11"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11" s="15" cm="1">
        <f t="array" aca="1" ref="M11"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11" s="283" t="str">
        <f ca="1">IF(TB_INTEGRADA[[#This Row],[STATUS DEMANDA]]="NÃO EMITIDA SAMC","S/ EMISSÃO",IF(TB_INTEGRADA[[#This Row],[STATUS DEMANDA]]="ON HOLD","ON HOLD",IF(F11="CANCELADA","CANCELADA",IF(L11="REPROVADO","EM PLANEJ.",IF(K11&lt;&gt;"ENTREGUE","EM PLANEJ.",IF(H11="","EM PLANEJ.",IF(I11="","FISCALIZ.",IF(M11&lt;0,"EM PLANEJ.",IF(TB_INTEGRADA[[#This Row],[DATA APROV. (EC)]]&gt;=TB_INTEGRADA[[#This Row],[DATA ENVIO. (EC)]],"RETORNO OK","FISCALIZ.")))))))))</f>
        <v>RETORNO OK</v>
      </c>
      <c r="O11" s="275" t="str">
        <f>_xlfn.XLOOKUP(TB_INTEGRADA[[#This Row],[Nº  SS]],'CONTROLE CRONOG'!B:B,'CONTROLE CRONOG'!R:R,"",0,1)</f>
        <v>REV.03</v>
      </c>
      <c r="P11" s="276">
        <f>IF(TB_INTEGRADA[[#This Row],[REVISÃO (CR)]]="","",_xlfn.XLOOKUP(TB_INTEGRADA[[#This Row],[Nº  SS]],'CONTROLE CRONOG'!B:B,'CONTROLE CRONOG'!S:S,"",0,1))</f>
        <v>45952</v>
      </c>
      <c r="Q11" s="284">
        <f>IF(TB_INTEGRADA[[#This Row],[REVISÃO (CR)]]="","",_xlfn.XLOOKUP(TB_INTEGRADA[[#This Row],[Nº  SS]],'CONTROLE CRONOG'!B:B,'CONTROLE CRONOG'!U:U,"",0,1))</f>
        <v>45952</v>
      </c>
      <c r="R11" s="276" t="str" cm="1">
        <f t="array" ref="R11">IF(TB_INTEGRADA[[#This Row],[DATA ENVIO. (CR)]]=IFERROR(INDEX('CONTROLE CRONOG'!G11:Q11,MATCH(2,1/('CONTROLE CRONOG'!G11:Q11&lt;&gt;""))),""),"",IFERROR(INDEX('CONTROLE CRONOG'!G11:Q11,MATCH(2,1/('CONTROLE CRONOG'!G11:Q11&lt;&gt;""))),""))</f>
        <v/>
      </c>
      <c r="S11" s="276" t="str">
        <f>_xlfn.XLOOKUP(TB_INTEGRADA[[#This Row],[Nº  SS]],'CONTROLE CRONOG'!B:B,'CONTROLE CRONOG'!T:T,"",0,-1)</f>
        <v>ENTREGUE</v>
      </c>
      <c r="T11"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11" s="439"/>
      <c r="V11" s="285">
        <v>46015</v>
      </c>
      <c r="W11" s="276">
        <v>46052</v>
      </c>
      <c r="X11" s="286">
        <f>IFERROR(TB_INTEGRADA[[#This Row],[TÉRM. TD]]-TB_INTEGRADA[[#This Row],[TÉRMINO LB]],0)</f>
        <v>37</v>
      </c>
      <c r="Y11" s="91">
        <v>1</v>
      </c>
      <c r="Z11" s="91">
        <v>1</v>
      </c>
      <c r="AA11" s="91">
        <v>0</v>
      </c>
      <c r="AB11" s="91">
        <f>IFERROR(TB_INTEGRADA[[#This Row],[REAL (%)]]-TB_INTEGRADA[[#This Row],[PREV (%)]],0)</f>
        <v>0</v>
      </c>
      <c r="AC11" s="277">
        <v>0</v>
      </c>
      <c r="AD11" s="283">
        <v>0</v>
      </c>
      <c r="AE11" s="439"/>
      <c r="AF11"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957.83730000000003</v>
      </c>
      <c r="AG11" s="287">
        <v>651.59</v>
      </c>
      <c r="AH11" s="287">
        <f>SUMIFS(Tb_HhPLAN[Hh DISC],Tb_HhPLAN[SS],TB_INTEGRADA[[#This Row],[Nº  SS]],Tb_HhPLAN[DISCIPLINA],"MEC")</f>
        <v>1240.8547008547007</v>
      </c>
      <c r="AI11" s="404">
        <f>SUMIFS(Hh_EXE_TOTAL[Hh],Hh_EXE_TOTAL[Nº  SS],TB_INTEGRADA[[#This Row],[Nº  SS]],Hh_EXE_TOTAL[DISCIPLINA],"MEC")</f>
        <v>1882.042105263158</v>
      </c>
      <c r="AJ11"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11" s="287">
        <v>0</v>
      </c>
      <c r="AL11" s="287">
        <f>SUMIFS(Tb_HhPLAN[Hh DISC],Tb_HhPLAN[SS],TB_INTEGRADA[[#This Row],[Nº  SS]],Tb_HhPLAN[DISCIPLINA],"CIVIL")</f>
        <v>0</v>
      </c>
      <c r="AM11" s="404">
        <f>SUMIFS(Hh_EXE_TOTAL[Hh],Hh_EXE_TOTAL[Nº  SS],TB_INTEGRADA[[#This Row],[Nº  SS]],Hh_EXE_TOTAL[DISCIPLINA],"CIVIL")</f>
        <v>169.2842105263158</v>
      </c>
      <c r="AN11"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1795.8402000000001</v>
      </c>
      <c r="AO11" s="287">
        <v>1221.6600000000001</v>
      </c>
      <c r="AP11" s="287">
        <f>SUMIFS(Tb_HhPLAN[Hh DISC],Tb_HhPLAN[SS],TB_INTEGRADA[[#This Row],[Nº  SS]],Tb_HhPLAN[DISCIPLINA],"ELÉT")</f>
        <v>218.97435897435895</v>
      </c>
      <c r="AQ11" s="404">
        <f>SUMIFS(Hh_EXE_TOTAL[Hh],Hh_EXE_TOTAL[Nº  SS],TB_INTEGRADA[[#This Row],[Nº  SS]],Hh_EXE_TOTAL[DISCIPLINA],"ELÉT")</f>
        <v>876.29473684210529</v>
      </c>
      <c r="AR11"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413.21700000000004</v>
      </c>
      <c r="AS11" s="287">
        <v>281.10000000000002</v>
      </c>
      <c r="AT11" s="287">
        <f>SUMIFS(Tb_HhPLAN[Hh DISC],Tb_HhPLAN[SS],TB_INTEGRADA[[#This Row],[Nº  SS]],Tb_HhPLAN[DISCIPLINA],"PINT")</f>
        <v>248.17094017094018</v>
      </c>
      <c r="AU11" s="404">
        <f>SUMIFS(Hh_EXE_TOTAL[Hh],Hh_EXE_TOTAL[Nº  SS],TB_INTEGRADA[[#This Row],[Nº  SS]],Hh_EXE_TOTAL[DISCIPLINA],"PINT")</f>
        <v>856.378947368421</v>
      </c>
      <c r="AV11" s="400">
        <f>TB_INTEGRADA[[#This Row],[ORÇADO]]+TB_INTEGRADA[[#This Row],[ORÇADO1]]+TB_INTEGRADA[[#This Row],[ORÇADO2]]+TB_INTEGRADA[[#This Row],[ORÇADO3]]</f>
        <v>3166.8945000000003</v>
      </c>
      <c r="AW11" s="287">
        <f>TB_INTEGRADA[[#This Row],[PLANEJ]]+TB_INTEGRADA[[#This Row],[PLANEJ1]]+TB_INTEGRADA[[#This Row],[PLANEJ2]]+TB_INTEGRADA[[#This Row],[PLANEJ3]]</f>
        <v>1707.9999999999998</v>
      </c>
      <c r="AX11" s="287">
        <f>TB_INTEGRADA[[#This Row],[REALIZ]]+TB_INTEGRADA[[#This Row],[REALIZ1]]+TB_INTEGRADA[[#This Row],[REALIZ2]]+TB_INTEGRADA[[#This Row],[REALIZ3]]</f>
        <v>3784</v>
      </c>
      <c r="AY11" s="417">
        <f>IFERROR(TB_INTEGRADA[[#This Row],[REALIZ4]]/TB_INTEGRADA[[#This Row],[ORÇADO4]],"")</f>
        <v>1.194861401287602</v>
      </c>
      <c r="AZ11" s="341">
        <f>_xlfn.XLOOKUP(TB_INTEGRADA[[#This Row],[Nº  SS]],'CONTROLE EC'!B:B,'CONTROLE EC'!W:W,"",0,1)</f>
        <v>1342003.9550399999</v>
      </c>
      <c r="BA11" s="342">
        <f>_xlfn.XLOOKUP(TB_INTEGRADA[[#This Row],[Nº  SS]],'CONTROLE EC'!B:B,'CONTROLE EC'!X:X,"",0,1)</f>
        <v>1342003.9550399999</v>
      </c>
      <c r="BB11" s="343">
        <f>_xlfn.XLOOKUP(TB_INTEGRADA[[#This Row],[Nº  SS]],'CONTROLE EC'!B:B,'CONTROLE EC'!Y:Y,"",0,1)</f>
        <v>0</v>
      </c>
    </row>
    <row r="12" spans="1:54" hidden="1" x14ac:dyDescent="0.3">
      <c r="A12" s="340">
        <f>IF(COUNTIFS($B$5:B12,TB_INTEGRADA[[#This Row],[Nº  SS]])&lt;&gt;1,"",COUNTIFS($B$5:B12,TB_INTEGRADA[[#This Row],[Nº  SS]]))</f>
        <v>1</v>
      </c>
      <c r="B12" s="267" t="s">
        <v>442</v>
      </c>
      <c r="C12" s="269" t="str">
        <f>_xlfn.XLOOKUP(TB_INTEGRADA[[#This Row],[Nº  SS]],'CONTROLE EC'!B:B,'CONTROLE EC'!C:C,"",0,1)</f>
        <v>23-710B-ES - MANUTENÇÃO DO GALPÃO DE BOMBAS DE TRANSFERÊNCIA DE GLP PARA TABR</v>
      </c>
      <c r="D12" s="18" t="str">
        <f>_xlfn.XLOOKUP(TB_INTEGRADA[[#This Row],[Nº  SS]],'CONTROLE CRONOG'!B:B,'CONTROLE CRONOG'!D:D,"",0,1)</f>
        <v>SERVIÇO</v>
      </c>
      <c r="E12" s="269" t="str">
        <f>_xlfn.XLOOKUP(TB_INTEGRADA[[#This Row],[Nº  SS]],'CONTROLE EC'!B:B,'CONTROLE EC'!E:E,"",0,1)</f>
        <v>UTGC</v>
      </c>
      <c r="F12" s="274" t="str">
        <f>_xlfn.XLOOKUP(TB_INTEGRADA[[#This Row],[Nº  SS]],'CONTROLE EC'!B:B,'CONTROLE EC'!F:F,"",0,1)</f>
        <v>CONCLUÍDA</v>
      </c>
      <c r="G12" s="275" t="str">
        <f>_xlfn.XLOOKUP(TB_INTEGRADA[[#This Row],[Nº  SS]],'CONTROLE EC'!B:B,'CONTROLE EC'!R:R,"",0,1)</f>
        <v>REV.01</v>
      </c>
      <c r="H12" s="276">
        <f>IF(TB_INTEGRADA[[#This Row],[REVISÃO (EC)]]="","",_xlfn.XLOOKUP(TB_INTEGRADA[[#This Row],[Nº  SS]],'CONTROLE EC'!B:B,'CONTROLE EC'!S:S,"",0,1))</f>
        <v>45936</v>
      </c>
      <c r="I12" s="276">
        <f>IF(TB_INTEGRADA[[#This Row],[REVISÃO (EC)]]="","",_xlfn.XLOOKUP(TB_INTEGRADA[[#This Row],[Nº  SS]],'CONTROLE EC'!B:B,'CONTROLE EC'!U:U,"",0,1))</f>
        <v>45937</v>
      </c>
      <c r="J12" s="276" t="str" cm="1">
        <f t="array" ref="J12">IF(TB_INTEGRADA[[#This Row],[DATA ENVIO. (EC)]]=IFERROR(INDEX('CONTROLE EC'!G12:Q12,MATCH(2,1/('CONTROLE EC'!G12:Q12&lt;&gt;""))),""),"",IFERROR(INDEX('CONTROLE EC'!G12:Q12,MATCH(2,1/('CONTROLE EC'!G12:Q12&lt;&gt;""))),""))</f>
        <v/>
      </c>
      <c r="K12" s="276" t="str">
        <f>IF(TB_INTEGRADA[[#This Row],[STATUS DEMANDA]]="NÃO EMITIDA SAMC","S/ EMISSÃO",_xlfn.XLOOKUP(TB_INTEGRADA[[#This Row],[Nº  SS]],'CONTROLE EC'!B:B,'CONTROLE EC'!T:T,"",0,-1))</f>
        <v>ENTREGUE</v>
      </c>
      <c r="L12"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12" s="15" cm="1">
        <f t="array" aca="1" ref="M12"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12" s="283" t="str">
        <f ca="1">IF(TB_INTEGRADA[[#This Row],[STATUS DEMANDA]]="NÃO EMITIDA SAMC","S/ EMISSÃO",IF(TB_INTEGRADA[[#This Row],[STATUS DEMANDA]]="ON HOLD","ON HOLD",IF(F12="CANCELADA","CANCELADA",IF(L12="REPROVADO","EM PLANEJ.",IF(K12&lt;&gt;"ENTREGUE","EM PLANEJ.",IF(H12="","EM PLANEJ.",IF(I12="","FISCALIZ.",IF(M12&lt;0,"EM PLANEJ.",IF(TB_INTEGRADA[[#This Row],[DATA APROV. (EC)]]&gt;=TB_INTEGRADA[[#This Row],[DATA ENVIO. (EC)]],"RETORNO OK","FISCALIZ.")))))))))</f>
        <v>RETORNO OK</v>
      </c>
      <c r="O12" s="275" t="str">
        <f>_xlfn.XLOOKUP(TB_INTEGRADA[[#This Row],[Nº  SS]],'CONTROLE CRONOG'!B:B,'CONTROLE CRONOG'!R:R,"",0,1)</f>
        <v>REV.01</v>
      </c>
      <c r="P12" s="276">
        <f>IF(TB_INTEGRADA[[#This Row],[REVISÃO (CR)]]="","",_xlfn.XLOOKUP(TB_INTEGRADA[[#This Row],[Nº  SS]],'CONTROLE CRONOG'!B:B,'CONTROLE CRONOG'!S:S,"",0,1))</f>
        <v>45933</v>
      </c>
      <c r="Q12" s="284">
        <f>IF(TB_INTEGRADA[[#This Row],[REVISÃO (CR)]]="","",_xlfn.XLOOKUP(TB_INTEGRADA[[#This Row],[Nº  SS]],'CONTROLE CRONOG'!B:B,'CONTROLE CRONOG'!U:U,"",0,1))</f>
        <v>45936</v>
      </c>
      <c r="R12" s="276" t="str" cm="1">
        <f t="array" ref="R12">IF(TB_INTEGRADA[[#This Row],[DATA ENVIO. (CR)]]=IFERROR(INDEX('CONTROLE CRONOG'!G12:Q12,MATCH(2,1/('CONTROLE CRONOG'!G12:Q12&lt;&gt;""))),""),"",IFERROR(INDEX('CONTROLE CRONOG'!G12:Q12,MATCH(2,1/('CONTROLE CRONOG'!G12:Q12&lt;&gt;""))),""))</f>
        <v/>
      </c>
      <c r="S12" s="276" t="str">
        <f>_xlfn.XLOOKUP(TB_INTEGRADA[[#This Row],[Nº  SS]],'CONTROLE CRONOG'!B:B,'CONTROLE CRONOG'!T:T,"",0,-1)</f>
        <v>ENTREGUE</v>
      </c>
      <c r="T12"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12" s="439"/>
      <c r="V12" s="285">
        <v>46015</v>
      </c>
      <c r="W12" s="276">
        <v>46013</v>
      </c>
      <c r="X12" s="286">
        <f>IFERROR(TB_INTEGRADA[[#This Row],[TÉRM. TD]]-TB_INTEGRADA[[#This Row],[TÉRMINO LB]],0)</f>
        <v>-2</v>
      </c>
      <c r="Y12" s="91">
        <v>1</v>
      </c>
      <c r="Z12" s="91">
        <v>1</v>
      </c>
      <c r="AA12" s="91">
        <v>0</v>
      </c>
      <c r="AB12" s="91">
        <f>IFERROR(TB_INTEGRADA[[#This Row],[REAL (%)]]-TB_INTEGRADA[[#This Row],[PREV (%)]],0)</f>
        <v>0</v>
      </c>
      <c r="AC12" s="277">
        <v>0</v>
      </c>
      <c r="AD12" s="283">
        <v>0</v>
      </c>
      <c r="AE12" s="439"/>
      <c r="AF12"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394.98899999999998</v>
      </c>
      <c r="AG12" s="287">
        <v>268.7</v>
      </c>
      <c r="AH12" s="287">
        <f>SUMIFS(Tb_HhPLAN[Hh DISC],Tb_HhPLAN[SS],TB_INTEGRADA[[#This Row],[Nº  SS]],Tb_HhPLAN[DISCIPLINA],"MEC")</f>
        <v>1257.4867256637167</v>
      </c>
      <c r="AI12" s="404">
        <f>SUMIFS(Hh_EXE_TOTAL[Hh],Hh_EXE_TOTAL[Nº  SS],TB_INTEGRADA[[#This Row],[Nº  SS]],Hh_EXE_TOTAL[DISCIPLINA],"MEC")</f>
        <v>1617.1727748691098</v>
      </c>
      <c r="AJ12"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12" s="287">
        <v>0</v>
      </c>
      <c r="AL12" s="287">
        <f>SUMIFS(Tb_HhPLAN[Hh DISC],Tb_HhPLAN[SS],TB_INTEGRADA[[#This Row],[Nº  SS]],Tb_HhPLAN[DISCIPLINA],"CIVIL")</f>
        <v>0</v>
      </c>
      <c r="AM12" s="404">
        <f>SUMIFS(Hh_EXE_TOTAL[Hh],Hh_EXE_TOTAL[Nº  SS],TB_INTEGRADA[[#This Row],[Nº  SS]],Hh_EXE_TOTAL[DISCIPLINA],"CIVIL")</f>
        <v>33.926701570680628</v>
      </c>
      <c r="AN12"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1065.1326000000001</v>
      </c>
      <c r="AO12" s="287">
        <v>724.58</v>
      </c>
      <c r="AP12" s="287">
        <f>SUMIFS(Tb_HhPLAN[Hh DISC],Tb_HhPLAN[SS],TB_INTEGRADA[[#This Row],[Nº  SS]],Tb_HhPLAN[DISCIPLINA],"ELÉT")</f>
        <v>212.10619469026548</v>
      </c>
      <c r="AQ12" s="404">
        <f>SUMIFS(Hh_EXE_TOTAL[Hh],Hh_EXE_TOTAL[Nº  SS],TB_INTEGRADA[[#This Row],[Nº  SS]],Hh_EXE_TOTAL[DISCIPLINA],"ELÉT")</f>
        <v>237.4869109947644</v>
      </c>
      <c r="AR12"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228.67320000000001</v>
      </c>
      <c r="AS12" s="287">
        <v>155.56</v>
      </c>
      <c r="AT12" s="287">
        <f>SUMIFS(Tb_HhPLAN[Hh DISC],Tb_HhPLAN[SS],TB_INTEGRADA[[#This Row],[Nº  SS]],Tb_HhPLAN[DISCIPLINA],"PINT")</f>
        <v>242.40707964601768</v>
      </c>
      <c r="AU12" s="404">
        <f>SUMIFS(Hh_EXE_TOTAL[Hh],Hh_EXE_TOTAL[Nº  SS],TB_INTEGRADA[[#This Row],[Nº  SS]],Hh_EXE_TOTAL[DISCIPLINA],"PINT")</f>
        <v>271.41361256544502</v>
      </c>
      <c r="AV12" s="400">
        <f>TB_INTEGRADA[[#This Row],[ORÇADO]]+TB_INTEGRADA[[#This Row],[ORÇADO1]]+TB_INTEGRADA[[#This Row],[ORÇADO2]]+TB_INTEGRADA[[#This Row],[ORÇADO3]]</f>
        <v>1688.7948000000001</v>
      </c>
      <c r="AW12" s="287">
        <f>TB_INTEGRADA[[#This Row],[PLANEJ]]+TB_INTEGRADA[[#This Row],[PLANEJ1]]+TB_INTEGRADA[[#This Row],[PLANEJ2]]+TB_INTEGRADA[[#This Row],[PLANEJ3]]</f>
        <v>1712</v>
      </c>
      <c r="AX12" s="287">
        <f>TB_INTEGRADA[[#This Row],[REALIZ]]+TB_INTEGRADA[[#This Row],[REALIZ1]]+TB_INTEGRADA[[#This Row],[REALIZ2]]+TB_INTEGRADA[[#This Row],[REALIZ3]]</f>
        <v>2160</v>
      </c>
      <c r="AY12" s="417">
        <f>IFERROR(TB_INTEGRADA[[#This Row],[REALIZ4]]/TB_INTEGRADA[[#This Row],[ORÇADO4]],"")</f>
        <v>1.27901862322172</v>
      </c>
      <c r="AZ12" s="341">
        <f>_xlfn.XLOOKUP(TB_INTEGRADA[[#This Row],[Nº  SS]],'CONTROLE EC'!B:B,'CONTROLE EC'!W:W,"",0,1)</f>
        <v>572533.72343999997</v>
      </c>
      <c r="BA12" s="342">
        <f>_xlfn.XLOOKUP(TB_INTEGRADA[[#This Row],[Nº  SS]],'CONTROLE EC'!B:B,'CONTROLE EC'!X:X,"",0,1)</f>
        <v>572533.72343999997</v>
      </c>
      <c r="BB12" s="343">
        <f>_xlfn.XLOOKUP(TB_INTEGRADA[[#This Row],[Nº  SS]],'CONTROLE EC'!B:B,'CONTROLE EC'!Y:Y,"",0,1)</f>
        <v>0</v>
      </c>
    </row>
    <row r="13" spans="1:54" x14ac:dyDescent="0.3">
      <c r="A13" s="340">
        <f>IF(COUNTIFS($B$5:B13,TB_INTEGRADA[[#This Row],[Nº  SS]])&lt;&gt;1,"",COUNTIFS($B$5:B13,TB_INTEGRADA[[#This Row],[Nº  SS]]))</f>
        <v>1</v>
      </c>
      <c r="B13" s="475" t="s">
        <v>443</v>
      </c>
      <c r="C13" s="476" t="str">
        <f>_xlfn.XLOOKUP(TB_INTEGRADA[[#This Row],[Nº  SS]],'CONTROLE EC'!B:B,'CONTROLE EC'!C:C,"",0,1)</f>
        <v>23-0713-ES - MANUTENÇÃO DO GALPÃO K-02</v>
      </c>
      <c r="D13" s="18" t="str">
        <f>_xlfn.XLOOKUP(TB_INTEGRADA[[#This Row],[Nº  SS]],'CONTROLE CRONOG'!B:B,'CONTROLE CRONOG'!D:D,"",0,1)</f>
        <v>SERVIÇO</v>
      </c>
      <c r="E13" s="476" t="str">
        <f>_xlfn.XLOOKUP(TB_INTEGRADA[[#This Row],[Nº  SS]],'CONTROLE EC'!B:B,'CONTROLE EC'!E:E,"",0,1)</f>
        <v>UTGC</v>
      </c>
      <c r="F13" s="477" t="str">
        <f>_xlfn.XLOOKUP(TB_INTEGRADA[[#This Row],[Nº  SS]],'CONTROLE EC'!B:B,'CONTROLE EC'!F:F,"",0,1)</f>
        <v>EM ANDAMENTO</v>
      </c>
      <c r="G13" s="275" t="str">
        <f>_xlfn.XLOOKUP(TB_INTEGRADA[[#This Row],[Nº  SS]],'CONTROLE EC'!B:B,'CONTROLE EC'!R:R,"",0,1)</f>
        <v>REV.01</v>
      </c>
      <c r="H13" s="276">
        <f>IF(TB_INTEGRADA[[#This Row],[REVISÃO (EC)]]="","",_xlfn.XLOOKUP(TB_INTEGRADA[[#This Row],[Nº  SS]],'CONTROLE EC'!B:B,'CONTROLE EC'!S:S,"",0,1))</f>
        <v>45949</v>
      </c>
      <c r="I13" s="276">
        <f>IF(TB_INTEGRADA[[#This Row],[REVISÃO (EC)]]="","",_xlfn.XLOOKUP(TB_INTEGRADA[[#This Row],[Nº  SS]],'CONTROLE EC'!B:B,'CONTROLE EC'!U:U,"",0,1))</f>
        <v>45952</v>
      </c>
      <c r="J13" s="276" t="str" cm="1">
        <f t="array" ref="J13">IF(TB_INTEGRADA[[#This Row],[DATA ENVIO. (EC)]]=IFERROR(INDEX('CONTROLE EC'!G13:Q13,MATCH(2,1/('CONTROLE EC'!G13:Q13&lt;&gt;""))),""),"",IFERROR(INDEX('CONTROLE EC'!G13:Q13,MATCH(2,1/('CONTROLE EC'!G13:Q13&lt;&gt;""))),""))</f>
        <v/>
      </c>
      <c r="K13" s="276" t="str">
        <f>IF(TB_INTEGRADA[[#This Row],[STATUS DEMANDA]]="NÃO EMITIDA SAMC","S/ EMISSÃO",_xlfn.XLOOKUP(TB_INTEGRADA[[#This Row],[Nº  SS]],'CONTROLE EC'!B:B,'CONTROLE EC'!T:T,"",0,-1))</f>
        <v>ENTREGUE</v>
      </c>
      <c r="L13"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13" s="15" cm="1">
        <f t="array" aca="1" ref="M13"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13" s="283" t="str">
        <f ca="1">IF(TB_INTEGRADA[[#This Row],[STATUS DEMANDA]]="NÃO EMITIDA SAMC","S/ EMISSÃO",IF(TB_INTEGRADA[[#This Row],[STATUS DEMANDA]]="ON HOLD","ON HOLD",IF(F13="CANCELADA","CANCELADA",IF(L13="REPROVADO","EM PLANEJ.",IF(K13&lt;&gt;"ENTREGUE","EM PLANEJ.",IF(H13="","EM PLANEJ.",IF(I13="","FISCALIZ.",IF(M13&lt;0,"EM PLANEJ.",IF(TB_INTEGRADA[[#This Row],[DATA APROV. (EC)]]&gt;=TB_INTEGRADA[[#This Row],[DATA ENVIO. (EC)]],"RETORNO OK","FISCALIZ.")))))))))</f>
        <v>RETORNO OK</v>
      </c>
      <c r="O13" s="275" t="str">
        <f>_xlfn.XLOOKUP(TB_INTEGRADA[[#This Row],[Nº  SS]],'CONTROLE CRONOG'!B:B,'CONTROLE CRONOG'!R:R,"",0,1)</f>
        <v>REV.02</v>
      </c>
      <c r="P13" s="276">
        <f>IF(TB_INTEGRADA[[#This Row],[REVISÃO (CR)]]="","",_xlfn.XLOOKUP(TB_INTEGRADA[[#This Row],[Nº  SS]],'CONTROLE CRONOG'!B:B,'CONTROLE CRONOG'!S:S,"",0,1))</f>
        <v>45952</v>
      </c>
      <c r="Q13" s="284">
        <f>IF(TB_INTEGRADA[[#This Row],[REVISÃO (CR)]]="","",_xlfn.XLOOKUP(TB_INTEGRADA[[#This Row],[Nº  SS]],'CONTROLE CRONOG'!B:B,'CONTROLE CRONOG'!U:U,"",0,1))</f>
        <v>45952</v>
      </c>
      <c r="R13" s="276" t="str" cm="1">
        <f t="array" ref="R13">IF(TB_INTEGRADA[[#This Row],[DATA ENVIO. (CR)]]=IFERROR(INDEX('CONTROLE CRONOG'!G13:Q13,MATCH(2,1/('CONTROLE CRONOG'!G13:Q13&lt;&gt;""))),""),"",IFERROR(INDEX('CONTROLE CRONOG'!G13:Q13,MATCH(2,1/('CONTROLE CRONOG'!G13:Q13&lt;&gt;""))),""))</f>
        <v/>
      </c>
      <c r="S13" s="276" t="str">
        <f>_xlfn.XLOOKUP(TB_INTEGRADA[[#This Row],[Nº  SS]],'CONTROLE CRONOG'!B:B,'CONTROLE CRONOG'!T:T,"",0,-1)</f>
        <v>ENTREGUE</v>
      </c>
      <c r="T13"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13" s="440"/>
      <c r="V13" s="285">
        <v>46108</v>
      </c>
      <c r="W13" s="276">
        <v>46125</v>
      </c>
      <c r="X13" s="286">
        <f>IFERROR(TB_INTEGRADA[[#This Row],[TÉRM. TD]]-TB_INTEGRADA[[#This Row],[TÉRMINO LB]],0)</f>
        <v>17</v>
      </c>
      <c r="Y13" s="91">
        <v>0.84640000000000004</v>
      </c>
      <c r="Z13" s="91">
        <v>0.51070000000000004</v>
      </c>
      <c r="AA13" s="91">
        <v>-0.11640000000000006</v>
      </c>
      <c r="AB13" s="91">
        <f>IFERROR(TB_INTEGRADA[[#This Row],[REAL (%)]]-TB_INTEGRADA[[#This Row],[PREV (%)]],0)</f>
        <v>-0.3357</v>
      </c>
      <c r="AC13" s="277">
        <v>6</v>
      </c>
      <c r="AD13" s="283">
        <v>10</v>
      </c>
      <c r="AE13" s="440"/>
      <c r="AF13"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689.7681</v>
      </c>
      <c r="AG13" s="287">
        <v>469.23</v>
      </c>
      <c r="AH13" s="287">
        <f>SUMIFS(Tb_HhPLAN[Hh DISC],Tb_HhPLAN[SS],TB_INTEGRADA[[#This Row],[Nº  SS]],Tb_HhPLAN[DISCIPLINA],"MEC")</f>
        <v>665.4666666666667</v>
      </c>
      <c r="AI13" s="404">
        <f>SUMIFS(Hh_EXE_TOTAL[Hh],Hh_EXE_TOTAL[Nº  SS],TB_INTEGRADA[[#This Row],[Nº  SS]],Hh_EXE_TOTAL[DISCIPLINA],"MEC")</f>
        <v>379.77358490566036</v>
      </c>
      <c r="AJ13"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13" s="287">
        <v>0</v>
      </c>
      <c r="AL13" s="287">
        <f>SUMIFS(Tb_HhPLAN[Hh DISC],Tb_HhPLAN[SS],TB_INTEGRADA[[#This Row],[Nº  SS]],Tb_HhPLAN[DISCIPLINA],"CIVIL")</f>
        <v>0</v>
      </c>
      <c r="AM13" s="404">
        <f>SUMIFS(Hh_EXE_TOTAL[Hh],Hh_EXE_TOTAL[Nº  SS],TB_INTEGRADA[[#This Row],[Nº  SS]],Hh_EXE_TOTAL[DISCIPLINA],"CIVIL")</f>
        <v>0</v>
      </c>
      <c r="AN13"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546.34019999999998</v>
      </c>
      <c r="AO13" s="287">
        <v>371.66</v>
      </c>
      <c r="AP13" s="287">
        <f>SUMIFS(Tb_HhPLAN[Hh DISC],Tb_HhPLAN[SS],TB_INTEGRADA[[#This Row],[Nº  SS]],Tb_HhPLAN[DISCIPLINA],"ELÉT")</f>
        <v>214.66666666666666</v>
      </c>
      <c r="AQ13" s="404">
        <f>SUMIFS(Hh_EXE_TOTAL[Hh],Hh_EXE_TOTAL[Nº  SS],TB_INTEGRADA[[#This Row],[Nº  SS]],Hh_EXE_TOTAL[DISCIPLINA],"ELÉT")</f>
        <v>102.64150943396227</v>
      </c>
      <c r="AR13"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62.048699999999997</v>
      </c>
      <c r="AS13" s="287">
        <v>42.21</v>
      </c>
      <c r="AT13" s="287">
        <f>SUMIFS(Tb_HhPLAN[Hh DISC],Tb_HhPLAN[SS],TB_INTEGRADA[[#This Row],[Nº  SS]],Tb_HhPLAN[DISCIPLINA],"PINT")</f>
        <v>85.866666666666674</v>
      </c>
      <c r="AU13" s="404">
        <f>SUMIFS(Hh_EXE_TOTAL[Hh],Hh_EXE_TOTAL[Nº  SS],TB_INTEGRADA[[#This Row],[Nº  SS]],Hh_EXE_TOTAL[DISCIPLINA],"PINT")</f>
        <v>61.584905660377359</v>
      </c>
      <c r="AV13" s="400">
        <f>TB_INTEGRADA[[#This Row],[ORÇADO]]+TB_INTEGRADA[[#This Row],[ORÇADO1]]+TB_INTEGRADA[[#This Row],[ORÇADO2]]+TB_INTEGRADA[[#This Row],[ORÇADO3]]</f>
        <v>1298.1569999999999</v>
      </c>
      <c r="AW13" s="287">
        <f>TB_INTEGRADA[[#This Row],[PLANEJ]]+TB_INTEGRADA[[#This Row],[PLANEJ1]]+TB_INTEGRADA[[#This Row],[PLANEJ2]]+TB_INTEGRADA[[#This Row],[PLANEJ3]]</f>
        <v>966</v>
      </c>
      <c r="AX13" s="287">
        <f>TB_INTEGRADA[[#This Row],[REALIZ]]+TB_INTEGRADA[[#This Row],[REALIZ1]]+TB_INTEGRADA[[#This Row],[REALIZ2]]+TB_INTEGRADA[[#This Row],[REALIZ3]]</f>
        <v>544</v>
      </c>
      <c r="AY13" s="417">
        <f>IFERROR(TB_INTEGRADA[[#This Row],[REALIZ4]]/TB_INTEGRADA[[#This Row],[ORÇADO4]],"")</f>
        <v>0.41905563040525917</v>
      </c>
      <c r="AZ13" s="341">
        <f>_xlfn.XLOOKUP(TB_INTEGRADA[[#This Row],[Nº  SS]],'CONTROLE EC'!B:B,'CONTROLE EC'!W:W,"",0,1)</f>
        <v>743593.46399999992</v>
      </c>
      <c r="BA13" s="342">
        <f>_xlfn.XLOOKUP(TB_INTEGRADA[[#This Row],[Nº  SS]],'CONTROLE EC'!B:B,'CONTROLE EC'!X:X,"",0,1)</f>
        <v>371796.73200000002</v>
      </c>
      <c r="BB13" s="343">
        <f>_xlfn.XLOOKUP(TB_INTEGRADA[[#This Row],[Nº  SS]],'CONTROLE EC'!B:B,'CONTROLE EC'!Y:Y,"",0,1)</f>
        <v>371796.7319999999</v>
      </c>
    </row>
    <row r="14" spans="1:54" hidden="1" x14ac:dyDescent="0.3">
      <c r="A14" s="340">
        <f>IF(COUNTIFS($B$5:B14,TB_INTEGRADA[[#This Row],[Nº  SS]])&lt;&gt;1,"",COUNTIFS($B$5:B14,TB_INTEGRADA[[#This Row],[Nº  SS]]))</f>
        <v>1</v>
      </c>
      <c r="B14" s="267" t="s">
        <v>444</v>
      </c>
      <c r="C14" s="269" t="str">
        <f>_xlfn.XLOOKUP(TB_INTEGRADA[[#This Row],[Nº  SS]],'CONTROLE EC'!B:B,'CONTROLE EC'!C:C,"",0,1)</f>
        <v>23-0707-ES - MANUTENÇÃO DO GALPÃO UPGN-3</v>
      </c>
      <c r="D14" s="18" t="str">
        <f>_xlfn.XLOOKUP(TB_INTEGRADA[[#This Row],[Nº  SS]],'CONTROLE CRONOG'!B:B,'CONTROLE CRONOG'!D:D,"",0,1)</f>
        <v>SERVIÇO</v>
      </c>
      <c r="E14" s="269" t="str">
        <f>_xlfn.XLOOKUP(TB_INTEGRADA[[#This Row],[Nº  SS]],'CONTROLE EC'!B:B,'CONTROLE EC'!E:E,"",0,1)</f>
        <v>UTGC</v>
      </c>
      <c r="F14" s="274" t="str">
        <f>_xlfn.XLOOKUP(TB_INTEGRADA[[#This Row],[Nº  SS]],'CONTROLE EC'!B:B,'CONTROLE EC'!F:F,"",0,1)</f>
        <v>CONCLUÍDA</v>
      </c>
      <c r="G14" s="275" t="str">
        <f>_xlfn.XLOOKUP(TB_INTEGRADA[[#This Row],[Nº  SS]],'CONTROLE EC'!B:B,'CONTROLE EC'!R:R,"",0,1)</f>
        <v>REV.03</v>
      </c>
      <c r="H14" s="276">
        <f>IF(TB_INTEGRADA[[#This Row],[REVISÃO (EC)]]="","",_xlfn.XLOOKUP(TB_INTEGRADA[[#This Row],[Nº  SS]],'CONTROLE EC'!B:B,'CONTROLE EC'!S:S,"",0,1))</f>
        <v>45932</v>
      </c>
      <c r="I14" s="276">
        <f>IF(TB_INTEGRADA[[#This Row],[REVISÃO (EC)]]="","",_xlfn.XLOOKUP(TB_INTEGRADA[[#This Row],[Nº  SS]],'CONTROLE EC'!B:B,'CONTROLE EC'!U:U,"",0,1))</f>
        <v>45932</v>
      </c>
      <c r="J14" s="276" t="str" cm="1">
        <f t="array" ref="J14">IF(TB_INTEGRADA[[#This Row],[DATA ENVIO. (EC)]]=IFERROR(INDEX('CONTROLE EC'!G14:Q14,MATCH(2,1/('CONTROLE EC'!G14:Q14&lt;&gt;""))),""),"",IFERROR(INDEX('CONTROLE EC'!G14:Q14,MATCH(2,1/('CONTROLE EC'!G14:Q14&lt;&gt;""))),""))</f>
        <v/>
      </c>
      <c r="K14" s="276" t="str">
        <f>IF(TB_INTEGRADA[[#This Row],[STATUS DEMANDA]]="NÃO EMITIDA SAMC","S/ EMISSÃO",_xlfn.XLOOKUP(TB_INTEGRADA[[#This Row],[Nº  SS]],'CONTROLE EC'!B:B,'CONTROLE EC'!T:T,"",0,-1))</f>
        <v>ENTREGUE</v>
      </c>
      <c r="L14"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14" s="15" cm="1">
        <f t="array" aca="1" ref="M14"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14" s="283" t="str">
        <f ca="1">IF(TB_INTEGRADA[[#This Row],[STATUS DEMANDA]]="NÃO EMITIDA SAMC","S/ EMISSÃO",IF(TB_INTEGRADA[[#This Row],[STATUS DEMANDA]]="ON HOLD","ON HOLD",IF(F14="CANCELADA","CANCELADA",IF(L14="REPROVADO","EM PLANEJ.",IF(K14&lt;&gt;"ENTREGUE","EM PLANEJ.",IF(H14="","EM PLANEJ.",IF(I14="","FISCALIZ.",IF(M14&lt;0,"EM PLANEJ.",IF(TB_INTEGRADA[[#This Row],[DATA APROV. (EC)]]&gt;=TB_INTEGRADA[[#This Row],[DATA ENVIO. (EC)]],"RETORNO OK","FISCALIZ.")))))))))</f>
        <v>RETORNO OK</v>
      </c>
      <c r="O14" s="275" t="str">
        <f>_xlfn.XLOOKUP(TB_INTEGRADA[[#This Row],[Nº  SS]],'CONTROLE CRONOG'!B:B,'CONTROLE CRONOG'!R:R,"",0,1)</f>
        <v>REV.02</v>
      </c>
      <c r="P14" s="276">
        <f>IF(TB_INTEGRADA[[#This Row],[REVISÃO (CR)]]="","",_xlfn.XLOOKUP(TB_INTEGRADA[[#This Row],[Nº  SS]],'CONTROLE CRONOG'!B:B,'CONTROLE CRONOG'!S:S,"",0,1))</f>
        <v>45924</v>
      </c>
      <c r="Q14" s="284">
        <f>IF(TB_INTEGRADA[[#This Row],[REVISÃO (CR)]]="","",_xlfn.XLOOKUP(TB_INTEGRADA[[#This Row],[Nº  SS]],'CONTROLE CRONOG'!B:B,'CONTROLE CRONOG'!U:U,"",0,1))</f>
        <v>45925</v>
      </c>
      <c r="R14" s="276" t="str" cm="1">
        <f t="array" ref="R14">IF(TB_INTEGRADA[[#This Row],[DATA ENVIO. (CR)]]=IFERROR(INDEX('CONTROLE CRONOG'!G14:Q14,MATCH(2,1/('CONTROLE CRONOG'!G14:Q14&lt;&gt;""))),""),"",IFERROR(INDEX('CONTROLE CRONOG'!G14:Q14,MATCH(2,1/('CONTROLE CRONOG'!G14:Q14&lt;&gt;""))),""))</f>
        <v/>
      </c>
      <c r="S14" s="276" t="str">
        <f>_xlfn.XLOOKUP(TB_INTEGRADA[[#This Row],[Nº  SS]],'CONTROLE CRONOG'!B:B,'CONTROLE CRONOG'!T:T,"",0,-1)</f>
        <v>ENTREGUE</v>
      </c>
      <c r="T14"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14" s="439"/>
      <c r="V14" s="285">
        <v>46001</v>
      </c>
      <c r="W14" s="276">
        <v>46006</v>
      </c>
      <c r="X14" s="286">
        <f>IFERROR(TB_INTEGRADA[[#This Row],[TÉRM. TD]]-TB_INTEGRADA[[#This Row],[TÉRMINO LB]],0)</f>
        <v>5</v>
      </c>
      <c r="Y14" s="91">
        <v>1</v>
      </c>
      <c r="Z14" s="91">
        <v>1</v>
      </c>
      <c r="AA14" s="91">
        <v>0</v>
      </c>
      <c r="AB14" s="91">
        <f>IFERROR(TB_INTEGRADA[[#This Row],[REAL (%)]]-TB_INTEGRADA[[#This Row],[PREV (%)]],0)</f>
        <v>0</v>
      </c>
      <c r="AC14" s="277">
        <v>0</v>
      </c>
      <c r="AD14" s="283">
        <v>0</v>
      </c>
      <c r="AE14" s="439"/>
      <c r="AF14"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912.59069999999986</v>
      </c>
      <c r="AG14" s="287">
        <v>620.80999999999995</v>
      </c>
      <c r="AH14" s="287">
        <f>SUMIFS(Tb_HhPLAN[Hh DISC],Tb_HhPLAN[SS],TB_INTEGRADA[[#This Row],[Nº  SS]],Tb_HhPLAN[DISCIPLINA],"MEC")</f>
        <v>1326.5611510791366</v>
      </c>
      <c r="AI14" s="404">
        <f>SUMIFS(Hh_EXE_TOTAL[Hh],Hh_EXE_TOTAL[Nº  SS],TB_INTEGRADA[[#This Row],[Nº  SS]],Hh_EXE_TOTAL[DISCIPLINA],"MEC")</f>
        <v>2179.3429158110885</v>
      </c>
      <c r="AJ14"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14" s="287">
        <v>0</v>
      </c>
      <c r="AL14" s="287">
        <f>SUMIFS(Tb_HhPLAN[Hh DISC],Tb_HhPLAN[SS],TB_INTEGRADA[[#This Row],[Nº  SS]],Tb_HhPLAN[DISCIPLINA],"CIVIL")</f>
        <v>0</v>
      </c>
      <c r="AM14" s="404">
        <f>SUMIFS(Hh_EXE_TOTAL[Hh],Hh_EXE_TOTAL[Nº  SS],TB_INTEGRADA[[#This Row],[Nº  SS]],Hh_EXE_TOTAL[DISCIPLINA],"CIVIL")</f>
        <v>109.24024640657083</v>
      </c>
      <c r="AN14"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183.42660000000001</v>
      </c>
      <c r="AO14" s="287">
        <v>124.78</v>
      </c>
      <c r="AP14" s="287">
        <f>SUMIFS(Tb_HhPLAN[Hh DISC],Tb_HhPLAN[SS],TB_INTEGRADA[[#This Row],[Nº  SS]],Tb_HhPLAN[DISCIPLINA],"ELÉT")</f>
        <v>215.42446043165467</v>
      </c>
      <c r="AQ14" s="404">
        <f>SUMIFS(Hh_EXE_TOTAL[Hh],Hh_EXE_TOTAL[Nº  SS],TB_INTEGRADA[[#This Row],[Nº  SS]],Hh_EXE_TOTAL[DISCIPLINA],"ELÉT")</f>
        <v>87.392197125256672</v>
      </c>
      <c r="AR14"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70.545299999999997</v>
      </c>
      <c r="AS14" s="287">
        <v>47.99</v>
      </c>
      <c r="AT14" s="287">
        <f>SUMIFS(Tb_HhPLAN[Hh DISC],Tb_HhPLAN[SS],TB_INTEGRADA[[#This Row],[Nº  SS]],Tb_HhPLAN[DISCIPLINA],"PINT")</f>
        <v>34.014388489208635</v>
      </c>
      <c r="AU14" s="404">
        <f>SUMIFS(Hh_EXE_TOTAL[Hh],Hh_EXE_TOTAL[Nº  SS],TB_INTEGRADA[[#This Row],[Nº  SS]],Hh_EXE_TOTAL[DISCIPLINA],"PINT")</f>
        <v>284.02464065708421</v>
      </c>
      <c r="AV14" s="400">
        <f>TB_INTEGRADA[[#This Row],[ORÇADO]]+TB_INTEGRADA[[#This Row],[ORÇADO1]]+TB_INTEGRADA[[#This Row],[ORÇADO2]]+TB_INTEGRADA[[#This Row],[ORÇADO3]]</f>
        <v>1166.5626</v>
      </c>
      <c r="AW14" s="287">
        <f>TB_INTEGRADA[[#This Row],[PLANEJ]]+TB_INTEGRADA[[#This Row],[PLANEJ1]]+TB_INTEGRADA[[#This Row],[PLANEJ2]]+TB_INTEGRADA[[#This Row],[PLANEJ3]]</f>
        <v>1576</v>
      </c>
      <c r="AX14" s="287">
        <f>TB_INTEGRADA[[#This Row],[REALIZ]]+TB_INTEGRADA[[#This Row],[REALIZ1]]+TB_INTEGRADA[[#This Row],[REALIZ2]]+TB_INTEGRADA[[#This Row],[REALIZ3]]</f>
        <v>2660</v>
      </c>
      <c r="AY14" s="417">
        <f>IFERROR(TB_INTEGRADA[[#This Row],[REALIZ4]]/TB_INTEGRADA[[#This Row],[ORÇADO4]],"")</f>
        <v>2.2802033941427577</v>
      </c>
      <c r="AZ14" s="341">
        <f>_xlfn.XLOOKUP(TB_INTEGRADA[[#This Row],[Nº  SS]],'CONTROLE EC'!B:B,'CONTROLE EC'!W:W,"",0,1)</f>
        <v>588935.40300000005</v>
      </c>
      <c r="BA14" s="342">
        <f>_xlfn.XLOOKUP(TB_INTEGRADA[[#This Row],[Nº  SS]],'CONTROLE EC'!B:B,'CONTROLE EC'!X:X,"",0,1)</f>
        <v>588935.40300000005</v>
      </c>
      <c r="BB14" s="343">
        <f>_xlfn.XLOOKUP(TB_INTEGRADA[[#This Row],[Nº  SS]],'CONTROLE EC'!B:B,'CONTROLE EC'!Y:Y,"",0,1)</f>
        <v>0</v>
      </c>
    </row>
    <row r="15" spans="1:54" hidden="1" x14ac:dyDescent="0.3">
      <c r="A15" s="340">
        <f>IF(COUNTIFS($B$5:B15,TB_INTEGRADA[[#This Row],[Nº  SS]])&lt;&gt;1,"",COUNTIFS($B$5:B15,TB_INTEGRADA[[#This Row],[Nº  SS]]))</f>
        <v>1</v>
      </c>
      <c r="B15" s="267" t="s">
        <v>54</v>
      </c>
      <c r="C15" s="269" t="str">
        <f>_xlfn.XLOOKUP(TB_INTEGRADA[[#This Row],[Nº  SS]],'CONTROLE EC'!B:B,'CONTROLE EC'!C:C,"",0,1)</f>
        <v>24-0096-ES - REFORMA DA COBERTURA DO K-04</v>
      </c>
      <c r="D15" s="18" t="str">
        <f>_xlfn.XLOOKUP(TB_INTEGRADA[[#This Row],[Nº  SS]],'CONTROLE CRONOG'!B:B,'CONTROLE CRONOG'!D:D,"",0,1)</f>
        <v>SERVIÇO</v>
      </c>
      <c r="E15" s="269" t="str">
        <f>_xlfn.XLOOKUP(TB_INTEGRADA[[#This Row],[Nº  SS]],'CONTROLE EC'!B:B,'CONTROLE EC'!E:E,"",0,1)</f>
        <v>UTGC</v>
      </c>
      <c r="F15" s="274" t="str">
        <f>_xlfn.XLOOKUP(TB_INTEGRADA[[#This Row],[Nº  SS]],'CONTROLE EC'!B:B,'CONTROLE EC'!F:F,"",0,1)</f>
        <v>CONCLUÍDA</v>
      </c>
      <c r="G15" s="275" t="str">
        <f>_xlfn.XLOOKUP(TB_INTEGRADA[[#This Row],[Nº  SS]],'CONTROLE EC'!B:B,'CONTROLE EC'!R:R,"",0,1)</f>
        <v>REV.04</v>
      </c>
      <c r="H15" s="276">
        <f>IF(TB_INTEGRADA[[#This Row],[REVISÃO (EC)]]="","",_xlfn.XLOOKUP(TB_INTEGRADA[[#This Row],[Nº  SS]],'CONTROLE EC'!B:B,'CONTROLE EC'!S:S,"",0,1))</f>
        <v>45954</v>
      </c>
      <c r="I15" s="276">
        <f>IF(TB_INTEGRADA[[#This Row],[REVISÃO (EC)]]="","",_xlfn.XLOOKUP(TB_INTEGRADA[[#This Row],[Nº  SS]],'CONTROLE EC'!B:B,'CONTROLE EC'!U:U,"",0,1))</f>
        <v>45954</v>
      </c>
      <c r="J15" s="276" t="str" cm="1">
        <f t="array" ref="J15">IF(TB_INTEGRADA[[#This Row],[DATA ENVIO. (EC)]]=IFERROR(INDEX('CONTROLE EC'!G15:Q15,MATCH(2,1/('CONTROLE EC'!G15:Q15&lt;&gt;""))),""),"",IFERROR(INDEX('CONTROLE EC'!G15:Q15,MATCH(2,1/('CONTROLE EC'!G15:Q15&lt;&gt;""))),""))</f>
        <v/>
      </c>
      <c r="K15" s="276" t="str">
        <f>IF(TB_INTEGRADA[[#This Row],[STATUS DEMANDA]]="NÃO EMITIDA SAMC","S/ EMISSÃO",_xlfn.XLOOKUP(TB_INTEGRADA[[#This Row],[Nº  SS]],'CONTROLE EC'!B:B,'CONTROLE EC'!T:T,"",0,-1))</f>
        <v>ENTREGUE</v>
      </c>
      <c r="L15"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15" s="15" cm="1">
        <f t="array" aca="1" ref="M15"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15" s="283" t="str">
        <f ca="1">IF(TB_INTEGRADA[[#This Row],[STATUS DEMANDA]]="NÃO EMITIDA SAMC","S/ EMISSÃO",IF(TB_INTEGRADA[[#This Row],[STATUS DEMANDA]]="ON HOLD","ON HOLD",IF(F15="CANCELADA","CANCELADA",IF(L15="REPROVADO","EM PLANEJ.",IF(K15&lt;&gt;"ENTREGUE","EM PLANEJ.",IF(H15="","EM PLANEJ.",IF(I15="","FISCALIZ.",IF(M15&lt;0,"EM PLANEJ.",IF(TB_INTEGRADA[[#This Row],[DATA APROV. (EC)]]&gt;=TB_INTEGRADA[[#This Row],[DATA ENVIO. (EC)]],"RETORNO OK","FISCALIZ.")))))))))</f>
        <v>RETORNO OK</v>
      </c>
      <c r="O15" s="275" t="str">
        <f>_xlfn.XLOOKUP(TB_INTEGRADA[[#This Row],[Nº  SS]],'CONTROLE CRONOG'!B:B,'CONTROLE CRONOG'!R:R,"",0,1)</f>
        <v>REV.03</v>
      </c>
      <c r="P15" s="276">
        <f>IF(TB_INTEGRADA[[#This Row],[REVISÃO (CR)]]="","",_xlfn.XLOOKUP(TB_INTEGRADA[[#This Row],[Nº  SS]],'CONTROLE CRONOG'!B:B,'CONTROLE CRONOG'!S:S,"",0,1))</f>
        <v>45954</v>
      </c>
      <c r="Q15" s="284">
        <f>IF(TB_INTEGRADA[[#This Row],[REVISÃO (CR)]]="","",_xlfn.XLOOKUP(TB_INTEGRADA[[#This Row],[Nº  SS]],'CONTROLE CRONOG'!B:B,'CONTROLE CRONOG'!U:U,"",0,1))</f>
        <v>45954</v>
      </c>
      <c r="R15" s="276" t="str" cm="1">
        <f t="array" ref="R15">IF(TB_INTEGRADA[[#This Row],[DATA ENVIO. (CR)]]=IFERROR(INDEX('CONTROLE CRONOG'!G15:Q15,MATCH(2,1/('CONTROLE CRONOG'!G15:Q15&lt;&gt;""))),""),"",IFERROR(INDEX('CONTROLE CRONOG'!G15:Q15,MATCH(2,1/('CONTROLE CRONOG'!G15:Q15&lt;&gt;""))),""))</f>
        <v/>
      </c>
      <c r="S15" s="276" t="str">
        <f>_xlfn.XLOOKUP(TB_INTEGRADA[[#This Row],[Nº  SS]],'CONTROLE CRONOG'!B:B,'CONTROLE CRONOG'!T:T,"",0,-1)</f>
        <v>ENTREGUE</v>
      </c>
      <c r="T15"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15" s="439"/>
      <c r="V15" s="285">
        <v>46063</v>
      </c>
      <c r="W15" s="276">
        <v>46031</v>
      </c>
      <c r="X15" s="286">
        <f>IFERROR(TB_INTEGRADA[[#This Row],[TÉRM. TD]]-TB_INTEGRADA[[#This Row],[TÉRMINO LB]],0)</f>
        <v>-32</v>
      </c>
      <c r="Y15" s="91">
        <v>0.59189999999999998</v>
      </c>
      <c r="Z15" s="91">
        <v>1</v>
      </c>
      <c r="AA15" s="91">
        <v>0.40810000000000002</v>
      </c>
      <c r="AB15" s="91">
        <f>IFERROR(TB_INTEGRADA[[#This Row],[REAL (%)]]-TB_INTEGRADA[[#This Row],[PREV (%)]],0)</f>
        <v>0.40810000000000002</v>
      </c>
      <c r="AC15" s="277">
        <v>0</v>
      </c>
      <c r="AD15" s="283">
        <v>0</v>
      </c>
      <c r="AE15" s="439"/>
      <c r="AF15"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519.67439999999999</v>
      </c>
      <c r="AG15" s="287">
        <v>353.52</v>
      </c>
      <c r="AH15" s="287">
        <f>SUMIFS(Tb_HhPLAN[Hh DISC],Tb_HhPLAN[SS],TB_INTEGRADA[[#This Row],[Nº  SS]],Tb_HhPLAN[DISCIPLINA],"MEC")</f>
        <v>734.18604651162786</v>
      </c>
      <c r="AI15" s="404">
        <f>SUMIFS(Hh_EXE_TOTAL[Hh],Hh_EXE_TOTAL[Nº  SS],TB_INTEGRADA[[#This Row],[Nº  SS]],Hh_EXE_TOTAL[DISCIPLINA],"MEC")</f>
        <v>501.04347826086956</v>
      </c>
      <c r="AJ15"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287.31149999999997</v>
      </c>
      <c r="AK15" s="287">
        <v>195.45</v>
      </c>
      <c r="AL15" s="287">
        <f>SUMIFS(Tb_HhPLAN[Hh DISC],Tb_HhPLAN[SS],TB_INTEGRADA[[#This Row],[Nº  SS]],Tb_HhPLAN[DISCIPLINA],"CIVIL")</f>
        <v>320.37209302325584</v>
      </c>
      <c r="AM15" s="404">
        <f>SUMIFS(Hh_EXE_TOTAL[Hh],Hh_EXE_TOTAL[Nº  SS],TB_INTEGRADA[[#This Row],[Nº  SS]],Hh_EXE_TOTAL[DISCIPLINA],"CIVIL")</f>
        <v>23.304347826086957</v>
      </c>
      <c r="AN15"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266.58449999999999</v>
      </c>
      <c r="AO15" s="287">
        <v>181.35</v>
      </c>
      <c r="AP15" s="287">
        <f>SUMIFS(Tb_HhPLAN[Hh DISC],Tb_HhPLAN[SS],TB_INTEGRADA[[#This Row],[Nº  SS]],Tb_HhPLAN[DISCIPLINA],"ELÉT")</f>
        <v>93.441860465116292</v>
      </c>
      <c r="AQ15" s="404">
        <f>SUMIFS(Hh_EXE_TOTAL[Hh],Hh_EXE_TOTAL[Nº  SS],TB_INTEGRADA[[#This Row],[Nº  SS]],Hh_EXE_TOTAL[DISCIPLINA],"ELÉT")</f>
        <v>11.652173913043478</v>
      </c>
      <c r="AR15"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72.265199999999993</v>
      </c>
      <c r="AS15" s="287">
        <v>49.16</v>
      </c>
      <c r="AT15" s="287">
        <f>SUMIFS(Tb_HhPLAN[Hh DISC],Tb_HhPLAN[SS],TB_INTEGRADA[[#This Row],[Nº  SS]],Tb_HhPLAN[DISCIPLINA],"PINT")</f>
        <v>0</v>
      </c>
      <c r="AU15" s="404">
        <f>SUMIFS(Hh_EXE_TOTAL[Hh],Hh_EXE_TOTAL[Nº  SS],TB_INTEGRADA[[#This Row],[Nº  SS]],Hh_EXE_TOTAL[DISCIPLINA],"PINT")</f>
        <v>0</v>
      </c>
      <c r="AV15" s="400">
        <f>TB_INTEGRADA[[#This Row],[ORÇADO]]+TB_INTEGRADA[[#This Row],[ORÇADO1]]+TB_INTEGRADA[[#This Row],[ORÇADO2]]+TB_INTEGRADA[[#This Row],[ORÇADO3]]</f>
        <v>1145.8355999999999</v>
      </c>
      <c r="AW15" s="287">
        <f>TB_INTEGRADA[[#This Row],[PLANEJ]]+TB_INTEGRADA[[#This Row],[PLANEJ1]]+TB_INTEGRADA[[#This Row],[PLANEJ2]]+TB_INTEGRADA[[#This Row],[PLANEJ3]]</f>
        <v>1148</v>
      </c>
      <c r="AX15" s="287">
        <f>TB_INTEGRADA[[#This Row],[REALIZ]]+TB_INTEGRADA[[#This Row],[REALIZ1]]+TB_INTEGRADA[[#This Row],[REALIZ2]]+TB_INTEGRADA[[#This Row],[REALIZ3]]</f>
        <v>536</v>
      </c>
      <c r="AY15" s="417">
        <f>IFERROR(TB_INTEGRADA[[#This Row],[REALIZ4]]/TB_INTEGRADA[[#This Row],[ORÇADO4]],"")</f>
        <v>0.46778089282616114</v>
      </c>
      <c r="AZ15" s="341">
        <f>_xlfn.XLOOKUP(TB_INTEGRADA[[#This Row],[Nº  SS]],'CONTROLE EC'!B:B,'CONTROLE EC'!W:W,"",0,1)</f>
        <v>364522.26744000003</v>
      </c>
      <c r="BA15" s="342">
        <f>_xlfn.XLOOKUP(TB_INTEGRADA[[#This Row],[Nº  SS]],'CONTROLE EC'!B:B,'CONTROLE EC'!X:X,"",0,1)</f>
        <v>364522.26744000003</v>
      </c>
      <c r="BB15" s="343">
        <f>_xlfn.XLOOKUP(TB_INTEGRADA[[#This Row],[Nº  SS]],'CONTROLE EC'!B:B,'CONTROLE EC'!Y:Y,"",0,1)</f>
        <v>0</v>
      </c>
    </row>
    <row r="16" spans="1:54" hidden="1" x14ac:dyDescent="0.3">
      <c r="A16" s="340">
        <f>IF(COUNTIFS($B$5:B16,TB_INTEGRADA[[#This Row],[Nº  SS]])&lt;&gt;1,"",COUNTIFS($B$5:B16,TB_INTEGRADA[[#This Row],[Nº  SS]]))</f>
        <v>1</v>
      </c>
      <c r="B16" s="267" t="s">
        <v>55</v>
      </c>
      <c r="C16" s="269" t="str">
        <f>_xlfn.XLOOKUP(TB_INTEGRADA[[#This Row],[Nº  SS]],'CONTROLE EC'!B:B,'CONTROLE EC'!C:C,"",0,1)</f>
        <v>21-0007-ES - DESMONTAGEM DO GALPÃO DA UPCGN-1</v>
      </c>
      <c r="D16" s="18" t="str">
        <f>_xlfn.XLOOKUP(TB_INTEGRADA[[#This Row],[Nº  SS]],'CONTROLE CRONOG'!B:B,'CONTROLE CRONOG'!D:D,"",0,1)</f>
        <v>SERVIÇO</v>
      </c>
      <c r="E16" s="269" t="str">
        <f>_xlfn.XLOOKUP(TB_INTEGRADA[[#This Row],[Nº  SS]],'CONTROLE EC'!B:B,'CONTROLE EC'!E:E,"",0,1)</f>
        <v>UTGC</v>
      </c>
      <c r="F16" s="274" t="str">
        <f>_xlfn.XLOOKUP(TB_INTEGRADA[[#This Row],[Nº  SS]],'CONTROLE EC'!B:B,'CONTROLE EC'!F:F,"",0,1)</f>
        <v>CONCLUÍDA</v>
      </c>
      <c r="G16" s="275" t="str">
        <f>_xlfn.XLOOKUP(TB_INTEGRADA[[#This Row],[Nº  SS]],'CONTROLE EC'!B:B,'CONTROLE EC'!R:R,"",0,1)</f>
        <v>REV.06</v>
      </c>
      <c r="H16" s="276">
        <f>IF(TB_INTEGRADA[[#This Row],[REVISÃO (EC)]]="","",_xlfn.XLOOKUP(TB_INTEGRADA[[#This Row],[Nº  SS]],'CONTROLE EC'!B:B,'CONTROLE EC'!S:S,"",0,1))</f>
        <v>45932</v>
      </c>
      <c r="I16" s="276">
        <f>IF(TB_INTEGRADA[[#This Row],[REVISÃO (EC)]]="","",_xlfn.XLOOKUP(TB_INTEGRADA[[#This Row],[Nº  SS]],'CONTROLE EC'!B:B,'CONTROLE EC'!U:U,"",0,1))</f>
        <v>45932</v>
      </c>
      <c r="J16" s="276" t="str" cm="1">
        <f t="array" ref="J16">IF(TB_INTEGRADA[[#This Row],[DATA ENVIO. (EC)]]=IFERROR(INDEX('CONTROLE EC'!G16:Q16,MATCH(2,1/('CONTROLE EC'!G16:Q16&lt;&gt;""))),""),"",IFERROR(INDEX('CONTROLE EC'!G16:Q16,MATCH(2,1/('CONTROLE EC'!G16:Q16&lt;&gt;""))),""))</f>
        <v/>
      </c>
      <c r="K16" s="276" t="str">
        <f>IF(TB_INTEGRADA[[#This Row],[STATUS DEMANDA]]="NÃO EMITIDA SAMC","S/ EMISSÃO",_xlfn.XLOOKUP(TB_INTEGRADA[[#This Row],[Nº  SS]],'CONTROLE EC'!B:B,'CONTROLE EC'!T:T,"",0,-1))</f>
        <v>ENTREGUE</v>
      </c>
      <c r="L16"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16" s="15" cm="1">
        <f t="array" aca="1" ref="M16"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16" s="283" t="str">
        <f ca="1">IF(TB_INTEGRADA[[#This Row],[STATUS DEMANDA]]="NÃO EMITIDA SAMC","S/ EMISSÃO",IF(TB_INTEGRADA[[#This Row],[STATUS DEMANDA]]="ON HOLD","ON HOLD",IF(F16="CANCELADA","CANCELADA",IF(L16="REPROVADO","EM PLANEJ.",IF(K16&lt;&gt;"ENTREGUE","EM PLANEJ.",IF(H16="","EM PLANEJ.",IF(I16="","FISCALIZ.",IF(M16&lt;0,"EM PLANEJ.",IF(TB_INTEGRADA[[#This Row],[DATA APROV. (EC)]]&gt;=TB_INTEGRADA[[#This Row],[DATA ENVIO. (EC)]],"RETORNO OK","FISCALIZ.")))))))))</f>
        <v>RETORNO OK</v>
      </c>
      <c r="O16" s="275" t="str">
        <f>_xlfn.XLOOKUP(TB_INTEGRADA[[#This Row],[Nº  SS]],'CONTROLE CRONOG'!B:B,'CONTROLE CRONOG'!R:R,"",0,1)</f>
        <v>REV.04</v>
      </c>
      <c r="P16" s="276">
        <f>IF(TB_INTEGRADA[[#This Row],[REVISÃO (CR)]]="","",_xlfn.XLOOKUP(TB_INTEGRADA[[#This Row],[Nº  SS]],'CONTROLE CRONOG'!B:B,'CONTROLE CRONOG'!S:S,"",0,1))</f>
        <v>45923</v>
      </c>
      <c r="Q16" s="284">
        <f>IF(TB_INTEGRADA[[#This Row],[REVISÃO (CR)]]="","",_xlfn.XLOOKUP(TB_INTEGRADA[[#This Row],[Nº  SS]],'CONTROLE CRONOG'!B:B,'CONTROLE CRONOG'!U:U,"",0,1))</f>
        <v>45924</v>
      </c>
      <c r="R16" s="276" t="str" cm="1">
        <f t="array" ref="R16">IF(TB_INTEGRADA[[#This Row],[DATA ENVIO. (CR)]]=IFERROR(INDEX('CONTROLE CRONOG'!G16:Q16,MATCH(2,1/('CONTROLE CRONOG'!G16:Q16&lt;&gt;""))),""),"",IFERROR(INDEX('CONTROLE CRONOG'!G16:Q16,MATCH(2,1/('CONTROLE CRONOG'!G16:Q16&lt;&gt;""))),""))</f>
        <v/>
      </c>
      <c r="S16" s="276" t="str">
        <f>_xlfn.XLOOKUP(TB_INTEGRADA[[#This Row],[Nº  SS]],'CONTROLE CRONOG'!B:B,'CONTROLE CRONOG'!T:T,"",0,-1)</f>
        <v>ENTREGUE</v>
      </c>
      <c r="T16"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16" s="439"/>
      <c r="V16" s="285">
        <v>45968</v>
      </c>
      <c r="W16" s="276">
        <v>45989</v>
      </c>
      <c r="X16" s="286">
        <f>IFERROR(TB_INTEGRADA[[#This Row],[TÉRM. TD]]-TB_INTEGRADA[[#This Row],[TÉRMINO LB]],0)</f>
        <v>21</v>
      </c>
      <c r="Y16" s="91">
        <v>1</v>
      </c>
      <c r="Z16" s="91">
        <v>1</v>
      </c>
      <c r="AA16" s="91">
        <v>0</v>
      </c>
      <c r="AB16" s="91">
        <f>IFERROR(TB_INTEGRADA[[#This Row],[REAL (%)]]-TB_INTEGRADA[[#This Row],[PREV (%)]],0)</f>
        <v>0</v>
      </c>
      <c r="AC16" s="277"/>
      <c r="AD16" s="283"/>
      <c r="AE16" s="439"/>
      <c r="AF16"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2259.0518999999999</v>
      </c>
      <c r="AG16" s="287">
        <v>1536.77</v>
      </c>
      <c r="AH16" s="287">
        <f>SUMIFS(Tb_HhPLAN[Hh DISC],Tb_HhPLAN[SS],TB_INTEGRADA[[#This Row],[Nº  SS]],Tb_HhPLAN[DISCIPLINA],"MEC")</f>
        <v>897.85507246376812</v>
      </c>
      <c r="AI16" s="404">
        <f>SUMIFS(Hh_EXE_TOTAL[Hh],Hh_EXE_TOTAL[Nº  SS],TB_INTEGRADA[[#This Row],[Nº  SS]],Hh_EXE_TOTAL[DISCIPLINA],"MEC")</f>
        <v>1803.8333333333333</v>
      </c>
      <c r="AJ16"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16" s="287">
        <v>0</v>
      </c>
      <c r="AL16" s="287">
        <f>SUMIFS(Tb_HhPLAN[Hh DISC],Tb_HhPLAN[SS],TB_INTEGRADA[[#This Row],[Nº  SS]],Tb_HhPLAN[DISCIPLINA],"CIVIL")</f>
        <v>0</v>
      </c>
      <c r="AM16" s="404">
        <f>SUMIFS(Hh_EXE_TOTAL[Hh],Hh_EXE_TOTAL[Nº  SS],TB_INTEGRADA[[#This Row],[Nº  SS]],Hh_EXE_TOTAL[DISCIPLINA],"CIVIL")</f>
        <v>0</v>
      </c>
      <c r="AN16"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130.72710000000001</v>
      </c>
      <c r="AO16" s="287">
        <v>88.93</v>
      </c>
      <c r="AP16" s="287">
        <f>SUMIFS(Tb_HhPLAN[Hh DISC],Tb_HhPLAN[SS],TB_INTEGRADA[[#This Row],[Nº  SS]],Tb_HhPLAN[DISCIPLINA],"ELÉT")</f>
        <v>70.14492753623189</v>
      </c>
      <c r="AQ16" s="404">
        <f>SUMIFS(Hh_EXE_TOTAL[Hh],Hh_EXE_TOTAL[Nº  SS],TB_INTEGRADA[[#This Row],[Nº  SS]],Hh_EXE_TOTAL[DISCIPLINA],"ELÉT")</f>
        <v>92.166666666666657</v>
      </c>
      <c r="AR16"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16" s="287">
        <v>0</v>
      </c>
      <c r="AT16" s="287">
        <f>SUMIFS(Tb_HhPLAN[Hh DISC],Tb_HhPLAN[SS],TB_INTEGRADA[[#This Row],[Nº  SS]],Tb_HhPLAN[DISCIPLINA],"PINT")</f>
        <v>0</v>
      </c>
      <c r="AU16" s="404">
        <f>SUMIFS(Hh_EXE_TOTAL[Hh],Hh_EXE_TOTAL[Nº  SS],TB_INTEGRADA[[#This Row],[Nº  SS]],Hh_EXE_TOTAL[DISCIPLINA],"PINT")</f>
        <v>0</v>
      </c>
      <c r="AV16" s="400">
        <f>TB_INTEGRADA[[#This Row],[ORÇADO]]+TB_INTEGRADA[[#This Row],[ORÇADO1]]+TB_INTEGRADA[[#This Row],[ORÇADO2]]+TB_INTEGRADA[[#This Row],[ORÇADO3]]</f>
        <v>2389.779</v>
      </c>
      <c r="AW16" s="287">
        <f>TB_INTEGRADA[[#This Row],[PLANEJ]]+TB_INTEGRADA[[#This Row],[PLANEJ1]]+TB_INTEGRADA[[#This Row],[PLANEJ2]]+TB_INTEGRADA[[#This Row],[PLANEJ3]]</f>
        <v>968</v>
      </c>
      <c r="AX16" s="287">
        <f>TB_INTEGRADA[[#This Row],[REALIZ]]+TB_INTEGRADA[[#This Row],[REALIZ1]]+TB_INTEGRADA[[#This Row],[REALIZ2]]+TB_INTEGRADA[[#This Row],[REALIZ3]]</f>
        <v>1896</v>
      </c>
      <c r="AY16" s="417">
        <f>IFERROR(TB_INTEGRADA[[#This Row],[REALIZ4]]/TB_INTEGRADA[[#This Row],[ORÇADO4]],"")</f>
        <v>0.79337880197290211</v>
      </c>
      <c r="AZ16" s="341">
        <f>_xlfn.XLOOKUP(TB_INTEGRADA[[#This Row],[Nº  SS]],'CONTROLE EC'!B:B,'CONTROLE EC'!W:W,"",0,1)</f>
        <v>718931.28384000005</v>
      </c>
      <c r="BA16" s="342">
        <f>_xlfn.XLOOKUP(TB_INTEGRADA[[#This Row],[Nº  SS]],'CONTROLE EC'!B:B,'CONTROLE EC'!X:X,"",0,1)</f>
        <v>718931.28384000005</v>
      </c>
      <c r="BB16" s="343">
        <f>_xlfn.XLOOKUP(TB_INTEGRADA[[#This Row],[Nº  SS]],'CONTROLE EC'!B:B,'CONTROLE EC'!Y:Y,"",0,1)</f>
        <v>0</v>
      </c>
    </row>
    <row r="17" spans="1:54" x14ac:dyDescent="0.3">
      <c r="A17" s="340">
        <f>IF(COUNTIFS($B$5:B17,TB_INTEGRADA[[#This Row],[Nº  SS]])&lt;&gt;1,"",COUNTIFS($B$5:B17,TB_INTEGRADA[[#This Row],[Nº  SS]]))</f>
        <v>1</v>
      </c>
      <c r="B17" s="475" t="s">
        <v>56</v>
      </c>
      <c r="C17" s="476" t="str">
        <f>_xlfn.XLOOKUP(TB_INTEGRADA[[#This Row],[Nº  SS]],'CONTROLE EC'!B:B,'CONTROLE EC'!C:C,"",0,1)</f>
        <v>22-0496-ES - CONSTRUÇÃO DE ÁREA DE ESTOQUE DE MATERIAIS</v>
      </c>
      <c r="D17" s="18" t="str">
        <f>_xlfn.XLOOKUP(TB_INTEGRADA[[#This Row],[Nº  SS]],'CONTROLE CRONOG'!B:B,'CONTROLE CRONOG'!D:D,"",0,1)</f>
        <v>SERVIÇO</v>
      </c>
      <c r="E17" s="476" t="str">
        <f>_xlfn.XLOOKUP(TB_INTEGRADA[[#This Row],[Nº  SS]],'CONTROLE EC'!B:B,'CONTROLE EC'!E:E,"",0,1)</f>
        <v>UTGC</v>
      </c>
      <c r="F17" s="477" t="str">
        <f>_xlfn.XLOOKUP(TB_INTEGRADA[[#This Row],[Nº  SS]],'CONTROLE EC'!B:B,'CONTROLE EC'!F:F,"",0,1)</f>
        <v>EM ANDAMENTO</v>
      </c>
      <c r="G17" s="275" t="str">
        <f>_xlfn.XLOOKUP(TB_INTEGRADA[[#This Row],[Nº  SS]],'CONTROLE EC'!B:B,'CONTROLE EC'!R:R,"",0,1)</f>
        <v>REV.02</v>
      </c>
      <c r="H17" s="276">
        <f>IF(TB_INTEGRADA[[#This Row],[REVISÃO (EC)]]="","",_xlfn.XLOOKUP(TB_INTEGRADA[[#This Row],[Nº  SS]],'CONTROLE EC'!B:B,'CONTROLE EC'!S:S,"",0,1))</f>
        <v>45951</v>
      </c>
      <c r="I17" s="276">
        <f>IF(TB_INTEGRADA[[#This Row],[REVISÃO (EC)]]="","",_xlfn.XLOOKUP(TB_INTEGRADA[[#This Row],[Nº  SS]],'CONTROLE EC'!B:B,'CONTROLE EC'!U:U,"",0,1))</f>
        <v>45952</v>
      </c>
      <c r="J17" s="276" t="str" cm="1">
        <f t="array" ref="J17">IF(TB_INTEGRADA[[#This Row],[DATA ENVIO. (EC)]]=IFERROR(INDEX('CONTROLE EC'!G17:Q17,MATCH(2,1/('CONTROLE EC'!G17:Q17&lt;&gt;""))),""),"",IFERROR(INDEX('CONTROLE EC'!G17:Q17,MATCH(2,1/('CONTROLE EC'!G17:Q17&lt;&gt;""))),""))</f>
        <v/>
      </c>
      <c r="K17" s="276" t="str">
        <f>IF(TB_INTEGRADA[[#This Row],[STATUS DEMANDA]]="NÃO EMITIDA SAMC","S/ EMISSÃO",_xlfn.XLOOKUP(TB_INTEGRADA[[#This Row],[Nº  SS]],'CONTROLE EC'!B:B,'CONTROLE EC'!T:T,"",0,-1))</f>
        <v>ENTREGUE</v>
      </c>
      <c r="L17"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17" s="15" cm="1">
        <f t="array" aca="1" ref="M17"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17" s="283" t="str">
        <f ca="1">IF(TB_INTEGRADA[[#This Row],[STATUS DEMANDA]]="NÃO EMITIDA SAMC","S/ EMISSÃO",IF(TB_INTEGRADA[[#This Row],[STATUS DEMANDA]]="ON HOLD","ON HOLD",IF(F17="CANCELADA","CANCELADA",IF(L17="REPROVADO","EM PLANEJ.",IF(K17&lt;&gt;"ENTREGUE","EM PLANEJ.",IF(H17="","EM PLANEJ.",IF(I17="","FISCALIZ.",IF(M17&lt;0,"EM PLANEJ.",IF(TB_INTEGRADA[[#This Row],[DATA APROV. (EC)]]&gt;=TB_INTEGRADA[[#This Row],[DATA ENVIO. (EC)]],"RETORNO OK","FISCALIZ.")))))))))</f>
        <v>RETORNO OK</v>
      </c>
      <c r="O17" s="275" t="str">
        <f>_xlfn.XLOOKUP(TB_INTEGRADA[[#This Row],[Nº  SS]],'CONTROLE CRONOG'!B:B,'CONTROLE CRONOG'!R:R,"",0,1)</f>
        <v>REV.01</v>
      </c>
      <c r="P17" s="276">
        <f>IF(TB_INTEGRADA[[#This Row],[REVISÃO (CR)]]="","",_xlfn.XLOOKUP(TB_INTEGRADA[[#This Row],[Nº  SS]],'CONTROLE CRONOG'!B:B,'CONTROLE CRONOG'!S:S,"",0,1))</f>
        <v>45937</v>
      </c>
      <c r="Q17" s="284">
        <f>IF(TB_INTEGRADA[[#This Row],[REVISÃO (CR)]]="","",_xlfn.XLOOKUP(TB_INTEGRADA[[#This Row],[Nº  SS]],'CONTROLE CRONOG'!B:B,'CONTROLE CRONOG'!U:U,"",0,1))</f>
        <v>45950</v>
      </c>
      <c r="R17" s="276" t="str" cm="1">
        <f t="array" ref="R17">IF(TB_INTEGRADA[[#This Row],[DATA ENVIO. (CR)]]=IFERROR(INDEX('CONTROLE CRONOG'!G17:Q17,MATCH(2,1/('CONTROLE CRONOG'!G17:Q17&lt;&gt;""))),""),"",IFERROR(INDEX('CONTROLE CRONOG'!G17:Q17,MATCH(2,1/('CONTROLE CRONOG'!G17:Q17&lt;&gt;""))),""))</f>
        <v/>
      </c>
      <c r="S17" s="276" t="str">
        <f>_xlfn.XLOOKUP(TB_INTEGRADA[[#This Row],[Nº  SS]],'CONTROLE CRONOG'!B:B,'CONTROLE CRONOG'!T:T,"",0,-1)</f>
        <v>ENTREGUE</v>
      </c>
      <c r="T17"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17" s="440"/>
      <c r="V17" s="285">
        <v>46106</v>
      </c>
      <c r="W17" s="276">
        <v>46120</v>
      </c>
      <c r="X17" s="286">
        <f>IFERROR(TB_INTEGRADA[[#This Row],[TÉRM. TD]]-TB_INTEGRADA[[#This Row],[TÉRMINO LB]],0)</f>
        <v>14</v>
      </c>
      <c r="Y17" s="91">
        <v>0.96989999999999998</v>
      </c>
      <c r="Z17" s="91">
        <v>0.72370000000000001</v>
      </c>
      <c r="AA17" s="91">
        <v>-0.15039999999999998</v>
      </c>
      <c r="AB17" s="91">
        <f>IFERROR(TB_INTEGRADA[[#This Row],[REAL (%)]]-TB_INTEGRADA[[#This Row],[PREV (%)]],0)</f>
        <v>-0.24619999999999997</v>
      </c>
      <c r="AC17" s="277">
        <v>9</v>
      </c>
      <c r="AD17" s="283">
        <v>12</v>
      </c>
      <c r="AE17" s="440"/>
      <c r="AF17"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576.18119999999999</v>
      </c>
      <c r="AG17" s="287">
        <v>391.96</v>
      </c>
      <c r="AH17" s="287">
        <f>SUMIFS(Tb_HhPLAN[Hh DISC],Tb_HhPLAN[SS],TB_INTEGRADA[[#This Row],[Nº  SS]],Tb_HhPLAN[DISCIPLINA],"MEC")</f>
        <v>765.99206349206349</v>
      </c>
      <c r="AI17" s="404">
        <f>SUMIFS(Hh_EXE_TOTAL[Hh],Hh_EXE_TOTAL[Nº  SS],TB_INTEGRADA[[#This Row],[Nº  SS]],Hh_EXE_TOTAL[DISCIPLINA],"MEC")</f>
        <v>736.42105263157896</v>
      </c>
      <c r="AJ17"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852.15899999999988</v>
      </c>
      <c r="AK17" s="287">
        <v>579.69999999999993</v>
      </c>
      <c r="AL17" s="287">
        <f>SUMIFS(Tb_HhPLAN[Hh DISC],Tb_HhPLAN[SS],TB_INTEGRADA[[#This Row],[Nº  SS]],Tb_HhPLAN[DISCIPLINA],"CIVIL")</f>
        <v>702.81746031746036</v>
      </c>
      <c r="AM17" s="404">
        <f>SUMIFS(Hh_EXE_TOTAL[Hh],Hh_EXE_TOTAL[Nº  SS],TB_INTEGRADA[[#This Row],[Nº  SS]],Hh_EXE_TOTAL[DISCIPLINA],"CIVIL")</f>
        <v>986.52631578947376</v>
      </c>
      <c r="AN17"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2684.6756999999998</v>
      </c>
      <c r="AO17" s="287">
        <v>1826.31</v>
      </c>
      <c r="AP17" s="287">
        <f>SUMIFS(Tb_HhPLAN[Hh DISC],Tb_HhPLAN[SS],TB_INTEGRADA[[#This Row],[Nº  SS]],Tb_HhPLAN[DISCIPLINA],"ELÉT")</f>
        <v>521.19047619047615</v>
      </c>
      <c r="AQ17" s="404">
        <f>SUMIFS(Hh_EXE_TOTAL[Hh],Hh_EXE_TOTAL[Nº  SS],TB_INTEGRADA[[#This Row],[Nº  SS]],Hh_EXE_TOTAL[DISCIPLINA],"ELÉT")</f>
        <v>389.0526315789474</v>
      </c>
      <c r="AR17"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42.923999999999999</v>
      </c>
      <c r="AS17" s="287">
        <v>29.2</v>
      </c>
      <c r="AT17" s="287">
        <f>SUMIFS(Tb_HhPLAN[Hh DISC],Tb_HhPLAN[SS],TB_INTEGRADA[[#This Row],[Nº  SS]],Tb_HhPLAN[DISCIPLINA],"PINT")</f>
        <v>0</v>
      </c>
      <c r="AU17" s="404">
        <f>SUMIFS(Hh_EXE_TOTAL[Hh],Hh_EXE_TOTAL[Nº  SS],TB_INTEGRADA[[#This Row],[Nº  SS]],Hh_EXE_TOTAL[DISCIPLINA],"PINT")</f>
        <v>0</v>
      </c>
      <c r="AV17" s="400">
        <f>TB_INTEGRADA[[#This Row],[ORÇADO]]+TB_INTEGRADA[[#This Row],[ORÇADO1]]+TB_INTEGRADA[[#This Row],[ORÇADO2]]+TB_INTEGRADA[[#This Row],[ORÇADO3]]</f>
        <v>4155.9398999999994</v>
      </c>
      <c r="AW17" s="287">
        <f>TB_INTEGRADA[[#This Row],[PLANEJ]]+TB_INTEGRADA[[#This Row],[PLANEJ1]]+TB_INTEGRADA[[#This Row],[PLANEJ2]]+TB_INTEGRADA[[#This Row],[PLANEJ3]]</f>
        <v>1990</v>
      </c>
      <c r="AX17" s="287">
        <f>TB_INTEGRADA[[#This Row],[REALIZ]]+TB_INTEGRADA[[#This Row],[REALIZ1]]+TB_INTEGRADA[[#This Row],[REALIZ2]]+TB_INTEGRADA[[#This Row],[REALIZ3]]</f>
        <v>2112</v>
      </c>
      <c r="AY17" s="417">
        <f>IFERROR(TB_INTEGRADA[[#This Row],[REALIZ4]]/TB_INTEGRADA[[#This Row],[ORÇADO4]],"")</f>
        <v>0.50818829213579342</v>
      </c>
      <c r="AZ17" s="341">
        <f>_xlfn.XLOOKUP(TB_INTEGRADA[[#This Row],[Nº  SS]],'CONTROLE EC'!B:B,'CONTROLE EC'!W:W,"",0,1)</f>
        <v>1144868.57748</v>
      </c>
      <c r="BA17" s="342">
        <f>_xlfn.XLOOKUP(TB_INTEGRADA[[#This Row],[Nº  SS]],'CONTROLE EC'!B:B,'CONTROLE EC'!X:X,"",0,1)</f>
        <v>457946.06561999995</v>
      </c>
      <c r="BB17" s="343">
        <f>_xlfn.XLOOKUP(TB_INTEGRADA[[#This Row],[Nº  SS]],'CONTROLE EC'!B:B,'CONTROLE EC'!Y:Y,"",0,1)</f>
        <v>686922.51185999997</v>
      </c>
    </row>
    <row r="18" spans="1:54" hidden="1" x14ac:dyDescent="0.3">
      <c r="A18" s="340">
        <f>IF(COUNTIFS($B$5:B18,TB_INTEGRADA[[#This Row],[Nº  SS]])&lt;&gt;1,"",COUNTIFS($B$5:B18,TB_INTEGRADA[[#This Row],[Nº  SS]]))</f>
        <v>1</v>
      </c>
      <c r="B18" s="267" t="s">
        <v>57</v>
      </c>
      <c r="C18" s="269" t="str">
        <f>_xlfn.XLOOKUP(TB_INTEGRADA[[#This Row],[Nº  SS]],'CONTROLE EC'!B:B,'CONTROLE EC'!C:C,"",0,1)</f>
        <v>23-0496-ES - ADEQUAÇÃO DOS SANITÁRIOS COLETIVOS - TORRES LESTE E OESTE</v>
      </c>
      <c r="D18" s="18" t="str">
        <f>_xlfn.XLOOKUP(TB_INTEGRADA[[#This Row],[Nº  SS]],'CONTROLE CRONOG'!B:B,'CONTROLE CRONOG'!D:D,"",0,1)</f>
        <v>SERVIÇO</v>
      </c>
      <c r="E18" s="269" t="str">
        <f>_xlfn.XLOOKUP(TB_INTEGRADA[[#This Row],[Nº  SS]],'CONTROLE EC'!B:B,'CONTROLE EC'!E:E,"",0,1)</f>
        <v>EDIVIT</v>
      </c>
      <c r="F18" s="274" t="str">
        <f>_xlfn.XLOOKUP(TB_INTEGRADA[[#This Row],[Nº  SS]],'CONTROLE EC'!B:B,'CONTROLE EC'!F:F,"",0,1)</f>
        <v>ON HOLD</v>
      </c>
      <c r="G18" s="275" t="str">
        <f>_xlfn.XLOOKUP(TB_INTEGRADA[[#This Row],[Nº  SS]],'CONTROLE EC'!B:B,'CONTROLE EC'!R:R,"",0,1)</f>
        <v>REV.03</v>
      </c>
      <c r="H18" s="276">
        <f>IF(TB_INTEGRADA[[#This Row],[REVISÃO (EC)]]="","",_xlfn.XLOOKUP(TB_INTEGRADA[[#This Row],[Nº  SS]],'CONTROLE EC'!B:B,'CONTROLE EC'!S:S,"",0,1))</f>
        <v>45986</v>
      </c>
      <c r="I18" s="276">
        <f>IF(TB_INTEGRADA[[#This Row],[REVISÃO (EC)]]="","",_xlfn.XLOOKUP(TB_INTEGRADA[[#This Row],[Nº  SS]],'CONTROLE EC'!B:B,'CONTROLE EC'!U:U,"",0,1))</f>
        <v>45980</v>
      </c>
      <c r="J18" s="276" t="str" cm="1">
        <f t="array" ref="J18">IF(TB_INTEGRADA[[#This Row],[DATA ENVIO. (EC)]]=IFERROR(INDEX('CONTROLE EC'!G18:Q18,MATCH(2,1/('CONTROLE EC'!G18:Q18&lt;&gt;""))),""),"",IFERROR(INDEX('CONTROLE EC'!G18:Q18,MATCH(2,1/('CONTROLE EC'!G18:Q18&lt;&gt;""))),""))</f>
        <v/>
      </c>
      <c r="K18" s="276" t="str">
        <f>IF(TB_INTEGRADA[[#This Row],[STATUS DEMANDA]]="NÃO EMITIDA SAMC","S/ EMISSÃO",_xlfn.XLOOKUP(TB_INTEGRADA[[#This Row],[Nº  SS]],'CONTROLE EC'!B:B,'CONTROLE EC'!T:T,"",0,-1))</f>
        <v>ENTREGUE</v>
      </c>
      <c r="L18"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ON HOLD</v>
      </c>
      <c r="M18" s="15" cm="1">
        <f t="array" aca="1" ref="M18"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122</v>
      </c>
      <c r="N18" s="283" t="str">
        <f>IF(TB_INTEGRADA[[#This Row],[STATUS DEMANDA]]="NÃO EMITIDA SAMC","S/ EMISSÃO",IF(TB_INTEGRADA[[#This Row],[STATUS DEMANDA]]="ON HOLD","ON HOLD",IF(F18="CANCELADA","CANCELADA",IF(L18="REPROVADO","EM PLANEJ.",IF(K18&lt;&gt;"ENTREGUE","EM PLANEJ.",IF(H18="","EM PLANEJ.",IF(I18="","FISCALIZ.",IF(M18&lt;0,"EM PLANEJ.",IF(TB_INTEGRADA[[#This Row],[DATA APROV. (EC)]]&gt;=TB_INTEGRADA[[#This Row],[DATA ENVIO. (EC)]],"RETORNO OK","FISCALIZ.")))))))))</f>
        <v>ON HOLD</v>
      </c>
      <c r="O18" s="275" t="str">
        <f>_xlfn.XLOOKUP(TB_INTEGRADA[[#This Row],[Nº  SS]],'CONTROLE CRONOG'!B:B,'CONTROLE CRONOG'!R:R,"",0,1)</f>
        <v>REV.02</v>
      </c>
      <c r="P18" s="276">
        <f>IF(TB_INTEGRADA[[#This Row],[REVISÃO (CR)]]="","",_xlfn.XLOOKUP(TB_INTEGRADA[[#This Row],[Nº  SS]],'CONTROLE CRONOG'!B:B,'CONTROLE CRONOG'!S:S,"",0,1))</f>
        <v>45986</v>
      </c>
      <c r="Q18" s="284">
        <f>IF(TB_INTEGRADA[[#This Row],[REVISÃO (CR)]]="","",_xlfn.XLOOKUP(TB_INTEGRADA[[#This Row],[Nº  SS]],'CONTROLE CRONOG'!B:B,'CONTROLE CRONOG'!U:U,"",0,1))</f>
        <v>45944</v>
      </c>
      <c r="R18" s="276" t="str" cm="1">
        <f t="array" ref="R18">IF(TB_INTEGRADA[[#This Row],[DATA ENVIO. (CR)]]=IFERROR(INDEX('CONTROLE CRONOG'!G18:Q18,MATCH(2,1/('CONTROLE CRONOG'!G18:Q18&lt;&gt;""))),""),"",IFERROR(INDEX('CONTROLE CRONOG'!G18:Q18,MATCH(2,1/('CONTROLE CRONOG'!G18:Q18&lt;&gt;""))),""))</f>
        <v/>
      </c>
      <c r="S18" s="276" t="str">
        <f>_xlfn.XLOOKUP(TB_INTEGRADA[[#This Row],[Nº  SS]],'CONTROLE CRONOG'!B:B,'CONTROLE CRONOG'!T:T,"",0,-1)</f>
        <v>ENTREGUE</v>
      </c>
      <c r="T18"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ON HOLD</v>
      </c>
      <c r="U18" s="439"/>
      <c r="V18" s="285"/>
      <c r="W18" s="276"/>
      <c r="X18" s="286">
        <f>IFERROR(TB_INTEGRADA[[#This Row],[TÉRM. TD]]-TB_INTEGRADA[[#This Row],[TÉRMINO LB]],0)</f>
        <v>0</v>
      </c>
      <c r="Y18" s="91"/>
      <c r="Z18" s="91"/>
      <c r="AA18" s="91">
        <v>0</v>
      </c>
      <c r="AB18" s="91">
        <f>IFERROR(TB_INTEGRADA[[#This Row],[REAL (%)]]-TB_INTEGRADA[[#This Row],[PREV (%)]],0)</f>
        <v>0</v>
      </c>
      <c r="AC18" s="277"/>
      <c r="AD18" s="283"/>
      <c r="AE18" s="439"/>
      <c r="AF18"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0</v>
      </c>
      <c r="AG18" s="287"/>
      <c r="AH18" s="287">
        <f>SUMIFS(Tb_HhPLAN[Hh DISC],Tb_HhPLAN[SS],TB_INTEGRADA[[#This Row],[Nº  SS]],Tb_HhPLAN[DISCIPLINA],"MEC")</f>
        <v>0</v>
      </c>
      <c r="AI18" s="404">
        <f>SUMIFS(Hh_EXE_TOTAL[Hh],Hh_EXE_TOTAL[Nº  SS],TB_INTEGRADA[[#This Row],[Nº  SS]],Hh_EXE_TOTAL[DISCIPLINA],"MEC")</f>
        <v>0</v>
      </c>
      <c r="AJ18"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18" s="287"/>
      <c r="AL18" s="287">
        <f>SUMIFS(Tb_HhPLAN[Hh DISC],Tb_HhPLAN[SS],TB_INTEGRADA[[#This Row],[Nº  SS]],Tb_HhPLAN[DISCIPLINA],"CIVIL")</f>
        <v>9462.8451186772909</v>
      </c>
      <c r="AM18" s="404">
        <f>SUMIFS(Hh_EXE_TOTAL[Hh],Hh_EXE_TOTAL[Nº  SS],TB_INTEGRADA[[#This Row],[Nº  SS]],Hh_EXE_TOTAL[DISCIPLINA],"CIVIL")</f>
        <v>0</v>
      </c>
      <c r="AN18"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0</v>
      </c>
      <c r="AO18" s="287"/>
      <c r="AP18" s="287">
        <f>SUMIFS(Tb_HhPLAN[Hh DISC],Tb_HhPLAN[SS],TB_INTEGRADA[[#This Row],[Nº  SS]],Tb_HhPLAN[DISCIPLINA],"ELÉT")</f>
        <v>110.55488132270847</v>
      </c>
      <c r="AQ18" s="404">
        <f>SUMIFS(Hh_EXE_TOTAL[Hh],Hh_EXE_TOTAL[Nº  SS],TB_INTEGRADA[[#This Row],[Nº  SS]],Hh_EXE_TOTAL[DISCIPLINA],"ELÉT")</f>
        <v>0</v>
      </c>
      <c r="AR18"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18" s="287"/>
      <c r="AT18" s="287">
        <f>SUMIFS(Tb_HhPLAN[Hh DISC],Tb_HhPLAN[SS],TB_INTEGRADA[[#This Row],[Nº  SS]],Tb_HhPLAN[DISCIPLINA],"PINT")</f>
        <v>0</v>
      </c>
      <c r="AU18" s="404">
        <f>SUMIFS(Hh_EXE_TOTAL[Hh],Hh_EXE_TOTAL[Nº  SS],TB_INTEGRADA[[#This Row],[Nº  SS]],Hh_EXE_TOTAL[DISCIPLINA],"PINT")</f>
        <v>0</v>
      </c>
      <c r="AV18" s="400">
        <f>TB_INTEGRADA[[#This Row],[ORÇADO]]+TB_INTEGRADA[[#This Row],[ORÇADO1]]+TB_INTEGRADA[[#This Row],[ORÇADO2]]+TB_INTEGRADA[[#This Row],[ORÇADO3]]</f>
        <v>0</v>
      </c>
      <c r="AW18" s="287">
        <f>TB_INTEGRADA[[#This Row],[PLANEJ]]+TB_INTEGRADA[[#This Row],[PLANEJ1]]+TB_INTEGRADA[[#This Row],[PLANEJ2]]+TB_INTEGRADA[[#This Row],[PLANEJ3]]</f>
        <v>9573.4</v>
      </c>
      <c r="AX18" s="287">
        <f>TB_INTEGRADA[[#This Row],[REALIZ]]+TB_INTEGRADA[[#This Row],[REALIZ1]]+TB_INTEGRADA[[#This Row],[REALIZ2]]+TB_INTEGRADA[[#This Row],[REALIZ3]]</f>
        <v>0</v>
      </c>
      <c r="AY18" s="417" t="str">
        <f>IFERROR(TB_INTEGRADA[[#This Row],[REALIZ4]]/TB_INTEGRADA[[#This Row],[ORÇADO4]],"")</f>
        <v/>
      </c>
      <c r="AZ18" s="341">
        <f>_xlfn.XLOOKUP(TB_INTEGRADA[[#This Row],[Nº  SS]],'CONTROLE EC'!B:B,'CONTROLE EC'!W:W,"",0,1)</f>
        <v>0</v>
      </c>
      <c r="BA18" s="342">
        <f>_xlfn.XLOOKUP(TB_INTEGRADA[[#This Row],[Nº  SS]],'CONTROLE EC'!B:B,'CONTROLE EC'!X:X,"",0,1)</f>
        <v>0</v>
      </c>
      <c r="BB18" s="343">
        <f>_xlfn.XLOOKUP(TB_INTEGRADA[[#This Row],[Nº  SS]],'CONTROLE EC'!B:B,'CONTROLE EC'!Y:Y,"",0,1)</f>
        <v>0</v>
      </c>
    </row>
    <row r="19" spans="1:54" x14ac:dyDescent="0.3">
      <c r="A19" s="340">
        <f>IF(COUNTIFS($B$5:B19,TB_INTEGRADA[[#This Row],[Nº  SS]])&lt;&gt;1,"",COUNTIFS($B$5:B19,TB_INTEGRADA[[#This Row],[Nº  SS]]))</f>
        <v>1</v>
      </c>
      <c r="B19" s="267" t="s">
        <v>58</v>
      </c>
      <c r="C19" s="269" t="str">
        <f>_xlfn.XLOOKUP(TB_INTEGRADA[[#This Row],[Nº  SS]],'CONTROLE EC'!B:B,'CONTROLE EC'!C:C,"",0,1)</f>
        <v>23-0052-ES - MANUTENÇÃO DAS TORRES DE RESFRIAMENTO</v>
      </c>
      <c r="D19" s="18" t="str">
        <f>_xlfn.XLOOKUP(TB_INTEGRADA[[#This Row],[Nº  SS]],'CONTROLE CRONOG'!B:B,'CONTROLE CRONOG'!D:D,"",0,1)</f>
        <v>SERVIÇO</v>
      </c>
      <c r="E19" s="269" t="str">
        <f>_xlfn.XLOOKUP(TB_INTEGRADA[[#This Row],[Nº  SS]],'CONTROLE EC'!B:B,'CONTROLE EC'!E:E,"",0,1)</f>
        <v>EDIVIT</v>
      </c>
      <c r="F19" s="274" t="str">
        <f>_xlfn.XLOOKUP(TB_INTEGRADA[[#This Row],[Nº  SS]],'CONTROLE EC'!B:B,'CONTROLE EC'!F:F,"",0,1)</f>
        <v>EM ANDAMENTO</v>
      </c>
      <c r="G19" s="275" t="str">
        <f>_xlfn.XLOOKUP(TB_INTEGRADA[[#This Row],[Nº  SS]],'CONTROLE EC'!B:B,'CONTROLE EC'!R:R,"",0,1)</f>
        <v>REV.02</v>
      </c>
      <c r="H19" s="276">
        <f>IF(TB_INTEGRADA[[#This Row],[REVISÃO (EC)]]="","",_xlfn.XLOOKUP(TB_INTEGRADA[[#This Row],[Nº  SS]],'CONTROLE EC'!B:B,'CONTROLE EC'!S:S,"",0,1))</f>
        <v>45951</v>
      </c>
      <c r="I19" s="276">
        <f>IF(TB_INTEGRADA[[#This Row],[REVISÃO (EC)]]="","",_xlfn.XLOOKUP(TB_INTEGRADA[[#This Row],[Nº  SS]],'CONTROLE EC'!B:B,'CONTROLE EC'!U:U,"",0,1))</f>
        <v>45951</v>
      </c>
      <c r="J19" s="276" t="str" cm="1">
        <f t="array" ref="J19">IF(TB_INTEGRADA[[#This Row],[DATA ENVIO. (EC)]]=IFERROR(INDEX('CONTROLE EC'!G19:Q19,MATCH(2,1/('CONTROLE EC'!G19:Q19&lt;&gt;""))),""),"",IFERROR(INDEX('CONTROLE EC'!G19:Q19,MATCH(2,1/('CONTROLE EC'!G19:Q19&lt;&gt;""))),""))</f>
        <v/>
      </c>
      <c r="K19" s="276" t="str">
        <f>IF(TB_INTEGRADA[[#This Row],[STATUS DEMANDA]]="NÃO EMITIDA SAMC","S/ EMISSÃO",_xlfn.XLOOKUP(TB_INTEGRADA[[#This Row],[Nº  SS]],'CONTROLE EC'!B:B,'CONTROLE EC'!T:T,"",0,-1))</f>
        <v>ENTREGUE</v>
      </c>
      <c r="L19"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19" s="15" cm="1">
        <f t="array" aca="1" ref="M19"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19" s="283" t="str">
        <f ca="1">IF(TB_INTEGRADA[[#This Row],[STATUS DEMANDA]]="NÃO EMITIDA SAMC","S/ EMISSÃO",IF(TB_INTEGRADA[[#This Row],[STATUS DEMANDA]]="ON HOLD","ON HOLD",IF(F19="CANCELADA","CANCELADA",IF(L19="REPROVADO","EM PLANEJ.",IF(K19&lt;&gt;"ENTREGUE","EM PLANEJ.",IF(H19="","EM PLANEJ.",IF(I19="","FISCALIZ.",IF(M19&lt;0,"EM PLANEJ.",IF(TB_INTEGRADA[[#This Row],[DATA APROV. (EC)]]&gt;=TB_INTEGRADA[[#This Row],[DATA ENVIO. (EC)]],"RETORNO OK","FISCALIZ.")))))))))</f>
        <v>RETORNO OK</v>
      </c>
      <c r="O19" s="275" t="str">
        <f>_xlfn.XLOOKUP(TB_INTEGRADA[[#This Row],[Nº  SS]],'CONTROLE CRONOG'!B:B,'CONTROLE CRONOG'!R:R,"",0,1)</f>
        <v>REV.02</v>
      </c>
      <c r="P19" s="276">
        <f>IF(TB_INTEGRADA[[#This Row],[REVISÃO (CR)]]="","",_xlfn.XLOOKUP(TB_INTEGRADA[[#This Row],[Nº  SS]],'CONTROLE CRONOG'!B:B,'CONTROLE CRONOG'!S:S,"",0,1))</f>
        <v>45950</v>
      </c>
      <c r="Q19" s="284">
        <f>IF(TB_INTEGRADA[[#This Row],[REVISÃO (CR)]]="","",_xlfn.XLOOKUP(TB_INTEGRADA[[#This Row],[Nº  SS]],'CONTROLE CRONOG'!B:B,'CONTROLE CRONOG'!U:U,"",0,1))</f>
        <v>45951</v>
      </c>
      <c r="R19" s="276" t="str" cm="1">
        <f t="array" ref="R19">IF(TB_INTEGRADA[[#This Row],[DATA ENVIO. (CR)]]=IFERROR(INDEX('CONTROLE CRONOG'!G19:Q19,MATCH(2,1/('CONTROLE CRONOG'!G19:Q19&lt;&gt;""))),""),"",IFERROR(INDEX('CONTROLE CRONOG'!G19:Q19,MATCH(2,1/('CONTROLE CRONOG'!G19:Q19&lt;&gt;""))),""))</f>
        <v/>
      </c>
      <c r="S19" s="276" t="str">
        <f>_xlfn.XLOOKUP(TB_INTEGRADA[[#This Row],[Nº  SS]],'CONTROLE CRONOG'!B:B,'CONTROLE CRONOG'!T:T,"",0,-1)</f>
        <v>ENTREGUE</v>
      </c>
      <c r="T19"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19" s="439"/>
      <c r="V19" s="285">
        <v>46251</v>
      </c>
      <c r="W19" s="276">
        <v>46238</v>
      </c>
      <c r="X19" s="286">
        <f>IFERROR(TB_INTEGRADA[[#This Row],[TÉRM. TD]]-TB_INTEGRADA[[#This Row],[TÉRMINO LB]],0)</f>
        <v>-13</v>
      </c>
      <c r="Y19" s="91">
        <v>0.45600000000000002</v>
      </c>
      <c r="Z19" s="91">
        <v>0.5504</v>
      </c>
      <c r="AA19" s="91">
        <v>9.9499999999999977E-2</v>
      </c>
      <c r="AB19" s="91">
        <f>IFERROR(TB_INTEGRADA[[#This Row],[REAL (%)]]-TB_INTEGRADA[[#This Row],[PREV (%)]],0)</f>
        <v>9.4399999999999984E-2</v>
      </c>
      <c r="AC19" s="277">
        <v>0</v>
      </c>
      <c r="AD19" s="283">
        <v>7</v>
      </c>
      <c r="AE19" s="439"/>
      <c r="AF19"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2163.0120000000002</v>
      </c>
      <c r="AG19" s="287">
        <v>1567.4</v>
      </c>
      <c r="AH19" s="287">
        <f>SUMIFS(Tb_HhPLAN[Hh DISC],Tb_HhPLAN[SS],TB_INTEGRADA[[#This Row],[Nº  SS]],Tb_HhPLAN[DISCIPLINA],"MEC")</f>
        <v>985.20634920634916</v>
      </c>
      <c r="AI19" s="404">
        <f>SUMIFS(Hh_EXE_TOTAL[Hh],Hh_EXE_TOTAL[Nº  SS],TB_INTEGRADA[[#This Row],[Nº  SS]],Hh_EXE_TOTAL[DISCIPLINA],"MEC")</f>
        <v>2030.344827586207</v>
      </c>
      <c r="AJ19"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19" s="287">
        <v>0</v>
      </c>
      <c r="AL19" s="287">
        <f>SUMIFS(Tb_HhPLAN[Hh DISC],Tb_HhPLAN[SS],TB_INTEGRADA[[#This Row],[Nº  SS]],Tb_HhPLAN[DISCIPLINA],"CIVIL")</f>
        <v>0</v>
      </c>
      <c r="AM19" s="404">
        <f>SUMIFS(Hh_EXE_TOTAL[Hh],Hh_EXE_TOTAL[Nº  SS],TB_INTEGRADA[[#This Row],[Nº  SS]],Hh_EXE_TOTAL[DISCIPLINA],"CIVIL")</f>
        <v>0</v>
      </c>
      <c r="AN19"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2163.8399999999997</v>
      </c>
      <c r="AO19" s="287">
        <v>1568</v>
      </c>
      <c r="AP19" s="287">
        <f>SUMIFS(Tb_HhPLAN[Hh DISC],Tb_HhPLAN[SS],TB_INTEGRADA[[#This Row],[Nº  SS]],Tb_HhPLAN[DISCIPLINA],"ELÉT")</f>
        <v>66.793650793650784</v>
      </c>
      <c r="AQ19" s="404">
        <f>SUMIFS(Hh_EXE_TOTAL[Hh],Hh_EXE_TOTAL[Nº  SS],TB_INTEGRADA[[#This Row],[Nº  SS]],Hh_EXE_TOTAL[DISCIPLINA],"ELÉT")</f>
        <v>17.655172413793103</v>
      </c>
      <c r="AR19"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841.74479999999994</v>
      </c>
      <c r="AS19" s="287">
        <v>609.96</v>
      </c>
      <c r="AT19" s="287">
        <f>SUMIFS(Tb_HhPLAN[Hh DISC],Tb_HhPLAN[SS],TB_INTEGRADA[[#This Row],[Nº  SS]],Tb_HhPLAN[DISCIPLINA],"PINT")</f>
        <v>0</v>
      </c>
      <c r="AU19" s="404">
        <f>SUMIFS(Hh_EXE_TOTAL[Hh],Hh_EXE_TOTAL[Nº  SS],TB_INTEGRADA[[#This Row],[Nº  SS]],Hh_EXE_TOTAL[DISCIPLINA],"PINT")</f>
        <v>0</v>
      </c>
      <c r="AV19" s="400">
        <f>TB_INTEGRADA[[#This Row],[ORÇADO]]+TB_INTEGRADA[[#This Row],[ORÇADO1]]+TB_INTEGRADA[[#This Row],[ORÇADO2]]+TB_INTEGRADA[[#This Row],[ORÇADO3]]</f>
        <v>5168.5967999999993</v>
      </c>
      <c r="AW19" s="287">
        <f>TB_INTEGRADA[[#This Row],[PLANEJ]]+TB_INTEGRADA[[#This Row],[PLANEJ1]]+TB_INTEGRADA[[#This Row],[PLANEJ2]]+TB_INTEGRADA[[#This Row],[PLANEJ3]]</f>
        <v>1052</v>
      </c>
      <c r="AX19" s="287">
        <f>TB_INTEGRADA[[#This Row],[REALIZ]]+TB_INTEGRADA[[#This Row],[REALIZ1]]+TB_INTEGRADA[[#This Row],[REALIZ2]]+TB_INTEGRADA[[#This Row],[REALIZ3]]</f>
        <v>2048</v>
      </c>
      <c r="AY19" s="417">
        <f>IFERROR(TB_INTEGRADA[[#This Row],[REALIZ4]]/TB_INTEGRADA[[#This Row],[ORÇADO4]],"")</f>
        <v>0.39623907208238807</v>
      </c>
      <c r="AZ19" s="341">
        <f>_xlfn.XLOOKUP(TB_INTEGRADA[[#This Row],[Nº  SS]],'CONTROLE EC'!B:B,'CONTROLE EC'!W:W,"",0,1)</f>
        <v>1662818.2901999999</v>
      </c>
      <c r="BA19" s="342">
        <f>_xlfn.XLOOKUP(TB_INTEGRADA[[#This Row],[Nº  SS]],'CONTROLE EC'!B:B,'CONTROLE EC'!X:X,"",0,1)</f>
        <v>1197230.0000399998</v>
      </c>
      <c r="BB19" s="343">
        <f>_xlfn.XLOOKUP(TB_INTEGRADA[[#This Row],[Nº  SS]],'CONTROLE EC'!B:B,'CONTROLE EC'!Y:Y,"",0,1)</f>
        <v>465588.29016000009</v>
      </c>
    </row>
    <row r="20" spans="1:54" hidden="1" x14ac:dyDescent="0.3">
      <c r="A20" s="340">
        <f>IF(COUNTIFS($B$5:B20,TB_INTEGRADA[[#This Row],[Nº  SS]])&lt;&gt;1,"",COUNTIFS($B$5:B20,TB_INTEGRADA[[#This Row],[Nº  SS]]))</f>
        <v>1</v>
      </c>
      <c r="B20" s="267" t="s">
        <v>59</v>
      </c>
      <c r="C20" s="269" t="str">
        <f>_xlfn.XLOOKUP(TB_INTEGRADA[[#This Row],[Nº  SS]],'CONTROLE EC'!B:B,'CONTROLE EC'!C:C,"",0,1)</f>
        <v>23-0052-ES - SUBSTITUIÇÃO DOS ISOLAMENTOS ACÚSTICOS NA CENTRAL DE UTILIDADES</v>
      </c>
      <c r="D20" s="18" t="str">
        <f>_xlfn.XLOOKUP(TB_INTEGRADA[[#This Row],[Nº  SS]],'CONTROLE CRONOG'!B:B,'CONTROLE CRONOG'!D:D,"",0,1)</f>
        <v>SERVIÇO</v>
      </c>
      <c r="E20" s="269" t="str">
        <f>_xlfn.XLOOKUP(TB_INTEGRADA[[#This Row],[Nº  SS]],'CONTROLE EC'!B:B,'CONTROLE EC'!E:E,"",0,1)</f>
        <v>EDIVIT</v>
      </c>
      <c r="F20" s="274" t="str">
        <f>_xlfn.XLOOKUP(TB_INTEGRADA[[#This Row],[Nº  SS]],'CONTROLE EC'!B:B,'CONTROLE EC'!F:F,"",0,1)</f>
        <v>CONCLUÍDA</v>
      </c>
      <c r="G20" s="275" t="str">
        <f>_xlfn.XLOOKUP(TB_INTEGRADA[[#This Row],[Nº  SS]],'CONTROLE EC'!B:B,'CONTROLE EC'!R:R,"",0,1)</f>
        <v>REV.01</v>
      </c>
      <c r="H20" s="276">
        <f>IF(TB_INTEGRADA[[#This Row],[REVISÃO (EC)]]="","",_xlfn.XLOOKUP(TB_INTEGRADA[[#This Row],[Nº  SS]],'CONTROLE EC'!B:B,'CONTROLE EC'!S:S,"",0,1))</f>
        <v>45946</v>
      </c>
      <c r="I20" s="276">
        <f>IF(TB_INTEGRADA[[#This Row],[REVISÃO (EC)]]="","",_xlfn.XLOOKUP(TB_INTEGRADA[[#This Row],[Nº  SS]],'CONTROLE EC'!B:B,'CONTROLE EC'!U:U,"",0,1))</f>
        <v>45947</v>
      </c>
      <c r="J20" s="276" t="str" cm="1">
        <f t="array" ref="J20">IF(TB_INTEGRADA[[#This Row],[DATA ENVIO. (EC)]]=IFERROR(INDEX('CONTROLE EC'!G20:Q20,MATCH(2,1/('CONTROLE EC'!G20:Q20&lt;&gt;""))),""),"",IFERROR(INDEX('CONTROLE EC'!G20:Q20,MATCH(2,1/('CONTROLE EC'!G20:Q20&lt;&gt;""))),""))</f>
        <v/>
      </c>
      <c r="K20" s="276" t="str">
        <f>IF(TB_INTEGRADA[[#This Row],[STATUS DEMANDA]]="NÃO EMITIDA SAMC","S/ EMISSÃO",_xlfn.XLOOKUP(TB_INTEGRADA[[#This Row],[Nº  SS]],'CONTROLE EC'!B:B,'CONTROLE EC'!T:T,"",0,-1))</f>
        <v>ENTREGUE</v>
      </c>
      <c r="L20"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20" s="15" cm="1">
        <f t="array" aca="1" ref="M20"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20" s="283" t="str">
        <f ca="1">IF(TB_INTEGRADA[[#This Row],[STATUS DEMANDA]]="NÃO EMITIDA SAMC","S/ EMISSÃO",IF(TB_INTEGRADA[[#This Row],[STATUS DEMANDA]]="ON HOLD","ON HOLD",IF(F20="CANCELADA","CANCELADA",IF(L20="REPROVADO","EM PLANEJ.",IF(K20&lt;&gt;"ENTREGUE","EM PLANEJ.",IF(H20="","EM PLANEJ.",IF(I20="","FISCALIZ.",IF(M20&lt;0,"EM PLANEJ.",IF(TB_INTEGRADA[[#This Row],[DATA APROV. (EC)]]&gt;=TB_INTEGRADA[[#This Row],[DATA ENVIO. (EC)]],"RETORNO OK","FISCALIZ.")))))))))</f>
        <v>RETORNO OK</v>
      </c>
      <c r="O20" s="275" t="str">
        <f>_xlfn.XLOOKUP(TB_INTEGRADA[[#This Row],[Nº  SS]],'CONTROLE CRONOG'!B:B,'CONTROLE CRONOG'!R:R,"",0,1)</f>
        <v>REV.00</v>
      </c>
      <c r="P20" s="276">
        <f>IF(TB_INTEGRADA[[#This Row],[REVISÃO (CR)]]="","",_xlfn.XLOOKUP(TB_INTEGRADA[[#This Row],[Nº  SS]],'CONTROLE CRONOG'!B:B,'CONTROLE CRONOG'!S:S,"",0,1))</f>
        <v>45938</v>
      </c>
      <c r="Q20" s="284">
        <f>IF(TB_INTEGRADA[[#This Row],[REVISÃO (CR)]]="","",_xlfn.XLOOKUP(TB_INTEGRADA[[#This Row],[Nº  SS]],'CONTROLE CRONOG'!B:B,'CONTROLE CRONOG'!U:U,"",0,1))</f>
        <v>45943</v>
      </c>
      <c r="R20" s="276" t="str" cm="1">
        <f t="array" ref="R20">IF(TB_INTEGRADA[[#This Row],[DATA ENVIO. (CR)]]=IFERROR(INDEX('CONTROLE CRONOG'!G20:Q20,MATCH(2,1/('CONTROLE CRONOG'!G20:Q20&lt;&gt;""))),""),"",IFERROR(INDEX('CONTROLE CRONOG'!G20:Q20,MATCH(2,1/('CONTROLE CRONOG'!G20:Q20&lt;&gt;""))),""))</f>
        <v/>
      </c>
      <c r="S20" s="276" t="str">
        <f>_xlfn.XLOOKUP(TB_INTEGRADA[[#This Row],[Nº  SS]],'CONTROLE CRONOG'!B:B,'CONTROLE CRONOG'!T:T,"",0,-1)</f>
        <v>ENTREGUE</v>
      </c>
      <c r="T20"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20" s="439"/>
      <c r="V20" s="285">
        <v>46010</v>
      </c>
      <c r="W20" s="276">
        <v>46046</v>
      </c>
      <c r="X20" s="286">
        <f>IFERROR(TB_INTEGRADA[[#This Row],[TÉRM. TD]]-TB_INTEGRADA[[#This Row],[TÉRMINO LB]],0)</f>
        <v>36</v>
      </c>
      <c r="Y20" s="91">
        <v>1</v>
      </c>
      <c r="Z20" s="91">
        <v>1</v>
      </c>
      <c r="AA20" s="91">
        <v>0</v>
      </c>
      <c r="AB20" s="91">
        <f>IFERROR(TB_INTEGRADA[[#This Row],[REAL (%)]]-TB_INTEGRADA[[#This Row],[PREV (%)]],0)</f>
        <v>0</v>
      </c>
      <c r="AC20" s="277">
        <v>0</v>
      </c>
      <c r="AD20" s="283">
        <v>0</v>
      </c>
      <c r="AE20" s="439"/>
      <c r="AF20"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1813.1129999999998</v>
      </c>
      <c r="AG20" s="287">
        <v>1313.85</v>
      </c>
      <c r="AH20" s="287">
        <f>SUMIFS(Tb_HhPLAN[Hh DISC],Tb_HhPLAN[SS],TB_INTEGRADA[[#This Row],[Nº  SS]],Tb_HhPLAN[DISCIPLINA],"MEC")</f>
        <v>476</v>
      </c>
      <c r="AI20" s="404">
        <f>SUMIFS(Hh_EXE_TOTAL[Hh],Hh_EXE_TOTAL[Nº  SS],TB_INTEGRADA[[#This Row],[Nº  SS]],Hh_EXE_TOTAL[DISCIPLINA],"MEC")</f>
        <v>1208</v>
      </c>
      <c r="AJ20"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20" s="287"/>
      <c r="AL20" s="287">
        <f>SUMIFS(Tb_HhPLAN[Hh DISC],Tb_HhPLAN[SS],TB_INTEGRADA[[#This Row],[Nº  SS]],Tb_HhPLAN[DISCIPLINA],"CIVIL")</f>
        <v>0</v>
      </c>
      <c r="AM20" s="404">
        <f>SUMIFS(Hh_EXE_TOTAL[Hh],Hh_EXE_TOTAL[Nº  SS],TB_INTEGRADA[[#This Row],[Nº  SS]],Hh_EXE_TOTAL[DISCIPLINA],"CIVIL")</f>
        <v>0</v>
      </c>
      <c r="AN20"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0</v>
      </c>
      <c r="AO20" s="287"/>
      <c r="AP20" s="287">
        <f>SUMIFS(Tb_HhPLAN[Hh DISC],Tb_HhPLAN[SS],TB_INTEGRADA[[#This Row],[Nº  SS]],Tb_HhPLAN[DISCIPLINA],"ELÉT")</f>
        <v>0</v>
      </c>
      <c r="AQ20" s="404">
        <f>SUMIFS(Hh_EXE_TOTAL[Hh],Hh_EXE_TOTAL[Nº  SS],TB_INTEGRADA[[#This Row],[Nº  SS]],Hh_EXE_TOTAL[DISCIPLINA],"ELÉT")</f>
        <v>0</v>
      </c>
      <c r="AR20"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20" s="287"/>
      <c r="AT20" s="287">
        <f>SUMIFS(Tb_HhPLAN[Hh DISC],Tb_HhPLAN[SS],TB_INTEGRADA[[#This Row],[Nº  SS]],Tb_HhPLAN[DISCIPLINA],"PINT")</f>
        <v>0</v>
      </c>
      <c r="AU20" s="404">
        <f>SUMIFS(Hh_EXE_TOTAL[Hh],Hh_EXE_TOTAL[Nº  SS],TB_INTEGRADA[[#This Row],[Nº  SS]],Hh_EXE_TOTAL[DISCIPLINA],"PINT")</f>
        <v>0</v>
      </c>
      <c r="AV20" s="400">
        <f>TB_INTEGRADA[[#This Row],[ORÇADO]]+TB_INTEGRADA[[#This Row],[ORÇADO1]]+TB_INTEGRADA[[#This Row],[ORÇADO2]]+TB_INTEGRADA[[#This Row],[ORÇADO3]]</f>
        <v>1813.1129999999998</v>
      </c>
      <c r="AW20" s="287">
        <f>TB_INTEGRADA[[#This Row],[PLANEJ]]+TB_INTEGRADA[[#This Row],[PLANEJ1]]+TB_INTEGRADA[[#This Row],[PLANEJ2]]+TB_INTEGRADA[[#This Row],[PLANEJ3]]</f>
        <v>476</v>
      </c>
      <c r="AX20" s="287">
        <f>TB_INTEGRADA[[#This Row],[REALIZ]]+TB_INTEGRADA[[#This Row],[REALIZ1]]+TB_INTEGRADA[[#This Row],[REALIZ2]]+TB_INTEGRADA[[#This Row],[REALIZ3]]</f>
        <v>1208</v>
      </c>
      <c r="AY20" s="417">
        <f>IFERROR(TB_INTEGRADA[[#This Row],[REALIZ4]]/TB_INTEGRADA[[#This Row],[ORÇADO4]],"")</f>
        <v>0.66625742576441738</v>
      </c>
      <c r="AZ20" s="341">
        <f>_xlfn.XLOOKUP(TB_INTEGRADA[[#This Row],[Nº  SS]],'CONTROLE EC'!B:B,'CONTROLE EC'!W:W,"",0,1)</f>
        <v>228497.33</v>
      </c>
      <c r="BA20" s="342">
        <f>_xlfn.XLOOKUP(TB_INTEGRADA[[#This Row],[Nº  SS]],'CONTROLE EC'!B:B,'CONTROLE EC'!X:X,"",0,1)</f>
        <v>228497.32533239998</v>
      </c>
      <c r="BB20" s="343">
        <f>_xlfn.XLOOKUP(TB_INTEGRADA[[#This Row],[Nº  SS]],'CONTROLE EC'!B:B,'CONTROLE EC'!Y:Y,"",0,1)</f>
        <v>0</v>
      </c>
    </row>
    <row r="21" spans="1:54" x14ac:dyDescent="0.3">
      <c r="A21" s="340">
        <f>IF(COUNTIFS($B$5:B21,TB_INTEGRADA[[#This Row],[Nº  SS]])&lt;&gt;1,"",COUNTIFS($B$5:B21,TB_INTEGRADA[[#This Row],[Nº  SS]]))</f>
        <v>1</v>
      </c>
      <c r="B21" s="267" t="s">
        <v>60</v>
      </c>
      <c r="C21" s="269" t="str">
        <f>_xlfn.XLOOKUP(TB_INTEGRADA[[#This Row],[Nº  SS]],'CONTROLE EC'!B:B,'CONTROLE EC'!C:C,"",0,1)</f>
        <v>23-0291-ES - ADEQUAÇÃO DA LUMINOSIDADE EXTERNA DO EDIVIT</v>
      </c>
      <c r="D21" s="18" t="str">
        <f>_xlfn.XLOOKUP(TB_INTEGRADA[[#This Row],[Nº  SS]],'CONTROLE CRONOG'!B:B,'CONTROLE CRONOG'!D:D,"",0,1)</f>
        <v>SERVIÇO</v>
      </c>
      <c r="E21" s="269" t="str">
        <f>_xlfn.XLOOKUP(TB_INTEGRADA[[#This Row],[Nº  SS]],'CONTROLE EC'!B:B,'CONTROLE EC'!E:E,"",0,1)</f>
        <v>EDIVIT</v>
      </c>
      <c r="F21" s="274" t="str">
        <f>_xlfn.XLOOKUP(TB_INTEGRADA[[#This Row],[Nº  SS]],'CONTROLE EC'!B:B,'CONTROLE EC'!F:F,"",0,1)</f>
        <v>EM ANDAMENTO</v>
      </c>
      <c r="G21" s="275" t="str">
        <f>_xlfn.XLOOKUP(TB_INTEGRADA[[#This Row],[Nº  SS]],'CONTROLE EC'!B:B,'CONTROLE EC'!R:R,"",0,1)</f>
        <v>REV.01</v>
      </c>
      <c r="H21" s="276">
        <f>IF(TB_INTEGRADA[[#This Row],[REVISÃO (EC)]]="","",_xlfn.XLOOKUP(TB_INTEGRADA[[#This Row],[Nº  SS]],'CONTROLE EC'!B:B,'CONTROLE EC'!S:S,"",0,1))</f>
        <v>45973</v>
      </c>
      <c r="I21" s="276">
        <f>IF(TB_INTEGRADA[[#This Row],[REVISÃO (EC)]]="","",_xlfn.XLOOKUP(TB_INTEGRADA[[#This Row],[Nº  SS]],'CONTROLE EC'!B:B,'CONTROLE EC'!U:U,"",0,1))</f>
        <v>45973</v>
      </c>
      <c r="J21" s="276" t="str" cm="1">
        <f t="array" ref="J21">IF(TB_INTEGRADA[[#This Row],[DATA ENVIO. (EC)]]=IFERROR(INDEX('CONTROLE EC'!G21:Q21,MATCH(2,1/('CONTROLE EC'!G21:Q21&lt;&gt;""))),""),"",IFERROR(INDEX('CONTROLE EC'!G21:Q21,MATCH(2,1/('CONTROLE EC'!G21:Q21&lt;&gt;""))),""))</f>
        <v/>
      </c>
      <c r="K21" s="276" t="str">
        <f>IF(TB_INTEGRADA[[#This Row],[STATUS DEMANDA]]="NÃO EMITIDA SAMC","S/ EMISSÃO",_xlfn.XLOOKUP(TB_INTEGRADA[[#This Row],[Nº  SS]],'CONTROLE EC'!B:B,'CONTROLE EC'!T:T,"",0,-1))</f>
        <v>ENTREGUE</v>
      </c>
      <c r="L21"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21" s="15" cm="1">
        <f t="array" aca="1" ref="M21"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21" s="283" t="str">
        <f ca="1">IF(TB_INTEGRADA[[#This Row],[STATUS DEMANDA]]="NÃO EMITIDA SAMC","S/ EMISSÃO",IF(TB_INTEGRADA[[#This Row],[STATUS DEMANDA]]="ON HOLD","ON HOLD",IF(F21="CANCELADA","CANCELADA",IF(L21="REPROVADO","EM PLANEJ.",IF(K21&lt;&gt;"ENTREGUE","EM PLANEJ.",IF(H21="","EM PLANEJ.",IF(I21="","FISCALIZ.",IF(M21&lt;0,"EM PLANEJ.",IF(TB_INTEGRADA[[#This Row],[DATA APROV. (EC)]]&gt;=TB_INTEGRADA[[#This Row],[DATA ENVIO. (EC)]],"RETORNO OK","FISCALIZ.")))))))))</f>
        <v>RETORNO OK</v>
      </c>
      <c r="O21" s="275" t="str">
        <f>_xlfn.XLOOKUP(TB_INTEGRADA[[#This Row],[Nº  SS]],'CONTROLE CRONOG'!B:B,'CONTROLE CRONOG'!R:R,"",0,1)</f>
        <v>REV.01</v>
      </c>
      <c r="P21" s="276">
        <f>IF(TB_INTEGRADA[[#This Row],[REVISÃO (CR)]]="","",_xlfn.XLOOKUP(TB_INTEGRADA[[#This Row],[Nº  SS]],'CONTROLE CRONOG'!B:B,'CONTROLE CRONOG'!S:S,"",0,1))</f>
        <v>45973</v>
      </c>
      <c r="Q21" s="284">
        <f>IF(TB_INTEGRADA[[#This Row],[REVISÃO (CR)]]="","",_xlfn.XLOOKUP(TB_INTEGRADA[[#This Row],[Nº  SS]],'CONTROLE CRONOG'!B:B,'CONTROLE CRONOG'!U:U,"",0,1))</f>
        <v>45973</v>
      </c>
      <c r="R21" s="276" t="str" cm="1">
        <f t="array" ref="R21">IF(TB_INTEGRADA[[#This Row],[DATA ENVIO. (CR)]]=IFERROR(INDEX('CONTROLE CRONOG'!G21:Q21,MATCH(2,1/('CONTROLE CRONOG'!G21:Q21&lt;&gt;""))),""),"",IFERROR(INDEX('CONTROLE CRONOG'!G21:Q21,MATCH(2,1/('CONTROLE CRONOG'!G21:Q21&lt;&gt;""))),""))</f>
        <v/>
      </c>
      <c r="S21" s="276" t="str">
        <f>_xlfn.XLOOKUP(TB_INTEGRADA[[#This Row],[Nº  SS]],'CONTROLE CRONOG'!B:B,'CONTROLE CRONOG'!T:T,"",0,-1)</f>
        <v>ENTREGUE</v>
      </c>
      <c r="T21"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21" s="439"/>
      <c r="V21" s="285">
        <v>46170</v>
      </c>
      <c r="W21" s="276">
        <v>46192</v>
      </c>
      <c r="X21" s="286">
        <f>IFERROR(TB_INTEGRADA[[#This Row],[TÉRM. TD]]-TB_INTEGRADA[[#This Row],[TÉRMINO LB]],0)</f>
        <v>22</v>
      </c>
      <c r="Y21" s="91">
        <v>0.62960000000000005</v>
      </c>
      <c r="Z21" s="91">
        <v>0.44950000000000001</v>
      </c>
      <c r="AA21" s="91">
        <v>-0.11479999999999996</v>
      </c>
      <c r="AB21" s="91">
        <f>IFERROR(TB_INTEGRADA[[#This Row],[REAL (%)]]-TB_INTEGRADA[[#This Row],[PREV (%)]],0)</f>
        <v>-0.18010000000000004</v>
      </c>
      <c r="AC21" s="277">
        <v>4</v>
      </c>
      <c r="AD21" s="283">
        <v>4</v>
      </c>
      <c r="AE21" s="439"/>
      <c r="AF21"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0</v>
      </c>
      <c r="AG21" s="287"/>
      <c r="AH21" s="287">
        <f>SUMIFS(Tb_HhPLAN[Hh DISC],Tb_HhPLAN[SS],TB_INTEGRADA[[#This Row],[Nº  SS]],Tb_HhPLAN[DISCIPLINA],"MEC")</f>
        <v>63.466982328570225</v>
      </c>
      <c r="AI21" s="404">
        <f>SUMIFS(Hh_EXE_TOTAL[Hh],Hh_EXE_TOTAL[Nº  SS],TB_INTEGRADA[[#This Row],[Nº  SS]],Hh_EXE_TOTAL[DISCIPLINA],"MEC")</f>
        <v>0</v>
      </c>
      <c r="AJ21"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21" s="287"/>
      <c r="AL21" s="287">
        <f>SUMIFS(Tb_HhPLAN[Hh DISC],Tb_HhPLAN[SS],TB_INTEGRADA[[#This Row],[Nº  SS]],Tb_HhPLAN[DISCIPLINA],"CIVIL")</f>
        <v>0</v>
      </c>
      <c r="AM21" s="404">
        <f>SUMIFS(Hh_EXE_TOTAL[Hh],Hh_EXE_TOTAL[Nº  SS],TB_INTEGRADA[[#This Row],[Nº  SS]],Hh_EXE_TOTAL[DISCIPLINA],"CIVIL")</f>
        <v>0</v>
      </c>
      <c r="AN21"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4295.2775999999994</v>
      </c>
      <c r="AO21" s="287">
        <v>3112.52</v>
      </c>
      <c r="AP21" s="287">
        <f>SUMIFS(Tb_HhPLAN[Hh DISC],Tb_HhPLAN[SS],TB_INTEGRADA[[#This Row],[Nº  SS]],Tb_HhPLAN[DISCIPLINA],"ELÉT")</f>
        <v>1813.0930176714296</v>
      </c>
      <c r="AQ21" s="404">
        <f>SUMIFS(Hh_EXE_TOTAL[Hh],Hh_EXE_TOTAL[Nº  SS],TB_INTEGRADA[[#This Row],[Nº  SS]],Hh_EXE_TOTAL[DISCIPLINA],"ELÉT")</f>
        <v>1952</v>
      </c>
      <c r="AR21"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21" s="287"/>
      <c r="AT21" s="287">
        <f>SUMIFS(Tb_HhPLAN[Hh DISC],Tb_HhPLAN[SS],TB_INTEGRADA[[#This Row],[Nº  SS]],Tb_HhPLAN[DISCIPLINA],"PINT")</f>
        <v>0</v>
      </c>
      <c r="AU21" s="404">
        <f>SUMIFS(Hh_EXE_TOTAL[Hh],Hh_EXE_TOTAL[Nº  SS],TB_INTEGRADA[[#This Row],[Nº  SS]],Hh_EXE_TOTAL[DISCIPLINA],"PINT")</f>
        <v>0</v>
      </c>
      <c r="AV21" s="400">
        <f>TB_INTEGRADA[[#This Row],[ORÇADO]]+TB_INTEGRADA[[#This Row],[ORÇADO1]]+TB_INTEGRADA[[#This Row],[ORÇADO2]]+TB_INTEGRADA[[#This Row],[ORÇADO3]]</f>
        <v>4295.2775999999994</v>
      </c>
      <c r="AW21" s="287">
        <f>TB_INTEGRADA[[#This Row],[PLANEJ]]+TB_INTEGRADA[[#This Row],[PLANEJ1]]+TB_INTEGRADA[[#This Row],[PLANEJ2]]+TB_INTEGRADA[[#This Row],[PLANEJ3]]</f>
        <v>1876.56</v>
      </c>
      <c r="AX21" s="287">
        <f>TB_INTEGRADA[[#This Row],[REALIZ]]+TB_INTEGRADA[[#This Row],[REALIZ1]]+TB_INTEGRADA[[#This Row],[REALIZ2]]+TB_INTEGRADA[[#This Row],[REALIZ3]]</f>
        <v>1952</v>
      </c>
      <c r="AY21" s="417">
        <f>IFERROR(TB_INTEGRADA[[#This Row],[REALIZ4]]/TB_INTEGRADA[[#This Row],[ORÇADO4]],"")</f>
        <v>0.45445258299486868</v>
      </c>
      <c r="AZ21" s="341">
        <f>_xlfn.XLOOKUP(TB_INTEGRADA[[#This Row],[Nº  SS]],'CONTROLE EC'!B:B,'CONTROLE EC'!W:W,"",0,1)</f>
        <v>1233914.5200000003</v>
      </c>
      <c r="BA21" s="342">
        <f>_xlfn.XLOOKUP(TB_INTEGRADA[[#This Row],[Nº  SS]],'CONTROLE EC'!B:B,'CONTROLE EC'!X:X,"",0,1)</f>
        <v>715670.12249999994</v>
      </c>
      <c r="BB21" s="343">
        <f>_xlfn.XLOOKUP(TB_INTEGRADA[[#This Row],[Nº  SS]],'CONTROLE EC'!B:B,'CONTROLE EC'!Y:Y,"",0,1)</f>
        <v>518244.39750000031</v>
      </c>
    </row>
    <row r="22" spans="1:54" hidden="1" x14ac:dyDescent="0.3">
      <c r="A22" s="340">
        <f>IF(COUNTIFS($B$5:B22,TB_INTEGRADA[[#This Row],[Nº  SS]])&lt;&gt;1,"",COUNTIFS($B$5:B22,TB_INTEGRADA[[#This Row],[Nº  SS]]))</f>
        <v>1</v>
      </c>
      <c r="B22" s="267" t="s">
        <v>61</v>
      </c>
      <c r="C22" s="269" t="str">
        <f>_xlfn.XLOOKUP(TB_INTEGRADA[[#This Row],[Nº  SS]],'CONTROLE EC'!B:B,'CONTROLE EC'!C:C,"",0,1)</f>
        <v>24-1110-ES - ADEQUAÇÃO DA SALA DE MONITORAMENTO CISC</v>
      </c>
      <c r="D22" s="18" t="str">
        <f>_xlfn.XLOOKUP(TB_INTEGRADA[[#This Row],[Nº  SS]],'CONTROLE CRONOG'!B:B,'CONTROLE CRONOG'!D:D,"",0,1)</f>
        <v>SERVIÇO</v>
      </c>
      <c r="E22" s="269" t="str">
        <f>_xlfn.XLOOKUP(TB_INTEGRADA[[#This Row],[Nº  SS]],'CONTROLE EC'!B:B,'CONTROLE EC'!E:E,"",0,1)</f>
        <v>UTGC</v>
      </c>
      <c r="F22" s="274" t="str">
        <f>_xlfn.XLOOKUP(TB_INTEGRADA[[#This Row],[Nº  SS]],'CONTROLE EC'!B:B,'CONTROLE EC'!F:F,"",0,1)</f>
        <v>CONCLUÍDA</v>
      </c>
      <c r="G22" s="275" t="str">
        <f>_xlfn.XLOOKUP(TB_INTEGRADA[[#This Row],[Nº  SS]],'CONTROLE EC'!B:B,'CONTROLE EC'!R:R,"",0,1)</f>
        <v>REV.02</v>
      </c>
      <c r="H22" s="276">
        <f>IF(TB_INTEGRADA[[#This Row],[REVISÃO (EC)]]="","",_xlfn.XLOOKUP(TB_INTEGRADA[[#This Row],[Nº  SS]],'CONTROLE EC'!B:B,'CONTROLE EC'!S:S,"",0,1))</f>
        <v>45975</v>
      </c>
      <c r="I22" s="276">
        <f>IF(TB_INTEGRADA[[#This Row],[REVISÃO (EC)]]="","",_xlfn.XLOOKUP(TB_INTEGRADA[[#This Row],[Nº  SS]],'CONTROLE EC'!B:B,'CONTROLE EC'!U:U,"",0,1))</f>
        <v>45975</v>
      </c>
      <c r="J22" s="276" t="str" cm="1">
        <f t="array" ref="J22">IF(TB_INTEGRADA[[#This Row],[DATA ENVIO. (EC)]]=IFERROR(INDEX('CONTROLE EC'!G22:Q22,MATCH(2,1/('CONTROLE EC'!G22:Q22&lt;&gt;""))),""),"",IFERROR(INDEX('CONTROLE EC'!G22:Q22,MATCH(2,1/('CONTROLE EC'!G22:Q22&lt;&gt;""))),""))</f>
        <v/>
      </c>
      <c r="K22" s="276" t="str">
        <f>IF(TB_INTEGRADA[[#This Row],[STATUS DEMANDA]]="NÃO EMITIDA SAMC","S/ EMISSÃO",_xlfn.XLOOKUP(TB_INTEGRADA[[#This Row],[Nº  SS]],'CONTROLE EC'!B:B,'CONTROLE EC'!T:T,"",0,-1))</f>
        <v>ENTREGUE</v>
      </c>
      <c r="L22"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22" s="15" cm="1">
        <f t="array" aca="1" ref="M22"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22" s="283" t="str">
        <f ca="1">IF(TB_INTEGRADA[[#This Row],[STATUS DEMANDA]]="NÃO EMITIDA SAMC","S/ EMISSÃO",IF(TB_INTEGRADA[[#This Row],[STATUS DEMANDA]]="ON HOLD","ON HOLD",IF(F22="CANCELADA","CANCELADA",IF(L22="REPROVADO","EM PLANEJ.",IF(K22&lt;&gt;"ENTREGUE","EM PLANEJ.",IF(H22="","EM PLANEJ.",IF(I22="","FISCALIZ.",IF(M22&lt;0,"EM PLANEJ.",IF(TB_INTEGRADA[[#This Row],[DATA APROV. (EC)]]&gt;=TB_INTEGRADA[[#This Row],[DATA ENVIO. (EC)]],"RETORNO OK","FISCALIZ.")))))))))</f>
        <v>RETORNO OK</v>
      </c>
      <c r="O22" s="275" t="str">
        <f>_xlfn.XLOOKUP(TB_INTEGRADA[[#This Row],[Nº  SS]],'CONTROLE CRONOG'!B:B,'CONTROLE CRONOG'!R:R,"",0,1)</f>
        <v>REV.03</v>
      </c>
      <c r="P22" s="276">
        <f>IF(TB_INTEGRADA[[#This Row],[REVISÃO (CR)]]="","",_xlfn.XLOOKUP(TB_INTEGRADA[[#This Row],[Nº  SS]],'CONTROLE CRONOG'!B:B,'CONTROLE CRONOG'!S:S,"",0,1))</f>
        <v>45979</v>
      </c>
      <c r="Q22" s="284">
        <f>IF(TB_INTEGRADA[[#This Row],[REVISÃO (CR)]]="","",_xlfn.XLOOKUP(TB_INTEGRADA[[#This Row],[Nº  SS]],'CONTROLE CRONOG'!B:B,'CONTROLE CRONOG'!U:U,"",0,1))</f>
        <v>45980</v>
      </c>
      <c r="R22" s="276" t="str" cm="1">
        <f t="array" ref="R22">IF(TB_INTEGRADA[[#This Row],[DATA ENVIO. (CR)]]=IFERROR(INDEX('CONTROLE CRONOG'!G22:Q22,MATCH(2,1/('CONTROLE CRONOG'!G22:Q22&lt;&gt;""))),""),"",IFERROR(INDEX('CONTROLE CRONOG'!G22:Q22,MATCH(2,1/('CONTROLE CRONOG'!G22:Q22&lt;&gt;""))),""))</f>
        <v/>
      </c>
      <c r="S22" s="276" t="str">
        <f>_xlfn.XLOOKUP(TB_INTEGRADA[[#This Row],[Nº  SS]],'CONTROLE CRONOG'!B:B,'CONTROLE CRONOG'!T:T,"",0,-1)</f>
        <v>ENTREGUE</v>
      </c>
      <c r="T22"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22" s="439"/>
      <c r="V22" s="285">
        <v>46077</v>
      </c>
      <c r="W22" s="276">
        <v>46083</v>
      </c>
      <c r="X22" s="286">
        <f>IFERROR(TB_INTEGRADA[[#This Row],[TÉRM. TD]]-TB_INTEGRADA[[#This Row],[TÉRMINO LB]],0)</f>
        <v>6</v>
      </c>
      <c r="Y22" s="91">
        <v>1</v>
      </c>
      <c r="Z22" s="91">
        <v>0.99950000000000006</v>
      </c>
      <c r="AA22" s="91">
        <v>-4.9999999999994493E-4</v>
      </c>
      <c r="AB22" s="91">
        <f>IFERROR(TB_INTEGRADA[[#This Row],[REAL (%)]]-TB_INTEGRADA[[#This Row],[PREV (%)]],0)</f>
        <v>-4.9999999999994493E-4</v>
      </c>
      <c r="AC22" s="277">
        <v>0</v>
      </c>
      <c r="AD22" s="283"/>
      <c r="AE22" s="439"/>
      <c r="AF22"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0</v>
      </c>
      <c r="AG22" s="287"/>
      <c r="AH22" s="287">
        <f>SUMIFS(Tb_HhPLAN[Hh DISC],Tb_HhPLAN[SS],TB_INTEGRADA[[#This Row],[Nº  SS]],Tb_HhPLAN[DISCIPLINA],"MEC")</f>
        <v>0</v>
      </c>
      <c r="AI22" s="404">
        <f>SUMIFS(Hh_EXE_TOTAL[Hh],Hh_EXE_TOTAL[Nº  SS],TB_INTEGRADA[[#This Row],[Nº  SS]],Hh_EXE_TOTAL[DISCIPLINA],"MEC")</f>
        <v>0</v>
      </c>
      <c r="AJ22"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859.43549999999993</v>
      </c>
      <c r="AK22" s="287">
        <v>584.65</v>
      </c>
      <c r="AL22" s="287">
        <f>SUMIFS(Tb_HhPLAN[Hh DISC],Tb_HhPLAN[SS],TB_INTEGRADA[[#This Row],[Nº  SS]],Tb_HhPLAN[DISCIPLINA],"CIVIL")</f>
        <v>560.44897959183675</v>
      </c>
      <c r="AM22" s="404">
        <f>SUMIFS(Hh_EXE_TOTAL[Hh],Hh_EXE_TOTAL[Nº  SS],TB_INTEGRADA[[#This Row],[Nº  SS]],Hh_EXE_TOTAL[DISCIPLINA],"CIVIL")</f>
        <v>588.52173913043475</v>
      </c>
      <c r="AN22"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460.91849999999999</v>
      </c>
      <c r="AO22" s="287">
        <v>313.55</v>
      </c>
      <c r="AP22" s="287">
        <f>SUMIFS(Tb_HhPLAN[Hh DISC],Tb_HhPLAN[SS],TB_INTEGRADA[[#This Row],[Nº  SS]],Tb_HhPLAN[DISCIPLINA],"ELÉT")</f>
        <v>170.57142857142856</v>
      </c>
      <c r="AQ22" s="404">
        <f>SUMIFS(Hh_EXE_TOTAL[Hh],Hh_EXE_TOTAL[Nº  SS],TB_INTEGRADA[[#This Row],[Nº  SS]],Hh_EXE_TOTAL[DISCIPLINA],"ELÉT")</f>
        <v>150.26086956521738</v>
      </c>
      <c r="AR22"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285.78269999999998</v>
      </c>
      <c r="AS22" s="287">
        <v>194.41</v>
      </c>
      <c r="AT22" s="287">
        <f>SUMIFS(Tb_HhPLAN[Hh DISC],Tb_HhPLAN[SS],TB_INTEGRADA[[#This Row],[Nº  SS]],Tb_HhPLAN[DISCIPLINA],"PINT")</f>
        <v>64.979591836734699</v>
      </c>
      <c r="AU22" s="404">
        <f>SUMIFS(Hh_EXE_TOTAL[Hh],Hh_EXE_TOTAL[Nº  SS],TB_INTEGRADA[[#This Row],[Nº  SS]],Hh_EXE_TOTAL[DISCIPLINA],"PINT")</f>
        <v>413.21739130434781</v>
      </c>
      <c r="AV22" s="400">
        <f>TB_INTEGRADA[[#This Row],[ORÇADO]]+TB_INTEGRADA[[#This Row],[ORÇADO1]]+TB_INTEGRADA[[#This Row],[ORÇADO2]]+TB_INTEGRADA[[#This Row],[ORÇADO3]]</f>
        <v>1606.1366999999998</v>
      </c>
      <c r="AW22" s="287">
        <f>TB_INTEGRADA[[#This Row],[PLANEJ]]+TB_INTEGRADA[[#This Row],[PLANEJ1]]+TB_INTEGRADA[[#This Row],[PLANEJ2]]+TB_INTEGRADA[[#This Row],[PLANEJ3]]</f>
        <v>796</v>
      </c>
      <c r="AX22" s="287">
        <f>TB_INTEGRADA[[#This Row],[REALIZ]]+TB_INTEGRADA[[#This Row],[REALIZ1]]+TB_INTEGRADA[[#This Row],[REALIZ2]]+TB_INTEGRADA[[#This Row],[REALIZ3]]</f>
        <v>1152</v>
      </c>
      <c r="AY22" s="417">
        <f>IFERROR(TB_INTEGRADA[[#This Row],[REALIZ4]]/TB_INTEGRADA[[#This Row],[ORÇADO4]],"")</f>
        <v>0.71724903614991187</v>
      </c>
      <c r="AZ22" s="341">
        <f>_xlfn.XLOOKUP(TB_INTEGRADA[[#This Row],[Nº  SS]],'CONTROLE EC'!B:B,'CONTROLE EC'!W:W,"",0,1)</f>
        <v>196612.97435999999</v>
      </c>
      <c r="BA22" s="342">
        <f>_xlfn.XLOOKUP(TB_INTEGRADA[[#This Row],[Nº  SS]],'CONTROLE EC'!B:B,'CONTROLE EC'!X:X,"",0,1)</f>
        <v>196612.97435999999</v>
      </c>
      <c r="BB22" s="343">
        <f>_xlfn.XLOOKUP(TB_INTEGRADA[[#This Row],[Nº  SS]],'CONTROLE EC'!B:B,'CONTROLE EC'!Y:Y,"",0,1)</f>
        <v>0</v>
      </c>
    </row>
    <row r="23" spans="1:54" hidden="1" x14ac:dyDescent="0.3">
      <c r="A23" s="340">
        <f>IF(COUNTIFS($B$5:B23,TB_INTEGRADA[[#This Row],[Nº  SS]])&lt;&gt;1,"",COUNTIFS($B$5:B23,TB_INTEGRADA[[#This Row],[Nº  SS]]))</f>
        <v>1</v>
      </c>
      <c r="B23" s="267" t="s">
        <v>62</v>
      </c>
      <c r="C23" s="269" t="str">
        <f>_xlfn.XLOOKUP(TB_INTEGRADA[[#This Row],[Nº  SS]],'CONTROLE EC'!B:B,'CONTROLE EC'!C:C,"",0,1)</f>
        <v>23-0316-ES - SINALIZAÇÃO DAS ESCADAS</v>
      </c>
      <c r="D23" s="18" t="str">
        <f>_xlfn.XLOOKUP(TB_INTEGRADA[[#This Row],[Nº  SS]],'CONTROLE CRONOG'!B:B,'CONTROLE CRONOG'!D:D,"",0,1)</f>
        <v>SERVIÇO</v>
      </c>
      <c r="E23" s="269" t="str">
        <f>_xlfn.XLOOKUP(TB_INTEGRADA[[#This Row],[Nº  SS]],'CONTROLE EC'!B:B,'CONTROLE EC'!E:E,"",0,1)</f>
        <v>EDIVIT</v>
      </c>
      <c r="F23" s="274" t="str">
        <f>_xlfn.XLOOKUP(TB_INTEGRADA[[#This Row],[Nº  SS]],'CONTROLE EC'!B:B,'CONTROLE EC'!F:F,"",0,1)</f>
        <v>CONCLUÍDA</v>
      </c>
      <c r="G23" s="275" t="str">
        <f>_xlfn.XLOOKUP(TB_INTEGRADA[[#This Row],[Nº  SS]],'CONTROLE EC'!B:B,'CONTROLE EC'!R:R,"",0,1)</f>
        <v>REV.01</v>
      </c>
      <c r="H23" s="276">
        <f>IF(TB_INTEGRADA[[#This Row],[REVISÃO (EC)]]="","",_xlfn.XLOOKUP(TB_INTEGRADA[[#This Row],[Nº  SS]],'CONTROLE EC'!B:B,'CONTROLE EC'!S:S,"",0,1))</f>
        <v>45960</v>
      </c>
      <c r="I23" s="276">
        <f>IF(TB_INTEGRADA[[#This Row],[REVISÃO (EC)]]="","",_xlfn.XLOOKUP(TB_INTEGRADA[[#This Row],[Nº  SS]],'CONTROLE EC'!B:B,'CONTROLE EC'!U:U,"",0,1))</f>
        <v>45960</v>
      </c>
      <c r="J23" s="276" t="str" cm="1">
        <f t="array" ref="J23">IF(TB_INTEGRADA[[#This Row],[DATA ENVIO. (EC)]]=IFERROR(INDEX('CONTROLE EC'!G23:Q23,MATCH(2,1/('CONTROLE EC'!G23:Q23&lt;&gt;""))),""),"",IFERROR(INDEX('CONTROLE EC'!G23:Q23,MATCH(2,1/('CONTROLE EC'!G23:Q23&lt;&gt;""))),""))</f>
        <v/>
      </c>
      <c r="K23" s="276" t="str">
        <f>IF(TB_INTEGRADA[[#This Row],[STATUS DEMANDA]]="NÃO EMITIDA SAMC","S/ EMISSÃO",_xlfn.XLOOKUP(TB_INTEGRADA[[#This Row],[Nº  SS]],'CONTROLE EC'!B:B,'CONTROLE EC'!T:T,"",0,-1))</f>
        <v>ENTREGUE</v>
      </c>
      <c r="L23"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23" s="15" cm="1">
        <f t="array" aca="1" ref="M23"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23" s="283" t="str">
        <f ca="1">IF(TB_INTEGRADA[[#This Row],[STATUS DEMANDA]]="NÃO EMITIDA SAMC","S/ EMISSÃO",IF(TB_INTEGRADA[[#This Row],[STATUS DEMANDA]]="ON HOLD","ON HOLD",IF(F23="CANCELADA","CANCELADA",IF(L23="REPROVADO","EM PLANEJ.",IF(K23&lt;&gt;"ENTREGUE","EM PLANEJ.",IF(H23="","EM PLANEJ.",IF(I23="","FISCALIZ.",IF(M23&lt;0,"EM PLANEJ.",IF(TB_INTEGRADA[[#This Row],[DATA APROV. (EC)]]&gt;=TB_INTEGRADA[[#This Row],[DATA ENVIO. (EC)]],"RETORNO OK","FISCALIZ.")))))))))</f>
        <v>RETORNO OK</v>
      </c>
      <c r="O23" s="275" t="str">
        <f>_xlfn.XLOOKUP(TB_INTEGRADA[[#This Row],[Nº  SS]],'CONTROLE CRONOG'!B:B,'CONTROLE CRONOG'!R:R,"",0,1)</f>
        <v>REV.01</v>
      </c>
      <c r="P23" s="276">
        <f>IF(TB_INTEGRADA[[#This Row],[REVISÃO (CR)]]="","",_xlfn.XLOOKUP(TB_INTEGRADA[[#This Row],[Nº  SS]],'CONTROLE CRONOG'!B:B,'CONTROLE CRONOG'!S:S,"",0,1))</f>
        <v>45959</v>
      </c>
      <c r="Q23" s="284">
        <f>IF(TB_INTEGRADA[[#This Row],[REVISÃO (CR)]]="","",_xlfn.XLOOKUP(TB_INTEGRADA[[#This Row],[Nº  SS]],'CONTROLE CRONOG'!B:B,'CONTROLE CRONOG'!U:U,"",0,1))</f>
        <v>45959</v>
      </c>
      <c r="R23" s="276" t="str" cm="1">
        <f t="array" ref="R23">IF(TB_INTEGRADA[[#This Row],[DATA ENVIO. (CR)]]=IFERROR(INDEX('CONTROLE CRONOG'!G23:Q23,MATCH(2,1/('CONTROLE CRONOG'!G23:Q23&lt;&gt;""))),""),"",IFERROR(INDEX('CONTROLE CRONOG'!G23:Q23,MATCH(2,1/('CONTROLE CRONOG'!G23:Q23&lt;&gt;""))),""))</f>
        <v/>
      </c>
      <c r="S23" s="276" t="str">
        <f>_xlfn.XLOOKUP(TB_INTEGRADA[[#This Row],[Nº  SS]],'CONTROLE CRONOG'!B:B,'CONTROLE CRONOG'!T:T,"",0,-1)</f>
        <v>ENTREGUE</v>
      </c>
      <c r="T23"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23" s="439"/>
      <c r="V23" s="285">
        <v>45993</v>
      </c>
      <c r="W23" s="276">
        <v>46003</v>
      </c>
      <c r="X23" s="286">
        <f>IFERROR(TB_INTEGRADA[[#This Row],[TÉRM. TD]]-TB_INTEGRADA[[#This Row],[TÉRMINO LB]],0)</f>
        <v>10</v>
      </c>
      <c r="Y23" s="91">
        <v>1</v>
      </c>
      <c r="Z23" s="91">
        <v>1</v>
      </c>
      <c r="AA23" s="91">
        <v>0</v>
      </c>
      <c r="AB23" s="91">
        <f>IFERROR(TB_INTEGRADA[[#This Row],[REAL (%)]]-TB_INTEGRADA[[#This Row],[PREV (%)]],0)</f>
        <v>0</v>
      </c>
      <c r="AC23" s="277">
        <v>0</v>
      </c>
      <c r="AD23" s="283">
        <v>0</v>
      </c>
      <c r="AE23" s="439"/>
      <c r="AF23"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0</v>
      </c>
      <c r="AG23" s="287"/>
      <c r="AH23" s="287">
        <f>SUMIFS(Tb_HhPLAN[Hh DISC],Tb_HhPLAN[SS],TB_INTEGRADA[[#This Row],[Nº  SS]],Tb_HhPLAN[DISCIPLINA],"MEC")</f>
        <v>0</v>
      </c>
      <c r="AI23" s="404">
        <f>SUMIFS(Hh_EXE_TOTAL[Hh],Hh_EXE_TOTAL[Nº  SS],TB_INTEGRADA[[#This Row],[Nº  SS]],Hh_EXE_TOTAL[DISCIPLINA],"MEC")</f>
        <v>0</v>
      </c>
      <c r="AJ23"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773.44859999999994</v>
      </c>
      <c r="AK23" s="287">
        <v>560.47</v>
      </c>
      <c r="AL23" s="287">
        <f>SUMIFS(Tb_HhPLAN[Hh DISC],Tb_HhPLAN[SS],TB_INTEGRADA[[#This Row],[Nº  SS]],Tb_HhPLAN[DISCIPLINA],"CIVIL")</f>
        <v>716</v>
      </c>
      <c r="AM23" s="404">
        <f>SUMIFS(Hh_EXE_TOTAL[Hh],Hh_EXE_TOTAL[Nº  SS],TB_INTEGRADA[[#This Row],[Nº  SS]],Hh_EXE_TOTAL[DISCIPLINA],"CIVIL")</f>
        <v>848</v>
      </c>
      <c r="AN23"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0</v>
      </c>
      <c r="AO23" s="287"/>
      <c r="AP23" s="287">
        <f>SUMIFS(Tb_HhPLAN[Hh DISC],Tb_HhPLAN[SS],TB_INTEGRADA[[#This Row],[Nº  SS]],Tb_HhPLAN[DISCIPLINA],"ELÉT")</f>
        <v>0</v>
      </c>
      <c r="AQ23" s="404">
        <f>SUMIFS(Hh_EXE_TOTAL[Hh],Hh_EXE_TOTAL[Nº  SS],TB_INTEGRADA[[#This Row],[Nº  SS]],Hh_EXE_TOTAL[DISCIPLINA],"ELÉT")</f>
        <v>0</v>
      </c>
      <c r="AR23"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23" s="287"/>
      <c r="AT23" s="287">
        <f>SUMIFS(Tb_HhPLAN[Hh DISC],Tb_HhPLAN[SS],TB_INTEGRADA[[#This Row],[Nº  SS]],Tb_HhPLAN[DISCIPLINA],"PINT")</f>
        <v>0</v>
      </c>
      <c r="AU23" s="404">
        <f>SUMIFS(Hh_EXE_TOTAL[Hh],Hh_EXE_TOTAL[Nº  SS],TB_INTEGRADA[[#This Row],[Nº  SS]],Hh_EXE_TOTAL[DISCIPLINA],"PINT")</f>
        <v>0</v>
      </c>
      <c r="AV23" s="400">
        <f>TB_INTEGRADA[[#This Row],[ORÇADO]]+TB_INTEGRADA[[#This Row],[ORÇADO1]]+TB_INTEGRADA[[#This Row],[ORÇADO2]]+TB_INTEGRADA[[#This Row],[ORÇADO3]]</f>
        <v>773.44859999999994</v>
      </c>
      <c r="AW23" s="287">
        <f>TB_INTEGRADA[[#This Row],[PLANEJ]]+TB_INTEGRADA[[#This Row],[PLANEJ1]]+TB_INTEGRADA[[#This Row],[PLANEJ2]]+TB_INTEGRADA[[#This Row],[PLANEJ3]]</f>
        <v>716</v>
      </c>
      <c r="AX23" s="287">
        <f>TB_INTEGRADA[[#This Row],[REALIZ]]+TB_INTEGRADA[[#This Row],[REALIZ1]]+TB_INTEGRADA[[#This Row],[REALIZ2]]+TB_INTEGRADA[[#This Row],[REALIZ3]]</f>
        <v>848</v>
      </c>
      <c r="AY23" s="417">
        <f>IFERROR(TB_INTEGRADA[[#This Row],[REALIZ4]]/TB_INTEGRADA[[#This Row],[ORÇADO4]],"")</f>
        <v>1.0963883055706611</v>
      </c>
      <c r="AZ23" s="341">
        <f>_xlfn.XLOOKUP(TB_INTEGRADA[[#This Row],[Nº  SS]],'CONTROLE EC'!B:B,'CONTROLE EC'!W:W,"",0,1)</f>
        <v>90327.897311399996</v>
      </c>
      <c r="BA23" s="342">
        <f>_xlfn.XLOOKUP(TB_INTEGRADA[[#This Row],[Nº  SS]],'CONTROLE EC'!B:B,'CONTROLE EC'!X:X,"",0,1)</f>
        <v>90327.897311399996</v>
      </c>
      <c r="BB23" s="343">
        <f>_xlfn.XLOOKUP(TB_INTEGRADA[[#This Row],[Nº  SS]],'CONTROLE EC'!B:B,'CONTROLE EC'!Y:Y,"",0,1)</f>
        <v>0</v>
      </c>
    </row>
    <row r="24" spans="1:54" hidden="1" x14ac:dyDescent="0.3">
      <c r="A24" s="340">
        <f>IF(COUNTIFS($B$5:B24,TB_INTEGRADA[[#This Row],[Nº  SS]])&lt;&gt;1,"",COUNTIFS($B$5:B24,TB_INTEGRADA[[#This Row],[Nº  SS]]))</f>
        <v>1</v>
      </c>
      <c r="B24" s="267" t="s">
        <v>63</v>
      </c>
      <c r="C24" s="269" t="str">
        <f>_xlfn.XLOOKUP(TB_INTEGRADA[[#This Row],[Nº  SS]],'CONTROLE EC'!B:B,'CONTROLE EC'!C:C,"",0,1)</f>
        <v>25-0147-ES - DISPONIBILIZAÇÃO DE CONTAINER ESCRITÓRIO</v>
      </c>
      <c r="D24" s="18" t="str">
        <f>_xlfn.XLOOKUP(TB_INTEGRADA[[#This Row],[Nº  SS]],'CONTROLE CRONOG'!B:B,'CONTROLE CRONOG'!D:D,"",0,1)</f>
        <v>SERVIÇO</v>
      </c>
      <c r="E24" s="269" t="str">
        <f>_xlfn.XLOOKUP(TB_INTEGRADA[[#This Row],[Nº  SS]],'CONTROLE EC'!B:B,'CONTROLE EC'!E:E,"",0,1)</f>
        <v>UTGC</v>
      </c>
      <c r="F24" s="274" t="str">
        <f>_xlfn.XLOOKUP(TB_INTEGRADA[[#This Row],[Nº  SS]],'CONTROLE EC'!B:B,'CONTROLE EC'!F:F,"",0,1)</f>
        <v>CONCLUÍDA</v>
      </c>
      <c r="G24" s="275" t="str">
        <f>_xlfn.XLOOKUP(TB_INTEGRADA[[#This Row],[Nº  SS]],'CONTROLE EC'!B:B,'CONTROLE EC'!R:R,"",0,1)</f>
        <v>REV.00</v>
      </c>
      <c r="H24" s="276">
        <f>IF(TB_INTEGRADA[[#This Row],[REVISÃO (EC)]]="","",_xlfn.XLOOKUP(TB_INTEGRADA[[#This Row],[Nº  SS]],'CONTROLE EC'!B:B,'CONTROLE EC'!S:S,"",0,1))</f>
        <v>45957</v>
      </c>
      <c r="I24" s="276">
        <f>IF(TB_INTEGRADA[[#This Row],[REVISÃO (EC)]]="","",_xlfn.XLOOKUP(TB_INTEGRADA[[#This Row],[Nº  SS]],'CONTROLE EC'!B:B,'CONTROLE EC'!U:U,"",0,1))</f>
        <v>45959</v>
      </c>
      <c r="J24" s="276" t="str" cm="1">
        <f t="array" ref="J24">IF(TB_INTEGRADA[[#This Row],[DATA ENVIO. (EC)]]=IFERROR(INDEX('CONTROLE EC'!G24:Q24,MATCH(2,1/('CONTROLE EC'!G24:Q24&lt;&gt;""))),""),"",IFERROR(INDEX('CONTROLE EC'!G24:Q24,MATCH(2,1/('CONTROLE EC'!G24:Q24&lt;&gt;""))),""))</f>
        <v/>
      </c>
      <c r="K24" s="276" t="str">
        <f>IF(TB_INTEGRADA[[#This Row],[STATUS DEMANDA]]="NÃO EMITIDA SAMC","S/ EMISSÃO",_xlfn.XLOOKUP(TB_INTEGRADA[[#This Row],[Nº  SS]],'CONTROLE EC'!B:B,'CONTROLE EC'!T:T,"",0,-1))</f>
        <v>ENTREGUE</v>
      </c>
      <c r="L24"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24" s="15" cm="1">
        <f t="array" aca="1" ref="M24"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24" s="283" t="str">
        <f ca="1">IF(TB_INTEGRADA[[#This Row],[STATUS DEMANDA]]="NÃO EMITIDA SAMC","S/ EMISSÃO",IF(TB_INTEGRADA[[#This Row],[STATUS DEMANDA]]="ON HOLD","ON HOLD",IF(F24="CANCELADA","CANCELADA",IF(L24="REPROVADO","EM PLANEJ.",IF(K24&lt;&gt;"ENTREGUE","EM PLANEJ.",IF(H24="","EM PLANEJ.",IF(I24="","FISCALIZ.",IF(M24&lt;0,"EM PLANEJ.",IF(TB_INTEGRADA[[#This Row],[DATA APROV. (EC)]]&gt;=TB_INTEGRADA[[#This Row],[DATA ENVIO. (EC)]],"RETORNO OK","FISCALIZ.")))))))))</f>
        <v>RETORNO OK</v>
      </c>
      <c r="O24" s="275" t="str">
        <f>_xlfn.XLOOKUP(TB_INTEGRADA[[#This Row],[Nº  SS]],'CONTROLE CRONOG'!B:B,'CONTROLE CRONOG'!R:R,"",0,1)</f>
        <v>REV.00</v>
      </c>
      <c r="P24" s="276" t="str">
        <f>IF(TB_INTEGRADA[[#This Row],[REVISÃO (CR)]]="","",_xlfn.XLOOKUP(TB_INTEGRADA[[#This Row],[Nº  SS]],'CONTROLE CRONOG'!B:B,'CONTROLE CRONOG'!S:S,"",0,1))</f>
        <v>N/A</v>
      </c>
      <c r="Q24" s="284" t="str">
        <f>IF(TB_INTEGRADA[[#This Row],[REVISÃO (CR)]]="","",_xlfn.XLOOKUP(TB_INTEGRADA[[#This Row],[Nº  SS]],'CONTROLE CRONOG'!B:B,'CONTROLE CRONOG'!U:U,"",0,1))</f>
        <v>N/A</v>
      </c>
      <c r="R24" s="276" t="str" cm="1">
        <f t="array" ref="R24">IF(TB_INTEGRADA[[#This Row],[DATA ENVIO. (CR)]]=IFERROR(INDEX('CONTROLE CRONOG'!G24:Q24,MATCH(2,1/('CONTROLE CRONOG'!G24:Q24&lt;&gt;""))),""),"",IFERROR(INDEX('CONTROLE CRONOG'!G24:Q24,MATCH(2,1/('CONTROLE CRONOG'!G24:Q24&lt;&gt;""))),""))</f>
        <v/>
      </c>
      <c r="S24" s="276" t="str">
        <f>_xlfn.XLOOKUP(TB_INTEGRADA[[#This Row],[Nº  SS]],'CONTROLE CRONOG'!B:B,'CONTROLE CRONOG'!T:T,"",0,-1)</f>
        <v>ENTREGUE</v>
      </c>
      <c r="T24"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24" s="439"/>
      <c r="V24" s="285">
        <v>46052</v>
      </c>
      <c r="W24" s="276">
        <v>46052</v>
      </c>
      <c r="X24" s="286">
        <f>IFERROR(TB_INTEGRADA[[#This Row],[TÉRM. TD]]-TB_INTEGRADA[[#This Row],[TÉRMINO LB]],0)</f>
        <v>0</v>
      </c>
      <c r="Y24" s="91">
        <v>1</v>
      </c>
      <c r="Z24" s="91">
        <v>1</v>
      </c>
      <c r="AA24" s="91">
        <v>0</v>
      </c>
      <c r="AB24" s="91">
        <f>IFERROR(TB_INTEGRADA[[#This Row],[REAL (%)]]-TB_INTEGRADA[[#This Row],[PREV (%)]],0)</f>
        <v>0</v>
      </c>
      <c r="AC24" s="277">
        <v>0</v>
      </c>
      <c r="AD24" s="283">
        <v>0</v>
      </c>
      <c r="AE24" s="439"/>
      <c r="AF24"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0</v>
      </c>
      <c r="AG24" s="287"/>
      <c r="AH24" s="287">
        <f>SUMIFS(Tb_HhPLAN[Hh DISC],Tb_HhPLAN[SS],TB_INTEGRADA[[#This Row],[Nº  SS]],Tb_HhPLAN[DISCIPLINA],"MEC")</f>
        <v>0</v>
      </c>
      <c r="AI24" s="404">
        <f>SUMIFS(Hh_EXE_TOTAL[Hh],Hh_EXE_TOTAL[Nº  SS],TB_INTEGRADA[[#This Row],[Nº  SS]],Hh_EXE_TOTAL[DISCIPLINA],"MEC")</f>
        <v>0</v>
      </c>
      <c r="AJ24"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24" s="287"/>
      <c r="AL24" s="287">
        <f>SUMIFS(Tb_HhPLAN[Hh DISC],Tb_HhPLAN[SS],TB_INTEGRADA[[#This Row],[Nº  SS]],Tb_HhPLAN[DISCIPLINA],"CIVIL")</f>
        <v>0</v>
      </c>
      <c r="AM24" s="404">
        <f>SUMIFS(Hh_EXE_TOTAL[Hh],Hh_EXE_TOTAL[Nº  SS],TB_INTEGRADA[[#This Row],[Nº  SS]],Hh_EXE_TOTAL[DISCIPLINA],"CIVIL")</f>
        <v>0</v>
      </c>
      <c r="AN24"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0</v>
      </c>
      <c r="AO24" s="287"/>
      <c r="AP24" s="287">
        <f>SUMIFS(Tb_HhPLAN[Hh DISC],Tb_HhPLAN[SS],TB_INTEGRADA[[#This Row],[Nº  SS]],Tb_HhPLAN[DISCIPLINA],"ELÉT")</f>
        <v>0</v>
      </c>
      <c r="AQ24" s="404">
        <f>SUMIFS(Hh_EXE_TOTAL[Hh],Hh_EXE_TOTAL[Nº  SS],TB_INTEGRADA[[#This Row],[Nº  SS]],Hh_EXE_TOTAL[DISCIPLINA],"ELÉT")</f>
        <v>0</v>
      </c>
      <c r="AR24"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24" s="287"/>
      <c r="AT24" s="287">
        <f>SUMIFS(Tb_HhPLAN[Hh DISC],Tb_HhPLAN[SS],TB_INTEGRADA[[#This Row],[Nº  SS]],Tb_HhPLAN[DISCIPLINA],"PINT")</f>
        <v>0</v>
      </c>
      <c r="AU24" s="404">
        <f>SUMIFS(Hh_EXE_TOTAL[Hh],Hh_EXE_TOTAL[Nº  SS],TB_INTEGRADA[[#This Row],[Nº  SS]],Hh_EXE_TOTAL[DISCIPLINA],"PINT")</f>
        <v>0</v>
      </c>
      <c r="AV24" s="400">
        <f>TB_INTEGRADA[[#This Row],[ORÇADO]]+TB_INTEGRADA[[#This Row],[ORÇADO1]]+TB_INTEGRADA[[#This Row],[ORÇADO2]]+TB_INTEGRADA[[#This Row],[ORÇADO3]]</f>
        <v>0</v>
      </c>
      <c r="AW24" s="287">
        <f>TB_INTEGRADA[[#This Row],[PLANEJ]]+TB_INTEGRADA[[#This Row],[PLANEJ1]]+TB_INTEGRADA[[#This Row],[PLANEJ2]]+TB_INTEGRADA[[#This Row],[PLANEJ3]]</f>
        <v>0</v>
      </c>
      <c r="AX24" s="287">
        <f>TB_INTEGRADA[[#This Row],[REALIZ]]+TB_INTEGRADA[[#This Row],[REALIZ1]]+TB_INTEGRADA[[#This Row],[REALIZ2]]+TB_INTEGRADA[[#This Row],[REALIZ3]]</f>
        <v>0</v>
      </c>
      <c r="AY24" s="417" t="str">
        <f>IFERROR(TB_INTEGRADA[[#This Row],[REALIZ4]]/TB_INTEGRADA[[#This Row],[ORÇADO4]],"")</f>
        <v/>
      </c>
      <c r="AZ24" s="341">
        <f>_xlfn.XLOOKUP(TB_INTEGRADA[[#This Row],[Nº  SS]],'CONTROLE EC'!B:B,'CONTROLE EC'!W:W,"",0,1)</f>
        <v>9890.6360400000012</v>
      </c>
      <c r="BA24" s="342">
        <f>_xlfn.XLOOKUP(TB_INTEGRADA[[#This Row],[Nº  SS]],'CONTROLE EC'!B:B,'CONTROLE EC'!X:X,"",0,1)</f>
        <v>9890.6360400000012</v>
      </c>
      <c r="BB24" s="343">
        <f>_xlfn.XLOOKUP(TB_INTEGRADA[[#This Row],[Nº  SS]],'CONTROLE EC'!B:B,'CONTROLE EC'!Y:Y,"",0,1)</f>
        <v>0</v>
      </c>
    </row>
    <row r="25" spans="1:54" hidden="1" x14ac:dyDescent="0.3">
      <c r="A25" s="340">
        <f>IF(COUNTIFS($B$5:B25,TB_INTEGRADA[[#This Row],[Nº  SS]])&lt;&gt;1,"",COUNTIFS($B$5:B25,TB_INTEGRADA[[#This Row],[Nº  SS]]))</f>
        <v>1</v>
      </c>
      <c r="B25" s="267" t="s">
        <v>163</v>
      </c>
      <c r="C25" s="269" t="str">
        <f>_xlfn.XLOOKUP(TB_INTEGRADA[[#This Row],[Nº  SS]],'CONTROLE EC'!B:B,'CONTROLE EC'!C:C,"",0,1)</f>
        <v>23-0838-ES - ADEQUAÇÃO DA ILUMINAÇÃO VIÁRIA</v>
      </c>
      <c r="D25" s="18" t="str">
        <f>_xlfn.XLOOKUP(TB_INTEGRADA[[#This Row],[Nº  SS]],'CONTROLE CRONOG'!B:B,'CONTROLE CRONOG'!D:D,"",0,1)</f>
        <v>SERVIÇO</v>
      </c>
      <c r="E25" s="269" t="str">
        <f>_xlfn.XLOOKUP(TB_INTEGRADA[[#This Row],[Nº  SS]],'CONTROLE EC'!B:B,'CONTROLE EC'!E:E,"",0,1)</f>
        <v>UTGC</v>
      </c>
      <c r="F25" s="274" t="str">
        <f>_xlfn.XLOOKUP(TB_INTEGRADA[[#This Row],[Nº  SS]],'CONTROLE EC'!B:B,'CONTROLE EC'!F:F,"",0,1)</f>
        <v>CANCELADA</v>
      </c>
      <c r="G25" s="275" t="str">
        <f>_xlfn.XLOOKUP(TB_INTEGRADA[[#This Row],[Nº  SS]],'CONTROLE EC'!B:B,'CONTROLE EC'!R:R,"",0,1)</f>
        <v>REV.00</v>
      </c>
      <c r="H25" s="276">
        <f>IF(TB_INTEGRADA[[#This Row],[REVISÃO (EC)]]="","",_xlfn.XLOOKUP(TB_INTEGRADA[[#This Row],[Nº  SS]],'CONTROLE EC'!B:B,'CONTROLE EC'!S:S,"",0,1))</f>
        <v>45986</v>
      </c>
      <c r="I25" s="276">
        <f>IF(TB_INTEGRADA[[#This Row],[REVISÃO (EC)]]="","",_xlfn.XLOOKUP(TB_INTEGRADA[[#This Row],[Nº  SS]],'CONTROLE EC'!B:B,'CONTROLE EC'!U:U,"",0,1))</f>
        <v>0</v>
      </c>
      <c r="J25" s="276" t="str" cm="1">
        <f t="array" ref="J25">IF(TB_INTEGRADA[[#This Row],[DATA ENVIO. (EC)]]=IFERROR(INDEX('CONTROLE EC'!G25:Q25,MATCH(2,1/('CONTROLE EC'!G25:Q25&lt;&gt;""))),""),"",IFERROR(INDEX('CONTROLE EC'!G25:Q25,MATCH(2,1/('CONTROLE EC'!G25:Q25&lt;&gt;""))),""))</f>
        <v/>
      </c>
      <c r="K25" s="276" t="str">
        <f>IF(TB_INTEGRADA[[#This Row],[STATUS DEMANDA]]="NÃO EMITIDA SAMC","S/ EMISSÃO",_xlfn.XLOOKUP(TB_INTEGRADA[[#This Row],[Nº  SS]],'CONTROLE EC'!B:B,'CONTROLE EC'!T:T,"",0,-1))</f>
        <v>CANCELADA</v>
      </c>
      <c r="L25"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CANCELADA</v>
      </c>
      <c r="M25" s="15" cm="1">
        <f t="array" aca="1" ref="M25"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25" s="283" t="str">
        <f>IF(TB_INTEGRADA[[#This Row],[STATUS DEMANDA]]="NÃO EMITIDA SAMC","S/ EMISSÃO",IF(TB_INTEGRADA[[#This Row],[STATUS DEMANDA]]="ON HOLD","ON HOLD",IF(F25="CANCELADA","CANCELADA",IF(L25="REPROVADO","EM PLANEJ.",IF(K25&lt;&gt;"ENTREGUE","EM PLANEJ.",IF(H25="","EM PLANEJ.",IF(I25="","FISCALIZ.",IF(M25&lt;0,"EM PLANEJ.",IF(TB_INTEGRADA[[#This Row],[DATA APROV. (EC)]]&gt;=TB_INTEGRADA[[#This Row],[DATA ENVIO. (EC)]],"RETORNO OK","FISCALIZ.")))))))))</f>
        <v>CANCELADA</v>
      </c>
      <c r="O25" s="275" t="str">
        <f>_xlfn.XLOOKUP(TB_INTEGRADA[[#This Row],[Nº  SS]],'CONTROLE CRONOG'!B:B,'CONTROLE CRONOG'!R:R,"",0,1)</f>
        <v>REV.00</v>
      </c>
      <c r="P25" s="276">
        <f>IF(TB_INTEGRADA[[#This Row],[REVISÃO (CR)]]="","",_xlfn.XLOOKUP(TB_INTEGRADA[[#This Row],[Nº  SS]],'CONTROLE CRONOG'!B:B,'CONTROLE CRONOG'!S:S,"",0,1))</f>
        <v>45986</v>
      </c>
      <c r="Q25" s="284">
        <f>IF(TB_INTEGRADA[[#This Row],[REVISÃO (CR)]]="","",_xlfn.XLOOKUP(TB_INTEGRADA[[#This Row],[Nº  SS]],'CONTROLE CRONOG'!B:B,'CONTROLE CRONOG'!U:U,"",0,1))</f>
        <v>0</v>
      </c>
      <c r="R25" s="276" t="str" cm="1">
        <f t="array" ref="R25">IF(TB_INTEGRADA[[#This Row],[DATA ENVIO. (CR)]]=IFERROR(INDEX('CONTROLE CRONOG'!G25:Q25,MATCH(2,1/('CONTROLE CRONOG'!G25:Q25&lt;&gt;""))),""),"",IFERROR(INDEX('CONTROLE CRONOG'!G25:Q25,MATCH(2,1/('CONTROLE CRONOG'!G25:Q25&lt;&gt;""))),""))</f>
        <v/>
      </c>
      <c r="S25" s="276" t="str">
        <f>_xlfn.XLOOKUP(TB_INTEGRADA[[#This Row],[Nº  SS]],'CONTROLE CRONOG'!B:B,'CONTROLE CRONOG'!T:T,"",0,-1)</f>
        <v>CANCELADA</v>
      </c>
      <c r="T25"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CANCELADA</v>
      </c>
      <c r="U25" s="439"/>
      <c r="V25" s="285"/>
      <c r="W25" s="276"/>
      <c r="X25" s="286">
        <f>IFERROR(TB_INTEGRADA[[#This Row],[TÉRM. TD]]-TB_INTEGRADA[[#This Row],[TÉRMINO LB]],0)</f>
        <v>0</v>
      </c>
      <c r="Y25" s="91"/>
      <c r="Z25" s="91"/>
      <c r="AA25" s="91">
        <v>0</v>
      </c>
      <c r="AB25" s="91">
        <f>IFERROR(TB_INTEGRADA[[#This Row],[REAL (%)]]-TB_INTEGRADA[[#This Row],[PREV (%)]],0)</f>
        <v>0</v>
      </c>
      <c r="AC25" s="277"/>
      <c r="AD25" s="283"/>
      <c r="AE25" s="439"/>
      <c r="AF25"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0</v>
      </c>
      <c r="AG25" s="287"/>
      <c r="AH25" s="287">
        <f>SUMIFS(Tb_HhPLAN[Hh DISC],Tb_HhPLAN[SS],TB_INTEGRADA[[#This Row],[Nº  SS]],Tb_HhPLAN[DISCIPLINA],"MEC")</f>
        <v>0</v>
      </c>
      <c r="AI25" s="404">
        <f>SUMIFS(Hh_EXE_TOTAL[Hh],Hh_EXE_TOTAL[Nº  SS],TB_INTEGRADA[[#This Row],[Nº  SS]],Hh_EXE_TOTAL[DISCIPLINA],"MEC")</f>
        <v>0</v>
      </c>
      <c r="AJ25"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25" s="287"/>
      <c r="AL25" s="287">
        <f>SUMIFS(Tb_HhPLAN[Hh DISC],Tb_HhPLAN[SS],TB_INTEGRADA[[#This Row],[Nº  SS]],Tb_HhPLAN[DISCIPLINA],"CIVIL")</f>
        <v>0</v>
      </c>
      <c r="AM25" s="404">
        <f>SUMIFS(Hh_EXE_TOTAL[Hh],Hh_EXE_TOTAL[Nº  SS],TB_INTEGRADA[[#This Row],[Nº  SS]],Hh_EXE_TOTAL[DISCIPLINA],"CIVIL")</f>
        <v>0</v>
      </c>
      <c r="AN25"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0</v>
      </c>
      <c r="AO25" s="287"/>
      <c r="AP25" s="287">
        <f>SUMIFS(Tb_HhPLAN[Hh DISC],Tb_HhPLAN[SS],TB_INTEGRADA[[#This Row],[Nº  SS]],Tb_HhPLAN[DISCIPLINA],"ELÉT")</f>
        <v>0</v>
      </c>
      <c r="AQ25" s="404">
        <f>SUMIFS(Hh_EXE_TOTAL[Hh],Hh_EXE_TOTAL[Nº  SS],TB_INTEGRADA[[#This Row],[Nº  SS]],Hh_EXE_TOTAL[DISCIPLINA],"ELÉT")</f>
        <v>0</v>
      </c>
      <c r="AR25"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25" s="287"/>
      <c r="AT25" s="287">
        <f>SUMIFS(Tb_HhPLAN[Hh DISC],Tb_HhPLAN[SS],TB_INTEGRADA[[#This Row],[Nº  SS]],Tb_HhPLAN[DISCIPLINA],"PINT")</f>
        <v>0</v>
      </c>
      <c r="AU25" s="404">
        <f>SUMIFS(Hh_EXE_TOTAL[Hh],Hh_EXE_TOTAL[Nº  SS],TB_INTEGRADA[[#This Row],[Nº  SS]],Hh_EXE_TOTAL[DISCIPLINA],"PINT")</f>
        <v>0</v>
      </c>
      <c r="AV25" s="400">
        <f>TB_INTEGRADA[[#This Row],[ORÇADO]]+TB_INTEGRADA[[#This Row],[ORÇADO1]]+TB_INTEGRADA[[#This Row],[ORÇADO2]]+TB_INTEGRADA[[#This Row],[ORÇADO3]]</f>
        <v>0</v>
      </c>
      <c r="AW25" s="287">
        <f>TB_INTEGRADA[[#This Row],[PLANEJ]]+TB_INTEGRADA[[#This Row],[PLANEJ1]]+TB_INTEGRADA[[#This Row],[PLANEJ2]]+TB_INTEGRADA[[#This Row],[PLANEJ3]]</f>
        <v>0</v>
      </c>
      <c r="AX25" s="287">
        <f>TB_INTEGRADA[[#This Row],[REALIZ]]+TB_INTEGRADA[[#This Row],[REALIZ1]]+TB_INTEGRADA[[#This Row],[REALIZ2]]+TB_INTEGRADA[[#This Row],[REALIZ3]]</f>
        <v>0</v>
      </c>
      <c r="AY25" s="417" t="str">
        <f>IFERROR(TB_INTEGRADA[[#This Row],[REALIZ4]]/TB_INTEGRADA[[#This Row],[ORÇADO4]],"")</f>
        <v/>
      </c>
      <c r="AZ25" s="341">
        <f>_xlfn.XLOOKUP(TB_INTEGRADA[[#This Row],[Nº  SS]],'CONTROLE EC'!B:B,'CONTROLE EC'!W:W,"",0,1)</f>
        <v>0</v>
      </c>
      <c r="BA25" s="342">
        <f>_xlfn.XLOOKUP(TB_INTEGRADA[[#This Row],[Nº  SS]],'CONTROLE EC'!B:B,'CONTROLE EC'!X:X,"",0,1)</f>
        <v>0</v>
      </c>
      <c r="BB25" s="343">
        <f>_xlfn.XLOOKUP(TB_INTEGRADA[[#This Row],[Nº  SS]],'CONTROLE EC'!B:B,'CONTROLE EC'!Y:Y,"",0,1)</f>
        <v>0</v>
      </c>
    </row>
    <row r="26" spans="1:54" hidden="1" x14ac:dyDescent="0.3">
      <c r="A26" s="340">
        <f>IF(COUNTIFS($B$5:B26,TB_INTEGRADA[[#This Row],[Nº  SS]])&lt;&gt;1,"",COUNTIFS($B$5:B26,TB_INTEGRADA[[#This Row],[Nº  SS]]))</f>
        <v>1</v>
      </c>
      <c r="B26" s="267" t="s">
        <v>164</v>
      </c>
      <c r="C26" s="269" t="str">
        <f>_xlfn.XLOOKUP(TB_INTEGRADA[[#This Row],[Nº  SS]],'CONTROLE EC'!B:B,'CONTROLE EC'!C:C,"",0,1)</f>
        <v>24-1106-ES - ADEQUAÇÃO DA SALA DE MONITORAMENTO N1 CISC</v>
      </c>
      <c r="D26" s="18" t="str">
        <f>_xlfn.XLOOKUP(TB_INTEGRADA[[#This Row],[Nº  SS]],'CONTROLE CRONOG'!B:B,'CONTROLE CRONOG'!D:D,"",0,1)</f>
        <v>SERVIÇO</v>
      </c>
      <c r="E26" s="269" t="str">
        <f>_xlfn.XLOOKUP(TB_INTEGRADA[[#This Row],[Nº  SS]],'CONTROLE EC'!B:B,'CONTROLE EC'!E:E,"",0,1)</f>
        <v>UTGSUL</v>
      </c>
      <c r="F26" s="274" t="str">
        <f>_xlfn.XLOOKUP(TB_INTEGRADA[[#This Row],[Nº  SS]],'CONTROLE EC'!B:B,'CONTROLE EC'!F:F,"",0,1)</f>
        <v>CONCLUÍDA</v>
      </c>
      <c r="G26" s="275" t="str">
        <f>_xlfn.XLOOKUP(TB_INTEGRADA[[#This Row],[Nº  SS]],'CONTROLE EC'!B:B,'CONTROLE EC'!R:R,"",0,1)</f>
        <v>REV.00</v>
      </c>
      <c r="H26" s="276">
        <f>IF(TB_INTEGRADA[[#This Row],[REVISÃO (EC)]]="","",_xlfn.XLOOKUP(TB_INTEGRADA[[#This Row],[Nº  SS]],'CONTROLE EC'!B:B,'CONTROLE EC'!S:S,"",0,1))</f>
        <v>45973</v>
      </c>
      <c r="I26" s="276">
        <f>IF(TB_INTEGRADA[[#This Row],[REVISÃO (EC)]]="","",_xlfn.XLOOKUP(TB_INTEGRADA[[#This Row],[Nº  SS]],'CONTROLE EC'!B:B,'CONTROLE EC'!U:U,"",0,1))</f>
        <v>45975</v>
      </c>
      <c r="J26" s="276" t="str" cm="1">
        <f t="array" ref="J26">IF(TB_INTEGRADA[[#This Row],[DATA ENVIO. (EC)]]=IFERROR(INDEX('CONTROLE EC'!G26:Q26,MATCH(2,1/('CONTROLE EC'!G26:Q26&lt;&gt;""))),""),"",IFERROR(INDEX('CONTROLE EC'!G26:Q26,MATCH(2,1/('CONTROLE EC'!G26:Q26&lt;&gt;""))),""))</f>
        <v/>
      </c>
      <c r="K26" s="276" t="str">
        <f>IF(TB_INTEGRADA[[#This Row],[STATUS DEMANDA]]="NÃO EMITIDA SAMC","S/ EMISSÃO",_xlfn.XLOOKUP(TB_INTEGRADA[[#This Row],[Nº  SS]],'CONTROLE EC'!B:B,'CONTROLE EC'!T:T,"",0,-1))</f>
        <v>ENTREGUE</v>
      </c>
      <c r="L26"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26" s="15" cm="1">
        <f t="array" aca="1" ref="M26"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26" s="283" t="str">
        <f ca="1">IF(TB_INTEGRADA[[#This Row],[STATUS DEMANDA]]="NÃO EMITIDA SAMC","S/ EMISSÃO",IF(TB_INTEGRADA[[#This Row],[STATUS DEMANDA]]="ON HOLD","ON HOLD",IF(F26="CANCELADA","CANCELADA",IF(L26="REPROVADO","EM PLANEJ.",IF(K26&lt;&gt;"ENTREGUE","EM PLANEJ.",IF(H26="","EM PLANEJ.",IF(I26="","FISCALIZ.",IF(M26&lt;0,"EM PLANEJ.",IF(TB_INTEGRADA[[#This Row],[DATA APROV. (EC)]]&gt;=TB_INTEGRADA[[#This Row],[DATA ENVIO. (EC)]],"RETORNO OK","FISCALIZ.")))))))))</f>
        <v>RETORNO OK</v>
      </c>
      <c r="O26" s="275" t="str">
        <f>_xlfn.XLOOKUP(TB_INTEGRADA[[#This Row],[Nº  SS]],'CONTROLE CRONOG'!B:B,'CONTROLE CRONOG'!R:R,"",0,1)</f>
        <v>REV.01</v>
      </c>
      <c r="P26" s="276">
        <f>IF(TB_INTEGRADA[[#This Row],[REVISÃO (CR)]]="","",_xlfn.XLOOKUP(TB_INTEGRADA[[#This Row],[Nº  SS]],'CONTROLE CRONOG'!B:B,'CONTROLE CRONOG'!S:S,"",0,1))</f>
        <v>46000</v>
      </c>
      <c r="Q26" s="284">
        <f>IF(TB_INTEGRADA[[#This Row],[REVISÃO (CR)]]="","",_xlfn.XLOOKUP(TB_INTEGRADA[[#This Row],[Nº  SS]],'CONTROLE CRONOG'!B:B,'CONTROLE CRONOG'!U:U,"",0,1))</f>
        <v>46000</v>
      </c>
      <c r="R26" s="276" t="str" cm="1">
        <f t="array" ref="R26">IF(TB_INTEGRADA[[#This Row],[DATA ENVIO. (CR)]]=IFERROR(INDEX('CONTROLE CRONOG'!G26:Q26,MATCH(2,1/('CONTROLE CRONOG'!G26:Q26&lt;&gt;""))),""),"",IFERROR(INDEX('CONTROLE CRONOG'!G26:Q26,MATCH(2,1/('CONTROLE CRONOG'!G26:Q26&lt;&gt;""))),""))</f>
        <v/>
      </c>
      <c r="S26" s="276" t="str">
        <f>_xlfn.XLOOKUP(TB_INTEGRADA[[#This Row],[Nº  SS]],'CONTROLE CRONOG'!B:B,'CONTROLE CRONOG'!T:T,"",0,-1)</f>
        <v>ENTREGUE</v>
      </c>
      <c r="T26"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26" s="439"/>
      <c r="V26" s="285">
        <v>46037</v>
      </c>
      <c r="W26" s="276">
        <v>46045</v>
      </c>
      <c r="X26" s="286">
        <f>IFERROR(TB_INTEGRADA[[#This Row],[TÉRM. TD]]-TB_INTEGRADA[[#This Row],[TÉRMINO LB]],0)</f>
        <v>8</v>
      </c>
      <c r="Y26" s="91">
        <v>1</v>
      </c>
      <c r="Z26" s="91">
        <v>1</v>
      </c>
      <c r="AA26" s="91">
        <v>0</v>
      </c>
      <c r="AB26" s="91">
        <f>IFERROR(TB_INTEGRADA[[#This Row],[REAL (%)]]-TB_INTEGRADA[[#This Row],[PREV (%)]],0)</f>
        <v>0</v>
      </c>
      <c r="AC26" s="277">
        <v>0</v>
      </c>
      <c r="AD26" s="283">
        <v>0</v>
      </c>
      <c r="AE26" s="439"/>
      <c r="AF26"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0</v>
      </c>
      <c r="AG26" s="287"/>
      <c r="AH26" s="287">
        <f>SUMIFS(Tb_HhPLAN[Hh DISC],Tb_HhPLAN[SS],TB_INTEGRADA[[#This Row],[Nº  SS]],Tb_HhPLAN[DISCIPLINA],"MEC")</f>
        <v>0</v>
      </c>
      <c r="AI26" s="404">
        <f>SUMIFS(Hh_EXE_TOTAL[Hh],Hh_EXE_TOTAL[Nº  SS],TB_INTEGRADA[[#This Row],[Nº  SS]],Hh_EXE_TOTAL[DISCIPLINA],"MEC")</f>
        <v>0</v>
      </c>
      <c r="AJ26"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117.25830000000002</v>
      </c>
      <c r="AK26" s="287">
        <v>85.59</v>
      </c>
      <c r="AL26" s="287">
        <f>SUMIFS(Tb_HhPLAN[Hh DISC],Tb_HhPLAN[SS],TB_INTEGRADA[[#This Row],[Nº  SS]],Tb_HhPLAN[DISCIPLINA],"CIVIL")</f>
        <v>108.79295154185021</v>
      </c>
      <c r="AM26" s="404">
        <f>SUMIFS(Hh_EXE_TOTAL[Hh],Hh_EXE_TOTAL[Nº  SS],TB_INTEGRADA[[#This Row],[Nº  SS]],Hh_EXE_TOTAL[DISCIPLINA],"CIVIL")</f>
        <v>816</v>
      </c>
      <c r="AN26"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242.17490000000004</v>
      </c>
      <c r="AO26" s="287">
        <v>176.77</v>
      </c>
      <c r="AP26" s="287">
        <f>SUMIFS(Tb_HhPLAN[Hh DISC],Tb_HhPLAN[SS],TB_INTEGRADA[[#This Row],[Nº  SS]],Tb_HhPLAN[DISCIPLINA],"ELÉT")</f>
        <v>87.207048458149785</v>
      </c>
      <c r="AQ26" s="404">
        <f>SUMIFS(Hh_EXE_TOTAL[Hh],Hh_EXE_TOTAL[Nº  SS],TB_INTEGRADA[[#This Row],[Nº  SS]],Hh_EXE_TOTAL[DISCIPLINA],"ELÉT")</f>
        <v>96</v>
      </c>
      <c r="AR26"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137.7535</v>
      </c>
      <c r="AS26" s="287">
        <v>100.55</v>
      </c>
      <c r="AT26" s="287">
        <f>SUMIFS(Tb_HhPLAN[Hh DISC],Tb_HhPLAN[SS],TB_INTEGRADA[[#This Row],[Nº  SS]],Tb_HhPLAN[DISCIPLINA],"PINT")</f>
        <v>0</v>
      </c>
      <c r="AU26" s="404">
        <f>SUMIFS(Hh_EXE_TOTAL[Hh],Hh_EXE_TOTAL[Nº  SS],TB_INTEGRADA[[#This Row],[Nº  SS]],Hh_EXE_TOTAL[DISCIPLINA],"PINT")</f>
        <v>0</v>
      </c>
      <c r="AV26" s="400">
        <f>TB_INTEGRADA[[#This Row],[ORÇADO]]+TB_INTEGRADA[[#This Row],[ORÇADO1]]+TB_INTEGRADA[[#This Row],[ORÇADO2]]+TB_INTEGRADA[[#This Row],[ORÇADO3]]</f>
        <v>497.18670000000009</v>
      </c>
      <c r="AW26" s="287">
        <f>TB_INTEGRADA[[#This Row],[PLANEJ]]+TB_INTEGRADA[[#This Row],[PLANEJ1]]+TB_INTEGRADA[[#This Row],[PLANEJ2]]+TB_INTEGRADA[[#This Row],[PLANEJ3]]</f>
        <v>196</v>
      </c>
      <c r="AX26" s="287">
        <f>TB_INTEGRADA[[#This Row],[REALIZ]]+TB_INTEGRADA[[#This Row],[REALIZ1]]+TB_INTEGRADA[[#This Row],[REALIZ2]]+TB_INTEGRADA[[#This Row],[REALIZ3]]</f>
        <v>912</v>
      </c>
      <c r="AY26" s="417">
        <f>IFERROR(TB_INTEGRADA[[#This Row],[REALIZ4]]/TB_INTEGRADA[[#This Row],[ORÇADO4]],"")</f>
        <v>1.834320990485063</v>
      </c>
      <c r="AZ26" s="341">
        <f>_xlfn.XLOOKUP(TB_INTEGRADA[[#This Row],[Nº  SS]],'CONTROLE EC'!B:B,'CONTROLE EC'!W:W,"",0,1)</f>
        <v>117731.57525999998</v>
      </c>
      <c r="BA26" s="342">
        <f>_xlfn.XLOOKUP(TB_INTEGRADA[[#This Row],[Nº  SS]],'CONTROLE EC'!B:B,'CONTROLE EC'!X:X,"",0,1)</f>
        <v>117731.57525999998</v>
      </c>
      <c r="BB26" s="343">
        <f>_xlfn.XLOOKUP(TB_INTEGRADA[[#This Row],[Nº  SS]],'CONTROLE EC'!B:B,'CONTROLE EC'!Y:Y,"",0,1)</f>
        <v>0</v>
      </c>
    </row>
    <row r="27" spans="1:54" hidden="1" x14ac:dyDescent="0.3">
      <c r="A27" s="340">
        <f>IF(COUNTIFS($B$5:B27,TB_INTEGRADA[[#This Row],[Nº  SS]])&lt;&gt;1,"",COUNTIFS($B$5:B27,TB_INTEGRADA[[#This Row],[Nº  SS]]))</f>
        <v>1</v>
      </c>
      <c r="B27" s="267" t="s">
        <v>165</v>
      </c>
      <c r="C27" s="269" t="str">
        <f>_xlfn.XLOOKUP(TB_INTEGRADA[[#This Row],[Nº  SS]],'CONTROLE EC'!B:B,'CONTROLE EC'!C:C,"",0,1)</f>
        <v>24-0087-ES - REMOÇÃO DAS TELHAS DE PROTEÇÃO DOS PAINÉIS DO K21 E K40</v>
      </c>
      <c r="D27" s="18" t="str">
        <f>_xlfn.XLOOKUP(TB_INTEGRADA[[#This Row],[Nº  SS]],'CONTROLE CRONOG'!B:B,'CONTROLE CRONOG'!D:D,"",0,1)</f>
        <v>SERVIÇO</v>
      </c>
      <c r="E27" s="269" t="str">
        <f>_xlfn.XLOOKUP(TB_INTEGRADA[[#This Row],[Nº  SS]],'CONTROLE EC'!B:B,'CONTROLE EC'!E:E,"",0,1)</f>
        <v>UTGC</v>
      </c>
      <c r="F27" s="274" t="str">
        <f>_xlfn.XLOOKUP(TB_INTEGRADA[[#This Row],[Nº  SS]],'CONTROLE EC'!B:B,'CONTROLE EC'!F:F,"",0,1)</f>
        <v>CONCLUÍDA</v>
      </c>
      <c r="G27" s="275" t="str">
        <f>_xlfn.XLOOKUP(TB_INTEGRADA[[#This Row],[Nº  SS]],'CONTROLE EC'!B:B,'CONTROLE EC'!R:R,"",0,1)</f>
        <v>REV.02</v>
      </c>
      <c r="H27" s="276">
        <f>IF(TB_INTEGRADA[[#This Row],[REVISÃO (EC)]]="","",_xlfn.XLOOKUP(TB_INTEGRADA[[#This Row],[Nº  SS]],'CONTROLE EC'!B:B,'CONTROLE EC'!S:S,"",0,1))</f>
        <v>45972</v>
      </c>
      <c r="I27" s="276">
        <f>IF(TB_INTEGRADA[[#This Row],[REVISÃO (EC)]]="","",_xlfn.XLOOKUP(TB_INTEGRADA[[#This Row],[Nº  SS]],'CONTROLE EC'!B:B,'CONTROLE EC'!U:U,"",0,1))</f>
        <v>45972</v>
      </c>
      <c r="J27" s="276" t="str" cm="1">
        <f t="array" ref="J27">IF(TB_INTEGRADA[[#This Row],[DATA ENVIO. (EC)]]=IFERROR(INDEX('CONTROLE EC'!G27:Q27,MATCH(2,1/('CONTROLE EC'!G27:Q27&lt;&gt;""))),""),"",IFERROR(INDEX('CONTROLE EC'!G27:Q27,MATCH(2,1/('CONTROLE EC'!G27:Q27&lt;&gt;""))),""))</f>
        <v/>
      </c>
      <c r="K27" s="276" t="str">
        <f>IF(TB_INTEGRADA[[#This Row],[STATUS DEMANDA]]="NÃO EMITIDA SAMC","S/ EMISSÃO",_xlfn.XLOOKUP(TB_INTEGRADA[[#This Row],[Nº  SS]],'CONTROLE EC'!B:B,'CONTROLE EC'!T:T,"",0,-1))</f>
        <v>ENTREGUE</v>
      </c>
      <c r="L27"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27" s="15" cm="1">
        <f t="array" aca="1" ref="M27"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27" s="283" t="str">
        <f ca="1">IF(TB_INTEGRADA[[#This Row],[STATUS DEMANDA]]="NÃO EMITIDA SAMC","S/ EMISSÃO",IF(TB_INTEGRADA[[#This Row],[STATUS DEMANDA]]="ON HOLD","ON HOLD",IF(F27="CANCELADA","CANCELADA",IF(L27="REPROVADO","EM PLANEJ.",IF(K27&lt;&gt;"ENTREGUE","EM PLANEJ.",IF(H27="","EM PLANEJ.",IF(I27="","FISCALIZ.",IF(M27&lt;0,"EM PLANEJ.",IF(TB_INTEGRADA[[#This Row],[DATA APROV. (EC)]]&gt;=TB_INTEGRADA[[#This Row],[DATA ENVIO. (EC)]],"RETORNO OK","FISCALIZ.")))))))))</f>
        <v>RETORNO OK</v>
      </c>
      <c r="O27" s="275" t="str">
        <f>_xlfn.XLOOKUP(TB_INTEGRADA[[#This Row],[Nº  SS]],'CONTROLE CRONOG'!B:B,'CONTROLE CRONOG'!R:R,"",0,1)</f>
        <v>REV.00</v>
      </c>
      <c r="P27" s="276" t="str">
        <f>IF(TB_INTEGRADA[[#This Row],[REVISÃO (CR)]]="","",_xlfn.XLOOKUP(TB_INTEGRADA[[#This Row],[Nº  SS]],'CONTROLE CRONOG'!B:B,'CONTROLE CRONOG'!S:S,"",0,1))</f>
        <v>N/A</v>
      </c>
      <c r="Q27" s="284" t="str">
        <f>IF(TB_INTEGRADA[[#This Row],[REVISÃO (CR)]]="","",_xlfn.XLOOKUP(TB_INTEGRADA[[#This Row],[Nº  SS]],'CONTROLE CRONOG'!B:B,'CONTROLE CRONOG'!U:U,"",0,1))</f>
        <v>N/A</v>
      </c>
      <c r="R27" s="276" t="str" cm="1">
        <f t="array" ref="R27">IF(TB_INTEGRADA[[#This Row],[DATA ENVIO. (CR)]]=IFERROR(INDEX('CONTROLE CRONOG'!G27:Q27,MATCH(2,1/('CONTROLE CRONOG'!G27:Q27&lt;&gt;""))),""),"",IFERROR(INDEX('CONTROLE CRONOG'!G27:Q27,MATCH(2,1/('CONTROLE CRONOG'!G27:Q27&lt;&gt;""))),""))</f>
        <v/>
      </c>
      <c r="S27" s="276" t="str">
        <f>_xlfn.XLOOKUP(TB_INTEGRADA[[#This Row],[Nº  SS]],'CONTROLE CRONOG'!B:B,'CONTROLE CRONOG'!T:T,"",0,-1)</f>
        <v>ENTREGUE</v>
      </c>
      <c r="T27"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27" s="439"/>
      <c r="V27" s="285">
        <v>46003</v>
      </c>
      <c r="W27" s="276">
        <v>46003</v>
      </c>
      <c r="X27" s="286">
        <f>IFERROR(TB_INTEGRADA[[#This Row],[TÉRM. TD]]-TB_INTEGRADA[[#This Row],[TÉRMINO LB]],0)</f>
        <v>0</v>
      </c>
      <c r="Y27" s="91">
        <v>1</v>
      </c>
      <c r="Z27" s="91">
        <v>1</v>
      </c>
      <c r="AA27" s="91">
        <v>0</v>
      </c>
      <c r="AB27" s="91">
        <f>IFERROR(TB_INTEGRADA[[#This Row],[REAL (%)]]-TB_INTEGRADA[[#This Row],[PREV (%)]],0)</f>
        <v>0</v>
      </c>
      <c r="AC27" s="277">
        <v>0</v>
      </c>
      <c r="AD27" s="283">
        <v>0</v>
      </c>
      <c r="AE27" s="439"/>
      <c r="AF27"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158.98050000000001</v>
      </c>
      <c r="AG27" s="287">
        <v>108.15</v>
      </c>
      <c r="AH27" s="287">
        <f>SUMIFS(Tb_HhPLAN[Hh DISC],Tb_HhPLAN[SS],TB_INTEGRADA[[#This Row],[Nº  SS]],Tb_HhPLAN[DISCIPLINA],"MEC")</f>
        <v>0</v>
      </c>
      <c r="AI27" s="404">
        <f>SUMIFS(Hh_EXE_TOTAL[Hh],Hh_EXE_TOTAL[Nº  SS],TB_INTEGRADA[[#This Row],[Nº  SS]],Hh_EXE_TOTAL[DISCIPLINA],"MEC")</f>
        <v>96</v>
      </c>
      <c r="AJ27"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27" s="287"/>
      <c r="AL27" s="287">
        <f>SUMIFS(Tb_HhPLAN[Hh DISC],Tb_HhPLAN[SS],TB_INTEGRADA[[#This Row],[Nº  SS]],Tb_HhPLAN[DISCIPLINA],"CIVIL")</f>
        <v>0</v>
      </c>
      <c r="AM27" s="404">
        <f>SUMIFS(Hh_EXE_TOTAL[Hh],Hh_EXE_TOTAL[Nº  SS],TB_INTEGRADA[[#This Row],[Nº  SS]],Hh_EXE_TOTAL[DISCIPLINA],"CIVIL")</f>
        <v>0</v>
      </c>
      <c r="AN27"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0</v>
      </c>
      <c r="AO27" s="287"/>
      <c r="AP27" s="287">
        <f>SUMIFS(Tb_HhPLAN[Hh DISC],Tb_HhPLAN[SS],TB_INTEGRADA[[#This Row],[Nº  SS]],Tb_HhPLAN[DISCIPLINA],"ELÉT")</f>
        <v>0</v>
      </c>
      <c r="AQ27" s="404">
        <f>SUMIFS(Hh_EXE_TOTAL[Hh],Hh_EXE_TOTAL[Nº  SS],TB_INTEGRADA[[#This Row],[Nº  SS]],Hh_EXE_TOTAL[DISCIPLINA],"ELÉT")</f>
        <v>0</v>
      </c>
      <c r="AR27"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27" s="287"/>
      <c r="AT27" s="287">
        <f>SUMIFS(Tb_HhPLAN[Hh DISC],Tb_HhPLAN[SS],TB_INTEGRADA[[#This Row],[Nº  SS]],Tb_HhPLAN[DISCIPLINA],"PINT")</f>
        <v>0</v>
      </c>
      <c r="AU27" s="404">
        <f>SUMIFS(Hh_EXE_TOTAL[Hh],Hh_EXE_TOTAL[Nº  SS],TB_INTEGRADA[[#This Row],[Nº  SS]],Hh_EXE_TOTAL[DISCIPLINA],"PINT")</f>
        <v>0</v>
      </c>
      <c r="AV27" s="400">
        <f>TB_INTEGRADA[[#This Row],[ORÇADO]]+TB_INTEGRADA[[#This Row],[ORÇADO1]]+TB_INTEGRADA[[#This Row],[ORÇADO2]]+TB_INTEGRADA[[#This Row],[ORÇADO3]]</f>
        <v>158.98050000000001</v>
      </c>
      <c r="AW27" s="287">
        <f>TB_INTEGRADA[[#This Row],[PLANEJ]]+TB_INTEGRADA[[#This Row],[PLANEJ1]]+TB_INTEGRADA[[#This Row],[PLANEJ2]]+TB_INTEGRADA[[#This Row],[PLANEJ3]]</f>
        <v>0</v>
      </c>
      <c r="AX27" s="287">
        <f>TB_INTEGRADA[[#This Row],[REALIZ]]+TB_INTEGRADA[[#This Row],[REALIZ1]]+TB_INTEGRADA[[#This Row],[REALIZ2]]+TB_INTEGRADA[[#This Row],[REALIZ3]]</f>
        <v>96</v>
      </c>
      <c r="AY27" s="417">
        <f>IFERROR(TB_INTEGRADA[[#This Row],[REALIZ4]]/TB_INTEGRADA[[#This Row],[ORÇADO4]],"")</f>
        <v>0.60384764169190563</v>
      </c>
      <c r="AZ27" s="341">
        <f>_xlfn.XLOOKUP(TB_INTEGRADA[[#This Row],[Nº  SS]],'CONTROLE EC'!B:B,'CONTROLE EC'!W:W,"",0,1)</f>
        <v>9395.5402799999993</v>
      </c>
      <c r="BA27" s="342">
        <f>_xlfn.XLOOKUP(TB_INTEGRADA[[#This Row],[Nº  SS]],'CONTROLE EC'!B:B,'CONTROLE EC'!X:X,"",0,1)</f>
        <v>9395.5402799999993</v>
      </c>
      <c r="BB27" s="343">
        <f>_xlfn.XLOOKUP(TB_INTEGRADA[[#This Row],[Nº  SS]],'CONTROLE EC'!B:B,'CONTROLE EC'!Y:Y,"",0,1)</f>
        <v>0</v>
      </c>
    </row>
    <row r="28" spans="1:54" x14ac:dyDescent="0.3">
      <c r="A28" s="340">
        <f>IF(COUNTIFS($B$5:B28,TB_INTEGRADA[[#This Row],[Nº  SS]])&lt;&gt;1,"",COUNTIFS($B$5:B28,TB_INTEGRADA[[#This Row],[Nº  SS]]))</f>
        <v>1</v>
      </c>
      <c r="B28" s="267" t="s">
        <v>166</v>
      </c>
      <c r="C28" s="269" t="str">
        <f>_xlfn.XLOOKUP(TB_INTEGRADA[[#This Row],[Nº  SS]],'CONTROLE EC'!B:B,'CONTROLE EC'!C:C,"",0,1)</f>
        <v>23-0052-ES - ATENUAÇÃO DE RUÍDOS NAS TORRES DE RESFRIAMENTO</v>
      </c>
      <c r="D28" s="18" t="str">
        <f>_xlfn.XLOOKUP(TB_INTEGRADA[[#This Row],[Nº  SS]],'CONTROLE CRONOG'!B:B,'CONTROLE CRONOG'!D:D,"",0,1)</f>
        <v>SERVIÇO</v>
      </c>
      <c r="E28" s="269" t="str">
        <f>_xlfn.XLOOKUP(TB_INTEGRADA[[#This Row],[Nº  SS]],'CONTROLE EC'!B:B,'CONTROLE EC'!E:E,"",0,1)</f>
        <v>EDIVIT</v>
      </c>
      <c r="F28" s="274" t="str">
        <f>_xlfn.XLOOKUP(TB_INTEGRADA[[#This Row],[Nº  SS]],'CONTROLE EC'!B:B,'CONTROLE EC'!F:F,"",0,1)</f>
        <v>EM ANDAMENTO</v>
      </c>
      <c r="G28" s="275" t="str">
        <f>_xlfn.XLOOKUP(TB_INTEGRADA[[#This Row],[Nº  SS]],'CONTROLE EC'!B:B,'CONTROLE EC'!R:R,"",0,1)</f>
        <v>REV.04</v>
      </c>
      <c r="H28" s="276">
        <f>IF(TB_INTEGRADA[[#This Row],[REVISÃO (EC)]]="","",_xlfn.XLOOKUP(TB_INTEGRADA[[#This Row],[Nº  SS]],'CONTROLE EC'!B:B,'CONTROLE EC'!S:S,"",0,1))</f>
        <v>46076</v>
      </c>
      <c r="I28" s="276">
        <f>IF(TB_INTEGRADA[[#This Row],[REVISÃO (EC)]]="","",_xlfn.XLOOKUP(TB_INTEGRADA[[#This Row],[Nº  SS]],'CONTROLE EC'!B:B,'CONTROLE EC'!U:U,"",0,1))</f>
        <v>46077</v>
      </c>
      <c r="J28" s="276" t="str" cm="1">
        <f t="array" ref="J28">IF(TB_INTEGRADA[[#This Row],[DATA ENVIO. (EC)]]=IFERROR(INDEX('CONTROLE EC'!G28:Q28,MATCH(2,1/('CONTROLE EC'!G28:Q28&lt;&gt;""))),""),"",IFERROR(INDEX('CONTROLE EC'!G28:Q28,MATCH(2,1/('CONTROLE EC'!G28:Q28&lt;&gt;""))),""))</f>
        <v/>
      </c>
      <c r="K28" s="276" t="str">
        <f>IF(TB_INTEGRADA[[#This Row],[STATUS DEMANDA]]="NÃO EMITIDA SAMC","S/ EMISSÃO",_xlfn.XLOOKUP(TB_INTEGRADA[[#This Row],[Nº  SS]],'CONTROLE EC'!B:B,'CONTROLE EC'!T:T,"",0,-1))</f>
        <v>ENTREGUE</v>
      </c>
      <c r="L28"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28" s="15" cm="1">
        <f t="array" aca="1" ref="M28"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28" s="283" t="str">
        <f ca="1">IF(TB_INTEGRADA[[#This Row],[STATUS DEMANDA]]="NÃO EMITIDA SAMC","S/ EMISSÃO",IF(TB_INTEGRADA[[#This Row],[STATUS DEMANDA]]="ON HOLD","ON HOLD",IF(F28="CANCELADA","CANCELADA",IF(L28="REPROVADO","EM PLANEJ.",IF(K28&lt;&gt;"ENTREGUE","EM PLANEJ.",IF(H28="","EM PLANEJ.",IF(I28="","FISCALIZ.",IF(M28&lt;0,"EM PLANEJ.",IF(TB_INTEGRADA[[#This Row],[DATA APROV. (EC)]]&gt;=TB_INTEGRADA[[#This Row],[DATA ENVIO. (EC)]],"RETORNO OK","FISCALIZ.")))))))))</f>
        <v>RETORNO OK</v>
      </c>
      <c r="O28" s="275" t="str">
        <f>_xlfn.XLOOKUP(TB_INTEGRADA[[#This Row],[Nº  SS]],'CONTROLE CRONOG'!B:B,'CONTROLE CRONOG'!R:R,"",0,1)</f>
        <v>REV.02</v>
      </c>
      <c r="P28" s="276">
        <f>IF(TB_INTEGRADA[[#This Row],[REVISÃO (CR)]]="","",_xlfn.XLOOKUP(TB_INTEGRADA[[#This Row],[Nº  SS]],'CONTROLE CRONOG'!B:B,'CONTROLE CRONOG'!S:S,"",0,1))</f>
        <v>46076</v>
      </c>
      <c r="Q28" s="284">
        <f>IF(TB_INTEGRADA[[#This Row],[REVISÃO (CR)]]="","",_xlfn.XLOOKUP(TB_INTEGRADA[[#This Row],[Nº  SS]],'CONTROLE CRONOG'!B:B,'CONTROLE CRONOG'!U:U,"",0,1))</f>
        <v>46077</v>
      </c>
      <c r="R28" s="276" t="str" cm="1">
        <f t="array" ref="R28">IF(TB_INTEGRADA[[#This Row],[DATA ENVIO. (CR)]]=IFERROR(INDEX('CONTROLE CRONOG'!G28:Q28,MATCH(2,1/('CONTROLE CRONOG'!G28:Q28&lt;&gt;""))),""),"",IFERROR(INDEX('CONTROLE CRONOG'!G28:Q28,MATCH(2,1/('CONTROLE CRONOG'!G28:Q28&lt;&gt;""))),""))</f>
        <v/>
      </c>
      <c r="S28" s="276" t="str">
        <f>_xlfn.XLOOKUP(TB_INTEGRADA[[#This Row],[Nº  SS]],'CONTROLE CRONOG'!B:B,'CONTROLE CRONOG'!T:T,"",0,-1)</f>
        <v>ENTREGUE</v>
      </c>
      <c r="T28"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28" s="439"/>
      <c r="V28" s="285">
        <v>46238</v>
      </c>
      <c r="W28" s="276">
        <v>46238</v>
      </c>
      <c r="X28" s="286">
        <f>IFERROR(TB_INTEGRADA[[#This Row],[TÉRM. TD]]-TB_INTEGRADA[[#This Row],[TÉRMINO LB]],0)</f>
        <v>0</v>
      </c>
      <c r="Y28" s="91">
        <v>0.68569999999999998</v>
      </c>
      <c r="Z28" s="91">
        <v>0.5071</v>
      </c>
      <c r="AA28" s="91">
        <v>-7.8600000000000003E-2</v>
      </c>
      <c r="AB28" s="91">
        <f>IFERROR(TB_INTEGRADA[[#This Row],[REAL (%)]]-TB_INTEGRADA[[#This Row],[PREV (%)]],0)</f>
        <v>-0.17859999999999998</v>
      </c>
      <c r="AC28" s="277">
        <v>2</v>
      </c>
      <c r="AD28" s="283">
        <v>0</v>
      </c>
      <c r="AE28" s="439"/>
      <c r="AF28"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294.46439999999996</v>
      </c>
      <c r="AG28" s="287">
        <v>213.38</v>
      </c>
      <c r="AH28" s="287">
        <f>SUMIFS(Tb_HhPLAN[Hh DISC],Tb_HhPLAN[SS],TB_INTEGRADA[[#This Row],[Nº  SS]],Tb_HhPLAN[DISCIPLINA],"MEC")</f>
        <v>16.0099999999975</v>
      </c>
      <c r="AI28" s="404">
        <f>SUMIFS(Hh_EXE_TOTAL[Hh],Hh_EXE_TOTAL[Nº  SS],TB_INTEGRADA[[#This Row],[Nº  SS]],Hh_EXE_TOTAL[DISCIPLINA],"MEC")</f>
        <v>176</v>
      </c>
      <c r="AJ28"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28" s="287"/>
      <c r="AL28" s="287">
        <f>SUMIFS(Tb_HhPLAN[Hh DISC],Tb_HhPLAN[SS],TB_INTEGRADA[[#This Row],[Nº  SS]],Tb_HhPLAN[DISCIPLINA],"CIVIL")</f>
        <v>0</v>
      </c>
      <c r="AM28" s="404">
        <f>SUMIFS(Hh_EXE_TOTAL[Hh],Hh_EXE_TOTAL[Nº  SS],TB_INTEGRADA[[#This Row],[Nº  SS]],Hh_EXE_TOTAL[DISCIPLINA],"CIVIL")</f>
        <v>0</v>
      </c>
      <c r="AN28"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0</v>
      </c>
      <c r="AO28" s="287"/>
      <c r="AP28" s="287">
        <f>SUMIFS(Tb_HhPLAN[Hh DISC],Tb_HhPLAN[SS],TB_INTEGRADA[[#This Row],[Nº  SS]],Tb_HhPLAN[DISCIPLINA],"ELÉT")</f>
        <v>0</v>
      </c>
      <c r="AQ28" s="404">
        <f>SUMIFS(Hh_EXE_TOTAL[Hh],Hh_EXE_TOTAL[Nº  SS],TB_INTEGRADA[[#This Row],[Nº  SS]],Hh_EXE_TOTAL[DISCIPLINA],"ELÉT")</f>
        <v>0</v>
      </c>
      <c r="AR28"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28" s="287"/>
      <c r="AT28" s="287">
        <f>SUMIFS(Tb_HhPLAN[Hh DISC],Tb_HhPLAN[SS],TB_INTEGRADA[[#This Row],[Nº  SS]],Tb_HhPLAN[DISCIPLINA],"PINT")</f>
        <v>0</v>
      </c>
      <c r="AU28" s="404">
        <f>SUMIFS(Hh_EXE_TOTAL[Hh],Hh_EXE_TOTAL[Nº  SS],TB_INTEGRADA[[#This Row],[Nº  SS]],Hh_EXE_TOTAL[DISCIPLINA],"PINT")</f>
        <v>0</v>
      </c>
      <c r="AV28" s="400">
        <f>TB_INTEGRADA[[#This Row],[ORÇADO]]+TB_INTEGRADA[[#This Row],[ORÇADO1]]+TB_INTEGRADA[[#This Row],[ORÇADO2]]+TB_INTEGRADA[[#This Row],[ORÇADO3]]</f>
        <v>294.46439999999996</v>
      </c>
      <c r="AW28" s="287">
        <f>TB_INTEGRADA[[#This Row],[PLANEJ]]+TB_INTEGRADA[[#This Row],[PLANEJ1]]+TB_INTEGRADA[[#This Row],[PLANEJ2]]+TB_INTEGRADA[[#This Row],[PLANEJ3]]</f>
        <v>16.0099999999975</v>
      </c>
      <c r="AX28" s="287">
        <f>TB_INTEGRADA[[#This Row],[REALIZ]]+TB_INTEGRADA[[#This Row],[REALIZ1]]+TB_INTEGRADA[[#This Row],[REALIZ2]]+TB_INTEGRADA[[#This Row],[REALIZ3]]</f>
        <v>176</v>
      </c>
      <c r="AY28" s="417">
        <f>IFERROR(TB_INTEGRADA[[#This Row],[REALIZ4]]/TB_INTEGRADA[[#This Row],[ORÇADO4]],"")</f>
        <v>0.59769534110065603</v>
      </c>
      <c r="AZ28" s="341">
        <f>_xlfn.XLOOKUP(TB_INTEGRADA[[#This Row],[Nº  SS]],'CONTROLE EC'!B:B,'CONTROLE EC'!W:W,"",0,1)</f>
        <v>403913.19</v>
      </c>
      <c r="BA28" s="342">
        <f>_xlfn.XLOOKUP(TB_INTEGRADA[[#This Row],[Nº  SS]],'CONTROLE EC'!B:B,'CONTROLE EC'!X:X,"",0,1)</f>
        <v>253164.90167999998</v>
      </c>
      <c r="BB28" s="343">
        <f>_xlfn.XLOOKUP(TB_INTEGRADA[[#This Row],[Nº  SS]],'CONTROLE EC'!B:B,'CONTROLE EC'!Y:Y,"",0,1)</f>
        <v>150748.28832000002</v>
      </c>
    </row>
    <row r="29" spans="1:54" hidden="1" x14ac:dyDescent="0.3">
      <c r="A29" s="340">
        <f>IF(COUNTIFS($B$5:B29,TB_INTEGRADA[[#This Row],[Nº  SS]])&lt;&gt;1,"",COUNTIFS($B$5:B29,TB_INTEGRADA[[#This Row],[Nº  SS]]))</f>
        <v>1</v>
      </c>
      <c r="B29" s="267" t="s">
        <v>234</v>
      </c>
      <c r="C29" s="269" t="str">
        <f>_xlfn.XLOOKUP(TB_INTEGRADA[[#This Row],[Nº  SS]],'CONTROLE EC'!B:B,'CONTROLE EC'!C:C,"",0,1)</f>
        <v>21-0418-ES - SUBSTITUIÇÃO DAS LINHAS DE ABASTECIMENTO DE ÁGUA DE POÇO TUBULARES</v>
      </c>
      <c r="D29" s="18" t="str">
        <f>_xlfn.XLOOKUP(TB_INTEGRADA[[#This Row],[Nº  SS]],'CONTROLE CRONOG'!B:B,'CONTROLE CRONOG'!D:D,"",0,1)</f>
        <v>SERVIÇO</v>
      </c>
      <c r="E29" s="269" t="str">
        <f>_xlfn.XLOOKUP(TB_INTEGRADA[[#This Row],[Nº  SS]],'CONTROLE EC'!B:B,'CONTROLE EC'!E:E,"",0,1)</f>
        <v>UTGC</v>
      </c>
      <c r="F29" s="274" t="str">
        <f>_xlfn.XLOOKUP(TB_INTEGRADA[[#This Row],[Nº  SS]],'CONTROLE EC'!B:B,'CONTROLE EC'!F:F,"",0,1)</f>
        <v>CANCELADA</v>
      </c>
      <c r="G29" s="275" t="str">
        <f>_xlfn.XLOOKUP(TB_INTEGRADA[[#This Row],[Nº  SS]],'CONTROLE EC'!B:B,'CONTROLE EC'!R:R,"",0,1)</f>
        <v>REV.01</v>
      </c>
      <c r="H29" s="276">
        <f>IF(TB_INTEGRADA[[#This Row],[REVISÃO (EC)]]="","",_xlfn.XLOOKUP(TB_INTEGRADA[[#This Row],[Nº  SS]],'CONTROLE EC'!B:B,'CONTROLE EC'!S:S,"",0,1))</f>
        <v>45980</v>
      </c>
      <c r="I29" s="276">
        <f>IF(TB_INTEGRADA[[#This Row],[REVISÃO (EC)]]="","",_xlfn.XLOOKUP(TB_INTEGRADA[[#This Row],[Nº  SS]],'CONTROLE EC'!B:B,'CONTROLE EC'!U:U,"",0,1))</f>
        <v>0</v>
      </c>
      <c r="J29" s="276" t="str" cm="1">
        <f t="array" ref="J29">IF(TB_INTEGRADA[[#This Row],[DATA ENVIO. (EC)]]=IFERROR(INDEX('CONTROLE EC'!G29:Q29,MATCH(2,1/('CONTROLE EC'!G29:Q29&lt;&gt;""))),""),"",IFERROR(INDEX('CONTROLE EC'!G29:Q29,MATCH(2,1/('CONTROLE EC'!G29:Q29&lt;&gt;""))),""))</f>
        <v/>
      </c>
      <c r="K29" s="276" t="str">
        <f>IF(TB_INTEGRADA[[#This Row],[STATUS DEMANDA]]="NÃO EMITIDA SAMC","S/ EMISSÃO",_xlfn.XLOOKUP(TB_INTEGRADA[[#This Row],[Nº  SS]],'CONTROLE EC'!B:B,'CONTROLE EC'!T:T,"",0,-1))</f>
        <v>CANCELADA</v>
      </c>
      <c r="L29"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CANCELADA</v>
      </c>
      <c r="M29" s="15" cm="1">
        <f t="array" aca="1" ref="M29"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29" s="283" t="str">
        <f>IF(TB_INTEGRADA[[#This Row],[STATUS DEMANDA]]="NÃO EMITIDA SAMC","S/ EMISSÃO",IF(TB_INTEGRADA[[#This Row],[STATUS DEMANDA]]="ON HOLD","ON HOLD",IF(F29="CANCELADA","CANCELADA",IF(L29="REPROVADO","EM PLANEJ.",IF(K29&lt;&gt;"ENTREGUE","EM PLANEJ.",IF(H29="","EM PLANEJ.",IF(I29="","FISCALIZ.",IF(M29&lt;0,"EM PLANEJ.",IF(TB_INTEGRADA[[#This Row],[DATA APROV. (EC)]]&gt;=TB_INTEGRADA[[#This Row],[DATA ENVIO. (EC)]],"RETORNO OK","FISCALIZ.")))))))))</f>
        <v>CANCELADA</v>
      </c>
      <c r="O29" s="275" t="str">
        <f>_xlfn.XLOOKUP(TB_INTEGRADA[[#This Row],[Nº  SS]],'CONTROLE CRONOG'!B:B,'CONTROLE CRONOG'!R:R,"",0,1)</f>
        <v>REV.00</v>
      </c>
      <c r="P29" s="276">
        <f>IF(TB_INTEGRADA[[#This Row],[REVISÃO (CR)]]="","",_xlfn.XLOOKUP(TB_INTEGRADA[[#This Row],[Nº  SS]],'CONTROLE CRONOG'!B:B,'CONTROLE CRONOG'!S:S,"",0,1))</f>
        <v>45980</v>
      </c>
      <c r="Q29" s="284">
        <f>IF(TB_INTEGRADA[[#This Row],[REVISÃO (CR)]]="","",_xlfn.XLOOKUP(TB_INTEGRADA[[#This Row],[Nº  SS]],'CONTROLE CRONOG'!B:B,'CONTROLE CRONOG'!U:U,"",0,1))</f>
        <v>0</v>
      </c>
      <c r="R29" s="276" t="str" cm="1">
        <f t="array" ref="R29">IF(TB_INTEGRADA[[#This Row],[DATA ENVIO. (CR)]]=IFERROR(INDEX('CONTROLE CRONOG'!G29:Q29,MATCH(2,1/('CONTROLE CRONOG'!G29:Q29&lt;&gt;""))),""),"",IFERROR(INDEX('CONTROLE CRONOG'!G29:Q29,MATCH(2,1/('CONTROLE CRONOG'!G29:Q29&lt;&gt;""))),""))</f>
        <v/>
      </c>
      <c r="S29" s="276" t="str">
        <f>_xlfn.XLOOKUP(TB_INTEGRADA[[#This Row],[Nº  SS]],'CONTROLE CRONOG'!B:B,'CONTROLE CRONOG'!T:T,"",0,-1)</f>
        <v>CANCELADA</v>
      </c>
      <c r="T29"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CANCELADA</v>
      </c>
      <c r="U29" s="439"/>
      <c r="V29" s="285"/>
      <c r="W29" s="276"/>
      <c r="X29" s="286">
        <f>IFERROR(TB_INTEGRADA[[#This Row],[TÉRM. TD]]-TB_INTEGRADA[[#This Row],[TÉRMINO LB]],0)</f>
        <v>0</v>
      </c>
      <c r="Y29" s="91"/>
      <c r="Z29" s="91"/>
      <c r="AA29" s="91">
        <v>0</v>
      </c>
      <c r="AB29" s="91">
        <f>IFERROR(TB_INTEGRADA[[#This Row],[REAL (%)]]-TB_INTEGRADA[[#This Row],[PREV (%)]],0)</f>
        <v>0</v>
      </c>
      <c r="AC29" s="277"/>
      <c r="AD29" s="283"/>
      <c r="AE29" s="439"/>
      <c r="AF29"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0</v>
      </c>
      <c r="AG29" s="287"/>
      <c r="AH29" s="287">
        <f>SUMIFS(Tb_HhPLAN[Hh DISC],Tb_HhPLAN[SS],TB_INTEGRADA[[#This Row],[Nº  SS]],Tb_HhPLAN[DISCIPLINA],"MEC")</f>
        <v>0</v>
      </c>
      <c r="AI29" s="404">
        <f>SUMIFS(Hh_EXE_TOTAL[Hh],Hh_EXE_TOTAL[Nº  SS],TB_INTEGRADA[[#This Row],[Nº  SS]],Hh_EXE_TOTAL[DISCIPLINA],"MEC")</f>
        <v>0</v>
      </c>
      <c r="AJ29"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29" s="287"/>
      <c r="AL29" s="287">
        <f>SUMIFS(Tb_HhPLAN[Hh DISC],Tb_HhPLAN[SS],TB_INTEGRADA[[#This Row],[Nº  SS]],Tb_HhPLAN[DISCIPLINA],"CIVIL")</f>
        <v>0</v>
      </c>
      <c r="AM29" s="404">
        <f>SUMIFS(Hh_EXE_TOTAL[Hh],Hh_EXE_TOTAL[Nº  SS],TB_INTEGRADA[[#This Row],[Nº  SS]],Hh_EXE_TOTAL[DISCIPLINA],"CIVIL")</f>
        <v>0</v>
      </c>
      <c r="AN29"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0</v>
      </c>
      <c r="AO29" s="287"/>
      <c r="AP29" s="287">
        <f>SUMIFS(Tb_HhPLAN[Hh DISC],Tb_HhPLAN[SS],TB_INTEGRADA[[#This Row],[Nº  SS]],Tb_HhPLAN[DISCIPLINA],"ELÉT")</f>
        <v>0</v>
      </c>
      <c r="AQ29" s="404">
        <f>SUMIFS(Hh_EXE_TOTAL[Hh],Hh_EXE_TOTAL[Nº  SS],TB_INTEGRADA[[#This Row],[Nº  SS]],Hh_EXE_TOTAL[DISCIPLINA],"ELÉT")</f>
        <v>0</v>
      </c>
      <c r="AR29"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29" s="287"/>
      <c r="AT29" s="287">
        <f>SUMIFS(Tb_HhPLAN[Hh DISC],Tb_HhPLAN[SS],TB_INTEGRADA[[#This Row],[Nº  SS]],Tb_HhPLAN[DISCIPLINA],"PINT")</f>
        <v>0</v>
      </c>
      <c r="AU29" s="404">
        <f>SUMIFS(Hh_EXE_TOTAL[Hh],Hh_EXE_TOTAL[Nº  SS],TB_INTEGRADA[[#This Row],[Nº  SS]],Hh_EXE_TOTAL[DISCIPLINA],"PINT")</f>
        <v>0</v>
      </c>
      <c r="AV29" s="400">
        <f>TB_INTEGRADA[[#This Row],[ORÇADO]]+TB_INTEGRADA[[#This Row],[ORÇADO1]]+TB_INTEGRADA[[#This Row],[ORÇADO2]]+TB_INTEGRADA[[#This Row],[ORÇADO3]]</f>
        <v>0</v>
      </c>
      <c r="AW29" s="287">
        <f>TB_INTEGRADA[[#This Row],[PLANEJ]]+TB_INTEGRADA[[#This Row],[PLANEJ1]]+TB_INTEGRADA[[#This Row],[PLANEJ2]]+TB_INTEGRADA[[#This Row],[PLANEJ3]]</f>
        <v>0</v>
      </c>
      <c r="AX29" s="287">
        <f>TB_INTEGRADA[[#This Row],[REALIZ]]+TB_INTEGRADA[[#This Row],[REALIZ1]]+TB_INTEGRADA[[#This Row],[REALIZ2]]+TB_INTEGRADA[[#This Row],[REALIZ3]]</f>
        <v>0</v>
      </c>
      <c r="AY29" s="417" t="str">
        <f>IFERROR(TB_INTEGRADA[[#This Row],[REALIZ4]]/TB_INTEGRADA[[#This Row],[ORÇADO4]],"")</f>
        <v/>
      </c>
      <c r="AZ29" s="341">
        <f>_xlfn.XLOOKUP(TB_INTEGRADA[[#This Row],[Nº  SS]],'CONTROLE EC'!B:B,'CONTROLE EC'!W:W,"",0,1)</f>
        <v>0</v>
      </c>
      <c r="BA29" s="342">
        <f>_xlfn.XLOOKUP(TB_INTEGRADA[[#This Row],[Nº  SS]],'CONTROLE EC'!B:B,'CONTROLE EC'!X:X,"",0,1)</f>
        <v>0</v>
      </c>
      <c r="BB29" s="343">
        <f>_xlfn.XLOOKUP(TB_INTEGRADA[[#This Row],[Nº  SS]],'CONTROLE EC'!B:B,'CONTROLE EC'!Y:Y,"",0,1)</f>
        <v>0</v>
      </c>
    </row>
    <row r="30" spans="1:54" x14ac:dyDescent="0.3">
      <c r="A30" s="340">
        <f>IF(COUNTIFS($B$5:B30,TB_INTEGRADA[[#This Row],[Nº  SS]])&lt;&gt;1,"",COUNTIFS($B$5:B30,TB_INTEGRADA[[#This Row],[Nº  SS]]))</f>
        <v>1</v>
      </c>
      <c r="B30" s="475" t="s">
        <v>240</v>
      </c>
      <c r="C30" s="476" t="str">
        <f>_xlfn.XLOOKUP(TB_INTEGRADA[[#This Row],[Nº  SS]],'CONTROLE EC'!B:B,'CONTROLE EC'!C:C,"",0,1)</f>
        <v>24-0307-ES - MANUTENÇÃO DO GALPÃO K-23</v>
      </c>
      <c r="D30" s="18" t="str">
        <f>_xlfn.XLOOKUP(TB_INTEGRADA[[#This Row],[Nº  SS]],'CONTROLE CRONOG'!B:B,'CONTROLE CRONOG'!D:D,"",0,1)</f>
        <v>SERVIÇO</v>
      </c>
      <c r="E30" s="476" t="str">
        <f>_xlfn.XLOOKUP(TB_INTEGRADA[[#This Row],[Nº  SS]],'CONTROLE EC'!B:B,'CONTROLE EC'!E:E,"",0,1)</f>
        <v>UTGC</v>
      </c>
      <c r="F30" s="477" t="str">
        <f>_xlfn.XLOOKUP(TB_INTEGRADA[[#This Row],[Nº  SS]],'CONTROLE EC'!B:B,'CONTROLE EC'!F:F,"",0,1)</f>
        <v>EM ANDAMENTO</v>
      </c>
      <c r="G30" s="275" t="str">
        <f>_xlfn.XLOOKUP(TB_INTEGRADA[[#This Row],[Nº  SS]],'CONTROLE EC'!B:B,'CONTROLE EC'!R:R,"",0,1)</f>
        <v>REV.01</v>
      </c>
      <c r="H30" s="276">
        <f>IF(TB_INTEGRADA[[#This Row],[REVISÃO (EC)]]="","",_xlfn.XLOOKUP(TB_INTEGRADA[[#This Row],[Nº  SS]],'CONTROLE EC'!B:B,'CONTROLE EC'!S:S,"",0,1))</f>
        <v>46011</v>
      </c>
      <c r="I30" s="276">
        <f>IF(TB_INTEGRADA[[#This Row],[REVISÃO (EC)]]="","",_xlfn.XLOOKUP(TB_INTEGRADA[[#This Row],[Nº  SS]],'CONTROLE EC'!B:B,'CONTROLE EC'!U:U,"",0,1))</f>
        <v>46011</v>
      </c>
      <c r="J30" s="276" t="str" cm="1">
        <f t="array" ref="J30">IF(TB_INTEGRADA[[#This Row],[DATA ENVIO. (EC)]]=IFERROR(INDEX('CONTROLE EC'!G30:Q30,MATCH(2,1/('CONTROLE EC'!G30:Q30&lt;&gt;""))),""),"",IFERROR(INDEX('CONTROLE EC'!G30:Q30,MATCH(2,1/('CONTROLE EC'!G30:Q30&lt;&gt;""))),""))</f>
        <v/>
      </c>
      <c r="K30" s="276" t="str">
        <f>IF(TB_INTEGRADA[[#This Row],[STATUS DEMANDA]]="NÃO EMITIDA SAMC","S/ EMISSÃO",_xlfn.XLOOKUP(TB_INTEGRADA[[#This Row],[Nº  SS]],'CONTROLE EC'!B:B,'CONTROLE EC'!T:T,"",0,-1))</f>
        <v>ENTREGUE</v>
      </c>
      <c r="L30"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30" s="15" cm="1">
        <f t="array" aca="1" ref="M30"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30" s="283" t="str">
        <f ca="1">IF(TB_INTEGRADA[[#This Row],[STATUS DEMANDA]]="NÃO EMITIDA SAMC","S/ EMISSÃO",IF(TB_INTEGRADA[[#This Row],[STATUS DEMANDA]]="ON HOLD","ON HOLD",IF(F30="CANCELADA","CANCELADA",IF(L30="REPROVADO","EM PLANEJ.",IF(K30&lt;&gt;"ENTREGUE","EM PLANEJ.",IF(H30="","EM PLANEJ.",IF(I30="","FISCALIZ.",IF(M30&lt;0,"EM PLANEJ.",IF(TB_INTEGRADA[[#This Row],[DATA APROV. (EC)]]&gt;=TB_INTEGRADA[[#This Row],[DATA ENVIO. (EC)]],"RETORNO OK","FISCALIZ.")))))))))</f>
        <v>RETORNO OK</v>
      </c>
      <c r="O30" s="275" t="str">
        <f>_xlfn.XLOOKUP(TB_INTEGRADA[[#This Row],[Nº  SS]],'CONTROLE CRONOG'!B:B,'CONTROLE CRONOG'!R:R,"",0,1)</f>
        <v>REV.01</v>
      </c>
      <c r="P30" s="276">
        <f>IF(TB_INTEGRADA[[#This Row],[REVISÃO (CR)]]="","",_xlfn.XLOOKUP(TB_INTEGRADA[[#This Row],[Nº  SS]],'CONTROLE CRONOG'!B:B,'CONTROLE CRONOG'!S:S,"",0,1))</f>
        <v>46013</v>
      </c>
      <c r="Q30" s="284">
        <f>IF(TB_INTEGRADA[[#This Row],[REVISÃO (CR)]]="","",_xlfn.XLOOKUP(TB_INTEGRADA[[#This Row],[Nº  SS]],'CONTROLE CRONOG'!B:B,'CONTROLE CRONOG'!U:U,"",0,1))</f>
        <v>46013</v>
      </c>
      <c r="R30" s="276" t="str" cm="1">
        <f t="array" ref="R30">IF(TB_INTEGRADA[[#This Row],[DATA ENVIO. (CR)]]=IFERROR(INDEX('CONTROLE CRONOG'!G30:Q30,MATCH(2,1/('CONTROLE CRONOG'!G30:Q30&lt;&gt;""))),""),"",IFERROR(INDEX('CONTROLE CRONOG'!G30:Q30,MATCH(2,1/('CONTROLE CRONOG'!G30:Q30&lt;&gt;""))),""))</f>
        <v/>
      </c>
      <c r="S30" s="276" t="str">
        <f>_xlfn.XLOOKUP(TB_INTEGRADA[[#This Row],[Nº  SS]],'CONTROLE CRONOG'!B:B,'CONTROLE CRONOG'!T:T,"",0,-1)</f>
        <v>ENTREGUE</v>
      </c>
      <c r="T30"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30" s="439"/>
      <c r="V30" s="285">
        <v>46212</v>
      </c>
      <c r="W30" s="276">
        <v>46212</v>
      </c>
      <c r="X30" s="286">
        <f>IFERROR(TB_INTEGRADA[[#This Row],[TÉRM. TD]]-TB_INTEGRADA[[#This Row],[TÉRMINO LB]],0)</f>
        <v>0</v>
      </c>
      <c r="Y30" s="91">
        <v>0.22090000000000001</v>
      </c>
      <c r="Z30" s="91">
        <v>0.22090000000000001</v>
      </c>
      <c r="AA30" s="91">
        <v>-0.31289999999999996</v>
      </c>
      <c r="AB30" s="91">
        <f>IFERROR(TB_INTEGRADA[[#This Row],[REAL (%)]]-TB_INTEGRADA[[#This Row],[PREV (%)]],0)</f>
        <v>0</v>
      </c>
      <c r="AC30" s="277">
        <v>6</v>
      </c>
      <c r="AD30" s="283">
        <v>3</v>
      </c>
      <c r="AE30" s="439"/>
      <c r="AF30"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1253.4983999999999</v>
      </c>
      <c r="AG30" s="287">
        <v>852.72</v>
      </c>
      <c r="AH30" s="287">
        <f>SUMIFS(Tb_HhPLAN[Hh DISC],Tb_HhPLAN[SS],TB_INTEGRADA[[#This Row],[Nº  SS]],Tb_HhPLAN[DISCIPLINA],"MEC")</f>
        <v>2872.7172413793105</v>
      </c>
      <c r="AI30" s="404">
        <f>SUMIFS(Hh_EXE_TOTAL[Hh],Hh_EXE_TOTAL[Nº  SS],TB_INTEGRADA[[#This Row],[Nº  SS]],Hh_EXE_TOTAL[DISCIPLINA],"MEC")</f>
        <v>220</v>
      </c>
      <c r="AJ30"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30" s="287"/>
      <c r="AL30" s="287">
        <f>SUMIFS(Tb_HhPLAN[Hh DISC],Tb_HhPLAN[SS],TB_INTEGRADA[[#This Row],[Nº  SS]],Tb_HhPLAN[DISCIPLINA],"CIVIL")</f>
        <v>295.72089249492905</v>
      </c>
      <c r="AM30" s="404">
        <f>SUMIFS(Hh_EXE_TOTAL[Hh],Hh_EXE_TOTAL[Nº  SS],TB_INTEGRADA[[#This Row],[Nº  SS]],Hh_EXE_TOTAL[DISCIPLINA],"CIVIL")</f>
        <v>0</v>
      </c>
      <c r="AN30"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1251.0729000000001</v>
      </c>
      <c r="AO30" s="287">
        <v>851.07</v>
      </c>
      <c r="AP30" s="287">
        <f>SUMIFS(Tb_HhPLAN[Hh DISC],Tb_HhPLAN[SS],TB_INTEGRADA[[#This Row],[Nº  SS]],Tb_HhPLAN[DISCIPLINA],"ELÉT")</f>
        <v>302.76186612576066</v>
      </c>
      <c r="AQ30" s="404">
        <f>SUMIFS(Hh_EXE_TOTAL[Hh],Hh_EXE_TOTAL[Nº  SS],TB_INTEGRADA[[#This Row],[Nº  SS]],Hh_EXE_TOTAL[DISCIPLINA],"ELÉT")</f>
        <v>220</v>
      </c>
      <c r="AR30"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292.64760000000001</v>
      </c>
      <c r="AS30" s="287">
        <v>199.08</v>
      </c>
      <c r="AT30" s="287">
        <f>SUMIFS(Tb_HhPLAN[Hh DISC],Tb_HhPLAN[SS],TB_INTEGRADA[[#This Row],[Nº  SS]],Tb_HhPLAN[DISCIPLINA],"PINT")</f>
        <v>0</v>
      </c>
      <c r="AU30" s="404">
        <f>SUMIFS(Hh_EXE_TOTAL[Hh],Hh_EXE_TOTAL[Nº  SS],TB_INTEGRADA[[#This Row],[Nº  SS]],Hh_EXE_TOTAL[DISCIPLINA],"PINT")</f>
        <v>0</v>
      </c>
      <c r="AV30" s="400">
        <f>TB_INTEGRADA[[#This Row],[ORÇADO]]+TB_INTEGRADA[[#This Row],[ORÇADO1]]+TB_INTEGRADA[[#This Row],[ORÇADO2]]+TB_INTEGRADA[[#This Row],[ORÇADO3]]</f>
        <v>2797.2188999999998</v>
      </c>
      <c r="AW30" s="287">
        <f>TB_INTEGRADA[[#This Row],[PLANEJ]]+TB_INTEGRADA[[#This Row],[PLANEJ1]]+TB_INTEGRADA[[#This Row],[PLANEJ2]]+TB_INTEGRADA[[#This Row],[PLANEJ3]]</f>
        <v>3471.2000000000003</v>
      </c>
      <c r="AX30" s="287">
        <f>TB_INTEGRADA[[#This Row],[REALIZ]]+TB_INTEGRADA[[#This Row],[REALIZ1]]+TB_INTEGRADA[[#This Row],[REALIZ2]]+TB_INTEGRADA[[#This Row],[REALIZ3]]</f>
        <v>440</v>
      </c>
      <c r="AY30" s="417">
        <f>IFERROR(TB_INTEGRADA[[#This Row],[REALIZ4]]/TB_INTEGRADA[[#This Row],[ORÇADO4]],"")</f>
        <v>0.15729909446843793</v>
      </c>
      <c r="AZ30" s="341">
        <f>_xlfn.XLOOKUP(TB_INTEGRADA[[#This Row],[Nº  SS]],'CONTROLE EC'!B:B,'CONTROLE EC'!W:W,"",0,1)</f>
        <v>1125967.97034</v>
      </c>
      <c r="BA30" s="342">
        <f>_xlfn.XLOOKUP(TB_INTEGRADA[[#This Row],[Nº  SS]],'CONTROLE EC'!B:B,'CONTROLE EC'!X:X,"",0,1)</f>
        <v>517945.26042000001</v>
      </c>
      <c r="BB30" s="343">
        <f>_xlfn.XLOOKUP(TB_INTEGRADA[[#This Row],[Nº  SS]],'CONTROLE EC'!B:B,'CONTROLE EC'!Y:Y,"",0,1)</f>
        <v>608022.70992000005</v>
      </c>
    </row>
    <row r="31" spans="1:54" x14ac:dyDescent="0.3">
      <c r="A31" s="340">
        <f>IF(COUNTIFS($B$5:B31,TB_INTEGRADA[[#This Row],[Nº  SS]])&lt;&gt;1,"",COUNTIFS($B$5:B31,TB_INTEGRADA[[#This Row],[Nº  SS]]))</f>
        <v>1</v>
      </c>
      <c r="B31" s="475" t="s">
        <v>241</v>
      </c>
      <c r="C31" s="476" t="str">
        <f>_xlfn.XLOOKUP(TB_INTEGRADA[[#This Row],[Nº  SS]],'CONTROLE EC'!B:B,'CONTROLE EC'!C:C,"",0,1)</f>
        <v>23-0735-ES - MANUTENÇÃO DO GALPÃO K-12</v>
      </c>
      <c r="D31" s="18" t="str">
        <f>_xlfn.XLOOKUP(TB_INTEGRADA[[#This Row],[Nº  SS]],'CONTROLE CRONOG'!B:B,'CONTROLE CRONOG'!D:D,"",0,1)</f>
        <v>SERVIÇO</v>
      </c>
      <c r="E31" s="476" t="str">
        <f>_xlfn.XLOOKUP(TB_INTEGRADA[[#This Row],[Nº  SS]],'CONTROLE EC'!B:B,'CONTROLE EC'!E:E,"",0,1)</f>
        <v>UTGC</v>
      </c>
      <c r="F31" s="477" t="str">
        <f>_xlfn.XLOOKUP(TB_INTEGRADA[[#This Row],[Nº  SS]],'CONTROLE EC'!B:B,'CONTROLE EC'!F:F,"",0,1)</f>
        <v>EM ANDAMENTO</v>
      </c>
      <c r="G31" s="275" t="str">
        <f>_xlfn.XLOOKUP(TB_INTEGRADA[[#This Row],[Nº  SS]],'CONTROLE EC'!B:B,'CONTROLE EC'!R:R,"",0,1)</f>
        <v>REV.01</v>
      </c>
      <c r="H31" s="276">
        <f>IF(TB_INTEGRADA[[#This Row],[REVISÃO (EC)]]="","",_xlfn.XLOOKUP(TB_INTEGRADA[[#This Row],[Nº  SS]],'CONTROLE EC'!B:B,'CONTROLE EC'!S:S,"",0,1))</f>
        <v>46011</v>
      </c>
      <c r="I31" s="276">
        <f>IF(TB_INTEGRADA[[#This Row],[REVISÃO (EC)]]="","",_xlfn.XLOOKUP(TB_INTEGRADA[[#This Row],[Nº  SS]],'CONTROLE EC'!B:B,'CONTROLE EC'!U:U,"",0,1))</f>
        <v>46011</v>
      </c>
      <c r="J31" s="276" t="str" cm="1">
        <f t="array" ref="J31">IF(TB_INTEGRADA[[#This Row],[DATA ENVIO. (EC)]]=IFERROR(INDEX('CONTROLE EC'!G31:Q31,MATCH(2,1/('CONTROLE EC'!G31:Q31&lt;&gt;""))),""),"",IFERROR(INDEX('CONTROLE EC'!G31:Q31,MATCH(2,1/('CONTROLE EC'!G31:Q31&lt;&gt;""))),""))</f>
        <v/>
      </c>
      <c r="K31" s="276" t="str">
        <f>IF(TB_INTEGRADA[[#This Row],[STATUS DEMANDA]]="NÃO EMITIDA SAMC","S/ EMISSÃO",_xlfn.XLOOKUP(TB_INTEGRADA[[#This Row],[Nº  SS]],'CONTROLE EC'!B:B,'CONTROLE EC'!T:T,"",0,-1))</f>
        <v>ENTREGUE</v>
      </c>
      <c r="L31"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31" s="15" cm="1">
        <f t="array" aca="1" ref="M31"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31" s="283" t="str">
        <f ca="1">IF(TB_INTEGRADA[[#This Row],[STATUS DEMANDA]]="NÃO EMITIDA SAMC","S/ EMISSÃO",IF(TB_INTEGRADA[[#This Row],[STATUS DEMANDA]]="ON HOLD","ON HOLD",IF(F31="CANCELADA","CANCELADA",IF(L31="REPROVADO","EM PLANEJ.",IF(K31&lt;&gt;"ENTREGUE","EM PLANEJ.",IF(H31="","EM PLANEJ.",IF(I31="","FISCALIZ.",IF(M31&lt;0,"EM PLANEJ.",IF(TB_INTEGRADA[[#This Row],[DATA APROV. (EC)]]&gt;=TB_INTEGRADA[[#This Row],[DATA ENVIO. (EC)]],"RETORNO OK","FISCALIZ.")))))))))</f>
        <v>RETORNO OK</v>
      </c>
      <c r="O31" s="275" t="str">
        <f>_xlfn.XLOOKUP(TB_INTEGRADA[[#This Row],[Nº  SS]],'CONTROLE CRONOG'!B:B,'CONTROLE CRONOG'!R:R,"",0,1)</f>
        <v>REV.01</v>
      </c>
      <c r="P31" s="276">
        <f>IF(TB_INTEGRADA[[#This Row],[REVISÃO (CR)]]="","",_xlfn.XLOOKUP(TB_INTEGRADA[[#This Row],[Nº  SS]],'CONTROLE CRONOG'!B:B,'CONTROLE CRONOG'!S:S,"",0,1))</f>
        <v>46013</v>
      </c>
      <c r="Q31" s="284">
        <f>IF(TB_INTEGRADA[[#This Row],[REVISÃO (CR)]]="","",_xlfn.XLOOKUP(TB_INTEGRADA[[#This Row],[Nº  SS]],'CONTROLE CRONOG'!B:B,'CONTROLE CRONOG'!U:U,"",0,1))</f>
        <v>46013</v>
      </c>
      <c r="R31" s="276" t="str" cm="1">
        <f t="array" ref="R31">IF(TB_INTEGRADA[[#This Row],[DATA ENVIO. (CR)]]=IFERROR(INDEX('CONTROLE CRONOG'!G31:Q31,MATCH(2,1/('CONTROLE CRONOG'!G31:Q31&lt;&gt;""))),""),"",IFERROR(INDEX('CONTROLE CRONOG'!G31:Q31,MATCH(2,1/('CONTROLE CRONOG'!G31:Q31&lt;&gt;""))),""))</f>
        <v/>
      </c>
      <c r="S31" s="276" t="str">
        <f>_xlfn.XLOOKUP(TB_INTEGRADA[[#This Row],[Nº  SS]],'CONTROLE CRONOG'!B:B,'CONTROLE CRONOG'!T:T,"",0,-1)</f>
        <v>ENTREGUE</v>
      </c>
      <c r="T31"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31" s="440"/>
      <c r="V31" s="285">
        <v>46104</v>
      </c>
      <c r="W31" s="276">
        <v>46125</v>
      </c>
      <c r="X31" s="286">
        <f>IFERROR(TB_INTEGRADA[[#This Row],[TÉRM. TD]]-TB_INTEGRADA[[#This Row],[TÉRMINO LB]],0)</f>
        <v>21</v>
      </c>
      <c r="Y31" s="91">
        <v>0.98160000000000003</v>
      </c>
      <c r="Z31" s="91">
        <v>0.50239999999999996</v>
      </c>
      <c r="AA31" s="91">
        <v>-0.3931</v>
      </c>
      <c r="AB31" s="91">
        <f>IFERROR(TB_INTEGRADA[[#This Row],[REAL (%)]]-TB_INTEGRADA[[#This Row],[PREV (%)]],0)</f>
        <v>-0.47920000000000007</v>
      </c>
      <c r="AC31" s="277">
        <v>5</v>
      </c>
      <c r="AD31" s="283">
        <v>5</v>
      </c>
      <c r="AE31" s="440"/>
      <c r="AF31"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443.9547</v>
      </c>
      <c r="AG31" s="287">
        <v>302.01</v>
      </c>
      <c r="AH31" s="287">
        <f>SUMIFS(Tb_HhPLAN[Hh DISC],Tb_HhPLAN[SS],TB_INTEGRADA[[#This Row],[Nº  SS]],Tb_HhPLAN[DISCIPLINA],"MEC")</f>
        <v>377.17967781908305</v>
      </c>
      <c r="AI31" s="404">
        <f>SUMIFS(Hh_EXE_TOTAL[Hh],Hh_EXE_TOTAL[Nº  SS],TB_INTEGRADA[[#This Row],[Nº  SS]],Hh_EXE_TOTAL[DISCIPLINA],"MEC")</f>
        <v>327.8840579710145</v>
      </c>
      <c r="AJ31"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31" s="287"/>
      <c r="AL31" s="287">
        <f>SUMIFS(Tb_HhPLAN[Hh DISC],Tb_HhPLAN[SS],TB_INTEGRADA[[#This Row],[Nº  SS]],Tb_HhPLAN[DISCIPLINA],"CIVIL")</f>
        <v>0</v>
      </c>
      <c r="AM31" s="404">
        <f>SUMIFS(Hh_EXE_TOTAL[Hh],Hh_EXE_TOTAL[Nº  SS],TB_INTEGRADA[[#This Row],[Nº  SS]],Hh_EXE_TOTAL[DISCIPLINA],"CIVIL")</f>
        <v>0</v>
      </c>
      <c r="AN31"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527.28899999999999</v>
      </c>
      <c r="AO31" s="287">
        <v>358.7</v>
      </c>
      <c r="AP31" s="287">
        <f>SUMIFS(Tb_HhPLAN[Hh DISC],Tb_HhPLAN[SS],TB_INTEGRADA[[#This Row],[Nº  SS]],Tb_HhPLAN[DISCIPLINA],"ELÉT")</f>
        <v>117.05576208178439</v>
      </c>
      <c r="AQ31" s="404">
        <f>SUMIFS(Hh_EXE_TOTAL[Hh],Hh_EXE_TOTAL[Nº  SS],TB_INTEGRADA[[#This Row],[Nº  SS]],Hh_EXE_TOTAL[DISCIPLINA],"ELÉT")</f>
        <v>0</v>
      </c>
      <c r="AR31"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31" s="287"/>
      <c r="AT31" s="287">
        <f>SUMIFS(Tb_HhPLAN[Hh DISC],Tb_HhPLAN[SS],TB_INTEGRADA[[#This Row],[Nº  SS]],Tb_HhPLAN[DISCIPLINA],"PINT")</f>
        <v>30.564560099132592</v>
      </c>
      <c r="AU31" s="404">
        <f>SUMIFS(Hh_EXE_TOTAL[Hh],Hh_EXE_TOTAL[Nº  SS],TB_INTEGRADA[[#This Row],[Nº  SS]],Hh_EXE_TOTAL[DISCIPLINA],"PINT")</f>
        <v>76.115942028985501</v>
      </c>
      <c r="AV31" s="400">
        <f>TB_INTEGRADA[[#This Row],[ORÇADO]]+TB_INTEGRADA[[#This Row],[ORÇADO1]]+TB_INTEGRADA[[#This Row],[ORÇADO2]]+TB_INTEGRADA[[#This Row],[ORÇADO3]]</f>
        <v>971.24369999999999</v>
      </c>
      <c r="AW31" s="287">
        <f>TB_INTEGRADA[[#This Row],[PLANEJ]]+TB_INTEGRADA[[#This Row],[PLANEJ1]]+TB_INTEGRADA[[#This Row],[PLANEJ2]]+TB_INTEGRADA[[#This Row],[PLANEJ3]]</f>
        <v>524.80000000000007</v>
      </c>
      <c r="AX31" s="287">
        <f>TB_INTEGRADA[[#This Row],[REALIZ]]+TB_INTEGRADA[[#This Row],[REALIZ1]]+TB_INTEGRADA[[#This Row],[REALIZ2]]+TB_INTEGRADA[[#This Row],[REALIZ3]]</f>
        <v>404</v>
      </c>
      <c r="AY31" s="417">
        <f>IFERROR(TB_INTEGRADA[[#This Row],[REALIZ4]]/TB_INTEGRADA[[#This Row],[ORÇADO4]],"")</f>
        <v>0.41596151408755599</v>
      </c>
      <c r="AZ31" s="341">
        <f>_xlfn.XLOOKUP(TB_INTEGRADA[[#This Row],[Nº  SS]],'CONTROLE EC'!B:B,'CONTROLE EC'!W:W,"",0,1)</f>
        <v>415472.31089999998</v>
      </c>
      <c r="BA31" s="342">
        <f>_xlfn.XLOOKUP(TB_INTEGRADA[[#This Row],[Nº  SS]],'CONTROLE EC'!B:B,'CONTROLE EC'!X:X,"",0,1)</f>
        <v>290830.46922000003</v>
      </c>
      <c r="BB31" s="343">
        <f>_xlfn.XLOOKUP(TB_INTEGRADA[[#This Row],[Nº  SS]],'CONTROLE EC'!B:B,'CONTROLE EC'!Y:Y,"",0,1)</f>
        <v>124641.84167999995</v>
      </c>
    </row>
    <row r="32" spans="1:54" x14ac:dyDescent="0.3">
      <c r="A32" s="340">
        <f>IF(COUNTIFS($B$5:B32,TB_INTEGRADA[[#This Row],[Nº  SS]])&lt;&gt;1,"",COUNTIFS($B$5:B32,TB_INTEGRADA[[#This Row],[Nº  SS]]))</f>
        <v>1</v>
      </c>
      <c r="B32" s="267" t="s">
        <v>242</v>
      </c>
      <c r="C32" s="269" t="str">
        <f>_xlfn.XLOOKUP(TB_INTEGRADA[[#This Row],[Nº  SS]],'CONTROLE EC'!B:B,'CONTROLE EC'!C:C,"",0,1)</f>
        <v>23-0831-ES - MANUTENÇÃO DO GALPÃO K-48</v>
      </c>
      <c r="D32" s="18" t="str">
        <f>_xlfn.XLOOKUP(TB_INTEGRADA[[#This Row],[Nº  SS]],'CONTROLE CRONOG'!B:B,'CONTROLE CRONOG'!D:D,"",0,1)</f>
        <v>SERVIÇO</v>
      </c>
      <c r="E32" s="269" t="str">
        <f>_xlfn.XLOOKUP(TB_INTEGRADA[[#This Row],[Nº  SS]],'CONTROLE EC'!B:B,'CONTROLE EC'!E:E,"",0,1)</f>
        <v>UTGC</v>
      </c>
      <c r="F32" s="274" t="str">
        <f>_xlfn.XLOOKUP(TB_INTEGRADA[[#This Row],[Nº  SS]],'CONTROLE EC'!B:B,'CONTROLE EC'!F:F,"",0,1)</f>
        <v>EM ANDAMENTO</v>
      </c>
      <c r="G32" s="275" t="str">
        <f>_xlfn.XLOOKUP(TB_INTEGRADA[[#This Row],[Nº  SS]],'CONTROLE EC'!B:B,'CONTROLE EC'!R:R,"",0,1)</f>
        <v>REV.01</v>
      </c>
      <c r="H32" s="276">
        <f>IF(TB_INTEGRADA[[#This Row],[REVISÃO (EC)]]="","",_xlfn.XLOOKUP(TB_INTEGRADA[[#This Row],[Nº  SS]],'CONTROLE EC'!B:B,'CONTROLE EC'!S:S,"",0,1))</f>
        <v>46011</v>
      </c>
      <c r="I32" s="276">
        <f>IF(TB_INTEGRADA[[#This Row],[REVISÃO (EC)]]="","",_xlfn.XLOOKUP(TB_INTEGRADA[[#This Row],[Nº  SS]],'CONTROLE EC'!B:B,'CONTROLE EC'!U:U,"",0,1))</f>
        <v>46013</v>
      </c>
      <c r="J32" s="276" t="str" cm="1">
        <f t="array" ref="J32">IF(TB_INTEGRADA[[#This Row],[DATA ENVIO. (EC)]]=IFERROR(INDEX('CONTROLE EC'!G32:Q32,MATCH(2,1/('CONTROLE EC'!G32:Q32&lt;&gt;""))),""),"",IFERROR(INDEX('CONTROLE EC'!G32:Q32,MATCH(2,1/('CONTROLE EC'!G32:Q32&lt;&gt;""))),""))</f>
        <v/>
      </c>
      <c r="K32" s="276" t="str">
        <f>IF(TB_INTEGRADA[[#This Row],[STATUS DEMANDA]]="NÃO EMITIDA SAMC","S/ EMISSÃO",_xlfn.XLOOKUP(TB_INTEGRADA[[#This Row],[Nº  SS]],'CONTROLE EC'!B:B,'CONTROLE EC'!T:T,"",0,-1))</f>
        <v>ENTREGUE</v>
      </c>
      <c r="L32"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32" s="15" cm="1">
        <f t="array" aca="1" ref="M32"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32" s="283" t="str">
        <f ca="1">IF(TB_INTEGRADA[[#This Row],[STATUS DEMANDA]]="NÃO EMITIDA SAMC","S/ EMISSÃO",IF(TB_INTEGRADA[[#This Row],[STATUS DEMANDA]]="ON HOLD","ON HOLD",IF(F32="CANCELADA","CANCELADA",IF(L32="REPROVADO","EM PLANEJ.",IF(K32&lt;&gt;"ENTREGUE","EM PLANEJ.",IF(H32="","EM PLANEJ.",IF(I32="","FISCALIZ.",IF(M32&lt;0,"EM PLANEJ.",IF(TB_INTEGRADA[[#This Row],[DATA APROV. (EC)]]&gt;=TB_INTEGRADA[[#This Row],[DATA ENVIO. (EC)]],"RETORNO OK","FISCALIZ.")))))))))</f>
        <v>RETORNO OK</v>
      </c>
      <c r="O32" s="275" t="str">
        <f>_xlfn.XLOOKUP(TB_INTEGRADA[[#This Row],[Nº  SS]],'CONTROLE CRONOG'!B:B,'CONTROLE CRONOG'!R:R,"",0,1)</f>
        <v>REV.01</v>
      </c>
      <c r="P32" s="276">
        <f>IF(TB_INTEGRADA[[#This Row],[REVISÃO (CR)]]="","",_xlfn.XLOOKUP(TB_INTEGRADA[[#This Row],[Nº  SS]],'CONTROLE CRONOG'!B:B,'CONTROLE CRONOG'!S:S,"",0,1))</f>
        <v>46013</v>
      </c>
      <c r="Q32" s="284">
        <f>IF(TB_INTEGRADA[[#This Row],[REVISÃO (CR)]]="","",_xlfn.XLOOKUP(TB_INTEGRADA[[#This Row],[Nº  SS]],'CONTROLE CRONOG'!B:B,'CONTROLE CRONOG'!U:U,"",0,1))</f>
        <v>46013</v>
      </c>
      <c r="R32" s="276" t="str" cm="1">
        <f t="array" ref="R32">IF(TB_INTEGRADA[[#This Row],[DATA ENVIO. (CR)]]=IFERROR(INDEX('CONTROLE CRONOG'!G32:Q32,MATCH(2,1/('CONTROLE CRONOG'!G32:Q32&lt;&gt;""))),""),"",IFERROR(INDEX('CONTROLE CRONOG'!G32:Q32,MATCH(2,1/('CONTROLE CRONOG'!G32:Q32&lt;&gt;""))),""))</f>
        <v/>
      </c>
      <c r="S32" s="276" t="str">
        <f>_xlfn.XLOOKUP(TB_INTEGRADA[[#This Row],[Nº  SS]],'CONTROLE CRONOG'!B:B,'CONTROLE CRONOG'!T:T,"",0,-1)</f>
        <v>ENTREGUE</v>
      </c>
      <c r="T32"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32" s="439"/>
      <c r="V32" s="285">
        <v>46182</v>
      </c>
      <c r="W32" s="276">
        <v>46183</v>
      </c>
      <c r="X32" s="286">
        <f>IFERROR(TB_INTEGRADA[[#This Row],[TÉRM. TD]]-TB_INTEGRADA[[#This Row],[TÉRMINO LB]],0)</f>
        <v>1</v>
      </c>
      <c r="Y32" s="91">
        <v>0.37930000000000003</v>
      </c>
      <c r="Z32" s="91">
        <v>0.37490000000000001</v>
      </c>
      <c r="AA32" s="91">
        <v>0</v>
      </c>
      <c r="AB32" s="91">
        <f>IFERROR(TB_INTEGRADA[[#This Row],[REAL (%)]]-TB_INTEGRADA[[#This Row],[PREV (%)]],0)</f>
        <v>-4.400000000000015E-3</v>
      </c>
      <c r="AC32" s="277">
        <v>6</v>
      </c>
      <c r="AD32" s="283">
        <v>2</v>
      </c>
      <c r="AE32" s="439"/>
      <c r="AF32"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1540.4277000000002</v>
      </c>
      <c r="AG32" s="287">
        <v>1047.9100000000001</v>
      </c>
      <c r="AH32" s="287">
        <f>SUMIFS(Tb_HhPLAN[Hh DISC],Tb_HhPLAN[SS],TB_INTEGRADA[[#This Row],[Nº  SS]],Tb_HhPLAN[DISCIPLINA],"MEC")</f>
        <v>2859.2292089249495</v>
      </c>
      <c r="AI32" s="404">
        <f>SUMIFS(Hh_EXE_TOTAL[Hh],Hh_EXE_TOTAL[Nº  SS],TB_INTEGRADA[[#This Row],[Nº  SS]],Hh_EXE_TOTAL[DISCIPLINA],"MEC")</f>
        <v>166.5</v>
      </c>
      <c r="AJ32"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32" s="287"/>
      <c r="AL32" s="287">
        <f>SUMIFS(Tb_HhPLAN[Hh DISC],Tb_HhPLAN[SS],TB_INTEGRADA[[#This Row],[Nº  SS]],Tb_HhPLAN[DISCIPLINA],"CIVIL")</f>
        <v>0</v>
      </c>
      <c r="AM32" s="404">
        <f>SUMIFS(Hh_EXE_TOTAL[Hh],Hh_EXE_TOTAL[Nº  SS],TB_INTEGRADA[[#This Row],[Nº  SS]],Hh_EXE_TOTAL[DISCIPLINA],"CIVIL")</f>
        <v>0</v>
      </c>
      <c r="AN32"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1572.7530000000002</v>
      </c>
      <c r="AO32" s="287">
        <v>1069.9000000000001</v>
      </c>
      <c r="AP32" s="287">
        <f>SUMIFS(Tb_HhPLAN[Hh DISC],Tb_HhPLAN[SS],TB_INTEGRADA[[#This Row],[Nº  SS]],Tb_HhPLAN[DISCIPLINA],"ELÉT")</f>
        <v>364.55172413793105</v>
      </c>
      <c r="AQ32" s="404">
        <f>SUMIFS(Hh_EXE_TOTAL[Hh],Hh_EXE_TOTAL[Nº  SS],TB_INTEGRADA[[#This Row],[Nº  SS]],Hh_EXE_TOTAL[DISCIPLINA],"ELÉT")</f>
        <v>0</v>
      </c>
      <c r="AR32"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225.82140000000001</v>
      </c>
      <c r="AS32" s="287">
        <v>153.62</v>
      </c>
      <c r="AT32" s="287">
        <f>SUMIFS(Tb_HhPLAN[Hh DISC],Tb_HhPLAN[SS],TB_INTEGRADA[[#This Row],[Nº  SS]],Tb_HhPLAN[DISCIPLINA],"PINT")</f>
        <v>300.21906693711969</v>
      </c>
      <c r="AU32" s="404">
        <f>SUMIFS(Hh_EXE_TOTAL[Hh],Hh_EXE_TOTAL[Nº  SS],TB_INTEGRADA[[#This Row],[Nº  SS]],Hh_EXE_TOTAL[DISCIPLINA],"PINT")</f>
        <v>129.5</v>
      </c>
      <c r="AV32" s="400">
        <f>TB_INTEGRADA[[#This Row],[ORÇADO]]+TB_INTEGRADA[[#This Row],[ORÇADO1]]+TB_INTEGRADA[[#This Row],[ORÇADO2]]+TB_INTEGRADA[[#This Row],[ORÇADO3]]</f>
        <v>3339.0021000000002</v>
      </c>
      <c r="AW32" s="287">
        <f>TB_INTEGRADA[[#This Row],[PLANEJ]]+TB_INTEGRADA[[#This Row],[PLANEJ1]]+TB_INTEGRADA[[#This Row],[PLANEJ2]]+TB_INTEGRADA[[#This Row],[PLANEJ3]]</f>
        <v>3524.0000000000005</v>
      </c>
      <c r="AX32" s="287">
        <f>TB_INTEGRADA[[#This Row],[REALIZ]]+TB_INTEGRADA[[#This Row],[REALIZ1]]+TB_INTEGRADA[[#This Row],[REALIZ2]]+TB_INTEGRADA[[#This Row],[REALIZ3]]</f>
        <v>296</v>
      </c>
      <c r="AY32" s="417">
        <f>IFERROR(TB_INTEGRADA[[#This Row],[REALIZ4]]/TB_INTEGRADA[[#This Row],[ORÇADO4]],"")</f>
        <v>8.8649240442226732E-2</v>
      </c>
      <c r="AZ32" s="341">
        <f>_xlfn.XLOOKUP(TB_INTEGRADA[[#This Row],[Nº  SS]],'CONTROLE EC'!B:B,'CONTROLE EC'!W:W,"",0,1)</f>
        <v>1219896.0657000002</v>
      </c>
      <c r="BA32" s="342">
        <f>_xlfn.XLOOKUP(TB_INTEGRADA[[#This Row],[Nº  SS]],'CONTROLE EC'!B:B,'CONTROLE EC'!X:X,"",0,1)</f>
        <v>536754.44699999993</v>
      </c>
      <c r="BB32" s="343">
        <f>_xlfn.XLOOKUP(TB_INTEGRADA[[#This Row],[Nº  SS]],'CONTROLE EC'!B:B,'CONTROLE EC'!Y:Y,"",0,1)</f>
        <v>683141.61870000022</v>
      </c>
    </row>
    <row r="33" spans="1:54" x14ac:dyDescent="0.3">
      <c r="A33" s="340">
        <f>IF(COUNTIFS($B$5:B33,TB_INTEGRADA[[#This Row],[Nº  SS]])&lt;&gt;1,"",COUNTIFS($B$5:B33,TB_INTEGRADA[[#This Row],[Nº  SS]]))</f>
        <v>1</v>
      </c>
      <c r="B33" s="267" t="s">
        <v>243</v>
      </c>
      <c r="C33" s="269" t="str">
        <f>_xlfn.XLOOKUP(TB_INTEGRADA[[#This Row],[Nº  SS]],'CONTROLE EC'!B:B,'CONTROLE EC'!C:C,"",0,1)</f>
        <v>25-0395-ES - INTERVENÇÃO NAS INFILTRAÇÕES DA COBERTURA PRÉDIO ADMINISTRATIVO</v>
      </c>
      <c r="D33" s="18" t="str">
        <f>_xlfn.XLOOKUP(TB_INTEGRADA[[#This Row],[Nº  SS]],'CONTROLE CRONOG'!B:B,'CONTROLE CRONOG'!D:D,"",0,1)</f>
        <v>SERVIÇO</v>
      </c>
      <c r="E33" s="269" t="str">
        <f>_xlfn.XLOOKUP(TB_INTEGRADA[[#This Row],[Nº  SS]],'CONTROLE EC'!B:B,'CONTROLE EC'!E:E,"",0,1)</f>
        <v>UTGC</v>
      </c>
      <c r="F33" s="274" t="str">
        <f>_xlfn.XLOOKUP(TB_INTEGRADA[[#This Row],[Nº  SS]],'CONTROLE EC'!B:B,'CONTROLE EC'!F:F,"",0,1)</f>
        <v>EM ANDAMENTO</v>
      </c>
      <c r="G33" s="275" t="str">
        <f>_xlfn.XLOOKUP(TB_INTEGRADA[[#This Row],[Nº  SS]],'CONTROLE EC'!B:B,'CONTROLE EC'!R:R,"",0,1)</f>
        <v>REV.01</v>
      </c>
      <c r="H33" s="276">
        <f>IF(TB_INTEGRADA[[#This Row],[REVISÃO (EC)]]="","",_xlfn.XLOOKUP(TB_INTEGRADA[[#This Row],[Nº  SS]],'CONTROLE EC'!B:B,'CONTROLE EC'!S:S,"",0,1))</f>
        <v>46010</v>
      </c>
      <c r="I33" s="276">
        <f>IF(TB_INTEGRADA[[#This Row],[REVISÃO (EC)]]="","",_xlfn.XLOOKUP(TB_INTEGRADA[[#This Row],[Nº  SS]],'CONTROLE EC'!B:B,'CONTROLE EC'!U:U,"",0,1))</f>
        <v>46013</v>
      </c>
      <c r="J33" s="276" t="str" cm="1">
        <f t="array" ref="J33">IF(TB_INTEGRADA[[#This Row],[DATA ENVIO. (EC)]]=IFERROR(INDEX('CONTROLE EC'!G33:Q33,MATCH(2,1/('CONTROLE EC'!G33:Q33&lt;&gt;""))),""),"",IFERROR(INDEX('CONTROLE EC'!G33:Q33,MATCH(2,1/('CONTROLE EC'!G33:Q33&lt;&gt;""))),""))</f>
        <v/>
      </c>
      <c r="K33" s="276" t="str">
        <f>IF(TB_INTEGRADA[[#This Row],[STATUS DEMANDA]]="NÃO EMITIDA SAMC","S/ EMISSÃO",_xlfn.XLOOKUP(TB_INTEGRADA[[#This Row],[Nº  SS]],'CONTROLE EC'!B:B,'CONTROLE EC'!T:T,"",0,-1))</f>
        <v>ENTREGUE</v>
      </c>
      <c r="L33"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33" s="15" cm="1">
        <f t="array" aca="1" ref="M33"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33" s="283" t="str">
        <f ca="1">IF(TB_INTEGRADA[[#This Row],[STATUS DEMANDA]]="NÃO EMITIDA SAMC","S/ EMISSÃO",IF(TB_INTEGRADA[[#This Row],[STATUS DEMANDA]]="ON HOLD","ON HOLD",IF(F33="CANCELADA","CANCELADA",IF(L33="REPROVADO","EM PLANEJ.",IF(K33&lt;&gt;"ENTREGUE","EM PLANEJ.",IF(H33="","EM PLANEJ.",IF(I33="","FISCALIZ.",IF(M33&lt;0,"EM PLANEJ.",IF(TB_INTEGRADA[[#This Row],[DATA APROV. (EC)]]&gt;=TB_INTEGRADA[[#This Row],[DATA ENVIO. (EC)]],"RETORNO OK","FISCALIZ.")))))))))</f>
        <v>RETORNO OK</v>
      </c>
      <c r="O33" s="275" t="str">
        <f>_xlfn.XLOOKUP(TB_INTEGRADA[[#This Row],[Nº  SS]],'CONTROLE CRONOG'!B:B,'CONTROLE CRONOG'!R:R,"",0,1)</f>
        <v>REV.00</v>
      </c>
      <c r="P33" s="276">
        <f>IF(TB_INTEGRADA[[#This Row],[REVISÃO (CR)]]="","",_xlfn.XLOOKUP(TB_INTEGRADA[[#This Row],[Nº  SS]],'CONTROLE CRONOG'!B:B,'CONTROLE CRONOG'!S:S,"",0,1))</f>
        <v>46009</v>
      </c>
      <c r="Q33" s="284">
        <f>IF(TB_INTEGRADA[[#This Row],[REVISÃO (CR)]]="","",_xlfn.XLOOKUP(TB_INTEGRADA[[#This Row],[Nº  SS]],'CONTROLE CRONOG'!B:B,'CONTROLE CRONOG'!U:U,"",0,1))</f>
        <v>46013</v>
      </c>
      <c r="R33" s="276" t="str" cm="1">
        <f t="array" ref="R33">IF(TB_INTEGRADA[[#This Row],[DATA ENVIO. (CR)]]=IFERROR(INDEX('CONTROLE CRONOG'!G33:Q33,MATCH(2,1/('CONTROLE CRONOG'!G33:Q33&lt;&gt;""))),""),"",IFERROR(INDEX('CONTROLE CRONOG'!G33:Q33,MATCH(2,1/('CONTROLE CRONOG'!G33:Q33&lt;&gt;""))),""))</f>
        <v/>
      </c>
      <c r="S33" s="276" t="str">
        <f>_xlfn.XLOOKUP(TB_INTEGRADA[[#This Row],[Nº  SS]],'CONTROLE CRONOG'!B:B,'CONTROLE CRONOG'!T:T,"",0,-1)</f>
        <v>ENTREGUE</v>
      </c>
      <c r="T33"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33" s="439"/>
      <c r="V33" s="285">
        <v>46164</v>
      </c>
      <c r="W33" s="276">
        <v>46164</v>
      </c>
      <c r="X33" s="286">
        <f>IFERROR(TB_INTEGRADA[[#This Row],[TÉRM. TD]]-TB_INTEGRADA[[#This Row],[TÉRMINO LB]],0)</f>
        <v>0</v>
      </c>
      <c r="Y33" s="91">
        <v>0.42399999999999999</v>
      </c>
      <c r="Z33" s="91">
        <v>0.62390000000000001</v>
      </c>
      <c r="AA33" s="91">
        <v>0.17160000000000003</v>
      </c>
      <c r="AB33" s="91">
        <f>IFERROR(TB_INTEGRADA[[#This Row],[REAL (%)]]-TB_INTEGRADA[[#This Row],[PREV (%)]],0)</f>
        <v>0.19990000000000002</v>
      </c>
      <c r="AC33" s="277">
        <v>11</v>
      </c>
      <c r="AD33" s="283">
        <v>2</v>
      </c>
      <c r="AE33" s="439"/>
      <c r="AF33"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147.6027</v>
      </c>
      <c r="AG33" s="287">
        <v>100.41</v>
      </c>
      <c r="AH33" s="287">
        <f>SUMIFS(Tb_HhPLAN[Hh DISC],Tb_HhPLAN[SS],TB_INTEGRADA[[#This Row],[Nº  SS]],Tb_HhPLAN[DISCIPLINA],"MEC")</f>
        <v>834.02666666666664</v>
      </c>
      <c r="AI33" s="404">
        <f>SUMIFS(Hh_EXE_TOTAL[Hh],Hh_EXE_TOTAL[Nº  SS],TB_INTEGRADA[[#This Row],[Nº  SS]],Hh_EXE_TOTAL[DISCIPLINA],"MEC")</f>
        <v>60</v>
      </c>
      <c r="AJ33"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879.29519999999991</v>
      </c>
      <c r="AK33" s="287">
        <v>598.16</v>
      </c>
      <c r="AL33" s="287">
        <f>SUMIFS(Tb_HhPLAN[Hh DISC],Tb_HhPLAN[SS],TB_INTEGRADA[[#This Row],[Nº  SS]],Tb_HhPLAN[DISCIPLINA],"CIVIL")</f>
        <v>738.70933333333335</v>
      </c>
      <c r="AM33" s="404">
        <f>SUMIFS(Hh_EXE_TOTAL[Hh],Hh_EXE_TOTAL[Nº  SS],TB_INTEGRADA[[#This Row],[Nº  SS]],Hh_EXE_TOTAL[DISCIPLINA],"CIVIL")</f>
        <v>180</v>
      </c>
      <c r="AN33"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0</v>
      </c>
      <c r="AO33" s="287"/>
      <c r="AP33" s="287">
        <f>SUMIFS(Tb_HhPLAN[Hh DISC],Tb_HhPLAN[SS],TB_INTEGRADA[[#This Row],[Nº  SS]],Tb_HhPLAN[DISCIPLINA],"ELÉT")</f>
        <v>0</v>
      </c>
      <c r="AQ33" s="404">
        <f>SUMIFS(Hh_EXE_TOTAL[Hh],Hh_EXE_TOTAL[Nº  SS],TB_INTEGRADA[[#This Row],[Nº  SS]],Hh_EXE_TOTAL[DISCIPLINA],"ELÉT")</f>
        <v>0</v>
      </c>
      <c r="AR33"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413.64329999999995</v>
      </c>
      <c r="AS33" s="287">
        <v>281.39</v>
      </c>
      <c r="AT33" s="287">
        <f>SUMIFS(Tb_HhPLAN[Hh DISC],Tb_HhPLAN[SS],TB_INTEGRADA[[#This Row],[Nº  SS]],Tb_HhPLAN[DISCIPLINA],"PINT")</f>
        <v>214.464</v>
      </c>
      <c r="AU33" s="404">
        <f>SUMIFS(Hh_EXE_TOTAL[Hh],Hh_EXE_TOTAL[Nº  SS],TB_INTEGRADA[[#This Row],[Nº  SS]],Hh_EXE_TOTAL[DISCIPLINA],"PINT")</f>
        <v>0</v>
      </c>
      <c r="AV33" s="400">
        <f>TB_INTEGRADA[[#This Row],[ORÇADO]]+TB_INTEGRADA[[#This Row],[ORÇADO1]]+TB_INTEGRADA[[#This Row],[ORÇADO2]]+TB_INTEGRADA[[#This Row],[ORÇADO3]]</f>
        <v>1440.5411999999999</v>
      </c>
      <c r="AW33" s="287">
        <f>TB_INTEGRADA[[#This Row],[PLANEJ]]+TB_INTEGRADA[[#This Row],[PLANEJ1]]+TB_INTEGRADA[[#This Row],[PLANEJ2]]+TB_INTEGRADA[[#This Row],[PLANEJ3]]</f>
        <v>1787.1999999999998</v>
      </c>
      <c r="AX33" s="287">
        <f>TB_INTEGRADA[[#This Row],[REALIZ]]+TB_INTEGRADA[[#This Row],[REALIZ1]]+TB_INTEGRADA[[#This Row],[REALIZ2]]+TB_INTEGRADA[[#This Row],[REALIZ3]]</f>
        <v>240</v>
      </c>
      <c r="AY33" s="417">
        <f>IFERROR(TB_INTEGRADA[[#This Row],[REALIZ4]]/TB_INTEGRADA[[#This Row],[ORÇADO4]],"")</f>
        <v>0.16660405131071573</v>
      </c>
      <c r="AZ33" s="341">
        <f>_xlfn.XLOOKUP(TB_INTEGRADA[[#This Row],[Nº  SS]],'CONTROLE EC'!B:B,'CONTROLE EC'!W:W,"",0,1)</f>
        <v>139993.07525999998</v>
      </c>
      <c r="BA33" s="342">
        <f>_xlfn.XLOOKUP(TB_INTEGRADA[[#This Row],[Nº  SS]],'CONTROLE EC'!B:B,'CONTROLE EC'!X:X,"",0,1)</f>
        <v>41997.952259999998</v>
      </c>
      <c r="BB33" s="343">
        <f>_xlfn.XLOOKUP(TB_INTEGRADA[[#This Row],[Nº  SS]],'CONTROLE EC'!B:B,'CONTROLE EC'!Y:Y,"",0,1)</f>
        <v>97995.122999999992</v>
      </c>
    </row>
    <row r="34" spans="1:54" x14ac:dyDescent="0.3">
      <c r="A34" s="340">
        <f>IF(COUNTIFS($B$5:B34,TB_INTEGRADA[[#This Row],[Nº  SS]])&lt;&gt;1,"",COUNTIFS($B$5:B34,TB_INTEGRADA[[#This Row],[Nº  SS]]))</f>
        <v>1</v>
      </c>
      <c r="B34" s="474" t="s">
        <v>244</v>
      </c>
      <c r="C34" s="473" t="str">
        <f>_xlfn.XLOOKUP(TB_INTEGRADA[[#This Row],[Nº  SS]],'CONTROLE EC'!B:B,'CONTROLE EC'!C:C,"",0,1)</f>
        <v>24-0666-ES - ADEQUAÇÃO DE PISO ELEVADO NO CENTRO DE SAÚDE</v>
      </c>
      <c r="D34" s="18" t="str">
        <f>_xlfn.XLOOKUP(TB_INTEGRADA[[#This Row],[Nº  SS]],'CONTROLE CRONOG'!B:B,'CONTROLE CRONOG'!D:D,"",0,1)</f>
        <v>SERVIÇO</v>
      </c>
      <c r="E34" s="473" t="str">
        <f>_xlfn.XLOOKUP(TB_INTEGRADA[[#This Row],[Nº  SS]],'CONTROLE EC'!B:B,'CONTROLE EC'!E:E,"",0,1)</f>
        <v>EDIVIT</v>
      </c>
      <c r="F34" s="473" t="str">
        <f>_xlfn.XLOOKUP(TB_INTEGRADA[[#This Row],[Nº  SS]],'CONTROLE EC'!B:B,'CONTROLE EC'!F:F,"",0,1)</f>
        <v>EM ANDAMENTO</v>
      </c>
      <c r="G34" s="275" t="str">
        <f>_xlfn.XLOOKUP(TB_INTEGRADA[[#This Row],[Nº  SS]],'CONTROLE EC'!B:B,'CONTROLE EC'!R:R,"",0,1)</f>
        <v>REV.01</v>
      </c>
      <c r="H34" s="276">
        <f>IF(TB_INTEGRADA[[#This Row],[REVISÃO (EC)]]="","",_xlfn.XLOOKUP(TB_INTEGRADA[[#This Row],[Nº  SS]],'CONTROLE EC'!B:B,'CONTROLE EC'!S:S,"",0,1))</f>
        <v>46041</v>
      </c>
      <c r="I34" s="276">
        <f>IF(TB_INTEGRADA[[#This Row],[REVISÃO (EC)]]="","",_xlfn.XLOOKUP(TB_INTEGRADA[[#This Row],[Nº  SS]],'CONTROLE EC'!B:B,'CONTROLE EC'!U:U,"",0,1))</f>
        <v>46065</v>
      </c>
      <c r="J34" s="276" t="str" cm="1">
        <f t="array" ref="J34">IF(TB_INTEGRADA[[#This Row],[DATA ENVIO. (EC)]]=IFERROR(INDEX('CONTROLE EC'!G34:Q34,MATCH(2,1/('CONTROLE EC'!G34:Q34&lt;&gt;""))),""),"",IFERROR(INDEX('CONTROLE EC'!G34:Q34,MATCH(2,1/('CONTROLE EC'!G34:Q34&lt;&gt;""))),""))</f>
        <v/>
      </c>
      <c r="K34" s="276" t="str">
        <f>IF(TB_INTEGRADA[[#This Row],[STATUS DEMANDA]]="NÃO EMITIDA SAMC","S/ EMISSÃO",_xlfn.XLOOKUP(TB_INTEGRADA[[#This Row],[Nº  SS]],'CONTROLE EC'!B:B,'CONTROLE EC'!T:T,"",0,-1))</f>
        <v>ENTREGUE</v>
      </c>
      <c r="L34"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34" s="15" cm="1">
        <f t="array" aca="1" ref="M34"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34" s="277" t="str">
        <f ca="1">IF(TB_INTEGRADA[[#This Row],[STATUS DEMANDA]]="NÃO EMITIDA SAMC","S/ EMISSÃO",IF(TB_INTEGRADA[[#This Row],[STATUS DEMANDA]]="ON HOLD","ON HOLD",IF(F34="CANCELADA","CANCELADA",IF(L34="REPROVADO","EM PLANEJ.",IF(K34&lt;&gt;"ENTREGUE","EM PLANEJ.",IF(H34="","EM PLANEJ.",IF(I34="","FISCALIZ.",IF(M34&lt;0,"EM PLANEJ.",IF(TB_INTEGRADA[[#This Row],[DATA APROV. (EC)]]&gt;=TB_INTEGRADA[[#This Row],[DATA ENVIO. (EC)]],"RETORNO OK","FISCALIZ.")))))))))</f>
        <v>RETORNO OK</v>
      </c>
      <c r="O34" s="275" t="str">
        <f>_xlfn.XLOOKUP(TB_INTEGRADA[[#This Row],[Nº  SS]],'CONTROLE CRONOG'!B:B,'CONTROLE CRONOG'!R:R,"",0,1)</f>
        <v>REV.02</v>
      </c>
      <c r="P34" s="276">
        <f>IF(TB_INTEGRADA[[#This Row],[REVISÃO (CR)]]="","",_xlfn.XLOOKUP(TB_INTEGRADA[[#This Row],[Nº  SS]],'CONTROLE CRONOG'!B:B,'CONTROLE CRONOG'!S:S,"",0,1))</f>
        <v>46078</v>
      </c>
      <c r="Q34" s="284">
        <f>IF(TB_INTEGRADA[[#This Row],[REVISÃO (CR)]]="","",_xlfn.XLOOKUP(TB_INTEGRADA[[#This Row],[Nº  SS]],'CONTROLE CRONOG'!B:B,'CONTROLE CRONOG'!U:U,"",0,1))</f>
        <v>46078</v>
      </c>
      <c r="R34" s="276" t="str" cm="1">
        <f t="array" ref="R34">IF(TB_INTEGRADA[[#This Row],[DATA ENVIO. (CR)]]=IFERROR(INDEX('CONTROLE CRONOG'!G34:Q34,MATCH(2,1/('CONTROLE CRONOG'!G34:Q34&lt;&gt;""))),""),"",IFERROR(INDEX('CONTROLE CRONOG'!G34:Q34,MATCH(2,1/('CONTROLE CRONOG'!G34:Q34&lt;&gt;""))),""))</f>
        <v/>
      </c>
      <c r="S34" s="276" t="str">
        <f>_xlfn.XLOOKUP(TB_INTEGRADA[[#This Row],[Nº  SS]],'CONTROLE CRONOG'!B:B,'CONTROLE CRONOG'!T:T,"",0,-1)</f>
        <v>ENTREGUE</v>
      </c>
      <c r="T34"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34" s="439"/>
      <c r="V34" s="285">
        <v>46128</v>
      </c>
      <c r="W34" s="284">
        <v>46132</v>
      </c>
      <c r="X34" s="286">
        <f>IFERROR(TB_INTEGRADA[[#This Row],[TÉRM. TD]]-TB_INTEGRADA[[#This Row],[TÉRMINO LB]],0)</f>
        <v>4</v>
      </c>
      <c r="Y34" s="176">
        <v>7.0000000000000007E-2</v>
      </c>
      <c r="Z34" s="177">
        <v>0</v>
      </c>
      <c r="AA34" s="91">
        <v>-7.0000000000000007E-2</v>
      </c>
      <c r="AB34" s="91">
        <f>IFERROR(TB_INTEGRADA[[#This Row],[REAL (%)]]-TB_INTEGRADA[[#This Row],[PREV (%)]],0)</f>
        <v>-7.0000000000000007E-2</v>
      </c>
      <c r="AC34" s="288">
        <v>0</v>
      </c>
      <c r="AD34" s="283">
        <v>0</v>
      </c>
      <c r="AE34" s="439"/>
      <c r="AF34"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0</v>
      </c>
      <c r="AG34" s="287"/>
      <c r="AH34" s="287">
        <f>SUMIFS(Tb_HhPLAN[Hh DISC],Tb_HhPLAN[SS],TB_INTEGRADA[[#This Row],[Nº  SS]],Tb_HhPLAN[DISCIPLINA],"MEC")</f>
        <v>0</v>
      </c>
      <c r="AI34" s="404">
        <f>SUMIFS(Hh_EXE_TOTAL[Hh],Hh_EXE_TOTAL[Nº  SS],TB_INTEGRADA[[#This Row],[Nº  SS]],Hh_EXE_TOTAL[DISCIPLINA],"MEC")</f>
        <v>0</v>
      </c>
      <c r="AJ34"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190.3434</v>
      </c>
      <c r="AK34" s="287">
        <v>137.93</v>
      </c>
      <c r="AL34" s="287">
        <f>SUMIFS(Tb_HhPLAN[Hh DISC],Tb_HhPLAN[SS],TB_INTEGRADA[[#This Row],[Nº  SS]],Tb_HhPLAN[DISCIPLINA],"CIVIL")</f>
        <v>448</v>
      </c>
      <c r="AM34" s="404">
        <f>SUMIFS(Hh_EXE_TOTAL[Hh],Hh_EXE_TOTAL[Nº  SS],TB_INTEGRADA[[#This Row],[Nº  SS]],Hh_EXE_TOTAL[DISCIPLINA],"CIVIL")</f>
        <v>0</v>
      </c>
      <c r="AN34"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0</v>
      </c>
      <c r="AO34" s="287"/>
      <c r="AP34" s="287">
        <f>SUMIFS(Tb_HhPLAN[Hh DISC],Tb_HhPLAN[SS],TB_INTEGRADA[[#This Row],[Nº  SS]],Tb_HhPLAN[DISCIPLINA],"ELÉT")</f>
        <v>0</v>
      </c>
      <c r="AQ34" s="404">
        <f>SUMIFS(Hh_EXE_TOTAL[Hh],Hh_EXE_TOTAL[Nº  SS],TB_INTEGRADA[[#This Row],[Nº  SS]],Hh_EXE_TOTAL[DISCIPLINA],"ELÉT")</f>
        <v>0</v>
      </c>
      <c r="AR34"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34" s="287"/>
      <c r="AT34" s="287">
        <f>SUMIFS(Tb_HhPLAN[Hh DISC],Tb_HhPLAN[SS],TB_INTEGRADA[[#This Row],[Nº  SS]],Tb_HhPLAN[DISCIPLINA],"PINT")</f>
        <v>0</v>
      </c>
      <c r="AU34" s="404">
        <f>SUMIFS(Hh_EXE_TOTAL[Hh],Hh_EXE_TOTAL[Nº  SS],TB_INTEGRADA[[#This Row],[Nº  SS]],Hh_EXE_TOTAL[DISCIPLINA],"PINT")</f>
        <v>0</v>
      </c>
      <c r="AV34" s="400">
        <f>TB_INTEGRADA[[#This Row],[ORÇADO]]+TB_INTEGRADA[[#This Row],[ORÇADO1]]+TB_INTEGRADA[[#This Row],[ORÇADO2]]+TB_INTEGRADA[[#This Row],[ORÇADO3]]</f>
        <v>190.3434</v>
      </c>
      <c r="AW34" s="287">
        <f>TB_INTEGRADA[[#This Row],[PLANEJ]]+TB_INTEGRADA[[#This Row],[PLANEJ1]]+TB_INTEGRADA[[#This Row],[PLANEJ2]]+TB_INTEGRADA[[#This Row],[PLANEJ3]]</f>
        <v>448</v>
      </c>
      <c r="AX34" s="287">
        <f>TB_INTEGRADA[[#This Row],[REALIZ]]+TB_INTEGRADA[[#This Row],[REALIZ1]]+TB_INTEGRADA[[#This Row],[REALIZ2]]+TB_INTEGRADA[[#This Row],[REALIZ3]]</f>
        <v>0</v>
      </c>
      <c r="AY34" s="417">
        <f>IFERROR(TB_INTEGRADA[[#This Row],[REALIZ4]]/TB_INTEGRADA[[#This Row],[ORÇADO4]],"")</f>
        <v>0</v>
      </c>
      <c r="AZ34" s="341">
        <f>_xlfn.XLOOKUP(TB_INTEGRADA[[#This Row],[Nº  SS]],'CONTROLE EC'!B:B,'CONTROLE EC'!W:W,"",0,1)</f>
        <v>41370.68</v>
      </c>
      <c r="BA34" s="342">
        <f>_xlfn.XLOOKUP(TB_INTEGRADA[[#This Row],[Nº  SS]],'CONTROLE EC'!B:B,'CONTROLE EC'!X:X,"",0,1)</f>
        <v>4137.0771599999998</v>
      </c>
      <c r="BB34" s="343">
        <f>_xlfn.XLOOKUP(TB_INTEGRADA[[#This Row],[Nº  SS]],'CONTROLE EC'!B:B,'CONTROLE EC'!Y:Y,"",0,1)</f>
        <v>37233.60284</v>
      </c>
    </row>
    <row r="35" spans="1:54" hidden="1" x14ac:dyDescent="0.3">
      <c r="A35" s="340">
        <f>IF(COUNTIFS($B$5:B35,TB_INTEGRADA[[#This Row],[Nº  SS]])&lt;&gt;1,"",COUNTIFS($B$5:B35,TB_INTEGRADA[[#This Row],[Nº  SS]]))</f>
        <v>1</v>
      </c>
      <c r="B35" s="267" t="s">
        <v>250</v>
      </c>
      <c r="C35" s="269" t="str">
        <f>_xlfn.XLOOKUP(TB_INTEGRADA[[#This Row],[Nº  SS]],'CONTROLE EC'!B:B,'CONTROLE EC'!C:C,"",0,1)</f>
        <v>25-0147-ES - ADEQUAÇÃO NA ÁREA DA NOVA PORTARIA</v>
      </c>
      <c r="D35" s="18" t="str">
        <f>_xlfn.XLOOKUP(TB_INTEGRADA[[#This Row],[Nº  SS]],'CONTROLE CRONOG'!B:B,'CONTROLE CRONOG'!D:D,"",0,1)</f>
        <v>SERVIÇO</v>
      </c>
      <c r="E35" s="269" t="str">
        <f>_xlfn.XLOOKUP(TB_INTEGRADA[[#This Row],[Nº  SS]],'CONTROLE EC'!B:B,'CONTROLE EC'!E:E,"",0,1)</f>
        <v>UTGC</v>
      </c>
      <c r="F35" s="269" t="str">
        <f>_xlfn.XLOOKUP(TB_INTEGRADA[[#This Row],[Nº  SS]],'CONTROLE EC'!B:B,'CONTROLE EC'!F:F,"",0,1)</f>
        <v>CONCLUÍDA</v>
      </c>
      <c r="G35" s="275" t="str">
        <f>_xlfn.XLOOKUP(TB_INTEGRADA[[#This Row],[Nº  SS]],'CONTROLE EC'!B:B,'CONTROLE EC'!R:R,"",0,1)</f>
        <v>REV.00</v>
      </c>
      <c r="H35" s="276">
        <f>IF(TB_INTEGRADA[[#This Row],[REVISÃO (EC)]]="","",_xlfn.XLOOKUP(TB_INTEGRADA[[#This Row],[Nº  SS]],'CONTROLE EC'!B:B,'CONTROLE EC'!S:S,"",0,1))</f>
        <v>46003</v>
      </c>
      <c r="I35" s="276">
        <f>IF(TB_INTEGRADA[[#This Row],[REVISÃO (EC)]]="","",_xlfn.XLOOKUP(TB_INTEGRADA[[#This Row],[Nº  SS]],'CONTROLE EC'!B:B,'CONTROLE EC'!U:U,"",0,1))</f>
        <v>46003</v>
      </c>
      <c r="J35" s="276" t="str" cm="1">
        <f t="array" ref="J35">IF(TB_INTEGRADA[[#This Row],[DATA ENVIO. (EC)]]=IFERROR(INDEX('CONTROLE EC'!G35:Q35,MATCH(2,1/('CONTROLE EC'!G35:Q35&lt;&gt;""))),""),"",IFERROR(INDEX('CONTROLE EC'!G35:Q35,MATCH(2,1/('CONTROLE EC'!G35:Q35&lt;&gt;""))),""))</f>
        <v/>
      </c>
      <c r="K35" s="276" t="str">
        <f>IF(TB_INTEGRADA[[#This Row],[STATUS DEMANDA]]="NÃO EMITIDA SAMC","S/ EMISSÃO",_xlfn.XLOOKUP(TB_INTEGRADA[[#This Row],[Nº  SS]],'CONTROLE EC'!B:B,'CONTROLE EC'!T:T,"",0,-1))</f>
        <v>ENTREGUE</v>
      </c>
      <c r="L35"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35" s="15" cm="1">
        <f t="array" aca="1" ref="M35"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35" s="277" t="str">
        <f ca="1">IF(TB_INTEGRADA[[#This Row],[STATUS DEMANDA]]="NÃO EMITIDA SAMC","S/ EMISSÃO",IF(TB_INTEGRADA[[#This Row],[STATUS DEMANDA]]="ON HOLD","ON HOLD",IF(F35="CANCELADA","CANCELADA",IF(L35="REPROVADO","EM PLANEJ.",IF(K35&lt;&gt;"ENTREGUE","EM PLANEJ.",IF(H35="","EM PLANEJ.",IF(I35="","FISCALIZ.",IF(M35&lt;0,"EM PLANEJ.",IF(TB_INTEGRADA[[#This Row],[DATA APROV. (EC)]]&gt;=TB_INTEGRADA[[#This Row],[DATA ENVIO. (EC)]],"RETORNO OK","FISCALIZ.")))))))))</f>
        <v>RETORNO OK</v>
      </c>
      <c r="O35" s="275" t="str">
        <f>_xlfn.XLOOKUP(TB_INTEGRADA[[#This Row],[Nº  SS]],'CONTROLE CRONOG'!B:B,'CONTROLE CRONOG'!R:R,"",0,1)</f>
        <v>REV.01</v>
      </c>
      <c r="P35" s="276">
        <f>IF(TB_INTEGRADA[[#This Row],[REVISÃO (CR)]]="","",_xlfn.XLOOKUP(TB_INTEGRADA[[#This Row],[Nº  SS]],'CONTROLE CRONOG'!B:B,'CONTROLE CRONOG'!S:S,"",0,1))</f>
        <v>46013</v>
      </c>
      <c r="Q35" s="284">
        <f>IF(TB_INTEGRADA[[#This Row],[REVISÃO (CR)]]="","",_xlfn.XLOOKUP(TB_INTEGRADA[[#This Row],[Nº  SS]],'CONTROLE CRONOG'!B:B,'CONTROLE CRONOG'!U:U,"",0,1))</f>
        <v>46013</v>
      </c>
      <c r="R35" s="276" t="str" cm="1">
        <f t="array" ref="R35">IF(TB_INTEGRADA[[#This Row],[DATA ENVIO. (CR)]]=IFERROR(INDEX('CONTROLE CRONOG'!G35:Q35,MATCH(2,1/('CONTROLE CRONOG'!G35:Q35&lt;&gt;""))),""),"",IFERROR(INDEX('CONTROLE CRONOG'!G35:Q35,MATCH(2,1/('CONTROLE CRONOG'!G35:Q35&lt;&gt;""))),""))</f>
        <v/>
      </c>
      <c r="S35" s="276" t="str">
        <f>_xlfn.XLOOKUP(TB_INTEGRADA[[#This Row],[Nº  SS]],'CONTROLE CRONOG'!B:B,'CONTROLE CRONOG'!T:T,"",0,-1)</f>
        <v>ENTREGUE</v>
      </c>
      <c r="T35"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35" s="439"/>
      <c r="V35" s="285">
        <v>46014</v>
      </c>
      <c r="W35" s="284">
        <v>46049</v>
      </c>
      <c r="X35" s="286">
        <f>IFERROR(TB_INTEGRADA[[#This Row],[TÉRM. TD]]-TB_INTEGRADA[[#This Row],[TÉRMINO LB]],0)</f>
        <v>35</v>
      </c>
      <c r="Y35" s="176">
        <v>1</v>
      </c>
      <c r="Z35" s="177">
        <v>1</v>
      </c>
      <c r="AA35" s="91">
        <v>0</v>
      </c>
      <c r="AB35" s="91">
        <f>IFERROR(TB_INTEGRADA[[#This Row],[REAL (%)]]-TB_INTEGRADA[[#This Row],[PREV (%)]],0)</f>
        <v>0</v>
      </c>
      <c r="AC35" s="288">
        <v>0</v>
      </c>
      <c r="AD35" s="283">
        <v>0</v>
      </c>
      <c r="AE35" s="439"/>
      <c r="AF35"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0</v>
      </c>
      <c r="AG35" s="287"/>
      <c r="AH35" s="287">
        <f>SUMIFS(Tb_HhPLAN[Hh DISC],Tb_HhPLAN[SS],TB_INTEGRADA[[#This Row],[Nº  SS]],Tb_HhPLAN[DISCIPLINA],"MEC")</f>
        <v>0</v>
      </c>
      <c r="AI35" s="404">
        <f>SUMIFS(Hh_EXE_TOTAL[Hh],Hh_EXE_TOTAL[Nº  SS],TB_INTEGRADA[[#This Row],[Nº  SS]],Hh_EXE_TOTAL[DISCIPLINA],"MEC")</f>
        <v>0</v>
      </c>
      <c r="AJ35"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330.47070000000002</v>
      </c>
      <c r="AK35" s="287">
        <v>224.81</v>
      </c>
      <c r="AL35" s="287">
        <f>SUMIFS(Tb_HhPLAN[Hh DISC],Tb_HhPLAN[SS],TB_INTEGRADA[[#This Row],[Nº  SS]],Tb_HhPLAN[DISCIPLINA],"CIVIL")</f>
        <v>292</v>
      </c>
      <c r="AM35" s="404">
        <f>SUMIFS(Hh_EXE_TOTAL[Hh],Hh_EXE_TOTAL[Nº  SS],TB_INTEGRADA[[#This Row],[Nº  SS]],Hh_EXE_TOTAL[DISCIPLINA],"CIVIL")</f>
        <v>168</v>
      </c>
      <c r="AN35"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0</v>
      </c>
      <c r="AO35" s="287"/>
      <c r="AP35" s="287">
        <f>SUMIFS(Tb_HhPLAN[Hh DISC],Tb_HhPLAN[SS],TB_INTEGRADA[[#This Row],[Nº  SS]],Tb_HhPLAN[DISCIPLINA],"ELÉT")</f>
        <v>0</v>
      </c>
      <c r="AQ35" s="404">
        <f>SUMIFS(Hh_EXE_TOTAL[Hh],Hh_EXE_TOTAL[Nº  SS],TB_INTEGRADA[[#This Row],[Nº  SS]],Hh_EXE_TOTAL[DISCIPLINA],"ELÉT")</f>
        <v>0</v>
      </c>
      <c r="AR35"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35" s="287"/>
      <c r="AT35" s="287">
        <f>SUMIFS(Tb_HhPLAN[Hh DISC],Tb_HhPLAN[SS],TB_INTEGRADA[[#This Row],[Nº  SS]],Tb_HhPLAN[DISCIPLINA],"PINT")</f>
        <v>0</v>
      </c>
      <c r="AU35" s="404">
        <f>SUMIFS(Hh_EXE_TOTAL[Hh],Hh_EXE_TOTAL[Nº  SS],TB_INTEGRADA[[#This Row],[Nº  SS]],Hh_EXE_TOTAL[DISCIPLINA],"PINT")</f>
        <v>128</v>
      </c>
      <c r="AV35" s="400">
        <f>TB_INTEGRADA[[#This Row],[ORÇADO]]+TB_INTEGRADA[[#This Row],[ORÇADO1]]+TB_INTEGRADA[[#This Row],[ORÇADO2]]+TB_INTEGRADA[[#This Row],[ORÇADO3]]</f>
        <v>330.47070000000002</v>
      </c>
      <c r="AW35" s="287">
        <f>TB_INTEGRADA[[#This Row],[PLANEJ]]+TB_INTEGRADA[[#This Row],[PLANEJ1]]+TB_INTEGRADA[[#This Row],[PLANEJ2]]+TB_INTEGRADA[[#This Row],[PLANEJ3]]</f>
        <v>292</v>
      </c>
      <c r="AX35" s="287">
        <f>TB_INTEGRADA[[#This Row],[REALIZ]]+TB_INTEGRADA[[#This Row],[REALIZ1]]+TB_INTEGRADA[[#This Row],[REALIZ2]]+TB_INTEGRADA[[#This Row],[REALIZ3]]</f>
        <v>296</v>
      </c>
      <c r="AY35" s="417">
        <f>IFERROR(TB_INTEGRADA[[#This Row],[REALIZ4]]/TB_INTEGRADA[[#This Row],[ORÇADO4]],"")</f>
        <v>0.89569211430846962</v>
      </c>
      <c r="AZ35" s="341">
        <f>_xlfn.XLOOKUP(TB_INTEGRADA[[#This Row],[Nº  SS]],'CONTROLE EC'!B:B,'CONTROLE EC'!W:W,"",0,1)</f>
        <v>82273.161240000001</v>
      </c>
      <c r="BA35" s="342">
        <f>_xlfn.XLOOKUP(TB_INTEGRADA[[#This Row],[Nº  SS]],'CONTROLE EC'!B:B,'CONTROLE EC'!X:X,"",0,1)</f>
        <v>82273.161240000001</v>
      </c>
      <c r="BB35" s="343">
        <f>_xlfn.XLOOKUP(TB_INTEGRADA[[#This Row],[Nº  SS]],'CONTROLE EC'!B:B,'CONTROLE EC'!Y:Y,"",0,1)</f>
        <v>0</v>
      </c>
    </row>
    <row r="36" spans="1:54" hidden="1" x14ac:dyDescent="0.3">
      <c r="A36" s="340">
        <f>IF(COUNTIFS($B$5:B36,TB_INTEGRADA[[#This Row],[Nº  SS]])&lt;&gt;1,"",COUNTIFS($B$5:B36,TB_INTEGRADA[[#This Row],[Nº  SS]]))</f>
        <v>1</v>
      </c>
      <c r="B36" s="267" t="s">
        <v>417</v>
      </c>
      <c r="C36" s="269" t="str">
        <f>_xlfn.XLOOKUP(TB_INTEGRADA[[#This Row],[Nº  SS]],'CONTROLE EC'!B:B,'CONTROLE EC'!C:C,"",0,1)</f>
        <v>21-0008-ES - ADEQUAÇÕES DO GALPÃO UPCGN-2</v>
      </c>
      <c r="D36" s="18" t="str">
        <f>_xlfn.XLOOKUP(TB_INTEGRADA[[#This Row],[Nº  SS]],'CONTROLE CRONOG'!B:B,'CONTROLE CRONOG'!D:D,"",0,1)</f>
        <v>SERVIÇO</v>
      </c>
      <c r="E36" s="269" t="str">
        <f>_xlfn.XLOOKUP(TB_INTEGRADA[[#This Row],[Nº  SS]],'CONTROLE EC'!B:B,'CONTROLE EC'!E:E,"",0,1)</f>
        <v>UTGC</v>
      </c>
      <c r="F36" s="269" t="str">
        <f>_xlfn.XLOOKUP(TB_INTEGRADA[[#This Row],[Nº  SS]],'CONTROLE EC'!B:B,'CONTROLE EC'!F:F,"",0,1)</f>
        <v>CONCLUÍDA</v>
      </c>
      <c r="G36" s="275" t="str">
        <f>_xlfn.XLOOKUP(TB_INTEGRADA[[#This Row],[Nº  SS]],'CONTROLE EC'!B:B,'CONTROLE EC'!R:R,"",0,1)</f>
        <v>REV.01</v>
      </c>
      <c r="H36" s="276">
        <f>IF(TB_INTEGRADA[[#This Row],[REVISÃO (EC)]]="","",_xlfn.XLOOKUP(TB_INTEGRADA[[#This Row],[Nº  SS]],'CONTROLE EC'!B:B,'CONTROLE EC'!S:S,"",0,1))</f>
        <v>46076</v>
      </c>
      <c r="I36" s="276">
        <f>IF(TB_INTEGRADA[[#This Row],[REVISÃO (EC)]]="","",_xlfn.XLOOKUP(TB_INTEGRADA[[#This Row],[Nº  SS]],'CONTROLE EC'!B:B,'CONTROLE EC'!U:U,"",0,1))</f>
        <v>46076</v>
      </c>
      <c r="J36" s="276" t="str" cm="1">
        <f t="array" ref="J36">IF(TB_INTEGRADA[[#This Row],[DATA ENVIO. (EC)]]=IFERROR(INDEX('CONTROLE EC'!G36:Q36,MATCH(2,1/('CONTROLE EC'!G36:Q36&lt;&gt;""))),""),"",IFERROR(INDEX('CONTROLE EC'!G36:Q36,MATCH(2,1/('CONTROLE EC'!G36:Q36&lt;&gt;""))),""))</f>
        <v/>
      </c>
      <c r="K36" s="276" t="str">
        <f>IF(TB_INTEGRADA[[#This Row],[STATUS DEMANDA]]="NÃO EMITIDA SAMC","S/ EMISSÃO",_xlfn.XLOOKUP(TB_INTEGRADA[[#This Row],[Nº  SS]],'CONTROLE EC'!B:B,'CONTROLE EC'!T:T,"",0,-1))</f>
        <v>ENTREGUE</v>
      </c>
      <c r="L36"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36" s="15" cm="1">
        <f t="array" aca="1" ref="M36"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36" s="277" t="str">
        <f ca="1">IF(TB_INTEGRADA[[#This Row],[STATUS DEMANDA]]="NÃO EMITIDA SAMC","S/ EMISSÃO",IF(TB_INTEGRADA[[#This Row],[STATUS DEMANDA]]="ON HOLD","ON HOLD",IF(F36="CANCELADA","CANCELADA",IF(L36="REPROVADO","EM PLANEJ.",IF(K36&lt;&gt;"ENTREGUE","EM PLANEJ.",IF(H36="","EM PLANEJ.",IF(I36="","FISCALIZ.",IF(M36&lt;0,"EM PLANEJ.",IF(TB_INTEGRADA[[#This Row],[DATA APROV. (EC)]]&gt;=TB_INTEGRADA[[#This Row],[DATA ENVIO. (EC)]],"RETORNO OK","FISCALIZ.")))))))))</f>
        <v>RETORNO OK</v>
      </c>
      <c r="O36" s="275" t="str">
        <f>_xlfn.XLOOKUP(TB_INTEGRADA[[#This Row],[Nº  SS]],'CONTROLE CRONOG'!B:B,'CONTROLE CRONOG'!R:R,"",0,1)</f>
        <v>REV.00</v>
      </c>
      <c r="P36" s="276" t="str">
        <f>IF(TB_INTEGRADA[[#This Row],[REVISÃO (CR)]]="","",_xlfn.XLOOKUP(TB_INTEGRADA[[#This Row],[Nº  SS]],'CONTROLE CRONOG'!B:B,'CONTROLE CRONOG'!S:S,"",0,1))</f>
        <v>N/A</v>
      </c>
      <c r="Q36" s="284" t="str">
        <f>IF(TB_INTEGRADA[[#This Row],[REVISÃO (CR)]]="","",_xlfn.XLOOKUP(TB_INTEGRADA[[#This Row],[Nº  SS]],'CONTROLE CRONOG'!B:B,'CONTROLE CRONOG'!U:U,"",0,1))</f>
        <v>N/A</v>
      </c>
      <c r="R36" s="276" t="str" cm="1">
        <f t="array" ref="R36">IF(TB_INTEGRADA[[#This Row],[DATA ENVIO. (CR)]]=IFERROR(INDEX('CONTROLE CRONOG'!G36:Q36,MATCH(2,1/('CONTROLE CRONOG'!G36:Q36&lt;&gt;""))),""),"",IFERROR(INDEX('CONTROLE CRONOG'!G36:Q36,MATCH(2,1/('CONTROLE CRONOG'!G36:Q36&lt;&gt;""))),""))</f>
        <v/>
      </c>
      <c r="S36" s="276" t="str">
        <f>_xlfn.XLOOKUP(TB_INTEGRADA[[#This Row],[Nº  SS]],'CONTROLE CRONOG'!B:B,'CONTROLE CRONOG'!T:T,"",0,-1)</f>
        <v>ENTREGUE</v>
      </c>
      <c r="T36"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36" s="439"/>
      <c r="V36" s="285"/>
      <c r="W36" s="284"/>
      <c r="X36" s="286">
        <f>IFERROR(TB_INTEGRADA[[#This Row],[TÉRM. TD]]-TB_INTEGRADA[[#This Row],[TÉRMINO LB]],0)</f>
        <v>0</v>
      </c>
      <c r="Y36" s="176">
        <v>1</v>
      </c>
      <c r="Z36" s="177">
        <v>1</v>
      </c>
      <c r="AA36" s="91">
        <v>0</v>
      </c>
      <c r="AB36" s="91">
        <f>IFERROR(TB_INTEGRADA[[#This Row],[REAL (%)]]-TB_INTEGRADA[[#This Row],[PREV (%)]],0)</f>
        <v>0</v>
      </c>
      <c r="AC36" s="288"/>
      <c r="AD36" s="283"/>
      <c r="AE36" s="439"/>
      <c r="AF36"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277.47719999999998</v>
      </c>
      <c r="AG36" s="287">
        <v>188.76</v>
      </c>
      <c r="AH36" s="287">
        <f>SUMIFS(Tb_HhPLAN[Hh DISC],Tb_HhPLAN[SS],TB_INTEGRADA[[#This Row],[Nº  SS]],Tb_HhPLAN[DISCIPLINA],"MEC")</f>
        <v>472</v>
      </c>
      <c r="AI36" s="404">
        <f>SUMIFS(Hh_EXE_TOTAL[Hh],Hh_EXE_TOTAL[Nº  SS],TB_INTEGRADA[[#This Row],[Nº  SS]],Hh_EXE_TOTAL[DISCIPLINA],"MEC")</f>
        <v>304.47761194029852</v>
      </c>
      <c r="AJ36"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36" s="287"/>
      <c r="AL36" s="287">
        <f>SUMIFS(Tb_HhPLAN[Hh DISC],Tb_HhPLAN[SS],TB_INTEGRADA[[#This Row],[Nº  SS]],Tb_HhPLAN[DISCIPLINA],"CIVIL")</f>
        <v>0</v>
      </c>
      <c r="AM36" s="404">
        <f>SUMIFS(Hh_EXE_TOTAL[Hh],Hh_EXE_TOTAL[Nº  SS],TB_INTEGRADA[[#This Row],[Nº  SS]],Hh_EXE_TOTAL[DISCIPLINA],"CIVIL")</f>
        <v>0</v>
      </c>
      <c r="AN36"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0</v>
      </c>
      <c r="AO36" s="287"/>
      <c r="AP36" s="287">
        <f>SUMIFS(Tb_HhPLAN[Hh DISC],Tb_HhPLAN[SS],TB_INTEGRADA[[#This Row],[Nº  SS]],Tb_HhPLAN[DISCIPLINA],"ELÉT")</f>
        <v>0</v>
      </c>
      <c r="AQ36" s="404">
        <f>SUMIFS(Hh_EXE_TOTAL[Hh],Hh_EXE_TOTAL[Nº  SS],TB_INTEGRADA[[#This Row],[Nº  SS]],Hh_EXE_TOTAL[DISCIPLINA],"ELÉT")</f>
        <v>0</v>
      </c>
      <c r="AR36"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444.39569999999998</v>
      </c>
      <c r="AS36" s="287">
        <v>302.31</v>
      </c>
      <c r="AT36" s="287">
        <f>SUMIFS(Tb_HhPLAN[Hh DISC],Tb_HhPLAN[SS],TB_INTEGRADA[[#This Row],[Nº  SS]],Tb_HhPLAN[DISCIPLINA],"PINT")</f>
        <v>0</v>
      </c>
      <c r="AU36" s="404">
        <f>SUMIFS(Hh_EXE_TOTAL[Hh],Hh_EXE_TOTAL[Nº  SS],TB_INTEGRADA[[#This Row],[Nº  SS]],Hh_EXE_TOTAL[DISCIPLINA],"PINT")</f>
        <v>295.52238805970148</v>
      </c>
      <c r="AV36" s="400">
        <f>TB_INTEGRADA[[#This Row],[ORÇADO]]+TB_INTEGRADA[[#This Row],[ORÇADO1]]+TB_INTEGRADA[[#This Row],[ORÇADO2]]+TB_INTEGRADA[[#This Row],[ORÇADO3]]</f>
        <v>721.87289999999996</v>
      </c>
      <c r="AW36" s="287">
        <f>TB_INTEGRADA[[#This Row],[PLANEJ]]+TB_INTEGRADA[[#This Row],[PLANEJ1]]+TB_INTEGRADA[[#This Row],[PLANEJ2]]+TB_INTEGRADA[[#This Row],[PLANEJ3]]</f>
        <v>472</v>
      </c>
      <c r="AX36" s="287">
        <f>TB_INTEGRADA[[#This Row],[REALIZ]]+TB_INTEGRADA[[#This Row],[REALIZ1]]+TB_INTEGRADA[[#This Row],[REALIZ2]]+TB_INTEGRADA[[#This Row],[REALIZ3]]</f>
        <v>600</v>
      </c>
      <c r="AY36" s="417">
        <f>IFERROR(TB_INTEGRADA[[#This Row],[REALIZ4]]/TB_INTEGRADA[[#This Row],[ORÇADO4]],"")</f>
        <v>0.83117124912155593</v>
      </c>
      <c r="AZ36" s="341">
        <f>_xlfn.XLOOKUP(TB_INTEGRADA[[#This Row],[Nº  SS]],'CONTROLE EC'!B:B,'CONTROLE EC'!W:W,"",0,1)</f>
        <v>128609.1378</v>
      </c>
      <c r="BA36" s="342">
        <f>_xlfn.XLOOKUP(TB_INTEGRADA[[#This Row],[Nº  SS]],'CONTROLE EC'!B:B,'CONTROLE EC'!X:X,"",0,1)</f>
        <v>128609.1378</v>
      </c>
      <c r="BB36" s="343">
        <f>_xlfn.XLOOKUP(TB_INTEGRADA[[#This Row],[Nº  SS]],'CONTROLE EC'!B:B,'CONTROLE EC'!Y:Y,"",0,1)</f>
        <v>0</v>
      </c>
    </row>
    <row r="37" spans="1:54" x14ac:dyDescent="0.3">
      <c r="A37" s="340">
        <f>IF(COUNTIFS($B$5:B37,TB_INTEGRADA[[#This Row],[Nº  SS]])&lt;&gt;1,"",COUNTIFS($B$5:B37,TB_INTEGRADA[[#This Row],[Nº  SS]]))</f>
        <v>1</v>
      </c>
      <c r="B37" s="475" t="s">
        <v>416</v>
      </c>
      <c r="C37" s="476" t="str">
        <f>_xlfn.XLOOKUP(TB_INTEGRADA[[#This Row],[Nº  SS]],'CONTROLE EC'!B:B,'CONTROLE EC'!C:C,"",0,1)</f>
        <v>24-0669-ES - ADEQUAÇÕES EM PISO ELEVADO - PORTARIAS</v>
      </c>
      <c r="D37" s="18" t="str">
        <f>_xlfn.XLOOKUP(TB_INTEGRADA[[#This Row],[Nº  SS]],'CONTROLE CRONOG'!B:B,'CONTROLE CRONOG'!D:D,"",0,1)</f>
        <v>SERVIÇO</v>
      </c>
      <c r="E37" s="476" t="str">
        <f>_xlfn.XLOOKUP(TB_INTEGRADA[[#This Row],[Nº  SS]],'CONTROLE EC'!B:B,'CONTROLE EC'!E:E,"",0,1)</f>
        <v>EDIVIT</v>
      </c>
      <c r="F37" s="476" t="str">
        <f>_xlfn.XLOOKUP(TB_INTEGRADA[[#This Row],[Nº  SS]],'CONTROLE EC'!B:B,'CONTROLE EC'!F:F,"",0,1)</f>
        <v>EM ANDAMENTO</v>
      </c>
      <c r="G37" s="275" t="str">
        <f>_xlfn.XLOOKUP(TB_INTEGRADA[[#This Row],[Nº  SS]],'CONTROLE EC'!B:B,'CONTROLE EC'!R:R,"",0,1)</f>
        <v>REV.03</v>
      </c>
      <c r="H37" s="276">
        <f>IF(TB_INTEGRADA[[#This Row],[REVISÃO (EC)]]="","",_xlfn.XLOOKUP(TB_INTEGRADA[[#This Row],[Nº  SS]],'CONTROLE EC'!B:B,'CONTROLE EC'!S:S,"",0,1))</f>
        <v>46078</v>
      </c>
      <c r="I37" s="276">
        <f>IF(TB_INTEGRADA[[#This Row],[REVISÃO (EC)]]="","",_xlfn.XLOOKUP(TB_INTEGRADA[[#This Row],[Nº  SS]],'CONTROLE EC'!B:B,'CONTROLE EC'!U:U,"",0,1))</f>
        <v>46078</v>
      </c>
      <c r="J37" s="276" t="str" cm="1">
        <f t="array" ref="J37">IF(TB_INTEGRADA[[#This Row],[DATA ENVIO. (EC)]]=IFERROR(INDEX('CONTROLE EC'!G37:Q37,MATCH(2,1/('CONTROLE EC'!G37:Q37&lt;&gt;""))),""),"",IFERROR(INDEX('CONTROLE EC'!G37:Q37,MATCH(2,1/('CONTROLE EC'!G37:Q37&lt;&gt;""))),""))</f>
        <v/>
      </c>
      <c r="K37" s="276" t="str">
        <f>IF(TB_INTEGRADA[[#This Row],[STATUS DEMANDA]]="NÃO EMITIDA SAMC","S/ EMISSÃO",_xlfn.XLOOKUP(TB_INTEGRADA[[#This Row],[Nº  SS]],'CONTROLE EC'!B:B,'CONTROLE EC'!T:T,"",0,-1))</f>
        <v>ENTREGUE</v>
      </c>
      <c r="L37"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37" s="15" cm="1">
        <f t="array" aca="1" ref="M37"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37" s="277" t="str">
        <f ca="1">IF(TB_INTEGRADA[[#This Row],[STATUS DEMANDA]]="NÃO EMITIDA SAMC","S/ EMISSÃO",IF(TB_INTEGRADA[[#This Row],[STATUS DEMANDA]]="ON HOLD","ON HOLD",IF(F37="CANCELADA","CANCELADA",IF(L37="REPROVADO","EM PLANEJ.",IF(K37&lt;&gt;"ENTREGUE","EM PLANEJ.",IF(H37="","EM PLANEJ.",IF(I37="","FISCALIZ.",IF(M37&lt;0,"EM PLANEJ.",IF(TB_INTEGRADA[[#This Row],[DATA APROV. (EC)]]&gt;=TB_INTEGRADA[[#This Row],[DATA ENVIO. (EC)]],"RETORNO OK","FISCALIZ.")))))))))</f>
        <v>RETORNO OK</v>
      </c>
      <c r="O37" s="275" t="str">
        <f>_xlfn.XLOOKUP(TB_INTEGRADA[[#This Row],[Nº  SS]],'CONTROLE CRONOG'!B:B,'CONTROLE CRONOG'!R:R,"",0,1)</f>
        <v>REV.03</v>
      </c>
      <c r="P37" s="276">
        <f>IF(TB_INTEGRADA[[#This Row],[REVISÃO (CR)]]="","",_xlfn.XLOOKUP(TB_INTEGRADA[[#This Row],[Nº  SS]],'CONTROLE CRONOG'!B:B,'CONTROLE CRONOG'!S:S,"",0,1))</f>
        <v>46078</v>
      </c>
      <c r="Q37" s="284">
        <f>IF(TB_INTEGRADA[[#This Row],[REVISÃO (CR)]]="","",_xlfn.XLOOKUP(TB_INTEGRADA[[#This Row],[Nº  SS]],'CONTROLE CRONOG'!B:B,'CONTROLE CRONOG'!U:U,"",0,1))</f>
        <v>46078</v>
      </c>
      <c r="R37" s="276" t="str" cm="1">
        <f t="array" ref="R37">IF(TB_INTEGRADA[[#This Row],[DATA ENVIO. (CR)]]=IFERROR(INDEX('CONTROLE CRONOG'!G37:Q37,MATCH(2,1/('CONTROLE CRONOG'!G37:Q37&lt;&gt;""))),""),"",IFERROR(INDEX('CONTROLE CRONOG'!G37:Q37,MATCH(2,1/('CONTROLE CRONOG'!G37:Q37&lt;&gt;""))),""))</f>
        <v/>
      </c>
      <c r="S37" s="276" t="str">
        <f>_xlfn.XLOOKUP(TB_INTEGRADA[[#This Row],[Nº  SS]],'CONTROLE CRONOG'!B:B,'CONTROLE CRONOG'!T:T,"",0,-1)</f>
        <v>ENTREGUE</v>
      </c>
      <c r="T37"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37" s="439"/>
      <c r="V37" s="285">
        <v>46294</v>
      </c>
      <c r="W37" s="284">
        <v>46294</v>
      </c>
      <c r="X37" s="286">
        <f>IFERROR(TB_INTEGRADA[[#This Row],[TÉRM. TD]]-TB_INTEGRADA[[#This Row],[TÉRMINO LB]],0)</f>
        <v>0</v>
      </c>
      <c r="Y37" s="176">
        <v>0</v>
      </c>
      <c r="Z37" s="177">
        <v>0</v>
      </c>
      <c r="AA37" s="91">
        <v>0</v>
      </c>
      <c r="AB37" s="91">
        <f>IFERROR(TB_INTEGRADA[[#This Row],[REAL (%)]]-TB_INTEGRADA[[#This Row],[PREV (%)]],0)</f>
        <v>0</v>
      </c>
      <c r="AC37" s="288">
        <v>0</v>
      </c>
      <c r="AD37" s="283">
        <v>0</v>
      </c>
      <c r="AE37" s="439"/>
      <c r="AF37"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0</v>
      </c>
      <c r="AG37" s="287"/>
      <c r="AH37" s="287">
        <f>SUMIFS(Tb_HhPLAN[Hh DISC],Tb_HhPLAN[SS],TB_INTEGRADA[[#This Row],[Nº  SS]],Tb_HhPLAN[DISCIPLINA],"MEC")</f>
        <v>0</v>
      </c>
      <c r="AI37" s="404">
        <f>SUMIFS(Hh_EXE_TOTAL[Hh],Hh_EXE_TOTAL[Nº  SS],TB_INTEGRADA[[#This Row],[Nº  SS]],Hh_EXE_TOTAL[DISCIPLINA],"MEC")</f>
        <v>0</v>
      </c>
      <c r="AJ37"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10239.875999999998</v>
      </c>
      <c r="AK37" s="287">
        <v>7420.2</v>
      </c>
      <c r="AL37" s="287">
        <f>SUMIFS(Tb_HhPLAN[Hh DISC],Tb_HhPLAN[SS],TB_INTEGRADA[[#This Row],[Nº  SS]],Tb_HhPLAN[DISCIPLINA],"CIVIL")</f>
        <v>3682</v>
      </c>
      <c r="AM37" s="404">
        <f>SUMIFS(Hh_EXE_TOTAL[Hh],Hh_EXE_TOTAL[Nº  SS],TB_INTEGRADA[[#This Row],[Nº  SS]],Hh_EXE_TOTAL[DISCIPLINA],"CIVIL")</f>
        <v>0</v>
      </c>
      <c r="AN37"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0</v>
      </c>
      <c r="AO37" s="287"/>
      <c r="AP37" s="287">
        <f>SUMIFS(Tb_HhPLAN[Hh DISC],Tb_HhPLAN[SS],TB_INTEGRADA[[#This Row],[Nº  SS]],Tb_HhPLAN[DISCIPLINA],"ELÉT")</f>
        <v>0</v>
      </c>
      <c r="AQ37" s="404">
        <f>SUMIFS(Hh_EXE_TOTAL[Hh],Hh_EXE_TOTAL[Nº  SS],TB_INTEGRADA[[#This Row],[Nº  SS]],Hh_EXE_TOTAL[DISCIPLINA],"ELÉT")</f>
        <v>0</v>
      </c>
      <c r="AR37"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37" s="287"/>
      <c r="AT37" s="287">
        <f>SUMIFS(Tb_HhPLAN[Hh DISC],Tb_HhPLAN[SS],TB_INTEGRADA[[#This Row],[Nº  SS]],Tb_HhPLAN[DISCIPLINA],"PINT")</f>
        <v>0</v>
      </c>
      <c r="AU37" s="404">
        <f>SUMIFS(Hh_EXE_TOTAL[Hh],Hh_EXE_TOTAL[Nº  SS],TB_INTEGRADA[[#This Row],[Nº  SS]],Hh_EXE_TOTAL[DISCIPLINA],"PINT")</f>
        <v>0</v>
      </c>
      <c r="AV37" s="400">
        <f>TB_INTEGRADA[[#This Row],[ORÇADO]]+TB_INTEGRADA[[#This Row],[ORÇADO1]]+TB_INTEGRADA[[#This Row],[ORÇADO2]]+TB_INTEGRADA[[#This Row],[ORÇADO3]]</f>
        <v>10239.875999999998</v>
      </c>
      <c r="AW37" s="287">
        <f>TB_INTEGRADA[[#This Row],[PLANEJ]]+TB_INTEGRADA[[#This Row],[PLANEJ1]]+TB_INTEGRADA[[#This Row],[PLANEJ2]]+TB_INTEGRADA[[#This Row],[PLANEJ3]]</f>
        <v>3682</v>
      </c>
      <c r="AX37" s="287">
        <f>TB_INTEGRADA[[#This Row],[REALIZ]]+TB_INTEGRADA[[#This Row],[REALIZ1]]+TB_INTEGRADA[[#This Row],[REALIZ2]]+TB_INTEGRADA[[#This Row],[REALIZ3]]</f>
        <v>0</v>
      </c>
      <c r="AY37" s="417">
        <f>IFERROR(TB_INTEGRADA[[#This Row],[REALIZ4]]/TB_INTEGRADA[[#This Row],[ORÇADO4]],"")</f>
        <v>0</v>
      </c>
      <c r="AZ37" s="341">
        <f>_xlfn.XLOOKUP(TB_INTEGRADA[[#This Row],[Nº  SS]],'CONTROLE EC'!B:B,'CONTROLE EC'!W:W,"",0,1)</f>
        <v>1114645.1777999999</v>
      </c>
      <c r="BA37" s="342">
        <f>_xlfn.XLOOKUP(TB_INTEGRADA[[#This Row],[Nº  SS]],'CONTROLE EC'!B:B,'CONTROLE EC'!X:X,"",0,1)</f>
        <v>111464.51777999999</v>
      </c>
      <c r="BB37" s="343">
        <f>_xlfn.XLOOKUP(TB_INTEGRADA[[#This Row],[Nº  SS]],'CONTROLE EC'!B:B,'CONTROLE EC'!Y:Y,"",0,1)</f>
        <v>1003180.66002</v>
      </c>
    </row>
    <row r="38" spans="1:54" x14ac:dyDescent="0.3">
      <c r="A38" s="340">
        <f>IF(COUNTIFS($B$5:B38,TB_INTEGRADA[[#This Row],[Nº  SS]])&lt;&gt;1,"",COUNTIFS($B$5:B38,TB_INTEGRADA[[#This Row],[Nº  SS]]))</f>
        <v>1</v>
      </c>
      <c r="B38" s="475" t="s">
        <v>445</v>
      </c>
      <c r="C38" s="476" t="str">
        <f>_xlfn.XLOOKUP(TB_INTEGRADA[[#This Row],[Nº  SS]],'CONTROLE EC'!B:B,'CONTROLE EC'!C:C,"",0,1)</f>
        <v>21-0008-ES - PREPARAÇÃO DE ÁREA PARA INSTALAÇÃO DO CANTEIRO DA INOVA</v>
      </c>
      <c r="D38" s="18" t="str">
        <f>_xlfn.XLOOKUP(TB_INTEGRADA[[#This Row],[Nº  SS]],'CONTROLE CRONOG'!B:B,'CONTROLE CRONOG'!D:D,"",0,1)</f>
        <v>SERVIÇO</v>
      </c>
      <c r="E38" s="476" t="str">
        <f>_xlfn.XLOOKUP(TB_INTEGRADA[[#This Row],[Nº  SS]],'CONTROLE EC'!B:B,'CONTROLE EC'!E:E,"",0,1)</f>
        <v>UTGC</v>
      </c>
      <c r="F38" s="476" t="str">
        <f>_xlfn.XLOOKUP(TB_INTEGRADA[[#This Row],[Nº  SS]],'CONTROLE EC'!B:B,'CONTROLE EC'!F:F,"",0,1)</f>
        <v>EM ANDAMENTO</v>
      </c>
      <c r="G38" s="275" t="str">
        <f>_xlfn.XLOOKUP(TB_INTEGRADA[[#This Row],[Nº  SS]],'CONTROLE EC'!B:B,'CONTROLE EC'!R:R,"",0,1)</f>
        <v>REV.06</v>
      </c>
      <c r="H38" s="276">
        <f>IF(TB_INTEGRADA[[#This Row],[REVISÃO (EC)]]="","",_xlfn.XLOOKUP(TB_INTEGRADA[[#This Row],[Nº  SS]],'CONTROLE EC'!B:B,'CONTROLE EC'!S:S,"",0,1))</f>
        <v>46076</v>
      </c>
      <c r="I38" s="276">
        <f>IF(TB_INTEGRADA[[#This Row],[REVISÃO (EC)]]="","",_xlfn.XLOOKUP(TB_INTEGRADA[[#This Row],[Nº  SS]],'CONTROLE EC'!B:B,'CONTROLE EC'!U:U,"",0,1))</f>
        <v>46076</v>
      </c>
      <c r="J38" s="276" t="str" cm="1">
        <f t="array" ref="J38">IF(TB_INTEGRADA[[#This Row],[DATA ENVIO. (EC)]]=IFERROR(INDEX('CONTROLE EC'!G38:Q38,MATCH(2,1/('CONTROLE EC'!G38:Q38&lt;&gt;""))),""),"",IFERROR(INDEX('CONTROLE EC'!G38:Q38,MATCH(2,1/('CONTROLE EC'!G38:Q38&lt;&gt;""))),""))</f>
        <v/>
      </c>
      <c r="K38" s="276" t="str">
        <f>IF(TB_INTEGRADA[[#This Row],[STATUS DEMANDA]]="NÃO EMITIDA SAMC","S/ EMISSÃO",_xlfn.XLOOKUP(TB_INTEGRADA[[#This Row],[Nº  SS]],'CONTROLE EC'!B:B,'CONTROLE EC'!T:T,"",0,-1))</f>
        <v>ENTREGUE</v>
      </c>
      <c r="L38"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38" s="15" cm="1">
        <f t="array" aca="1" ref="M38"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38" s="277" t="str">
        <f ca="1">IF(TB_INTEGRADA[[#This Row],[STATUS DEMANDA]]="NÃO EMITIDA SAMC","S/ EMISSÃO",IF(TB_INTEGRADA[[#This Row],[STATUS DEMANDA]]="ON HOLD","ON HOLD",IF(F38="CANCELADA","CANCELADA",IF(L38="REPROVADO","EM PLANEJ.",IF(K38&lt;&gt;"ENTREGUE","EM PLANEJ.",IF(H38="","EM PLANEJ.",IF(I38="","FISCALIZ.",IF(M38&lt;0,"EM PLANEJ.",IF(TB_INTEGRADA[[#This Row],[DATA APROV. (EC)]]&gt;=TB_INTEGRADA[[#This Row],[DATA ENVIO. (EC)]],"RETORNO OK","FISCALIZ.")))))))))</f>
        <v>RETORNO OK</v>
      </c>
      <c r="O38" s="275" t="str">
        <f>_xlfn.XLOOKUP(TB_INTEGRADA[[#This Row],[Nº  SS]],'CONTROLE CRONOG'!B:B,'CONTROLE CRONOG'!R:R,"",0,1)</f>
        <v>REV.02</v>
      </c>
      <c r="P38" s="276">
        <f>IF(TB_INTEGRADA[[#This Row],[REVISÃO (CR)]]="","",_xlfn.XLOOKUP(TB_INTEGRADA[[#This Row],[Nº  SS]],'CONTROLE CRONOG'!B:B,'CONTROLE CRONOG'!S:S,"",0,1))</f>
        <v>46078</v>
      </c>
      <c r="Q38" s="284">
        <f>IF(TB_INTEGRADA[[#This Row],[REVISÃO (CR)]]="","",_xlfn.XLOOKUP(TB_INTEGRADA[[#This Row],[Nº  SS]],'CONTROLE CRONOG'!B:B,'CONTROLE CRONOG'!U:U,"",0,1))</f>
        <v>46078</v>
      </c>
      <c r="R38" s="276" t="str" cm="1">
        <f t="array" ref="R38">IF(TB_INTEGRADA[[#This Row],[DATA ENVIO. (CR)]]=IFERROR(INDEX('CONTROLE CRONOG'!G38:Q38,MATCH(2,1/('CONTROLE CRONOG'!G38:Q38&lt;&gt;""))),""),"",IFERROR(INDEX('CONTROLE CRONOG'!G38:Q38,MATCH(2,1/('CONTROLE CRONOG'!G38:Q38&lt;&gt;""))),""))</f>
        <v/>
      </c>
      <c r="S38" s="276" t="str">
        <f>_xlfn.XLOOKUP(TB_INTEGRADA[[#This Row],[Nº  SS]],'CONTROLE CRONOG'!B:B,'CONTROLE CRONOG'!T:T,"",0,-1)</f>
        <v>ENTREGUE</v>
      </c>
      <c r="T38"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38" s="439"/>
      <c r="V38" s="285">
        <v>46132</v>
      </c>
      <c r="W38" s="284">
        <v>46132</v>
      </c>
      <c r="X38" s="286">
        <f>IFERROR(TB_INTEGRADA[[#This Row],[TÉRM. TD]]-TB_INTEGRADA[[#This Row],[TÉRMINO LB]],0)</f>
        <v>0</v>
      </c>
      <c r="Y38" s="176">
        <v>0.25030000000000002</v>
      </c>
      <c r="Z38" s="177">
        <v>0.3765</v>
      </c>
      <c r="AA38" s="91">
        <v>0</v>
      </c>
      <c r="AB38" s="91">
        <f>IFERROR(TB_INTEGRADA[[#This Row],[REAL (%)]]-TB_INTEGRADA[[#This Row],[PREV (%)]],0)</f>
        <v>0.12619999999999998</v>
      </c>
      <c r="AC38" s="288">
        <v>5</v>
      </c>
      <c r="AD38" s="283">
        <v>3</v>
      </c>
      <c r="AE38" s="439"/>
      <c r="AF38"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0</v>
      </c>
      <c r="AG38" s="287"/>
      <c r="AH38" s="287">
        <f>SUMIFS(Tb_HhPLAN[Hh DISC],Tb_HhPLAN[SS],TB_INTEGRADA[[#This Row],[Nº  SS]],Tb_HhPLAN[DISCIPLINA],"MEC")</f>
        <v>0</v>
      </c>
      <c r="AI38" s="404">
        <f>SUMIFS(Hh_EXE_TOTAL[Hh],Hh_EXE_TOTAL[Nº  SS],TB_INTEGRADA[[#This Row],[Nº  SS]],Hh_EXE_TOTAL[DISCIPLINA],"MEC")</f>
        <v>0</v>
      </c>
      <c r="AJ38"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204.32999999999998</v>
      </c>
      <c r="AK38" s="287">
        <v>139</v>
      </c>
      <c r="AL38" s="287">
        <f>SUMIFS(Tb_HhPLAN[Hh DISC],Tb_HhPLAN[SS],TB_INTEGRADA[[#This Row],[Nº  SS]],Tb_HhPLAN[DISCIPLINA],"CIVIL")</f>
        <v>565.59490445859865</v>
      </c>
      <c r="AM38" s="404">
        <f>SUMIFS(Hh_EXE_TOTAL[Hh],Hh_EXE_TOTAL[Nº  SS],TB_INTEGRADA[[#This Row],[Nº  SS]],Hh_EXE_TOTAL[DISCIPLINA],"CIVIL")</f>
        <v>24</v>
      </c>
      <c r="AN38"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37.088099999999997</v>
      </c>
      <c r="AO38" s="287">
        <v>25.23</v>
      </c>
      <c r="AP38" s="287">
        <f>SUMIFS(Tb_HhPLAN[Hh DISC],Tb_HhPLAN[SS],TB_INTEGRADA[[#This Row],[Nº  SS]],Tb_HhPLAN[DISCIPLINA],"ELÉT")</f>
        <v>133.60509554140125</v>
      </c>
      <c r="AQ38" s="404">
        <f>SUMIFS(Hh_EXE_TOTAL[Hh],Hh_EXE_TOTAL[Nº  SS],TB_INTEGRADA[[#This Row],[Nº  SS]],Hh_EXE_TOTAL[DISCIPLINA],"ELÉT")</f>
        <v>0</v>
      </c>
      <c r="AR38"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38" s="287"/>
      <c r="AT38" s="287">
        <f>SUMIFS(Tb_HhPLAN[Hh DISC],Tb_HhPLAN[SS],TB_INTEGRADA[[#This Row],[Nº  SS]],Tb_HhPLAN[DISCIPLINA],"PINT")</f>
        <v>0</v>
      </c>
      <c r="AU38" s="404">
        <f>SUMIFS(Hh_EXE_TOTAL[Hh],Hh_EXE_TOTAL[Nº  SS],TB_INTEGRADA[[#This Row],[Nº  SS]],Hh_EXE_TOTAL[DISCIPLINA],"PINT")</f>
        <v>0</v>
      </c>
      <c r="AV38" s="400">
        <f>TB_INTEGRADA[[#This Row],[ORÇADO]]+TB_INTEGRADA[[#This Row],[ORÇADO1]]+TB_INTEGRADA[[#This Row],[ORÇADO2]]+TB_INTEGRADA[[#This Row],[ORÇADO3]]</f>
        <v>241.41809999999998</v>
      </c>
      <c r="AW38" s="287">
        <f>TB_INTEGRADA[[#This Row],[PLANEJ]]+TB_INTEGRADA[[#This Row],[PLANEJ1]]+TB_INTEGRADA[[#This Row],[PLANEJ2]]+TB_INTEGRADA[[#This Row],[PLANEJ3]]</f>
        <v>699.19999999999993</v>
      </c>
      <c r="AX38" s="287">
        <f>TB_INTEGRADA[[#This Row],[REALIZ]]+TB_INTEGRADA[[#This Row],[REALIZ1]]+TB_INTEGRADA[[#This Row],[REALIZ2]]+TB_INTEGRADA[[#This Row],[REALIZ3]]</f>
        <v>24</v>
      </c>
      <c r="AY38" s="417">
        <f>IFERROR(TB_INTEGRADA[[#This Row],[REALIZ4]]/TB_INTEGRADA[[#This Row],[ORÇADO4]],"")</f>
        <v>9.9412595824422453E-2</v>
      </c>
      <c r="AZ38" s="341">
        <f>_xlfn.XLOOKUP(TB_INTEGRADA[[#This Row],[Nº  SS]],'CONTROLE EC'!B:B,'CONTROLE EC'!W:W,"",0,1)</f>
        <v>91628.333999999988</v>
      </c>
      <c r="BA38" s="342">
        <f>_xlfn.XLOOKUP(TB_INTEGRADA[[#This Row],[Nº  SS]],'CONTROLE EC'!B:B,'CONTROLE EC'!X:X,"",0,1)</f>
        <v>33901.889940000001</v>
      </c>
      <c r="BB38" s="343">
        <f>_xlfn.XLOOKUP(TB_INTEGRADA[[#This Row],[Nº  SS]],'CONTROLE EC'!B:B,'CONTROLE EC'!Y:Y,"",0,1)</f>
        <v>57726.444059999987</v>
      </c>
    </row>
    <row r="39" spans="1:54" x14ac:dyDescent="0.3">
      <c r="A39" s="340">
        <f>IF(COUNTIFS($B$5:B39,TB_INTEGRADA[[#This Row],[Nº  SS]])&lt;&gt;1,"",COUNTIFS($B$5:B39,TB_INTEGRADA[[#This Row],[Nº  SS]]))</f>
        <v>1</v>
      </c>
      <c r="B39" s="475" t="s">
        <v>530</v>
      </c>
      <c r="C39" s="476" t="str">
        <f>_xlfn.XLOOKUP(TB_INTEGRADA[[#This Row],[Nº  SS]],'CONTROLE EC'!B:B,'CONTROLE EC'!C:C,"",0,1)</f>
        <v>23-0736-ES - MANUTENÇÃO DO DEPÓSITO DE PIG K-34</v>
      </c>
      <c r="D39" s="18" t="str">
        <f>_xlfn.XLOOKUP(TB_INTEGRADA[[#This Row],[Nº  SS]],'CONTROLE CRONOG'!B:B,'CONTROLE CRONOG'!D:D,"",0,1)</f>
        <v>SERVIÇO</v>
      </c>
      <c r="E39" s="476" t="str">
        <f>_xlfn.XLOOKUP(TB_INTEGRADA[[#This Row],[Nº  SS]],'CONTROLE EC'!B:B,'CONTROLE EC'!E:E,"",0,1)</f>
        <v>UTGC</v>
      </c>
      <c r="F39" s="476" t="str">
        <f>_xlfn.XLOOKUP(TB_INTEGRADA[[#This Row],[Nº  SS]],'CONTROLE EC'!B:B,'CONTROLE EC'!F:F,"",0,1)</f>
        <v>EM ANDAMENTO</v>
      </c>
      <c r="G39" s="275" t="str">
        <f>_xlfn.XLOOKUP(TB_INTEGRADA[[#This Row],[Nº  SS]],'CONTROLE EC'!B:B,'CONTROLE EC'!R:R,"",0,1)</f>
        <v>REV.02</v>
      </c>
      <c r="H39" s="276">
        <f>IF(TB_INTEGRADA[[#This Row],[REVISÃO (EC)]]="","",_xlfn.XLOOKUP(TB_INTEGRADA[[#This Row],[Nº  SS]],'CONTROLE EC'!B:B,'CONTROLE EC'!S:S,"",0,1))</f>
        <v>46079</v>
      </c>
      <c r="I39" s="276">
        <f>IF(TB_INTEGRADA[[#This Row],[REVISÃO (EC)]]="","",_xlfn.XLOOKUP(TB_INTEGRADA[[#This Row],[Nº  SS]],'CONTROLE EC'!B:B,'CONTROLE EC'!U:U,"",0,1))</f>
        <v>46079</v>
      </c>
      <c r="J39" s="276" t="str" cm="1">
        <f t="array" ref="J39">IF(TB_INTEGRADA[[#This Row],[DATA ENVIO. (EC)]]=IFERROR(INDEX('CONTROLE EC'!G39:Q39,MATCH(2,1/('CONTROLE EC'!G39:Q39&lt;&gt;""))),""),"",IFERROR(INDEX('CONTROLE EC'!G39:Q39,MATCH(2,1/('CONTROLE EC'!G39:Q39&lt;&gt;""))),""))</f>
        <v/>
      </c>
      <c r="K39" s="276" t="str">
        <f>IF(TB_INTEGRADA[[#This Row],[STATUS DEMANDA]]="NÃO EMITIDA SAMC","S/ EMISSÃO",_xlfn.XLOOKUP(TB_INTEGRADA[[#This Row],[Nº  SS]],'CONTROLE EC'!B:B,'CONTROLE EC'!T:T,"",0,-1))</f>
        <v>ENTREGUE</v>
      </c>
      <c r="L39"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39" s="15" cm="1">
        <f t="array" aca="1" ref="M39"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39" s="277" t="str">
        <f ca="1">IF(TB_INTEGRADA[[#This Row],[STATUS DEMANDA]]="NÃO EMITIDA SAMC","S/ EMISSÃO",IF(TB_INTEGRADA[[#This Row],[STATUS DEMANDA]]="ON HOLD","ON HOLD",IF(F39="CANCELADA","CANCELADA",IF(L39="REPROVADO","EM PLANEJ.",IF(K39&lt;&gt;"ENTREGUE","EM PLANEJ.",IF(H39="","EM PLANEJ.",IF(I39="","FISCALIZ.",IF(M39&lt;0,"EM PLANEJ.",IF(TB_INTEGRADA[[#This Row],[DATA APROV. (EC)]]&gt;=TB_INTEGRADA[[#This Row],[DATA ENVIO. (EC)]],"RETORNO OK","FISCALIZ.")))))))))</f>
        <v>RETORNO OK</v>
      </c>
      <c r="O39" s="275" t="str">
        <f>_xlfn.XLOOKUP(TB_INTEGRADA[[#This Row],[Nº  SS]],'CONTROLE CRONOG'!B:B,'CONTROLE CRONOG'!R:R,"",0,1)</f>
        <v>REV.01</v>
      </c>
      <c r="P39" s="276">
        <f>IF(TB_INTEGRADA[[#This Row],[REVISÃO (CR)]]="","",_xlfn.XLOOKUP(TB_INTEGRADA[[#This Row],[Nº  SS]],'CONTROLE CRONOG'!B:B,'CONTROLE CRONOG'!S:S,"",0,1))</f>
        <v>46078</v>
      </c>
      <c r="Q39" s="284">
        <f>IF(TB_INTEGRADA[[#This Row],[REVISÃO (CR)]]="","",_xlfn.XLOOKUP(TB_INTEGRADA[[#This Row],[Nº  SS]],'CONTROLE CRONOG'!B:B,'CONTROLE CRONOG'!U:U,"",0,1))</f>
        <v>46078</v>
      </c>
      <c r="R39" s="276" t="str" cm="1">
        <f t="array" ref="R39">IF(TB_INTEGRADA[[#This Row],[DATA ENVIO. (CR)]]=IFERROR(INDEX('CONTROLE CRONOG'!G39:Q39,MATCH(2,1/('CONTROLE CRONOG'!G39:Q39&lt;&gt;""))),""),"",IFERROR(INDEX('CONTROLE CRONOG'!G39:Q39,MATCH(2,1/('CONTROLE CRONOG'!G39:Q39&lt;&gt;""))),""))</f>
        <v/>
      </c>
      <c r="S39" s="276" t="str">
        <f>_xlfn.XLOOKUP(TB_INTEGRADA[[#This Row],[Nº  SS]],'CONTROLE CRONOG'!B:B,'CONTROLE CRONOG'!T:T,"",0,-1)</f>
        <v>ENTREGUE</v>
      </c>
      <c r="T39"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39" s="439"/>
      <c r="V39" s="285">
        <v>46240</v>
      </c>
      <c r="W39" s="284">
        <v>46240</v>
      </c>
      <c r="X39" s="286">
        <f>IFERROR(TB_INTEGRADA[[#This Row],[TÉRM. TD]]-TB_INTEGRADA[[#This Row],[TÉRMINO LB]],0)</f>
        <v>0</v>
      </c>
      <c r="Y39" s="176">
        <v>0</v>
      </c>
      <c r="Z39" s="177">
        <v>0</v>
      </c>
      <c r="AA39" s="91">
        <v>0</v>
      </c>
      <c r="AB39" s="91">
        <f>IFERROR(TB_INTEGRADA[[#This Row],[REAL (%)]]-TB_INTEGRADA[[#This Row],[PREV (%)]],0)</f>
        <v>0</v>
      </c>
      <c r="AC39" s="288">
        <v>0</v>
      </c>
      <c r="AD39" s="283">
        <v>0</v>
      </c>
      <c r="AE39" s="439"/>
      <c r="AF39"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629.74799999999993</v>
      </c>
      <c r="AG39" s="287">
        <v>428.4</v>
      </c>
      <c r="AH39" s="287">
        <f>SUMIFS(Tb_HhPLAN[Hh DISC],Tb_HhPLAN[SS],TB_INTEGRADA[[#This Row],[Nº  SS]],Tb_HhPLAN[DISCIPLINA],"MEC")</f>
        <v>834.53261876205079</v>
      </c>
      <c r="AI39" s="404">
        <f>SUMIFS(Hh_EXE_TOTAL[Hh],Hh_EXE_TOTAL[Nº  SS],TB_INTEGRADA[[#This Row],[Nº  SS]],Hh_EXE_TOTAL[DISCIPLINA],"MEC")</f>
        <v>0</v>
      </c>
      <c r="AJ39"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39" s="287"/>
      <c r="AL39" s="287">
        <f>SUMIFS(Tb_HhPLAN[Hh DISC],Tb_HhPLAN[SS],TB_INTEGRADA[[#This Row],[Nº  SS]],Tb_HhPLAN[DISCIPLINA],"CIVIL")</f>
        <v>0</v>
      </c>
      <c r="AM39" s="404">
        <f>SUMIFS(Hh_EXE_TOTAL[Hh],Hh_EXE_TOTAL[Nº  SS],TB_INTEGRADA[[#This Row],[Nº  SS]],Hh_EXE_TOTAL[DISCIPLINA],"CIVIL")</f>
        <v>0</v>
      </c>
      <c r="AN39"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494.66969999999998</v>
      </c>
      <c r="AO39" s="287">
        <v>336.51</v>
      </c>
      <c r="AP39" s="287">
        <f>SUMIFS(Tb_HhPLAN[Hh DISC],Tb_HhPLAN[SS],TB_INTEGRADA[[#This Row],[Nº  SS]],Tb_HhPLAN[DISCIPLINA],"ELÉT")</f>
        <v>199.36636540300907</v>
      </c>
      <c r="AQ39" s="404">
        <f>SUMIFS(Hh_EXE_TOTAL[Hh],Hh_EXE_TOTAL[Nº  SS],TB_INTEGRADA[[#This Row],[Nº  SS]],Hh_EXE_TOTAL[DISCIPLINA],"ELÉT")</f>
        <v>0</v>
      </c>
      <c r="AR39"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57.917999999999999</v>
      </c>
      <c r="AS39" s="287">
        <v>39.4</v>
      </c>
      <c r="AT39" s="287">
        <f>SUMIFS(Tb_HhPLAN[Hh DISC],Tb_HhPLAN[SS],TB_INTEGRADA[[#This Row],[Nº  SS]],Tb_HhPLAN[DISCIPLINA],"PINT")</f>
        <v>111.2710158349401</v>
      </c>
      <c r="AU39" s="404">
        <f>SUMIFS(Hh_EXE_TOTAL[Hh],Hh_EXE_TOTAL[Nº  SS],TB_INTEGRADA[[#This Row],[Nº  SS]],Hh_EXE_TOTAL[DISCIPLINA],"PINT")</f>
        <v>0</v>
      </c>
      <c r="AV39" s="400">
        <f>TB_INTEGRADA[[#This Row],[ORÇADO]]+TB_INTEGRADA[[#This Row],[ORÇADO1]]+TB_INTEGRADA[[#This Row],[ORÇADO2]]+TB_INTEGRADA[[#This Row],[ORÇADO3]]</f>
        <v>1182.3356999999999</v>
      </c>
      <c r="AW39" s="287">
        <f>TB_INTEGRADA[[#This Row],[PLANEJ]]+TB_INTEGRADA[[#This Row],[PLANEJ1]]+TB_INTEGRADA[[#This Row],[PLANEJ2]]+TB_INTEGRADA[[#This Row],[PLANEJ3]]</f>
        <v>1145.1699999999998</v>
      </c>
      <c r="AX39" s="287">
        <f>TB_INTEGRADA[[#This Row],[REALIZ]]+TB_INTEGRADA[[#This Row],[REALIZ1]]+TB_INTEGRADA[[#This Row],[REALIZ2]]+TB_INTEGRADA[[#This Row],[REALIZ3]]</f>
        <v>0</v>
      </c>
      <c r="AY39" s="417">
        <f>IFERROR(TB_INTEGRADA[[#This Row],[REALIZ4]]/TB_INTEGRADA[[#This Row],[ORÇADO4]],"")</f>
        <v>0</v>
      </c>
      <c r="AZ39" s="341">
        <f>_xlfn.XLOOKUP(TB_INTEGRADA[[#This Row],[Nº  SS]],'CONTROLE EC'!B:B,'CONTROLE EC'!W:W,"",0,1)</f>
        <v>467937.02681999997</v>
      </c>
      <c r="BA39" s="342">
        <f>_xlfn.XLOOKUP(TB_INTEGRADA[[#This Row],[Nº  SS]],'CONTROLE EC'!B:B,'CONTROLE EC'!X:X,"",0,1)</f>
        <v>45006.816599999998</v>
      </c>
      <c r="BB39" s="343">
        <f>_xlfn.XLOOKUP(TB_INTEGRADA[[#This Row],[Nº  SS]],'CONTROLE EC'!B:B,'CONTROLE EC'!Y:Y,"",0,1)</f>
        <v>422930.21021999995</v>
      </c>
    </row>
    <row r="40" spans="1:54" x14ac:dyDescent="0.3">
      <c r="A40" s="340">
        <f>IF(COUNTIFS($B$5:B40,TB_INTEGRADA[[#This Row],[Nº  SS]])&lt;&gt;1,"",COUNTIFS($B$5:B40,TB_INTEGRADA[[#This Row],[Nº  SS]]))</f>
        <v>1</v>
      </c>
      <c r="B40" s="475" t="s">
        <v>531</v>
      </c>
      <c r="C40" s="476" t="str">
        <f>_xlfn.XLOOKUP(TB_INTEGRADA[[#This Row],[Nº  SS]],'CONTROLE EC'!B:B,'CONTROLE EC'!C:C,"",0,1)</f>
        <v>23-0828-ES - MANUTENÇÃO DO GALPÃO K-56</v>
      </c>
      <c r="D40" s="18" t="str">
        <f>_xlfn.XLOOKUP(TB_INTEGRADA[[#This Row],[Nº  SS]],'CONTROLE CRONOG'!B:B,'CONTROLE CRONOG'!D:D,"",0,1)</f>
        <v>SERVIÇO</v>
      </c>
      <c r="E40" s="476" t="str">
        <f>_xlfn.XLOOKUP(TB_INTEGRADA[[#This Row],[Nº  SS]],'CONTROLE EC'!B:B,'CONTROLE EC'!E:E,"",0,1)</f>
        <v>UTGC</v>
      </c>
      <c r="F40" s="476" t="str">
        <f>_xlfn.XLOOKUP(TB_INTEGRADA[[#This Row],[Nº  SS]],'CONTROLE EC'!B:B,'CONTROLE EC'!F:F,"",0,1)</f>
        <v>EM ANDAMENTO</v>
      </c>
      <c r="G40" s="275" t="str">
        <f>_xlfn.XLOOKUP(TB_INTEGRADA[[#This Row],[Nº  SS]],'CONTROLE EC'!B:B,'CONTROLE EC'!R:R,"",0,1)</f>
        <v>REV.01</v>
      </c>
      <c r="H40" s="276">
        <f>IF(TB_INTEGRADA[[#This Row],[REVISÃO (EC)]]="","",_xlfn.XLOOKUP(TB_INTEGRADA[[#This Row],[Nº  SS]],'CONTROLE EC'!B:B,'CONTROLE EC'!S:S,"",0,1))</f>
        <v>46093</v>
      </c>
      <c r="I40" s="276">
        <f>IF(TB_INTEGRADA[[#This Row],[REVISÃO (EC)]]="","",_xlfn.XLOOKUP(TB_INTEGRADA[[#This Row],[Nº  SS]],'CONTROLE EC'!B:B,'CONTROLE EC'!U:U,"",0,1))</f>
        <v>46093</v>
      </c>
      <c r="J40" s="276" t="str" cm="1">
        <f t="array" ref="J40">IF(TB_INTEGRADA[[#This Row],[DATA ENVIO. (EC)]]=IFERROR(INDEX('CONTROLE EC'!G40:Q40,MATCH(2,1/('CONTROLE EC'!G40:Q40&lt;&gt;""))),""),"",IFERROR(INDEX('CONTROLE EC'!G40:Q40,MATCH(2,1/('CONTROLE EC'!G40:Q40&lt;&gt;""))),""))</f>
        <v/>
      </c>
      <c r="K40" s="276" t="str">
        <f>IF(TB_INTEGRADA[[#This Row],[STATUS DEMANDA]]="NÃO EMITIDA SAMC","S/ EMISSÃO",_xlfn.XLOOKUP(TB_INTEGRADA[[#This Row],[Nº  SS]],'CONTROLE EC'!B:B,'CONTROLE EC'!T:T,"",0,-1))</f>
        <v>ENTREGUE</v>
      </c>
      <c r="L40"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40" s="15" cm="1">
        <f t="array" aca="1" ref="M40"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40" s="277" t="str">
        <f ca="1">IF(TB_INTEGRADA[[#This Row],[STATUS DEMANDA]]="NÃO EMITIDA SAMC","S/ EMISSÃO",IF(TB_INTEGRADA[[#This Row],[STATUS DEMANDA]]="ON HOLD","ON HOLD",IF(F40="CANCELADA","CANCELADA",IF(L40="REPROVADO","EM PLANEJ.",IF(K40&lt;&gt;"ENTREGUE","EM PLANEJ.",IF(H40="","EM PLANEJ.",IF(I40="","FISCALIZ.",IF(M40&lt;0,"EM PLANEJ.",IF(TB_INTEGRADA[[#This Row],[DATA APROV. (EC)]]&gt;=TB_INTEGRADA[[#This Row],[DATA ENVIO. (EC)]],"RETORNO OK","FISCALIZ.")))))))))</f>
        <v>RETORNO OK</v>
      </c>
      <c r="O40" s="275" t="str">
        <f>_xlfn.XLOOKUP(TB_INTEGRADA[[#This Row],[Nº  SS]],'CONTROLE CRONOG'!B:B,'CONTROLE CRONOG'!R:R,"",0,1)</f>
        <v>REV.01</v>
      </c>
      <c r="P40" s="276">
        <f>IF(TB_INTEGRADA[[#This Row],[REVISÃO (CR)]]="","",_xlfn.XLOOKUP(TB_INTEGRADA[[#This Row],[Nº  SS]],'CONTROLE CRONOG'!B:B,'CONTROLE CRONOG'!S:S,"",0,1))</f>
        <v>46094</v>
      </c>
      <c r="Q40" s="284">
        <f>IF(TB_INTEGRADA[[#This Row],[REVISÃO (CR)]]="","",_xlfn.XLOOKUP(TB_INTEGRADA[[#This Row],[Nº  SS]],'CONTROLE CRONOG'!B:B,'CONTROLE CRONOG'!U:U,"",0,1))</f>
        <v>46094</v>
      </c>
      <c r="R40" s="276" t="str" cm="1">
        <f t="array" ref="R40">IF(TB_INTEGRADA[[#This Row],[DATA ENVIO. (CR)]]=IFERROR(INDEX('CONTROLE CRONOG'!G40:Q40,MATCH(2,1/('CONTROLE CRONOG'!G40:Q40&lt;&gt;""))),""),"",IFERROR(INDEX('CONTROLE CRONOG'!G40:Q40,MATCH(2,1/('CONTROLE CRONOG'!G40:Q40&lt;&gt;""))),""))</f>
        <v/>
      </c>
      <c r="S40" s="276" t="str">
        <f>_xlfn.XLOOKUP(TB_INTEGRADA[[#This Row],[Nº  SS]],'CONTROLE CRONOG'!B:B,'CONTROLE CRONOG'!T:T,"",0,-1)</f>
        <v>ENTREGUE</v>
      </c>
      <c r="T40"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40" s="439"/>
      <c r="V40" s="285">
        <v>46248</v>
      </c>
      <c r="W40" s="284">
        <v>46248</v>
      </c>
      <c r="X40" s="286">
        <f>IFERROR(TB_INTEGRADA[[#This Row],[TÉRM. TD]]-TB_INTEGRADA[[#This Row],[TÉRMINO LB]],0)</f>
        <v>0</v>
      </c>
      <c r="Y40" s="176"/>
      <c r="Z40" s="177"/>
      <c r="AA40" s="91">
        <v>0</v>
      </c>
      <c r="AB40" s="91">
        <f>IFERROR(TB_INTEGRADA[[#This Row],[REAL (%)]]-TB_INTEGRADA[[#This Row],[PREV (%)]],0)</f>
        <v>0</v>
      </c>
      <c r="AC40" s="288"/>
      <c r="AD40" s="283"/>
      <c r="AE40" s="439"/>
      <c r="AF40"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725.8125</v>
      </c>
      <c r="AG40" s="287">
        <v>493.75</v>
      </c>
      <c r="AH40" s="287">
        <f>SUMIFS(Tb_HhPLAN[Hh DISC],Tb_HhPLAN[SS],TB_INTEGRADA[[#This Row],[Nº  SS]],Tb_HhPLAN[DISCIPLINA],"MEC")</f>
        <v>496</v>
      </c>
      <c r="AI40" s="404">
        <f>SUMIFS(Hh_EXE_TOTAL[Hh],Hh_EXE_TOTAL[Nº  SS],TB_INTEGRADA[[#This Row],[Nº  SS]],Hh_EXE_TOTAL[DISCIPLINA],"MEC")</f>
        <v>0</v>
      </c>
      <c r="AJ40"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40" s="287"/>
      <c r="AL40" s="287">
        <f>SUMIFS(Tb_HhPLAN[Hh DISC],Tb_HhPLAN[SS],TB_INTEGRADA[[#This Row],[Nº  SS]],Tb_HhPLAN[DISCIPLINA],"CIVIL")</f>
        <v>0</v>
      </c>
      <c r="AM40" s="404">
        <f>SUMIFS(Hh_EXE_TOTAL[Hh],Hh_EXE_TOTAL[Nº  SS],TB_INTEGRADA[[#This Row],[Nº  SS]],Hh_EXE_TOTAL[DISCIPLINA],"CIVIL")</f>
        <v>0</v>
      </c>
      <c r="AN40"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250.26749999999998</v>
      </c>
      <c r="AO40" s="287">
        <v>170.25</v>
      </c>
      <c r="AP40" s="287">
        <f>SUMIFS(Tb_HhPLAN[Hh DISC],Tb_HhPLAN[SS],TB_INTEGRADA[[#This Row],[Nº  SS]],Tb_HhPLAN[DISCIPLINA],"ELÉT")</f>
        <v>116</v>
      </c>
      <c r="AQ40" s="404">
        <f>SUMIFS(Hh_EXE_TOTAL[Hh],Hh_EXE_TOTAL[Nº  SS],TB_INTEGRADA[[#This Row],[Nº  SS]],Hh_EXE_TOTAL[DISCIPLINA],"ELÉT")</f>
        <v>0</v>
      </c>
      <c r="AR40"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2.2490999999999999</v>
      </c>
      <c r="AS40" s="287">
        <v>1.53</v>
      </c>
      <c r="AT40" s="287">
        <f>SUMIFS(Tb_HhPLAN[Hh DISC],Tb_HhPLAN[SS],TB_INTEGRADA[[#This Row],[Nº  SS]],Tb_HhPLAN[DISCIPLINA],"PINT")</f>
        <v>104</v>
      </c>
      <c r="AU40" s="404">
        <f>SUMIFS(Hh_EXE_TOTAL[Hh],Hh_EXE_TOTAL[Nº  SS],TB_INTEGRADA[[#This Row],[Nº  SS]],Hh_EXE_TOTAL[DISCIPLINA],"PINT")</f>
        <v>0</v>
      </c>
      <c r="AV40" s="400">
        <f>TB_INTEGRADA[[#This Row],[ORÇADO]]+TB_INTEGRADA[[#This Row],[ORÇADO1]]+TB_INTEGRADA[[#This Row],[ORÇADO2]]+TB_INTEGRADA[[#This Row],[ORÇADO3]]</f>
        <v>978.32909999999993</v>
      </c>
      <c r="AW40" s="287">
        <f>TB_INTEGRADA[[#This Row],[PLANEJ]]+TB_INTEGRADA[[#This Row],[PLANEJ1]]+TB_INTEGRADA[[#This Row],[PLANEJ2]]+TB_INTEGRADA[[#This Row],[PLANEJ3]]</f>
        <v>716</v>
      </c>
      <c r="AX40" s="287">
        <f>TB_INTEGRADA[[#This Row],[REALIZ]]+TB_INTEGRADA[[#This Row],[REALIZ1]]+TB_INTEGRADA[[#This Row],[REALIZ2]]+TB_INTEGRADA[[#This Row],[REALIZ3]]</f>
        <v>0</v>
      </c>
      <c r="AY40" s="417">
        <f>IFERROR(TB_INTEGRADA[[#This Row],[REALIZ4]]/TB_INTEGRADA[[#This Row],[ORÇADO4]],"")</f>
        <v>0</v>
      </c>
      <c r="AZ40" s="341">
        <f>_xlfn.XLOOKUP(TB_INTEGRADA[[#This Row],[Nº  SS]],'CONTROLE EC'!B:B,'CONTROLE EC'!W:W,"",0,1)</f>
        <v>565513.33679999993</v>
      </c>
      <c r="BA40" s="342">
        <f>_xlfn.XLOOKUP(TB_INTEGRADA[[#This Row],[Nº  SS]],'CONTROLE EC'!B:B,'CONTROLE EC'!X:X,"",0,1)</f>
        <v>0</v>
      </c>
      <c r="BB40" s="343">
        <f>_xlfn.XLOOKUP(TB_INTEGRADA[[#This Row],[Nº  SS]],'CONTROLE EC'!B:B,'CONTROLE EC'!Y:Y,"",0,1)</f>
        <v>565513.33679999993</v>
      </c>
    </row>
    <row r="41" spans="1:54" x14ac:dyDescent="0.3">
      <c r="A41" s="340">
        <f>IF(COUNTIFS($B$5:B41,TB_INTEGRADA[[#This Row],[Nº  SS]])&lt;&gt;1,"",COUNTIFS($B$5:B41,TB_INTEGRADA[[#This Row],[Nº  SS]]))</f>
        <v>1</v>
      </c>
      <c r="B41" s="475" t="s">
        <v>532</v>
      </c>
      <c r="C41" s="476" t="str">
        <f>_xlfn.XLOOKUP(TB_INTEGRADA[[#This Row],[Nº  SS]],'CONTROLE EC'!B:B,'CONTROLE EC'!C:C,"",0,1)</f>
        <v>24-0653-ES - REFORMA DO TELHADO DO K-26</v>
      </c>
      <c r="D41" s="18" t="str">
        <f>_xlfn.XLOOKUP(TB_INTEGRADA[[#This Row],[Nº  SS]],'CONTROLE CRONOG'!B:B,'CONTROLE CRONOG'!D:D,"",0,1)</f>
        <v>SERVIÇO</v>
      </c>
      <c r="E41" s="476" t="str">
        <f>_xlfn.XLOOKUP(TB_INTEGRADA[[#This Row],[Nº  SS]],'CONTROLE EC'!B:B,'CONTROLE EC'!E:E,"",0,1)</f>
        <v>UTGC</v>
      </c>
      <c r="F41" s="476" t="str">
        <f>_xlfn.XLOOKUP(TB_INTEGRADA[[#This Row],[Nº  SS]],'CONTROLE EC'!B:B,'CONTROLE EC'!F:F,"",0,1)</f>
        <v>EM ANDAMENTO</v>
      </c>
      <c r="G41" s="275" t="str">
        <f>_xlfn.XLOOKUP(TB_INTEGRADA[[#This Row],[Nº  SS]],'CONTROLE EC'!B:B,'CONTROLE EC'!R:R,"",0,1)</f>
        <v>REV.02</v>
      </c>
      <c r="H41" s="276">
        <f>IF(TB_INTEGRADA[[#This Row],[REVISÃO (EC)]]="","",_xlfn.XLOOKUP(TB_INTEGRADA[[#This Row],[Nº  SS]],'CONTROLE EC'!B:B,'CONTROLE EC'!S:S,"",0,1))</f>
        <v>46076</v>
      </c>
      <c r="I41" s="276">
        <f>IF(TB_INTEGRADA[[#This Row],[REVISÃO (EC)]]="","",_xlfn.XLOOKUP(TB_INTEGRADA[[#This Row],[Nº  SS]],'CONTROLE EC'!B:B,'CONTROLE EC'!U:U,"",0,1))</f>
        <v>46076</v>
      </c>
      <c r="J41" s="276" t="str" cm="1">
        <f t="array" ref="J41">IF(TB_INTEGRADA[[#This Row],[DATA ENVIO. (EC)]]=IFERROR(INDEX('CONTROLE EC'!G41:Q41,MATCH(2,1/('CONTROLE EC'!G41:Q41&lt;&gt;""))),""),"",IFERROR(INDEX('CONTROLE EC'!G41:Q41,MATCH(2,1/('CONTROLE EC'!G41:Q41&lt;&gt;""))),""))</f>
        <v/>
      </c>
      <c r="K41" s="276" t="str">
        <f>IF(TB_INTEGRADA[[#This Row],[STATUS DEMANDA]]="NÃO EMITIDA SAMC","S/ EMISSÃO",_xlfn.XLOOKUP(TB_INTEGRADA[[#This Row],[Nº  SS]],'CONTROLE EC'!B:B,'CONTROLE EC'!T:T,"",0,-1))</f>
        <v>ENTREGUE</v>
      </c>
      <c r="L41"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41" s="15" cm="1">
        <f t="array" aca="1" ref="M41"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41" s="277" t="str">
        <f ca="1">IF(TB_INTEGRADA[[#This Row],[STATUS DEMANDA]]="NÃO EMITIDA SAMC","S/ EMISSÃO",IF(TB_INTEGRADA[[#This Row],[STATUS DEMANDA]]="ON HOLD","ON HOLD",IF(F41="CANCELADA","CANCELADA",IF(L41="REPROVADO","EM PLANEJ.",IF(K41&lt;&gt;"ENTREGUE","EM PLANEJ.",IF(H41="","EM PLANEJ.",IF(I41="","FISCALIZ.",IF(M41&lt;0,"EM PLANEJ.",IF(TB_INTEGRADA[[#This Row],[DATA APROV. (EC)]]&gt;=TB_INTEGRADA[[#This Row],[DATA ENVIO. (EC)]],"RETORNO OK","FISCALIZ.")))))))))</f>
        <v>RETORNO OK</v>
      </c>
      <c r="O41" s="275" t="str">
        <f>_xlfn.XLOOKUP(TB_INTEGRADA[[#This Row],[Nº  SS]],'CONTROLE CRONOG'!B:B,'CONTROLE CRONOG'!R:R,"",0,1)</f>
        <v>REV.00</v>
      </c>
      <c r="P41" s="276">
        <f>IF(TB_INTEGRADA[[#This Row],[REVISÃO (CR)]]="","",_xlfn.XLOOKUP(TB_INTEGRADA[[#This Row],[Nº  SS]],'CONTROLE CRONOG'!B:B,'CONTROLE CRONOG'!S:S,"",0,1))</f>
        <v>46066</v>
      </c>
      <c r="Q41" s="284">
        <f>IF(TB_INTEGRADA[[#This Row],[REVISÃO (CR)]]="","",_xlfn.XLOOKUP(TB_INTEGRADA[[#This Row],[Nº  SS]],'CONTROLE CRONOG'!B:B,'CONTROLE CRONOG'!U:U,"",0,1))</f>
        <v>46076</v>
      </c>
      <c r="R41" s="276" t="str" cm="1">
        <f t="array" ref="R41">IF(TB_INTEGRADA[[#This Row],[DATA ENVIO. (CR)]]=IFERROR(INDEX('CONTROLE CRONOG'!G41:Q41,MATCH(2,1/('CONTROLE CRONOG'!G41:Q41&lt;&gt;""))),""),"",IFERROR(INDEX('CONTROLE CRONOG'!G41:Q41,MATCH(2,1/('CONTROLE CRONOG'!G41:Q41&lt;&gt;""))),""))</f>
        <v/>
      </c>
      <c r="S41" s="276" t="str">
        <f>_xlfn.XLOOKUP(TB_INTEGRADA[[#This Row],[Nº  SS]],'CONTROLE CRONOG'!B:B,'CONTROLE CRONOG'!T:T,"",0,-1)</f>
        <v>ENTREGUE</v>
      </c>
      <c r="T41"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41" s="439"/>
      <c r="V41" s="285">
        <v>46336</v>
      </c>
      <c r="W41" s="284">
        <v>46336</v>
      </c>
      <c r="X41" s="286">
        <f>IFERROR(TB_INTEGRADA[[#This Row],[TÉRM. TD]]-TB_INTEGRADA[[#This Row],[TÉRMINO LB]],0)</f>
        <v>0</v>
      </c>
      <c r="Y41" s="176">
        <v>0</v>
      </c>
      <c r="Z41" s="177">
        <v>0</v>
      </c>
      <c r="AA41" s="91">
        <v>0</v>
      </c>
      <c r="AB41" s="91">
        <f>IFERROR(TB_INTEGRADA[[#This Row],[REAL (%)]]-TB_INTEGRADA[[#This Row],[PREV (%)]],0)</f>
        <v>0</v>
      </c>
      <c r="AC41" s="288">
        <v>0</v>
      </c>
      <c r="AD41" s="283">
        <v>0</v>
      </c>
      <c r="AE41" s="439"/>
      <c r="AF41"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454.5093</v>
      </c>
      <c r="AG41" s="287">
        <v>309.19</v>
      </c>
      <c r="AH41" s="287">
        <f>SUMIFS(Tb_HhPLAN[Hh DISC],Tb_HhPLAN[SS],TB_INTEGRADA[[#This Row],[Nº  SS]],Tb_HhPLAN[DISCIPLINA],"MEC")</f>
        <v>1129.5191919191921</v>
      </c>
      <c r="AI41" s="404">
        <f>SUMIFS(Hh_EXE_TOTAL[Hh],Hh_EXE_TOTAL[Nº  SS],TB_INTEGRADA[[#This Row],[Nº  SS]],Hh_EXE_TOTAL[DISCIPLINA],"MEC")</f>
        <v>0</v>
      </c>
      <c r="AJ41"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877.75170000000003</v>
      </c>
      <c r="AK41" s="287">
        <v>597.11</v>
      </c>
      <c r="AL41" s="287">
        <f>SUMIFS(Tb_HhPLAN[Hh DISC],Tb_HhPLAN[SS],TB_INTEGRADA[[#This Row],[Nº  SS]],Tb_HhPLAN[DISCIPLINA],"CIVIL")</f>
        <v>949.2767676767678</v>
      </c>
      <c r="AM41" s="404">
        <f>SUMIFS(Hh_EXE_TOTAL[Hh],Hh_EXE_TOTAL[Nº  SS],TB_INTEGRADA[[#This Row],[Nº  SS]],Hh_EXE_TOTAL[DISCIPLINA],"CIVIL")</f>
        <v>0</v>
      </c>
      <c r="AN41"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0</v>
      </c>
      <c r="AO41" s="287"/>
      <c r="AP41" s="287">
        <f>SUMIFS(Tb_HhPLAN[Hh DISC],Tb_HhPLAN[SS],TB_INTEGRADA[[#This Row],[Nº  SS]],Tb_HhPLAN[DISCIPLINA],"ELÉT")</f>
        <v>0</v>
      </c>
      <c r="AQ41" s="404">
        <f>SUMIFS(Hh_EXE_TOTAL[Hh],Hh_EXE_TOTAL[Nº  SS],TB_INTEGRADA[[#This Row],[Nº  SS]],Hh_EXE_TOTAL[DISCIPLINA],"ELÉT")</f>
        <v>0</v>
      </c>
      <c r="AR41"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390.24090000000001</v>
      </c>
      <c r="AS41" s="287">
        <v>265.47000000000003</v>
      </c>
      <c r="AT41" s="287">
        <f>SUMIFS(Tb_HhPLAN[Hh DISC],Tb_HhPLAN[SS],TB_INTEGRADA[[#This Row],[Nº  SS]],Tb_HhPLAN[DISCIPLINA],"PINT")</f>
        <v>300.40404040404042</v>
      </c>
      <c r="AU41" s="404">
        <f>SUMIFS(Hh_EXE_TOTAL[Hh],Hh_EXE_TOTAL[Nº  SS],TB_INTEGRADA[[#This Row],[Nº  SS]],Hh_EXE_TOTAL[DISCIPLINA],"PINT")</f>
        <v>0</v>
      </c>
      <c r="AV41" s="400">
        <f>TB_INTEGRADA[[#This Row],[ORÇADO]]+TB_INTEGRADA[[#This Row],[ORÇADO1]]+TB_INTEGRADA[[#This Row],[ORÇADO2]]+TB_INTEGRADA[[#This Row],[ORÇADO3]]</f>
        <v>1722.5019</v>
      </c>
      <c r="AW41" s="287">
        <f>TB_INTEGRADA[[#This Row],[PLANEJ]]+TB_INTEGRADA[[#This Row],[PLANEJ1]]+TB_INTEGRADA[[#This Row],[PLANEJ2]]+TB_INTEGRADA[[#This Row],[PLANEJ3]]</f>
        <v>2379.2000000000007</v>
      </c>
      <c r="AX41" s="287">
        <f>TB_INTEGRADA[[#This Row],[REALIZ]]+TB_INTEGRADA[[#This Row],[REALIZ1]]+TB_INTEGRADA[[#This Row],[REALIZ2]]+TB_INTEGRADA[[#This Row],[REALIZ3]]</f>
        <v>0</v>
      </c>
      <c r="AY41" s="417">
        <f>IFERROR(TB_INTEGRADA[[#This Row],[REALIZ4]]/TB_INTEGRADA[[#This Row],[ORÇADO4]],"")</f>
        <v>0</v>
      </c>
      <c r="AZ41" s="341">
        <f>_xlfn.XLOOKUP(TB_INTEGRADA[[#This Row],[Nº  SS]],'CONTROLE EC'!B:B,'CONTROLE EC'!W:W,"",0,1)</f>
        <v>348499.33019999997</v>
      </c>
      <c r="BA41" s="342">
        <f>_xlfn.XLOOKUP(TB_INTEGRADA[[#This Row],[Nº  SS]],'CONTROLE EC'!B:B,'CONTROLE EC'!X:X,"",0,1)</f>
        <v>34849.933019999997</v>
      </c>
      <c r="BB41" s="343">
        <f>_xlfn.XLOOKUP(TB_INTEGRADA[[#This Row],[Nº  SS]],'CONTROLE EC'!B:B,'CONTROLE EC'!Y:Y,"",0,1)</f>
        <v>313649.39717999997</v>
      </c>
    </row>
    <row r="42" spans="1:54" hidden="1" x14ac:dyDescent="0.3">
      <c r="A42" s="340">
        <f>IF(COUNTIFS($B$5:B42,TB_INTEGRADA[[#This Row],[Nº  SS]])&lt;&gt;1,"",COUNTIFS($B$5:B42,TB_INTEGRADA[[#This Row],[Nº  SS]]))</f>
        <v>1</v>
      </c>
      <c r="B42" s="267" t="s">
        <v>621</v>
      </c>
      <c r="C42" s="269" t="str">
        <f>_xlfn.XLOOKUP(TB_INTEGRADA[[#This Row],[Nº  SS]],'CONTROLE EC'!B:B,'CONTROLE EC'!C:C,"",0,1)</f>
        <v>24-1172-ES - REFORMA DO TELHADO DO K-24</v>
      </c>
      <c r="D42" s="18" t="str">
        <f>_xlfn.XLOOKUP(TB_INTEGRADA[[#This Row],[Nº  SS]],'CONTROLE CRONOG'!B:B,'CONTROLE CRONOG'!D:D,"",0,1)</f>
        <v>SERVIÇO</v>
      </c>
      <c r="E42" s="269" t="str">
        <f>_xlfn.XLOOKUP(TB_INTEGRADA[[#This Row],[Nº  SS]],'CONTROLE EC'!B:B,'CONTROLE EC'!E:E,"",0,1)</f>
        <v>UTGC</v>
      </c>
      <c r="F42" s="269" t="str">
        <f>_xlfn.XLOOKUP(TB_INTEGRADA[[#This Row],[Nº  SS]],'CONTROLE EC'!B:B,'CONTROLE EC'!F:F,"",0,1)</f>
        <v>ON HOLD</v>
      </c>
      <c r="G42" s="275" t="str">
        <f>_xlfn.XLOOKUP(TB_INTEGRADA[[#This Row],[Nº  SS]],'CONTROLE EC'!B:B,'CONTROLE EC'!R:R,"",0,1)</f>
        <v/>
      </c>
      <c r="H42" s="276" t="str">
        <f>IF(TB_INTEGRADA[[#This Row],[REVISÃO (EC)]]="","",_xlfn.XLOOKUP(TB_INTEGRADA[[#This Row],[Nº  SS]],'CONTROLE EC'!B:B,'CONTROLE EC'!S:S,"",0,1))</f>
        <v/>
      </c>
      <c r="I42" s="276" t="str">
        <f>IF(TB_INTEGRADA[[#This Row],[REVISÃO (EC)]]="","",_xlfn.XLOOKUP(TB_INTEGRADA[[#This Row],[Nº  SS]],'CONTROLE EC'!B:B,'CONTROLE EC'!U:U,"",0,1))</f>
        <v/>
      </c>
      <c r="J42" s="276" t="str" cm="1">
        <f t="array" ref="J42">IF(TB_INTEGRADA[[#This Row],[DATA ENVIO. (EC)]]=IFERROR(INDEX('CONTROLE EC'!G42:Q42,MATCH(2,1/('CONTROLE EC'!G42:Q42&lt;&gt;""))),""),"",IFERROR(INDEX('CONTROLE EC'!G42:Q42,MATCH(2,1/('CONTROLE EC'!G42:Q42&lt;&gt;""))),""))</f>
        <v/>
      </c>
      <c r="K42" s="276" t="str">
        <f>IF(TB_INTEGRADA[[#This Row],[STATUS DEMANDA]]="NÃO EMITIDA SAMC","S/ EMISSÃO",_xlfn.XLOOKUP(TB_INTEGRADA[[#This Row],[Nº  SS]],'CONTROLE EC'!B:B,'CONTROLE EC'!T:T,"",0,-1))</f>
        <v>PENDENTE</v>
      </c>
      <c r="L42"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ON HOLD</v>
      </c>
      <c r="M42" s="15" t="str" cm="1">
        <f t="array" aca="1" ref="M42"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
      </c>
      <c r="N42" s="277" t="str">
        <f>IF(TB_INTEGRADA[[#This Row],[STATUS DEMANDA]]="NÃO EMITIDA SAMC","S/ EMISSÃO",IF(TB_INTEGRADA[[#This Row],[STATUS DEMANDA]]="ON HOLD","ON HOLD",IF(F42="CANCELADA","CANCELADA",IF(L42="REPROVADO","EM PLANEJ.",IF(K42&lt;&gt;"ENTREGUE","EM PLANEJ.",IF(H42="","EM PLANEJ.",IF(I42="","FISCALIZ.",IF(M42&lt;0,"EM PLANEJ.",IF(TB_INTEGRADA[[#This Row],[DATA APROV. (EC)]]&gt;=TB_INTEGRADA[[#This Row],[DATA ENVIO. (EC)]],"RETORNO OK","FISCALIZ.")))))))))</f>
        <v>ON HOLD</v>
      </c>
      <c r="O42" s="275" t="str">
        <f>_xlfn.XLOOKUP(TB_INTEGRADA[[#This Row],[Nº  SS]],'CONTROLE CRONOG'!B:B,'CONTROLE CRONOG'!R:R,"",0,1)</f>
        <v/>
      </c>
      <c r="P42" s="276" t="str">
        <f>IF(TB_INTEGRADA[[#This Row],[REVISÃO (CR)]]="","",_xlfn.XLOOKUP(TB_INTEGRADA[[#This Row],[Nº  SS]],'CONTROLE CRONOG'!B:B,'CONTROLE CRONOG'!S:S,"",0,1))</f>
        <v/>
      </c>
      <c r="Q42" s="284" t="str">
        <f>IF(TB_INTEGRADA[[#This Row],[REVISÃO (CR)]]="","",_xlfn.XLOOKUP(TB_INTEGRADA[[#This Row],[Nº  SS]],'CONTROLE CRONOG'!B:B,'CONTROLE CRONOG'!U:U,"",0,1))</f>
        <v/>
      </c>
      <c r="R42" s="276" t="str" cm="1">
        <f t="array" ref="R42">IF(TB_INTEGRADA[[#This Row],[DATA ENVIO. (CR)]]=IFERROR(INDEX('CONTROLE CRONOG'!G42:Q42,MATCH(2,1/('CONTROLE CRONOG'!G42:Q42&lt;&gt;""))),""),"",IFERROR(INDEX('CONTROLE CRONOG'!G42:Q42,MATCH(2,1/('CONTROLE CRONOG'!G42:Q42&lt;&gt;""))),""))</f>
        <v/>
      </c>
      <c r="S42" s="276" t="str">
        <f>_xlfn.XLOOKUP(TB_INTEGRADA[[#This Row],[Nº  SS]],'CONTROLE CRONOG'!B:B,'CONTROLE CRONOG'!T:T,"",0,-1)</f>
        <v>PENDENTE</v>
      </c>
      <c r="T42"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ON HOLD</v>
      </c>
      <c r="U42" s="439"/>
      <c r="V42" s="285"/>
      <c r="W42" s="284"/>
      <c r="X42" s="286">
        <f>IFERROR(TB_INTEGRADA[[#This Row],[TÉRM. TD]]-TB_INTEGRADA[[#This Row],[TÉRMINO LB]],0)</f>
        <v>0</v>
      </c>
      <c r="Y42" s="176"/>
      <c r="Z42" s="177"/>
      <c r="AA42" s="91">
        <v>0</v>
      </c>
      <c r="AB42" s="91">
        <f>IFERROR(TB_INTEGRADA[[#This Row],[REAL (%)]]-TB_INTEGRADA[[#This Row],[PREV (%)]],0)</f>
        <v>0</v>
      </c>
      <c r="AC42" s="288"/>
      <c r="AD42" s="283"/>
      <c r="AE42" s="439"/>
      <c r="AF42"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0</v>
      </c>
      <c r="AG42" s="287"/>
      <c r="AH42" s="287">
        <f>SUMIFS(Tb_HhPLAN[Hh DISC],Tb_HhPLAN[SS],TB_INTEGRADA[[#This Row],[Nº  SS]],Tb_HhPLAN[DISCIPLINA],"MEC")</f>
        <v>0</v>
      </c>
      <c r="AI42" s="404">
        <f>SUMIFS(Hh_EXE_TOTAL[Hh],Hh_EXE_TOTAL[Nº  SS],TB_INTEGRADA[[#This Row],[Nº  SS]],Hh_EXE_TOTAL[DISCIPLINA],"MEC")</f>
        <v>0</v>
      </c>
      <c r="AJ42"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42" s="287"/>
      <c r="AL42" s="287">
        <f>SUMIFS(Tb_HhPLAN[Hh DISC],Tb_HhPLAN[SS],TB_INTEGRADA[[#This Row],[Nº  SS]],Tb_HhPLAN[DISCIPLINA],"CIVIL")</f>
        <v>0</v>
      </c>
      <c r="AM42" s="404">
        <f>SUMIFS(Hh_EXE_TOTAL[Hh],Hh_EXE_TOTAL[Nº  SS],TB_INTEGRADA[[#This Row],[Nº  SS]],Hh_EXE_TOTAL[DISCIPLINA],"CIVIL")</f>
        <v>0</v>
      </c>
      <c r="AN42"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0</v>
      </c>
      <c r="AO42" s="287"/>
      <c r="AP42" s="287">
        <f>SUMIFS(Tb_HhPLAN[Hh DISC],Tb_HhPLAN[SS],TB_INTEGRADA[[#This Row],[Nº  SS]],Tb_HhPLAN[DISCIPLINA],"ELÉT")</f>
        <v>0</v>
      </c>
      <c r="AQ42" s="404">
        <f>SUMIFS(Hh_EXE_TOTAL[Hh],Hh_EXE_TOTAL[Nº  SS],TB_INTEGRADA[[#This Row],[Nº  SS]],Hh_EXE_TOTAL[DISCIPLINA],"ELÉT")</f>
        <v>0</v>
      </c>
      <c r="AR42"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42" s="287"/>
      <c r="AT42" s="287">
        <f>SUMIFS(Tb_HhPLAN[Hh DISC],Tb_HhPLAN[SS],TB_INTEGRADA[[#This Row],[Nº  SS]],Tb_HhPLAN[DISCIPLINA],"PINT")</f>
        <v>0</v>
      </c>
      <c r="AU42" s="404">
        <f>SUMIFS(Hh_EXE_TOTAL[Hh],Hh_EXE_TOTAL[Nº  SS],TB_INTEGRADA[[#This Row],[Nº  SS]],Hh_EXE_TOTAL[DISCIPLINA],"PINT")</f>
        <v>0</v>
      </c>
      <c r="AV42" s="400">
        <f>TB_INTEGRADA[[#This Row],[ORÇADO]]+TB_INTEGRADA[[#This Row],[ORÇADO1]]+TB_INTEGRADA[[#This Row],[ORÇADO2]]+TB_INTEGRADA[[#This Row],[ORÇADO3]]</f>
        <v>0</v>
      </c>
      <c r="AW42" s="287">
        <f>TB_INTEGRADA[[#This Row],[PLANEJ]]+TB_INTEGRADA[[#This Row],[PLANEJ1]]+TB_INTEGRADA[[#This Row],[PLANEJ2]]+TB_INTEGRADA[[#This Row],[PLANEJ3]]</f>
        <v>0</v>
      </c>
      <c r="AX42" s="287">
        <f>TB_INTEGRADA[[#This Row],[REALIZ]]+TB_INTEGRADA[[#This Row],[REALIZ1]]+TB_INTEGRADA[[#This Row],[REALIZ2]]+TB_INTEGRADA[[#This Row],[REALIZ3]]</f>
        <v>0</v>
      </c>
      <c r="AY42" s="417" t="str">
        <f>IFERROR(TB_INTEGRADA[[#This Row],[REALIZ4]]/TB_INTEGRADA[[#This Row],[ORÇADO4]],"")</f>
        <v/>
      </c>
      <c r="AZ42" s="341">
        <f>_xlfn.XLOOKUP(TB_INTEGRADA[[#This Row],[Nº  SS]],'CONTROLE EC'!B:B,'CONTROLE EC'!W:W,"",0,1)</f>
        <v>0</v>
      </c>
      <c r="BA42" s="342">
        <f>_xlfn.XLOOKUP(TB_INTEGRADA[[#This Row],[Nº  SS]],'CONTROLE EC'!B:B,'CONTROLE EC'!X:X,"",0,1)</f>
        <v>0</v>
      </c>
      <c r="BB42" s="343">
        <f>_xlfn.XLOOKUP(TB_INTEGRADA[[#This Row],[Nº  SS]],'CONTROLE EC'!B:B,'CONTROLE EC'!Y:Y,"",0,1)</f>
        <v>0</v>
      </c>
    </row>
    <row r="43" spans="1:54" x14ac:dyDescent="0.3">
      <c r="A43" s="327">
        <f>IF(COUNTIFS($B$5:B43,TB_INTEGRADA[[#This Row],[Nº  SS]])&lt;&gt;1,"",COUNTIFS($B$5:B43,TB_INTEGRADA[[#This Row],[Nº  SS]]))</f>
        <v>1</v>
      </c>
      <c r="B43" s="478" t="s">
        <v>642</v>
      </c>
      <c r="C43" s="476" t="str">
        <f>_xlfn.XLOOKUP(TB_INTEGRADA[[#This Row],[Nº  SS]],'CONTROLE EC'!B:B,'CONTROLE EC'!C:C,"",0,1)</f>
        <v>21-0036-ES - DESMONTAGEM DOS CHILLERS DE ABSORÇÃO E RECUPERADORES DE ENERGIA</v>
      </c>
      <c r="D43" s="18" t="str">
        <f>_xlfn.XLOOKUP(TB_INTEGRADA[[#This Row],[Nº  SS]],'CONTROLE CRONOG'!B:B,'CONTROLE CRONOG'!D:D,"",0,1)</f>
        <v>SERVIÇO</v>
      </c>
      <c r="E43" s="476" t="str">
        <f>_xlfn.XLOOKUP(TB_INTEGRADA[[#This Row],[Nº  SS]],'CONTROLE EC'!B:B,'CONTROLE EC'!E:E,"",0,1)</f>
        <v>EDIVIT</v>
      </c>
      <c r="F43" s="476" t="str">
        <f>_xlfn.XLOOKUP(TB_INTEGRADA[[#This Row],[Nº  SS]],'CONTROLE EC'!B:B,'CONTROLE EC'!F:F,"",0,1)</f>
        <v>EM ANDAMENTO</v>
      </c>
      <c r="G43" s="275" t="str">
        <f>_xlfn.XLOOKUP(TB_INTEGRADA[[#This Row],[Nº  SS]],'CONTROLE EC'!B:B,'CONTROLE EC'!R:R,"",0,1)</f>
        <v>REV.02</v>
      </c>
      <c r="H43" s="276">
        <f>IF(TB_INTEGRADA[[#This Row],[REVISÃO (EC)]]="","",_xlfn.XLOOKUP(TB_INTEGRADA[[#This Row],[Nº  SS]],'CONTROLE EC'!B:B,'CONTROLE EC'!S:S,"",0,1))</f>
        <v>46093</v>
      </c>
      <c r="I43" s="276">
        <f>IF(TB_INTEGRADA[[#This Row],[REVISÃO (EC)]]="","",_xlfn.XLOOKUP(TB_INTEGRADA[[#This Row],[Nº  SS]],'CONTROLE EC'!B:B,'CONTROLE EC'!U:U,"",0,1))</f>
        <v>46093</v>
      </c>
      <c r="J43" s="276" t="str" cm="1">
        <f t="array" ref="J43">IF(TB_INTEGRADA[[#This Row],[DATA ENVIO. (EC)]]=IFERROR(INDEX('CONTROLE EC'!G43:Q43,MATCH(2,1/('CONTROLE EC'!G43:Q43&lt;&gt;""))),""),"",IFERROR(INDEX('CONTROLE EC'!G43:Q43,MATCH(2,1/('CONTROLE EC'!G43:Q43&lt;&gt;""))),""))</f>
        <v/>
      </c>
      <c r="K43" s="276" t="str">
        <f>IF(TB_INTEGRADA[[#This Row],[STATUS DEMANDA]]="NÃO EMITIDA SAMC","S/ EMISSÃO",_xlfn.XLOOKUP(TB_INTEGRADA[[#This Row],[Nº  SS]],'CONTROLE EC'!B:B,'CONTROLE EC'!T:T,"",0,-1))</f>
        <v>ENTREGUE</v>
      </c>
      <c r="L43"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APROVADO</v>
      </c>
      <c r="M43" s="15" cm="1">
        <f t="array" aca="1" ref="M43"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43" s="277" t="str">
        <f ca="1">IF(TB_INTEGRADA[[#This Row],[STATUS DEMANDA]]="NÃO EMITIDA SAMC","S/ EMISSÃO",IF(TB_INTEGRADA[[#This Row],[STATUS DEMANDA]]="ON HOLD","ON HOLD",IF(F43="CANCELADA","CANCELADA",IF(L43="REPROVADO","EM PLANEJ.",IF(K43&lt;&gt;"ENTREGUE","EM PLANEJ.",IF(H43="","EM PLANEJ.",IF(I43="","FISCALIZ.",IF(M43&lt;0,"EM PLANEJ.",IF(TB_INTEGRADA[[#This Row],[DATA APROV. (EC)]]&gt;=TB_INTEGRADA[[#This Row],[DATA ENVIO. (EC)]],"RETORNO OK","FISCALIZ.")))))))))</f>
        <v>RETORNO OK</v>
      </c>
      <c r="O43" s="275" t="str">
        <f>_xlfn.XLOOKUP(TB_INTEGRADA[[#This Row],[Nº  SS]],'CONTROLE CRONOG'!B:B,'CONTROLE CRONOG'!R:R,"",0,1)</f>
        <v>REV.01</v>
      </c>
      <c r="P43" s="276">
        <f>IF(TB_INTEGRADA[[#This Row],[REVISÃO (CR)]]="","",_xlfn.XLOOKUP(TB_INTEGRADA[[#This Row],[Nº  SS]],'CONTROLE CRONOG'!B:B,'CONTROLE CRONOG'!S:S,"",0,1))</f>
        <v>46098</v>
      </c>
      <c r="Q43" s="284">
        <f>IF(TB_INTEGRADA[[#This Row],[REVISÃO (CR)]]="","",_xlfn.XLOOKUP(TB_INTEGRADA[[#This Row],[Nº  SS]],'CONTROLE CRONOG'!B:B,'CONTROLE CRONOG'!U:U,"",0,1))</f>
        <v>46099</v>
      </c>
      <c r="R43" s="276" t="str" cm="1">
        <f t="array" ref="R43">IF(TB_INTEGRADA[[#This Row],[DATA ENVIO. (CR)]]=IFERROR(INDEX('CONTROLE CRONOG'!G43:Q43,MATCH(2,1/('CONTROLE CRONOG'!G43:Q43&lt;&gt;""))),""),"",IFERROR(INDEX('CONTROLE CRONOG'!G43:Q43,MATCH(2,1/('CONTROLE CRONOG'!G43:Q43&lt;&gt;""))),""))</f>
        <v/>
      </c>
      <c r="S43" s="276" t="str">
        <f>_xlfn.XLOOKUP(TB_INTEGRADA[[#This Row],[Nº  SS]],'CONTROLE CRONOG'!B:B,'CONTROLE CRONOG'!T:T,"",0,-1)</f>
        <v>ENTREGUE</v>
      </c>
      <c r="T43"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APROVADO</v>
      </c>
      <c r="U43" s="439"/>
      <c r="V43" s="285">
        <v>46255</v>
      </c>
      <c r="W43" s="284">
        <v>46255</v>
      </c>
      <c r="X43" s="286">
        <f>IFERROR(TB_INTEGRADA[[#This Row],[TÉRM. TD]]-TB_INTEGRADA[[#This Row],[TÉRMINO LB]],0)</f>
        <v>0</v>
      </c>
      <c r="Y43" s="176">
        <v>0</v>
      </c>
      <c r="Z43" s="177">
        <v>0</v>
      </c>
      <c r="AA43" s="91">
        <v>0</v>
      </c>
      <c r="AB43" s="91">
        <f>IFERROR(TB_INTEGRADA[[#This Row],[REAL (%)]]-TB_INTEGRADA[[#This Row],[PREV (%)]],0)</f>
        <v>0</v>
      </c>
      <c r="AC43" s="288"/>
      <c r="AD43" s="283"/>
      <c r="AE43" s="439"/>
      <c r="AF43"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0</v>
      </c>
      <c r="AG43" s="287"/>
      <c r="AH43" s="287">
        <f>SUMIFS(Tb_HhPLAN[Hh DISC],Tb_HhPLAN[SS],TB_INTEGRADA[[#This Row],[Nº  SS]],Tb_HhPLAN[DISCIPLINA],"MEC")</f>
        <v>0</v>
      </c>
      <c r="AI43" s="404">
        <f>SUMIFS(Hh_EXE_TOTAL[Hh],Hh_EXE_TOTAL[Nº  SS],TB_INTEGRADA[[#This Row],[Nº  SS]],Hh_EXE_TOTAL[DISCIPLINA],"MEC")</f>
        <v>0</v>
      </c>
      <c r="AJ43"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43" s="287"/>
      <c r="AL43" s="287">
        <f>SUMIFS(Tb_HhPLAN[Hh DISC],Tb_HhPLAN[SS],TB_INTEGRADA[[#This Row],[Nº  SS]],Tb_HhPLAN[DISCIPLINA],"CIVIL")</f>
        <v>53.714285714285715</v>
      </c>
      <c r="AM43" s="404">
        <f>SUMIFS(Hh_EXE_TOTAL[Hh],Hh_EXE_TOTAL[Nº  SS],TB_INTEGRADA[[#This Row],[Nº  SS]],Hh_EXE_TOTAL[DISCIPLINA],"CIVIL")</f>
        <v>0</v>
      </c>
      <c r="AN43"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224.81579999999997</v>
      </c>
      <c r="AO43" s="287">
        <v>162.91</v>
      </c>
      <c r="AP43" s="287">
        <f>SUMIFS(Tb_HhPLAN[Hh DISC],Tb_HhPLAN[SS],TB_INTEGRADA[[#This Row],[Nº  SS]],Tb_HhPLAN[DISCIPLINA],"ELÉT")</f>
        <v>96.685714285714297</v>
      </c>
      <c r="AQ43" s="404">
        <f>SUMIFS(Hh_EXE_TOTAL[Hh],Hh_EXE_TOTAL[Nº  SS],TB_INTEGRADA[[#This Row],[Nº  SS]],Hh_EXE_TOTAL[DISCIPLINA],"ELÉT")</f>
        <v>0</v>
      </c>
      <c r="AR43"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43" s="287"/>
      <c r="AT43" s="287">
        <f>SUMIFS(Tb_HhPLAN[Hh DISC],Tb_HhPLAN[SS],TB_INTEGRADA[[#This Row],[Nº  SS]],Tb_HhPLAN[DISCIPLINA],"PINT")</f>
        <v>0</v>
      </c>
      <c r="AU43" s="404">
        <f>SUMIFS(Hh_EXE_TOTAL[Hh],Hh_EXE_TOTAL[Nº  SS],TB_INTEGRADA[[#This Row],[Nº  SS]],Hh_EXE_TOTAL[DISCIPLINA],"PINT")</f>
        <v>0</v>
      </c>
      <c r="AV43" s="400">
        <f>TB_INTEGRADA[[#This Row],[ORÇADO]]+TB_INTEGRADA[[#This Row],[ORÇADO1]]+TB_INTEGRADA[[#This Row],[ORÇADO2]]+TB_INTEGRADA[[#This Row],[ORÇADO3]]</f>
        <v>224.81579999999997</v>
      </c>
      <c r="AW43" s="287">
        <f>TB_INTEGRADA[[#This Row],[PLANEJ]]+TB_INTEGRADA[[#This Row],[PLANEJ1]]+TB_INTEGRADA[[#This Row],[PLANEJ2]]+TB_INTEGRADA[[#This Row],[PLANEJ3]]</f>
        <v>150.4</v>
      </c>
      <c r="AX43" s="287">
        <f>TB_INTEGRADA[[#This Row],[REALIZ]]+TB_INTEGRADA[[#This Row],[REALIZ1]]+TB_INTEGRADA[[#This Row],[REALIZ2]]+TB_INTEGRADA[[#This Row],[REALIZ3]]</f>
        <v>0</v>
      </c>
      <c r="AY43" s="417">
        <f>IFERROR(TB_INTEGRADA[[#This Row],[REALIZ4]]/TB_INTEGRADA[[#This Row],[ORÇADO4]],"")</f>
        <v>0</v>
      </c>
      <c r="AZ43" s="341">
        <f>_xlfn.XLOOKUP(TB_INTEGRADA[[#This Row],[Nº  SS]],'CONTROLE EC'!B:B,'CONTROLE EC'!W:W,"",0,1)</f>
        <v>416350.00763999997</v>
      </c>
      <c r="BA43" s="342">
        <f>_xlfn.XLOOKUP(TB_INTEGRADA[[#This Row],[Nº  SS]],'CONTROLE EC'!B:B,'CONTROLE EC'!X:X,"",0,1)</f>
        <v>0</v>
      </c>
      <c r="BB43" s="343">
        <f>_xlfn.XLOOKUP(TB_INTEGRADA[[#This Row],[Nº  SS]],'CONTROLE EC'!B:B,'CONTROLE EC'!Y:Y,"",0,1)</f>
        <v>416350.00763999997</v>
      </c>
    </row>
    <row r="44" spans="1:54" ht="15" hidden="1" thickBot="1" x14ac:dyDescent="0.35">
      <c r="A44" s="457">
        <f>IF(COUNTIFS($B$5:B45,TB_INTEGRADA[[#This Row],[Nº  SS]])&lt;&gt;1,"",COUNTIFS($B$5:B45,TB_INTEGRADA[[#This Row],[Nº  SS]]))</f>
        <v>1</v>
      </c>
      <c r="B44" s="361" t="s">
        <v>624</v>
      </c>
      <c r="C44" s="269" t="str">
        <f>_xlfn.XLOOKUP(TB_INTEGRADA[[#This Row],[Nº  SS]],'CONTROLE EC'!B:B,'CONTROLE EC'!C:C,"",0,1)</f>
        <v>24-0968-ES - INSTALAÇÃO DE SISTEMA DE CLIMATIZAÇÃO NO K-24</v>
      </c>
      <c r="D44" s="18" t="str">
        <f>_xlfn.XLOOKUP(TB_INTEGRADA[[#This Row],[Nº  SS]],'CONTROLE CRONOG'!B:B,'CONTROLE CRONOG'!D:D,"",0,1)</f>
        <v>SERVIÇO</v>
      </c>
      <c r="E44" s="269" t="str">
        <f>_xlfn.XLOOKUP(TB_INTEGRADA[[#This Row],[Nº  SS]],'CONTROLE EC'!B:B,'CONTROLE EC'!E:E,"",0,1)</f>
        <v>UTGC</v>
      </c>
      <c r="F44" s="269" t="str">
        <f>_xlfn.XLOOKUP(TB_INTEGRADA[[#This Row],[Nº  SS]],'CONTROLE EC'!B:B,'CONTROLE EC'!F:F,"",0,1)</f>
        <v>ON HOLD</v>
      </c>
      <c r="G44" s="275" t="str">
        <f>_xlfn.XLOOKUP(TB_INTEGRADA[[#This Row],[Nº  SS]],'CONTROLE EC'!B:B,'CONTROLE EC'!R:R,"",0,1)</f>
        <v/>
      </c>
      <c r="H44" s="276" t="str">
        <f>IF(TB_INTEGRADA[[#This Row],[REVISÃO (EC)]]="","",_xlfn.XLOOKUP(TB_INTEGRADA[[#This Row],[Nº  SS]],'CONTROLE EC'!B:B,'CONTROLE EC'!S:S,"",0,1))</f>
        <v/>
      </c>
      <c r="I44" s="276" t="str">
        <f>IF(TB_INTEGRADA[[#This Row],[REVISÃO (EC)]]="","",_xlfn.XLOOKUP(TB_INTEGRADA[[#This Row],[Nº  SS]],'CONTROLE EC'!B:B,'CONTROLE EC'!U:U,"",0,1))</f>
        <v/>
      </c>
      <c r="J44" s="276" t="str" cm="1">
        <f t="array" ref="J44">IF(TB_INTEGRADA[[#This Row],[DATA ENVIO. (EC)]]=IFERROR(INDEX('CONTROLE EC'!G44:Q44,MATCH(2,1/('CONTROLE EC'!G44:Q44&lt;&gt;""))),""),"",IFERROR(INDEX('CONTROLE EC'!G44:Q44,MATCH(2,1/('CONTROLE EC'!G44:Q44&lt;&gt;""))),""))</f>
        <v/>
      </c>
      <c r="K44" s="276" t="str">
        <f>IF(TB_INTEGRADA[[#This Row],[STATUS DEMANDA]]="NÃO EMITIDA SAMC","S/ EMISSÃO",_xlfn.XLOOKUP(TB_INTEGRADA[[#This Row],[Nº  SS]],'CONTROLE EC'!B:B,'CONTROLE EC'!T:T,"",0,-1))</f>
        <v>PENDENTE</v>
      </c>
      <c r="L44" s="277"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ON HOLD</v>
      </c>
      <c r="M44" s="15" t="str" cm="1">
        <f t="array" aca="1" ref="M44"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
      </c>
      <c r="N44" s="277" t="str">
        <f>IF(TB_INTEGRADA[[#This Row],[STATUS DEMANDA]]="NÃO EMITIDA SAMC","S/ EMISSÃO",IF(TB_INTEGRADA[[#This Row],[STATUS DEMANDA]]="ON HOLD","ON HOLD",IF(F44="CANCELADA","CANCELADA",IF(L44="REPROVADO","EM PLANEJ.",IF(K44&lt;&gt;"ENTREGUE","EM PLANEJ.",IF(H44="","EM PLANEJ.",IF(I44="","FISCALIZ.",IF(M44&lt;0,"EM PLANEJ.",IF(TB_INTEGRADA[[#This Row],[DATA APROV. (EC)]]&gt;=TB_INTEGRADA[[#This Row],[DATA ENVIO. (EC)]],"RETORNO OK","FISCALIZ.")))))))))</f>
        <v>ON HOLD</v>
      </c>
      <c r="O44" s="275" t="str">
        <f>_xlfn.XLOOKUP(TB_INTEGRADA[[#This Row],[Nº  SS]],'CONTROLE CRONOG'!B:B,'CONTROLE CRONOG'!R:R,"",0,1)</f>
        <v/>
      </c>
      <c r="P44" s="276" t="str">
        <f>IF(TB_INTEGRADA[[#This Row],[REVISÃO (CR)]]="","",_xlfn.XLOOKUP(TB_INTEGRADA[[#This Row],[Nº  SS]],'CONTROLE CRONOG'!B:B,'CONTROLE CRONOG'!S:S,"",0,1))</f>
        <v/>
      </c>
      <c r="Q44" s="284" t="str">
        <f>IF(TB_INTEGRADA[[#This Row],[REVISÃO (CR)]]="","",_xlfn.XLOOKUP(TB_INTEGRADA[[#This Row],[Nº  SS]],'CONTROLE CRONOG'!B:B,'CONTROLE CRONOG'!U:U,"",0,1))</f>
        <v/>
      </c>
      <c r="R44" s="276" t="str" cm="1">
        <f t="array" ref="R44">IF(TB_INTEGRADA[[#This Row],[DATA ENVIO. (CR)]]=IFERROR(INDEX('CONTROLE CRONOG'!G44:Q44,MATCH(2,1/('CONTROLE CRONOG'!G44:Q44&lt;&gt;""))),""),"",IFERROR(INDEX('CONTROLE CRONOG'!G44:Q44,MATCH(2,1/('CONTROLE CRONOG'!G44:Q44&lt;&gt;""))),""))</f>
        <v/>
      </c>
      <c r="S44" s="276" t="str">
        <f>_xlfn.XLOOKUP(TB_INTEGRADA[[#This Row],[Nº  SS]],'CONTROLE CRONOG'!B:B,'CONTROLE CRONOG'!T:T,"",0,-1)</f>
        <v>PENDENTE</v>
      </c>
      <c r="T44" s="282"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ON HOLD</v>
      </c>
      <c r="U44" s="439"/>
      <c r="V44" s="285"/>
      <c r="W44" s="284"/>
      <c r="X44" s="286">
        <f>IFERROR(TB_INTEGRADA[[#This Row],[TÉRM. TD]]-TB_INTEGRADA[[#This Row],[TÉRMINO LB]],0)</f>
        <v>0</v>
      </c>
      <c r="Y44" s="176"/>
      <c r="Z44" s="177"/>
      <c r="AA44" s="91">
        <v>0</v>
      </c>
      <c r="AB44" s="91">
        <f>IFERROR(TB_INTEGRADA[[#This Row],[REAL (%)]]-TB_INTEGRADA[[#This Row],[PREV (%)]],0)</f>
        <v>0</v>
      </c>
      <c r="AC44" s="288"/>
      <c r="AD44" s="283"/>
      <c r="AE44" s="439"/>
      <c r="AF44" s="407">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0</v>
      </c>
      <c r="AG44" s="287"/>
      <c r="AH44" s="287">
        <f>SUMIFS(Tb_HhPLAN[Hh DISC],Tb_HhPLAN[SS],TB_INTEGRADA[[#This Row],[Nº  SS]],Tb_HhPLAN[DISCIPLINA],"MEC")</f>
        <v>0</v>
      </c>
      <c r="AI44" s="404">
        <f>SUMIFS(Hh_EXE_TOTAL[Hh],Hh_EXE_TOTAL[Nº  SS],TB_INTEGRADA[[#This Row],[Nº  SS]],Hh_EXE_TOTAL[DISCIPLINA],"MEC")</f>
        <v>0</v>
      </c>
      <c r="AJ44" s="400">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44" s="287"/>
      <c r="AL44" s="287">
        <f>SUMIFS(Tb_HhPLAN[Hh DISC],Tb_HhPLAN[SS],TB_INTEGRADA[[#This Row],[Nº  SS]],Tb_HhPLAN[DISCIPLINA],"CIVIL")</f>
        <v>0</v>
      </c>
      <c r="AM44" s="404">
        <f>SUMIFS(Hh_EXE_TOTAL[Hh],Hh_EXE_TOTAL[Nº  SS],TB_INTEGRADA[[#This Row],[Nº  SS]],Hh_EXE_TOTAL[DISCIPLINA],"CIVIL")</f>
        <v>0</v>
      </c>
      <c r="AN44" s="400">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0</v>
      </c>
      <c r="AO44" s="287"/>
      <c r="AP44" s="287">
        <f>SUMIFS(Tb_HhPLAN[Hh DISC],Tb_HhPLAN[SS],TB_INTEGRADA[[#This Row],[Nº  SS]],Tb_HhPLAN[DISCIPLINA],"ELÉT")</f>
        <v>0</v>
      </c>
      <c r="AQ44" s="404">
        <f>SUMIFS(Hh_EXE_TOTAL[Hh],Hh_EXE_TOTAL[Nº  SS],TB_INTEGRADA[[#This Row],[Nº  SS]],Hh_EXE_TOTAL[DISCIPLINA],"ELÉT")</f>
        <v>0</v>
      </c>
      <c r="AR44" s="400">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44" s="287"/>
      <c r="AT44" s="287">
        <f>SUMIFS(Tb_HhPLAN[Hh DISC],Tb_HhPLAN[SS],TB_INTEGRADA[[#This Row],[Nº  SS]],Tb_HhPLAN[DISCIPLINA],"PINT")</f>
        <v>0</v>
      </c>
      <c r="AU44" s="404">
        <f>SUMIFS(Hh_EXE_TOTAL[Hh],Hh_EXE_TOTAL[Nº  SS],TB_INTEGRADA[[#This Row],[Nº  SS]],Hh_EXE_TOTAL[DISCIPLINA],"PINT")</f>
        <v>0</v>
      </c>
      <c r="AV44" s="400">
        <f>TB_INTEGRADA[[#This Row],[ORÇADO]]+TB_INTEGRADA[[#This Row],[ORÇADO1]]+TB_INTEGRADA[[#This Row],[ORÇADO2]]+TB_INTEGRADA[[#This Row],[ORÇADO3]]</f>
        <v>0</v>
      </c>
      <c r="AW44" s="287">
        <f>TB_INTEGRADA[[#This Row],[PLANEJ]]+TB_INTEGRADA[[#This Row],[PLANEJ1]]+TB_INTEGRADA[[#This Row],[PLANEJ2]]+TB_INTEGRADA[[#This Row],[PLANEJ3]]</f>
        <v>0</v>
      </c>
      <c r="AX44" s="287">
        <f>TB_INTEGRADA[[#This Row],[REALIZ]]+TB_INTEGRADA[[#This Row],[REALIZ1]]+TB_INTEGRADA[[#This Row],[REALIZ2]]+TB_INTEGRADA[[#This Row],[REALIZ3]]</f>
        <v>0</v>
      </c>
      <c r="AY44" s="417" t="str">
        <f>IFERROR(TB_INTEGRADA[[#This Row],[REALIZ4]]/TB_INTEGRADA[[#This Row],[ORÇADO4]],"")</f>
        <v/>
      </c>
      <c r="AZ44" s="341">
        <f>_xlfn.XLOOKUP(TB_INTEGRADA[[#This Row],[Nº  SS]],'CONTROLE EC'!B:B,'CONTROLE EC'!W:W,"",0,1)</f>
        <v>0</v>
      </c>
      <c r="BA44" s="342">
        <f>_xlfn.XLOOKUP(TB_INTEGRADA[[#This Row],[Nº  SS]],'CONTROLE EC'!B:B,'CONTROLE EC'!X:X,"",0,1)</f>
        <v>0</v>
      </c>
      <c r="BB44" s="343">
        <f>_xlfn.XLOOKUP(TB_INTEGRADA[[#This Row],[Nº  SS]],'CONTROLE EC'!B:B,'CONTROLE EC'!Y:Y,"",0,1)</f>
        <v>0</v>
      </c>
    </row>
    <row r="45" spans="1:54" ht="15" hidden="1" thickBot="1" x14ac:dyDescent="0.35">
      <c r="A45" s="456">
        <f>IF(COUNTIFS($B$5:B45,TB_INTEGRADA[[#This Row],[Nº  SS]])&lt;&gt;1,"",COUNTIFS($B$5:B45,TB_INTEGRADA[[#This Row],[Nº  SS]]))</f>
        <v>1</v>
      </c>
      <c r="B45" s="271" t="s">
        <v>3281</v>
      </c>
      <c r="C45" s="272" t="str">
        <f>_xlfn.XLOOKUP(TB_INTEGRADA[[#This Row],[Nº  SS]],'CONTROLE EC'!B:B,'CONTROLE EC'!C:C,"",0,1)</f>
        <v>24-0308-ES - ADEQUAÇÃO DAS CALHAS DA COBERTURA DO K-39</v>
      </c>
      <c r="D45" s="76" t="str">
        <f>_xlfn.XLOOKUP(TB_INTEGRADA[[#This Row],[Nº  SS]],'CONTROLE CRONOG'!B:B,'CONTROLE CRONOG'!D:D,"",0,1)</f>
        <v>SERVIÇO</v>
      </c>
      <c r="E45" s="272" t="str">
        <f>_xlfn.XLOOKUP(TB_INTEGRADA[[#This Row],[Nº  SS]],'CONTROLE EC'!B:B,'CONTROLE EC'!E:E,"",0,1)</f>
        <v>UTGC</v>
      </c>
      <c r="F45" s="272" t="str">
        <f>_xlfn.XLOOKUP(TB_INTEGRADA[[#This Row],[Nº  SS]],'CONTROLE EC'!B:B,'CONTROLE EC'!F:F,"",0,1)</f>
        <v>EM PLANEJAMENTO</v>
      </c>
      <c r="G45" s="278" t="str">
        <f>_xlfn.XLOOKUP(TB_INTEGRADA[[#This Row],[Nº  SS]],'CONTROLE EC'!B:B,'CONTROLE EC'!R:R,"",0,1)</f>
        <v>REV.00</v>
      </c>
      <c r="H45" s="279">
        <f>IF(TB_INTEGRADA[[#This Row],[REVISÃO (EC)]]="","",_xlfn.XLOOKUP(TB_INTEGRADA[[#This Row],[Nº  SS]],'CONTROLE EC'!B:B,'CONTROLE EC'!S:S,"",0,1))</f>
        <v>0</v>
      </c>
      <c r="I45" s="279">
        <f>IF(TB_INTEGRADA[[#This Row],[REVISÃO (EC)]]="","",_xlfn.XLOOKUP(TB_INTEGRADA[[#This Row],[Nº  SS]],'CONTROLE EC'!B:B,'CONTROLE EC'!U:U,"",0,1))</f>
        <v>0</v>
      </c>
      <c r="J45" s="279" cm="1">
        <f t="array" ref="J45">IF(TB_INTEGRADA[[#This Row],[DATA ENVIO. (EC)]]=IFERROR(INDEX('CONTROLE EC'!G45:Q45,MATCH(2,1/('CONTROLE EC'!G45:Q45&lt;&gt;""))),""),"",IFERROR(INDEX('CONTROLE EC'!G45:Q45,MATCH(2,1/('CONTROLE EC'!G45:Q45&lt;&gt;""))),""))</f>
        <v>46104</v>
      </c>
      <c r="K45" s="279" t="str">
        <f>IF(TB_INTEGRADA[[#This Row],[STATUS DEMANDA]]="NÃO EMITIDA SAMC","S/ EMISSÃO",_xlfn.XLOOKUP(TB_INTEGRADA[[#This Row],[Nº  SS]],'CONTROLE EC'!B:B,'CONTROLE EC'!T:T,"",0,-1))</f>
        <v>PENDENTE</v>
      </c>
      <c r="L45" s="280" t="str">
        <f>IF(TB_INTEGRADA[[#This Row],[STATUS DEMANDA]]="NÃO EMITIDA SAMC","S/ EMISSÃO",IF(TB_INTEGRADA[[#This Row],[STATUS DEMANDA]]="ON HOLD","ON HOLD",IF(TB_INTEGRADA[[#This Row],[STATUS DEMANDA]]="CANCELADA","CANCELADA",IF(TB_INTEGRADA[[#This Row],[DATA APROV. (EC)]]=0,"FISCALIZ.",IF(TB_INTEGRADA[[#This Row],[DATA APROV. (EC)]]="","PEND. FISCALIZ.",IF(TB_INTEGRADA[[#This Row],[DATA APROV. (EC)]]="N/A","APROVADO",IF(TB_INTEGRADA[[#This Row],[REVISÃO (EC)]]="","",_xlfn.XLOOKUP(TB_INTEGRADA[[#This Row],[Nº  SS]],'CONTROLE EC'!B:B,'CONTROLE EC'!V:V,"",0,1))))))))</f>
        <v>FISCALIZ.</v>
      </c>
      <c r="M45" s="109" cm="1">
        <f t="array" aca="1" ref="M45" ca="1">IFERROR(_xlfn.IFS(TB_INTEGRADA[[#This Row],[STATUS DEMANDA]]="CANCELADA",0,TB_INTEGRADA[[#This Row],[DATA APROV. (EC)]]="",TODAY()-TB_INTEGRADA[[#This Row],[DATA ENVIO. (EC)]],TB_INTEGRADA[[#This Row],[DATA APROV. (EC)]]&gt;=TB_INTEGRADA[[#This Row],[DATA ENVIO. (EC)]],0,TB_INTEGRADA[[#This Row],[DATA ENVIO. (EC)]]="",0,TB_INTEGRADA[[#This Row],[DATA ENVIO. (EC)]]&gt;TB_INTEGRADA[[#This Row],[DATA APROV. (EC)]],TODAY()-TB_INTEGRADA[[#This Row],[DATA ENVIO. (EC)]]),"")</f>
        <v>0</v>
      </c>
      <c r="N45" s="289" t="str">
        <f>IF(TB_INTEGRADA[[#This Row],[STATUS DEMANDA]]="NÃO EMITIDA SAMC","S/ EMISSÃO",IF(TB_INTEGRADA[[#This Row],[STATUS DEMANDA]]="ON HOLD","ON HOLD",IF(F45="CANCELADA","CANCELADA",IF(L45="REPROVADO","EM PLANEJ.",IF(K45&lt;&gt;"ENTREGUE","EM PLANEJ.",IF(H45="","EM PLANEJ.",IF(I45="","FISCALIZ.",IF(M45&lt;0,"EM PLANEJ.",IF(TB_INTEGRADA[[#This Row],[DATA APROV. (EC)]]&gt;=TB_INTEGRADA[[#This Row],[DATA ENVIO. (EC)]],"RETORNO OK","FISCALIZ.")))))))))</f>
        <v>EM PLANEJ.</v>
      </c>
      <c r="O45" s="278" t="str">
        <f>_xlfn.XLOOKUP(TB_INTEGRADA[[#This Row],[Nº  SS]],'CONTROLE CRONOG'!B:B,'CONTROLE CRONOG'!R:R,"",0,1)</f>
        <v>REV.00</v>
      </c>
      <c r="P45" s="279">
        <f>IF(TB_INTEGRADA[[#This Row],[REVISÃO (CR)]]="","",_xlfn.XLOOKUP(TB_INTEGRADA[[#This Row],[Nº  SS]],'CONTROLE CRONOG'!B:B,'CONTROLE CRONOG'!S:S,"",0,1))</f>
        <v>0</v>
      </c>
      <c r="Q45" s="290">
        <f>IF(TB_INTEGRADA[[#This Row],[REVISÃO (CR)]]="","",_xlfn.XLOOKUP(TB_INTEGRADA[[#This Row],[Nº  SS]],'CONTROLE CRONOG'!B:B,'CONTROLE CRONOG'!U:U,"",0,1))</f>
        <v>0</v>
      </c>
      <c r="R45" s="279" cm="1">
        <f t="array" ref="R45">IF(TB_INTEGRADA[[#This Row],[DATA ENVIO. (CR)]]=IFERROR(INDEX('CONTROLE CRONOG'!G45:Q45,MATCH(2,1/('CONTROLE CRONOG'!G45:Q45&lt;&gt;""))),""),"",IFERROR(INDEX('CONTROLE CRONOG'!G45:Q45,MATCH(2,1/('CONTROLE CRONOG'!G45:Q45&lt;&gt;""))),""))</f>
        <v>46104</v>
      </c>
      <c r="S45" s="279" t="str">
        <f>_xlfn.XLOOKUP(TB_INTEGRADA[[#This Row],[Nº  SS]],'CONTROLE CRONOG'!B:B,'CONTROLE CRONOG'!T:T,"",0,-1)</f>
        <v>PENDENTE</v>
      </c>
      <c r="T45" s="289" t="str">
        <f>IF(TB_INTEGRADA[[#This Row],[STATUS DEMANDA]]="ON HOLD","ON HOLD",IF(TB_INTEGRADA[[#This Row],[STATUS DEMANDA]]="CANCELADA","CANCELADA",IF(TB_INTEGRADA[[#This Row],[DATA APROV. (CR)]]=0,"FISCALIZ.",IF(TB_INTEGRADA[[#This Row],[DATA APROV. (CR)]]="N/A","APROVADO",IF(TB_INTEGRADA[[#This Row],[REVISÃO (CR)]]="","",_xlfn.XLOOKUP(TB_INTEGRADA[[#This Row],[Nº  SS]],'CONTROLE CRONOG'!B:B,'CONTROLE CRONOG'!V:V,"",0,1))))))</f>
        <v>FISCALIZ.</v>
      </c>
      <c r="U45" s="441"/>
      <c r="V45" s="291"/>
      <c r="W45" s="290"/>
      <c r="X45" s="292">
        <f>IFERROR(TB_INTEGRADA[[#This Row],[TÉRM. TD]]-TB_INTEGRADA[[#This Row],[TÉRMINO LB]],0)</f>
        <v>0</v>
      </c>
      <c r="Y45" s="241"/>
      <c r="Z45" s="242"/>
      <c r="AA45" s="119">
        <v>0</v>
      </c>
      <c r="AB45" s="119">
        <f>IFERROR(TB_INTEGRADA[[#This Row],[REAL (%)]]-TB_INTEGRADA[[#This Row],[PREV (%)]],0)</f>
        <v>0</v>
      </c>
      <c r="AC45" s="293"/>
      <c r="AD45" s="406"/>
      <c r="AE45" s="441"/>
      <c r="AF45" s="408">
        <f>IF(TB_INTEGRADA[[#This Row],[TOMADOR]]="EDIVIT",TB_INTEGRADA[[#This Row],[ORÇ DIG]]*1.38,IF(TB_INTEGRADA[[#This Row],[TOMADOR]]="UTGC",TB_INTEGRADA[[#This Row],[ORÇ DIG]]*1.47,IF(TB_INTEGRADA[[#This Row],[TOMADOR]]="TIMS",TB_INTEGRADA[[#This Row],[ORÇ DIG]]*1.34,IF(TB_INTEGRADA[[#This Row],[TOMADOR]]="UTGSUL",TB_INTEGRADA[[#This Row],[ORÇ DIG]]*1.37,IF(TB_INTEGRADA[[#This Row],[TOMADOR]]="REGAP",TB_INTEGRADA[[#This Row],[ORÇ DIG]]*1.36,IF(TB_INTEGRADA[[#This Row],[TOMADOR]]="UTEIBI",TB_INTEGRADA[[#This Row],[ORÇ DIG]]*1.5,"S/TOMADOR"))))))</f>
        <v>0</v>
      </c>
      <c r="AG45" s="294"/>
      <c r="AH45" s="294">
        <f>SUMIFS(Tb_HhPLAN[Hh DISC],Tb_HhPLAN[SS],TB_INTEGRADA[[#This Row],[Nº  SS]],Tb_HhPLAN[DISCIPLINA],"MEC")</f>
        <v>0</v>
      </c>
      <c r="AI45" s="405">
        <f>SUMIFS(Hh_EXE_TOTAL[Hh],Hh_EXE_TOTAL[Nº  SS],TB_INTEGRADA[[#This Row],[Nº  SS]],Hh_EXE_TOTAL[DISCIPLINA],"MEC")</f>
        <v>0</v>
      </c>
      <c r="AJ45" s="401">
        <f>IF(TB_INTEGRADA[[#This Row],[TOMADOR]]="EDIVIT",TB_INTEGRADA[[#This Row],[ORÇ DIG1]]*1.38,IF(TB_INTEGRADA[[#This Row],[TOMADOR]]="UTGC",TB_INTEGRADA[[#This Row],[ORÇ DIG1]]*1.47,IF(TB_INTEGRADA[[#This Row],[TOMADOR]]="TIMS",TB_INTEGRADA[[#This Row],[ORÇ DIG1]]*1.34,IF(TB_INTEGRADA[[#This Row],[TOMADOR]]="UTGSUL",TB_INTEGRADA[[#This Row],[ORÇ DIG1]]*1.37,IF(TB_INTEGRADA[[#This Row],[TOMADOR]]="REGAP",TB_INTEGRADA[[#This Row],[ORÇ DIG1]]*1.36,IF(TB_INTEGRADA[[#This Row],[TOMADOR]]="UTEIBI",TB_INTEGRADA[[#This Row],[ORÇ DIG1]]*1.5,"S/TOMADOR"))))))</f>
        <v>0</v>
      </c>
      <c r="AK45" s="294"/>
      <c r="AL45" s="294">
        <f>SUMIFS(Tb_HhPLAN[Hh DISC],Tb_HhPLAN[SS],TB_INTEGRADA[[#This Row],[Nº  SS]],Tb_HhPLAN[DISCIPLINA],"CIVIL")</f>
        <v>0</v>
      </c>
      <c r="AM45" s="405">
        <f>SUMIFS(Hh_EXE_TOTAL[Hh],Hh_EXE_TOTAL[Nº  SS],TB_INTEGRADA[[#This Row],[Nº  SS]],Hh_EXE_TOTAL[DISCIPLINA],"CIVIL")</f>
        <v>0</v>
      </c>
      <c r="AN45" s="401">
        <f>IF(TB_INTEGRADA[[#This Row],[TOMADOR]]="EDIVIT",TB_INTEGRADA[[#This Row],[ORÇ DIG2]]*1.38,IF(TB_INTEGRADA[[#This Row],[TOMADOR]]="UTGC",TB_INTEGRADA[[#This Row],[ORÇ DIG2]]*1.47,IF(TB_INTEGRADA[[#This Row],[TOMADOR]]="TIMS",TB_INTEGRADA[[#This Row],[ORÇ DIG2]]*1.34,IF(TB_INTEGRADA[[#This Row],[TOMADOR]]="UTGSUL",TB_INTEGRADA[[#This Row],[ORÇ DIG2]]*1.37,IF(TB_INTEGRADA[[#This Row],[TOMADOR]]="REGAP",TB_INTEGRADA[[#This Row],[ORÇ DIG2]]*1.36,IF(TB_INTEGRADA[[#This Row],[TOMADOR]]="UTEIBI",TB_INTEGRADA[[#This Row],[ORÇ DIG2]]*1.5,"S/TOMADOR"))))))</f>
        <v>0</v>
      </c>
      <c r="AO45" s="294"/>
      <c r="AP45" s="294">
        <f>SUMIFS(Tb_HhPLAN[Hh DISC],Tb_HhPLAN[SS],TB_INTEGRADA[[#This Row],[Nº  SS]],Tb_HhPLAN[DISCIPLINA],"ELÉT")</f>
        <v>0</v>
      </c>
      <c r="AQ45" s="405">
        <f>SUMIFS(Hh_EXE_TOTAL[Hh],Hh_EXE_TOTAL[Nº  SS],TB_INTEGRADA[[#This Row],[Nº  SS]],Hh_EXE_TOTAL[DISCIPLINA],"ELÉT")</f>
        <v>0</v>
      </c>
      <c r="AR45" s="401">
        <f>IF(TB_INTEGRADA[[#This Row],[TOMADOR]]="EDIVIT",TB_INTEGRADA[[#This Row],[ORÇ DIG3]]*1.38,IF(TB_INTEGRADA[[#This Row],[TOMADOR]]="UTGC",TB_INTEGRADA[[#This Row],[ORÇ DIG3]]*1.47,IF(TB_INTEGRADA[[#This Row],[TOMADOR]]="TIMS",TB_INTEGRADA[[#This Row],[ORÇ DIG3]]*1.34,IF(TB_INTEGRADA[[#This Row],[TOMADOR]]="UTGSUL",TB_INTEGRADA[[#This Row],[ORÇ DIG3]]*1.37,IF(TB_INTEGRADA[[#This Row],[TOMADOR]]="REGAP",TB_INTEGRADA[[#This Row],[ORÇ DIG3]]*1.36,IF(TB_INTEGRADA[[#This Row],[TOMADOR]]="UTEIBI",TB_INTEGRADA[[#This Row],[ORÇ DIG3]]*1.5,"S/TOMADOR"))))))</f>
        <v>0</v>
      </c>
      <c r="AS45" s="294"/>
      <c r="AT45" s="294">
        <f>SUMIFS(Tb_HhPLAN[Hh DISC],Tb_HhPLAN[SS],TB_INTEGRADA[[#This Row],[Nº  SS]],Tb_HhPLAN[DISCIPLINA],"PINT")</f>
        <v>0</v>
      </c>
      <c r="AU45" s="405">
        <f>SUMIFS(Hh_EXE_TOTAL[Hh],Hh_EXE_TOTAL[Nº  SS],TB_INTEGRADA[[#This Row],[Nº  SS]],Hh_EXE_TOTAL[DISCIPLINA],"PINT")</f>
        <v>0</v>
      </c>
      <c r="AV45" s="401">
        <f>TB_INTEGRADA[[#This Row],[ORÇADO]]+TB_INTEGRADA[[#This Row],[ORÇADO1]]+TB_INTEGRADA[[#This Row],[ORÇADO2]]+TB_INTEGRADA[[#This Row],[ORÇADO3]]</f>
        <v>0</v>
      </c>
      <c r="AW45" s="294">
        <f>TB_INTEGRADA[[#This Row],[PLANEJ]]+TB_INTEGRADA[[#This Row],[PLANEJ1]]+TB_INTEGRADA[[#This Row],[PLANEJ2]]+TB_INTEGRADA[[#This Row],[PLANEJ3]]</f>
        <v>0</v>
      </c>
      <c r="AX45" s="294">
        <f>TB_INTEGRADA[[#This Row],[REALIZ]]+TB_INTEGRADA[[#This Row],[REALIZ1]]+TB_INTEGRADA[[#This Row],[REALIZ2]]+TB_INTEGRADA[[#This Row],[REALIZ3]]</f>
        <v>0</v>
      </c>
      <c r="AY45" s="418" t="str">
        <f>IFERROR(TB_INTEGRADA[[#This Row],[REALIZ4]]/TB_INTEGRADA[[#This Row],[ORÇADO4]],"")</f>
        <v/>
      </c>
      <c r="AZ45" s="295">
        <f>_xlfn.XLOOKUP(TB_INTEGRADA[[#This Row],[Nº  SS]],'CONTROLE EC'!B:B,'CONTROLE EC'!W:W,"",0,1)</f>
        <v>0</v>
      </c>
      <c r="BA45" s="296">
        <f>_xlfn.XLOOKUP(TB_INTEGRADA[[#This Row],[Nº  SS]],'CONTROLE EC'!B:B,'CONTROLE EC'!X:X,"",0,1)</f>
        <v>0</v>
      </c>
      <c r="BB45" s="297">
        <f>_xlfn.XLOOKUP(TB_INTEGRADA[[#This Row],[Nº  SS]],'CONTROLE EC'!B:B,'CONTROLE EC'!Y:Y,"",0,1)</f>
        <v>0</v>
      </c>
    </row>
  </sheetData>
  <sheetProtection formatColumns="0" autoFilter="0"/>
  <mergeCells count="16">
    <mergeCell ref="AV3:AY3"/>
    <mergeCell ref="U1:U2"/>
    <mergeCell ref="AE1:AE2"/>
    <mergeCell ref="G3:N3"/>
    <mergeCell ref="O3:T3"/>
    <mergeCell ref="D3:D4"/>
    <mergeCell ref="E3:E4"/>
    <mergeCell ref="A3:A4"/>
    <mergeCell ref="C3:C4"/>
    <mergeCell ref="B3:B4"/>
    <mergeCell ref="F3:F4"/>
    <mergeCell ref="AF3:AI3"/>
    <mergeCell ref="AJ3:AM3"/>
    <mergeCell ref="AN3:AQ3"/>
    <mergeCell ref="AR3:AU3"/>
    <mergeCell ref="V3:AA3"/>
  </mergeCells>
  <phoneticPr fontId="2" type="noConversion"/>
  <conditionalFormatting sqref="A6:AD43 AF6:BB43 A44:A45">
    <cfRule type="expression" dxfId="943" priority="55">
      <formula>$F6="CONCLUÍDA"</formula>
    </cfRule>
    <cfRule type="expression" dxfId="942" priority="56">
      <formula>$F6="CANCELADA"</formula>
    </cfRule>
    <cfRule type="expression" dxfId="941" priority="57">
      <formula>$F6="ON HOLD"</formula>
    </cfRule>
    <cfRule type="expression" dxfId="940" priority="63">
      <formula>$F6="EM PLANEJAMENTO"</formula>
    </cfRule>
  </conditionalFormatting>
  <conditionalFormatting sqref="J6:K43">
    <cfRule type="expression" dxfId="939" priority="61">
      <formula>$K6="PENDENTE"</formula>
    </cfRule>
  </conditionalFormatting>
  <conditionalFormatting sqref="L6:L43">
    <cfRule type="expression" dxfId="938" priority="59">
      <formula>$L6="REPROVADO"</formula>
    </cfRule>
  </conditionalFormatting>
  <conditionalFormatting sqref="R6:S43">
    <cfRule type="expression" dxfId="937" priority="62">
      <formula>$S6="PENDENTE"</formula>
    </cfRule>
  </conditionalFormatting>
  <conditionalFormatting sqref="T6:U43">
    <cfRule type="expression" dxfId="936" priority="60">
      <formula>$T6="REPROVADO"</formula>
    </cfRule>
  </conditionalFormatting>
  <conditionalFormatting sqref="X6:X43">
    <cfRule type="cellIs" dxfId="935" priority="54" operator="greaterThan">
      <formula>0</formula>
    </cfRule>
  </conditionalFormatting>
  <conditionalFormatting sqref="AA6:AA43">
    <cfRule type="cellIs" dxfId="934" priority="53" operator="lessThan">
      <formula>0</formula>
    </cfRule>
  </conditionalFormatting>
  <conditionalFormatting sqref="AB6:AB43">
    <cfRule type="cellIs" dxfId="933" priority="46" operator="lessThan">
      <formula>0</formula>
    </cfRule>
  </conditionalFormatting>
  <conditionalFormatting sqref="AB3">
    <cfRule type="cellIs" dxfId="932" priority="51" operator="greaterThan">
      <formula>0</formula>
    </cfRule>
    <cfRule type="cellIs" dxfId="931" priority="52" operator="lessThan">
      <formula>0</formula>
    </cfRule>
  </conditionalFormatting>
  <conditionalFormatting sqref="AY6:AY43">
    <cfRule type="cellIs" dxfId="930" priority="64" operator="greaterThan">
      <formula>1</formula>
    </cfRule>
  </conditionalFormatting>
  <conditionalFormatting sqref="U6:U43">
    <cfRule type="expression" dxfId="929" priority="40">
      <formula>$U6=""</formula>
    </cfRule>
  </conditionalFormatting>
  <conditionalFormatting sqref="AE6:AE43">
    <cfRule type="expression" dxfId="928" priority="41">
      <formula>$F6="CONCLUÍDA"</formula>
    </cfRule>
    <cfRule type="expression" dxfId="927" priority="42">
      <formula>$F6="CANCELADA"</formula>
    </cfRule>
    <cfRule type="expression" dxfId="926" priority="43">
      <formula>$F6="ON HOLD"</formula>
    </cfRule>
    <cfRule type="expression" dxfId="925" priority="45">
      <formula>$F6="EM PLANEJAMENTO"</formula>
    </cfRule>
  </conditionalFormatting>
  <conditionalFormatting sqref="AE6:AE43">
    <cfRule type="expression" dxfId="924" priority="44">
      <formula>$T6="REPROVADO"</formula>
    </cfRule>
  </conditionalFormatting>
  <conditionalFormatting sqref="AE6:AE43">
    <cfRule type="expression" dxfId="923" priority="39">
      <formula>$AE6=""</formula>
    </cfRule>
  </conditionalFormatting>
  <conditionalFormatting sqref="B45:AD45 AF45:BB45">
    <cfRule type="expression" dxfId="922" priority="30">
      <formula>$F45="CONCLUÍDA"</formula>
    </cfRule>
    <cfRule type="expression" dxfId="921" priority="31">
      <formula>$F45="CANCELADA"</formula>
    </cfRule>
    <cfRule type="expression" dxfId="920" priority="32">
      <formula>$F45="ON HOLD"</formula>
    </cfRule>
    <cfRule type="expression" dxfId="919" priority="37">
      <formula>$F45="EM PLANEJAMENTO"</formula>
    </cfRule>
  </conditionalFormatting>
  <conditionalFormatting sqref="J45:K45">
    <cfRule type="expression" dxfId="918" priority="35">
      <formula>$K45="PENDENTE"</formula>
    </cfRule>
  </conditionalFormatting>
  <conditionalFormatting sqref="L45">
    <cfRule type="expression" dxfId="917" priority="33">
      <formula>$L45="REPROVADO"</formula>
    </cfRule>
  </conditionalFormatting>
  <conditionalFormatting sqref="R45:S45">
    <cfRule type="expression" dxfId="916" priority="36">
      <formula>$S45="PENDENTE"</formula>
    </cfRule>
  </conditionalFormatting>
  <conditionalFormatting sqref="T45:U45">
    <cfRule type="expression" dxfId="915" priority="34">
      <formula>$T45="REPROVADO"</formula>
    </cfRule>
  </conditionalFormatting>
  <conditionalFormatting sqref="X45">
    <cfRule type="cellIs" dxfId="914" priority="29" operator="greaterThan">
      <formula>0</formula>
    </cfRule>
  </conditionalFormatting>
  <conditionalFormatting sqref="AA45">
    <cfRule type="cellIs" dxfId="913" priority="28" operator="lessThan">
      <formula>0</formula>
    </cfRule>
  </conditionalFormatting>
  <conditionalFormatting sqref="AB45">
    <cfRule type="cellIs" dxfId="912" priority="27" operator="lessThan">
      <formula>0</formula>
    </cfRule>
  </conditionalFormatting>
  <conditionalFormatting sqref="AY45">
    <cfRule type="cellIs" dxfId="911" priority="38" operator="greaterThan">
      <formula>1</formula>
    </cfRule>
  </conditionalFormatting>
  <conditionalFormatting sqref="U45">
    <cfRule type="expression" dxfId="910" priority="21">
      <formula>$U45=""</formula>
    </cfRule>
  </conditionalFormatting>
  <conditionalFormatting sqref="AE45">
    <cfRule type="expression" dxfId="909" priority="22">
      <formula>$F45="CONCLUÍDA"</formula>
    </cfRule>
    <cfRule type="expression" dxfId="908" priority="23">
      <formula>$F45="CANCELADA"</formula>
    </cfRule>
    <cfRule type="expression" dxfId="907" priority="24">
      <formula>$F45="ON HOLD"</formula>
    </cfRule>
    <cfRule type="expression" dxfId="906" priority="26">
      <formula>$F45="EM PLANEJAMENTO"</formula>
    </cfRule>
  </conditionalFormatting>
  <conditionalFormatting sqref="AE45">
    <cfRule type="expression" dxfId="905" priority="25">
      <formula>$T45="REPROVADO"</formula>
    </cfRule>
  </conditionalFormatting>
  <conditionalFormatting sqref="AE45">
    <cfRule type="expression" dxfId="904" priority="20">
      <formula>$AE45=""</formula>
    </cfRule>
  </conditionalFormatting>
  <conditionalFormatting sqref="B44:AD44 AF44:BB44">
    <cfRule type="expression" dxfId="903" priority="11">
      <formula>$F44="CONCLUÍDA"</formula>
    </cfRule>
    <cfRule type="expression" dxfId="902" priority="12">
      <formula>$F44="CANCELADA"</formula>
    </cfRule>
    <cfRule type="expression" dxfId="901" priority="13">
      <formula>$F44="ON HOLD"</formula>
    </cfRule>
    <cfRule type="expression" dxfId="900" priority="18">
      <formula>$F44="EM PLANEJAMENTO"</formula>
    </cfRule>
  </conditionalFormatting>
  <conditionalFormatting sqref="J44:K44">
    <cfRule type="expression" dxfId="899" priority="16">
      <formula>$K44="PENDENTE"</formula>
    </cfRule>
  </conditionalFormatting>
  <conditionalFormatting sqref="L44">
    <cfRule type="expression" dxfId="898" priority="14">
      <formula>$L44="REPROVADO"</formula>
    </cfRule>
  </conditionalFormatting>
  <conditionalFormatting sqref="R44:S44">
    <cfRule type="expression" dxfId="897" priority="17">
      <formula>$S44="PENDENTE"</formula>
    </cfRule>
  </conditionalFormatting>
  <conditionalFormatting sqref="T44:U44">
    <cfRule type="expression" dxfId="896" priority="15">
      <formula>$T44="REPROVADO"</formula>
    </cfRule>
  </conditionalFormatting>
  <conditionalFormatting sqref="X44">
    <cfRule type="cellIs" dxfId="895" priority="10" operator="greaterThan">
      <formula>0</formula>
    </cfRule>
  </conditionalFormatting>
  <conditionalFormatting sqref="AA44">
    <cfRule type="cellIs" dxfId="894" priority="9" operator="lessThan">
      <formula>0</formula>
    </cfRule>
  </conditionalFormatting>
  <conditionalFormatting sqref="AB44">
    <cfRule type="cellIs" dxfId="893" priority="8" operator="lessThan">
      <formula>0</formula>
    </cfRule>
  </conditionalFormatting>
  <conditionalFormatting sqref="AY44">
    <cfRule type="cellIs" dxfId="892" priority="19" operator="greaterThan">
      <formula>1</formula>
    </cfRule>
  </conditionalFormatting>
  <conditionalFormatting sqref="U44">
    <cfRule type="expression" dxfId="891" priority="2">
      <formula>$U44=""</formula>
    </cfRule>
  </conditionalFormatting>
  <conditionalFormatting sqref="AE44">
    <cfRule type="expression" dxfId="890" priority="3">
      <formula>$F44="CONCLUÍDA"</formula>
    </cfRule>
    <cfRule type="expression" dxfId="889" priority="4">
      <formula>$F44="CANCELADA"</formula>
    </cfRule>
    <cfRule type="expression" dxfId="888" priority="5">
      <formula>$F44="ON HOLD"</formula>
    </cfRule>
    <cfRule type="expression" dxfId="887" priority="7">
      <formula>$F44="EM PLANEJAMENTO"</formula>
    </cfRule>
  </conditionalFormatting>
  <conditionalFormatting sqref="AE44">
    <cfRule type="expression" dxfId="886" priority="6">
      <formula>$T44="REPROVADO"</formula>
    </cfRule>
  </conditionalFormatting>
  <conditionalFormatting sqref="AE44">
    <cfRule type="expression" dxfId="885" priority="1">
      <formula>$AE44=""</formula>
    </cfRule>
  </conditionalFormatting>
  <pageMargins left="0.511811024" right="0.511811024" top="0.78740157499999996" bottom="0.78740157499999996" header="0.31496062000000002" footer="0.31496062000000002"/>
  <pageSetup paperSize="9" orientation="portrait" horizontalDpi="1200" verticalDpi="1200" r:id="rId1"/>
  <ignoredErrors>
    <ignoredError sqref="V10:W12 Y10:Z12 AC10:AD12 AC23:AD24 AC22 AC20:AD21 AC26:AD27 AC34:AD35 V34:W35 Y34:Z35 AC37:AD37 V37:W37 Y37:Z37 Y36:Z36 AC41:AD41 Y41:Z41 V43:Z43 V40:W40 V39:W39 V38 AA10:AA13 Y39:Z39 V41:W41 V9 V14:W16 V13 Y14:Z16 W13:X13 V17 Y26:Z27 V26:W28 Y20:Z20 V20:W20 V18:Z18 V25:Z25 X20:X21 V29:Z29 X26:X28 W17:X17 V31 V32 V33 W33:X33 V19 AA20:AA28 AC19:AD19 X19 AA19 W19 AB19 Y19:Z19 V22:W24 V21 Y22:Z24 X22:X24 W21 Y21:Z21 AD28 AA29:AA32 Y28:Z28 AB28:AC28 AC39:AD39 AA39:AA45 AA38 X38 W38 Y38:Z38 AB38:AD38 X9 AA9 W9 AB9:AD9 Y9:Z9 AC14:AD16 AA14:AA17 Y13:Z13 AB13:AD13 AA18 Y17:Z17 AB17:AD17 V30:X30 AA33:AA37 Y30:Z30 AB30:AD30 W31:X31 Y31:Z31 AB31:AD31 W32:X32 Y32:Z32 AB32:AD32 Y33:Z33 AC33:AD33" calculatedColumn="1"/>
  </ignoredError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59DE1-27DB-40FB-B4DF-3C9B3E4D35F7}">
  <sheetPr codeName="Planilha3">
    <tabColor theme="7"/>
    <outlinePr summaryRight="0"/>
  </sheetPr>
  <dimension ref="A1:AE45"/>
  <sheetViews>
    <sheetView showGridLines="0" zoomScale="80" zoomScaleNormal="80" workbookViewId="0">
      <pane xSplit="6" ySplit="5" topLeftCell="G6" activePane="bottomRight" state="frozen"/>
      <selection pane="topRight" activeCell="F1" sqref="F1"/>
      <selection pane="bottomLeft" activeCell="B6" sqref="B6"/>
      <selection pane="bottomRight" activeCell="C4" sqref="C4"/>
    </sheetView>
  </sheetViews>
  <sheetFormatPr defaultColWidth="9.109375" defaultRowHeight="14.4" x14ac:dyDescent="0.3"/>
  <cols>
    <col min="1" max="1" width="9.109375" style="2" hidden="1" customWidth="1"/>
    <col min="2" max="2" width="12.6640625" style="2" customWidth="1"/>
    <col min="3" max="3" width="78.6640625" style="2" customWidth="1"/>
    <col min="4" max="5" width="10.6640625" style="2" customWidth="1"/>
    <col min="6" max="6" width="18.6640625" style="2" customWidth="1"/>
    <col min="7" max="18" width="9.6640625" style="2" customWidth="1"/>
    <col min="19" max="19" width="10.6640625" style="2" customWidth="1"/>
    <col min="20" max="20" width="12.6640625" style="2" customWidth="1"/>
    <col min="21" max="21" width="10.6640625" style="2" customWidth="1"/>
    <col min="22" max="22" width="12.6640625" style="2" customWidth="1"/>
    <col min="23" max="25" width="20.6640625" style="7" customWidth="1"/>
    <col min="26" max="29" width="9.109375" style="2"/>
    <col min="30" max="40" width="16.44140625" style="2" customWidth="1"/>
    <col min="41" max="16384" width="9.109375" style="2"/>
  </cols>
  <sheetData>
    <row r="1" spans="1:25" ht="22.5" customHeight="1" x14ac:dyDescent="0.3">
      <c r="B1" s="19"/>
      <c r="C1" s="20"/>
      <c r="D1" s="20"/>
      <c r="E1" s="250" t="s">
        <v>0</v>
      </c>
      <c r="F1" s="22"/>
      <c r="G1" s="20"/>
      <c r="H1" s="20"/>
      <c r="I1" s="20"/>
      <c r="J1" s="20"/>
      <c r="K1" s="20"/>
      <c r="L1" s="20"/>
      <c r="M1" s="20"/>
      <c r="N1" s="20"/>
      <c r="O1" s="20"/>
      <c r="P1" s="20"/>
      <c r="Q1" s="20"/>
      <c r="R1" s="20"/>
      <c r="S1" s="20"/>
      <c r="T1" s="20"/>
      <c r="U1" s="20"/>
      <c r="V1" s="20"/>
      <c r="W1" s="501">
        <f>SUBTOTAL(9,TB_EC[R$ APROVADO])</f>
        <v>25645357.794471394</v>
      </c>
      <c r="X1" s="505">
        <f>SUBTOTAL(9,TB_EC[R$ MEDIDO ])</f>
        <v>14843091.568843804</v>
      </c>
      <c r="Y1" s="503">
        <f>SUBTOTAL(9,TB_EC[R$ SALDO ])</f>
        <v>10802266.220959999</v>
      </c>
    </row>
    <row r="2" spans="1:25" ht="22.35" customHeight="1" x14ac:dyDescent="0.3">
      <c r="B2" s="21"/>
      <c r="C2" s="22"/>
      <c r="D2" s="22"/>
      <c r="E2" s="499">
        <f>SUBTOTAL(9,A:A)</f>
        <v>37</v>
      </c>
      <c r="F2" s="22"/>
      <c r="G2" s="22"/>
      <c r="H2" s="22"/>
      <c r="I2" s="22"/>
      <c r="J2" s="22"/>
      <c r="K2" s="22"/>
      <c r="L2" s="22"/>
      <c r="M2" s="22"/>
      <c r="N2" s="22"/>
      <c r="O2" s="22"/>
      <c r="P2" s="22"/>
      <c r="Q2" s="22"/>
      <c r="R2" s="22"/>
      <c r="S2" s="22"/>
      <c r="T2" s="22"/>
      <c r="U2" s="22"/>
      <c r="V2" s="22"/>
      <c r="W2" s="501"/>
      <c r="X2" s="505"/>
      <c r="Y2" s="503"/>
    </row>
    <row r="3" spans="1:25" ht="22.35" customHeight="1" x14ac:dyDescent="0.3">
      <c r="A3" s="23"/>
      <c r="B3" s="121"/>
      <c r="C3" s="24"/>
      <c r="D3" s="24"/>
      <c r="E3" s="500"/>
      <c r="F3" s="22"/>
      <c r="G3" s="24"/>
      <c r="H3" s="24"/>
      <c r="I3" s="24"/>
      <c r="J3" s="24"/>
      <c r="K3" s="24"/>
      <c r="L3" s="24"/>
      <c r="M3" s="24"/>
      <c r="N3" s="24"/>
      <c r="O3" s="24"/>
      <c r="P3" s="24"/>
      <c r="Q3" s="24"/>
      <c r="R3" s="24"/>
      <c r="S3" s="24"/>
      <c r="T3" s="24"/>
      <c r="U3" s="24"/>
      <c r="V3" s="24"/>
      <c r="W3" s="502"/>
      <c r="X3" s="506"/>
      <c r="Y3" s="504"/>
    </row>
    <row r="4" spans="1:25" s="3" customFormat="1" ht="38.1" customHeight="1" x14ac:dyDescent="0.3">
      <c r="A4" s="39" t="s">
        <v>17</v>
      </c>
      <c r="B4" s="26" t="s">
        <v>18</v>
      </c>
      <c r="C4" s="27" t="s">
        <v>19</v>
      </c>
      <c r="D4" s="27" t="s">
        <v>434</v>
      </c>
      <c r="E4" s="27" t="s">
        <v>2</v>
      </c>
      <c r="F4" s="40" t="s">
        <v>20</v>
      </c>
      <c r="G4" s="28" t="s">
        <v>64</v>
      </c>
      <c r="H4" s="29" t="s">
        <v>65</v>
      </c>
      <c r="I4" s="29" t="s">
        <v>66</v>
      </c>
      <c r="J4" s="29" t="s">
        <v>67</v>
      </c>
      <c r="K4" s="29" t="s">
        <v>68</v>
      </c>
      <c r="L4" s="29" t="s">
        <v>69</v>
      </c>
      <c r="M4" s="29" t="s">
        <v>70</v>
      </c>
      <c r="N4" s="29" t="s">
        <v>71</v>
      </c>
      <c r="O4" s="29" t="s">
        <v>72</v>
      </c>
      <c r="P4" s="29" t="s">
        <v>73</v>
      </c>
      <c r="Q4" s="29" t="s">
        <v>74</v>
      </c>
      <c r="R4" s="27" t="s">
        <v>24</v>
      </c>
      <c r="S4" s="29" t="s">
        <v>75</v>
      </c>
      <c r="T4" s="27" t="s">
        <v>76</v>
      </c>
      <c r="U4" s="29" t="s">
        <v>26</v>
      </c>
      <c r="V4" s="30" t="s">
        <v>77</v>
      </c>
      <c r="W4" s="6" t="s">
        <v>39</v>
      </c>
      <c r="X4" s="4" t="s">
        <v>40</v>
      </c>
      <c r="Y4" s="5" t="s">
        <v>41</v>
      </c>
    </row>
    <row r="5" spans="1:25" s="3" customFormat="1" ht="9" customHeight="1" x14ac:dyDescent="0.3">
      <c r="A5" s="31" t="s">
        <v>17</v>
      </c>
      <c r="B5" s="41" t="s">
        <v>18</v>
      </c>
      <c r="C5" s="33" t="s">
        <v>78</v>
      </c>
      <c r="D5" s="33" t="s">
        <v>434</v>
      </c>
      <c r="E5" s="33" t="s">
        <v>2</v>
      </c>
      <c r="F5" s="42" t="s">
        <v>20</v>
      </c>
      <c r="G5" s="36" t="s">
        <v>64</v>
      </c>
      <c r="H5" s="37" t="s">
        <v>65</v>
      </c>
      <c r="I5" s="37" t="s">
        <v>66</v>
      </c>
      <c r="J5" s="37" t="s">
        <v>67</v>
      </c>
      <c r="K5" s="37" t="s">
        <v>68</v>
      </c>
      <c r="L5" s="37" t="s">
        <v>69</v>
      </c>
      <c r="M5" s="37" t="s">
        <v>70</v>
      </c>
      <c r="N5" s="37" t="s">
        <v>71</v>
      </c>
      <c r="O5" s="37" t="s">
        <v>72</v>
      </c>
      <c r="P5" s="37" t="s">
        <v>73</v>
      </c>
      <c r="Q5" s="37" t="s">
        <v>74</v>
      </c>
      <c r="R5" s="33" t="s">
        <v>24</v>
      </c>
      <c r="S5" s="37" t="s">
        <v>75</v>
      </c>
      <c r="T5" s="33" t="s">
        <v>79</v>
      </c>
      <c r="U5" s="37" t="s">
        <v>45</v>
      </c>
      <c r="V5" s="37" t="s">
        <v>80</v>
      </c>
      <c r="W5" s="8" t="s">
        <v>39</v>
      </c>
      <c r="X5" s="9" t="s">
        <v>40</v>
      </c>
      <c r="Y5" s="10" t="s">
        <v>41</v>
      </c>
    </row>
    <row r="6" spans="1:25" hidden="1" x14ac:dyDescent="0.3">
      <c r="A6" s="270">
        <f>IF(COUNTIFS($B$5:B6,TB_EC[[#This Row],[Nº  SS]])&lt;&gt;1,"",COUNTIFS($B$5:B6,TB_EC[[#This Row],[Nº  SS]]))</f>
        <v>1</v>
      </c>
      <c r="B6" s="298" t="s">
        <v>436</v>
      </c>
      <c r="C6" s="268" t="str">
        <f>_xlfn.XLOOKUP(TB_EC[[#This Row],[Nº  SS]],'CONTROLE CRONOG'!B:B,'CONTROLE CRONOG'!C:C,"",0,1)</f>
        <v xml:space="preserve"> -- IMPLANTAÇÃO ÁREA I (EDIVIT, UTG-SUL, TIMS)</v>
      </c>
      <c r="D6" s="268" t="str">
        <f>_xlfn.XLOOKUP(TB_EC[[#This Row],[Nº  SS]],'CONTROLE CRONOG'!B:B,'CONTROLE CRONOG'!D:D,"",0,1)</f>
        <v>ADM</v>
      </c>
      <c r="E6" s="268" t="str">
        <f>_xlfn.XLOOKUP(TB_EC[[#This Row],[Nº  SS]],'CONTROLE CRONOG'!B:B,'CONTROLE CRONOG'!E:E,"",0,1)</f>
        <v>EDIVIT</v>
      </c>
      <c r="F6" s="299" t="str">
        <f>_xlfn.XLOOKUP(TB_EC[[#This Row],[Nº  SS]],'CONTROLE CRONOG'!B:B,'CONTROLE CRONOG'!F:F,"",0,1)</f>
        <v>EM ANDAMENTO</v>
      </c>
      <c r="G6" s="300" t="s">
        <v>81</v>
      </c>
      <c r="H6" s="301"/>
      <c r="I6" s="301"/>
      <c r="J6" s="301"/>
      <c r="K6" s="301"/>
      <c r="L6" s="301"/>
      <c r="M6" s="301"/>
      <c r="N6" s="301"/>
      <c r="O6" s="301"/>
      <c r="P6" s="301"/>
      <c r="Q6" s="301"/>
      <c r="R6" s="277" t="str" cm="1">
        <f t="array" ref="R6">IF(TB_EC[[#This Row],[REV.00]]="","",INDEX(G$4:Q$4,MATCH(2,1/(G6:Q6&lt;&gt;""),1)))</f>
        <v>REV.00</v>
      </c>
      <c r="S6" s="302" t="s">
        <v>81</v>
      </c>
      <c r="T6" s="273" t="str" cm="1">
        <f t="array" ref="T6">IF(TB_EC[[#This Row],[STATUS DEMANDA]]="CANCELADA","CANCELADA",IF(TB_EC[[#This Row],[DATA ENVIO]]="","PENDENTE",IF(TB_EC[[#This Row],[DATA ENVIO]]&gt;=IFERROR(INDEX(G6:Q6,MATCH(2,1/(G6:Q6&lt;&gt;""))),""),"ENTREGUE","PENDENTE")))</f>
        <v>ENTREGUE</v>
      </c>
      <c r="U6" s="302" t="s">
        <v>81</v>
      </c>
      <c r="V6" s="303" t="s">
        <v>11</v>
      </c>
      <c r="W6" s="304">
        <f>_xlfn.XLOOKUP(TB_EC[[#This Row],[Nº  SS]],'CONTROLE FIN'!A:A,'CONTROLE FIN'!F:F,"",0,1)</f>
        <v>7940511.1276199995</v>
      </c>
      <c r="X6" s="305">
        <f>_xlfn.XLOOKUP(TB_EC[[#This Row],[Nº  SS]],'CONTROLE FIN'!A:A,'CONTROLE FIN'!H:H,"",0,1)</f>
        <v>2080364.77926</v>
      </c>
      <c r="Y6" s="306">
        <f>_xlfn.XLOOKUP(TB_EC[[#This Row],[Nº  SS]],'CONTROLE FIN'!A:A,'CONTROLE FIN'!I:I,"",0,1)</f>
        <v>5860146.3483599992</v>
      </c>
    </row>
    <row r="7" spans="1:25" hidden="1" x14ac:dyDescent="0.3">
      <c r="A7" s="270">
        <f>IF(COUNTIFS($B$5:B7,TB_EC[[#This Row],[Nº  SS]])&lt;&gt;1,"",COUNTIFS($B$5:B7,TB_EC[[#This Row],[Nº  SS]]))</f>
        <v>1</v>
      </c>
      <c r="B7" s="267" t="s">
        <v>437</v>
      </c>
      <c r="C7" s="268" t="str">
        <f>_xlfn.XLOOKUP(TB_EC[[#This Row],[Nº  SS]],'CONTROLE CRONOG'!B:B,'CONTROLE CRONOG'!C:C,"",0,1)</f>
        <v xml:space="preserve"> -- IMPLANTAÇÃO ÁREA II (UTGC)</v>
      </c>
      <c r="D7" s="268" t="str">
        <f>_xlfn.XLOOKUP(TB_EC[[#This Row],[Nº  SS]],'CONTROLE CRONOG'!B:B,'CONTROLE CRONOG'!D:D,"",0,1)</f>
        <v>ADM</v>
      </c>
      <c r="E7" s="268" t="str">
        <f>_xlfn.XLOOKUP(TB_EC[[#This Row],[Nº  SS]],'CONTROLE CRONOG'!B:B,'CONTROLE CRONOG'!E:E,"",0,1)</f>
        <v>UTGC</v>
      </c>
      <c r="F7" s="299" t="str">
        <f>_xlfn.XLOOKUP(TB_EC[[#This Row],[Nº  SS]],'CONTROLE CRONOG'!B:B,'CONTROLE CRONOG'!F:F,"",0,1)</f>
        <v>EM ANDAMENTO</v>
      </c>
      <c r="G7" s="300" t="s">
        <v>81</v>
      </c>
      <c r="H7" s="302"/>
      <c r="I7" s="302"/>
      <c r="J7" s="302"/>
      <c r="K7" s="302"/>
      <c r="L7" s="302"/>
      <c r="M7" s="302"/>
      <c r="N7" s="302"/>
      <c r="O7" s="302"/>
      <c r="P7" s="302"/>
      <c r="Q7" s="302"/>
      <c r="R7" s="277" t="str" cm="1">
        <f t="array" ref="R7">IF(TB_EC[[#This Row],[REV.00]]="","",INDEX(G$4:Q$4,MATCH(2,1/(G7:Q7&lt;&gt;""),1)))</f>
        <v>REV.00</v>
      </c>
      <c r="S7" s="302" t="s">
        <v>81</v>
      </c>
      <c r="T7" s="273" t="str" cm="1">
        <f t="array" ref="T7">IF(TB_EC[[#This Row],[STATUS DEMANDA]]="CANCELADA","CANCELADA",IF(TB_EC[[#This Row],[DATA ENVIO]]="","PENDENTE",IF(TB_EC[[#This Row],[DATA ENVIO]]&gt;=IFERROR(INDEX(G7:Q7,MATCH(2,1/(G7:Q7&lt;&gt;""))),""),"ENTREGUE","PENDENTE")))</f>
        <v>ENTREGUE</v>
      </c>
      <c r="U7" s="302" t="s">
        <v>81</v>
      </c>
      <c r="V7" s="303" t="s">
        <v>11</v>
      </c>
      <c r="W7" s="307">
        <f>_xlfn.XLOOKUP(TB_EC[[#This Row],[Nº  SS]],'CONTROLE FIN'!A:A,'CONTROLE FIN'!F:F,"",0,1)</f>
        <v>10320001.30782</v>
      </c>
      <c r="X7" s="308">
        <f>_xlfn.XLOOKUP(TB_EC[[#This Row],[Nº  SS]],'CONTROLE FIN'!A:A,'CONTROLE FIN'!H:H,"",0,1)</f>
        <v>3321231.7716000001</v>
      </c>
      <c r="Y7" s="309">
        <f>_xlfn.XLOOKUP(TB_EC[[#This Row],[Nº  SS]],'CONTROLE FIN'!A:A,'CONTROLE FIN'!I:I,"",0,1)</f>
        <v>6998769.5362199992</v>
      </c>
    </row>
    <row r="8" spans="1:25" hidden="1" x14ac:dyDescent="0.3">
      <c r="A8" s="270">
        <f>IF(COUNTIFS($B$5:B8,TB_EC[[#This Row],[Nº  SS]])&lt;&gt;1,"",COUNTIFS($B$5:B8,TB_EC[[#This Row],[Nº  SS]]))</f>
        <v>1</v>
      </c>
      <c r="B8" s="267" t="s">
        <v>438</v>
      </c>
      <c r="C8" s="268" t="str">
        <f>_xlfn.XLOOKUP(TB_EC[[#This Row],[Nº  SS]],'CONTROLE CRONOG'!B:B,'CONTROLE CRONOG'!C:C,"",0,1)</f>
        <v xml:space="preserve"> -- IMPLANTAÇÃO ÁREA III (REGAP, UTE-IBT)</v>
      </c>
      <c r="D8" s="268" t="str">
        <f>_xlfn.XLOOKUP(TB_EC[[#This Row],[Nº  SS]],'CONTROLE CRONOG'!B:B,'CONTROLE CRONOG'!D:D,"",0,1)</f>
        <v>ADM</v>
      </c>
      <c r="E8" s="268" t="str">
        <f>_xlfn.XLOOKUP(TB_EC[[#This Row],[Nº  SS]],'CONTROLE CRONOG'!B:B,'CONTROLE CRONOG'!E:E,"",0,1)</f>
        <v>REGAP</v>
      </c>
      <c r="F8" s="299" t="str">
        <f>_xlfn.XLOOKUP(TB_EC[[#This Row],[Nº  SS]],'CONTROLE CRONOG'!B:B,'CONTROLE CRONOG'!F:F,"",0,1)</f>
        <v>NÃO EMITIDA SAMC</v>
      </c>
      <c r="G8" s="300"/>
      <c r="H8" s="302"/>
      <c r="I8" s="302"/>
      <c r="J8" s="302"/>
      <c r="K8" s="302"/>
      <c r="L8" s="302"/>
      <c r="M8" s="302"/>
      <c r="N8" s="302"/>
      <c r="O8" s="302"/>
      <c r="P8" s="302"/>
      <c r="Q8" s="302"/>
      <c r="R8" s="277" t="str" cm="1">
        <f t="array" ref="R8">IF(TB_EC[[#This Row],[REV.00]]="","",INDEX(G$4:Q$4,MATCH(2,1/(G8:Q8&lt;&gt;""),1)))</f>
        <v/>
      </c>
      <c r="S8" s="302"/>
      <c r="T8" s="273" t="str" cm="1">
        <f t="array" ref="T8">IF(TB_EC[[#This Row],[STATUS DEMANDA]]="CANCELADA","CANCELADA",IF(TB_EC[[#This Row],[DATA ENVIO]]="","PENDENTE",IF(TB_EC[[#This Row],[DATA ENVIO]]&gt;=IFERROR(INDEX(G8:Q8,MATCH(2,1/(G8:Q8&lt;&gt;""))),""),"ENTREGUE","PENDENTE")))</f>
        <v>PENDENTE</v>
      </c>
      <c r="U8" s="302"/>
      <c r="V8" s="303"/>
      <c r="W8" s="307">
        <f>_xlfn.XLOOKUP(TB_EC[[#This Row],[Nº  SS]],'CONTROLE FIN'!A:A,'CONTROLE FIN'!F:F,"",0,1)</f>
        <v>0</v>
      </c>
      <c r="X8" s="308">
        <f>_xlfn.XLOOKUP(TB_EC[[#This Row],[Nº  SS]],'CONTROLE FIN'!A:A,'CONTROLE FIN'!H:H,"",0,1)</f>
        <v>0</v>
      </c>
      <c r="Y8" s="309">
        <f>_xlfn.XLOOKUP(TB_EC[[#This Row],[Nº  SS]],'CONTROLE FIN'!A:A,'CONTROLE FIN'!I:I,"",0,1)</f>
        <v>0</v>
      </c>
    </row>
    <row r="9" spans="1:25" x14ac:dyDescent="0.3">
      <c r="A9" s="345">
        <f>IF(COUNTIFS($B$5:B9,TB_EC[[#This Row],[Nº  SS]])&lt;&gt;1,"",COUNTIFS($B$5:B9,TB_EC[[#This Row],[Nº  SS]]))</f>
        <v>1</v>
      </c>
      <c r="B9" s="267" t="s">
        <v>439</v>
      </c>
      <c r="C9" s="268" t="str">
        <f>_xlfn.XLOOKUP(TB_EC[[#This Row],[Nº  SS]],'CONTROLE CRONOG'!B:B,'CONTROLE CRONOG'!C:C,"",0,1)</f>
        <v>24-0651-ES - MONTAGEM DO GALPÃO DA UPGN-2</v>
      </c>
      <c r="D9" s="268" t="str">
        <f>_xlfn.XLOOKUP(TB_EC[[#This Row],[Nº  SS]],'CONTROLE CRONOG'!B:B,'CONTROLE CRONOG'!D:D,"",0,1)</f>
        <v>SERVIÇO</v>
      </c>
      <c r="E9" s="268" t="str">
        <f>_xlfn.XLOOKUP(TB_EC[[#This Row],[Nº  SS]],'CONTROLE CRONOG'!B:B,'CONTROLE CRONOG'!E:E,"",0,1)</f>
        <v>UTGC</v>
      </c>
      <c r="F9" s="299" t="str">
        <f>_xlfn.XLOOKUP(TB_EC[[#This Row],[Nº  SS]],'CONTROLE CRONOG'!B:B,'CONTROLE CRONOG'!F:F,"",0,1)</f>
        <v>EM ANDAMENTO</v>
      </c>
      <c r="G9" s="300">
        <v>45929</v>
      </c>
      <c r="H9" s="302">
        <v>45951</v>
      </c>
      <c r="I9" s="302">
        <v>45952</v>
      </c>
      <c r="J9" s="302">
        <v>45952</v>
      </c>
      <c r="K9" s="302">
        <v>45953</v>
      </c>
      <c r="L9" s="302">
        <v>45953</v>
      </c>
      <c r="M9" s="302"/>
      <c r="N9" s="302"/>
      <c r="O9" s="302"/>
      <c r="P9" s="302"/>
      <c r="Q9" s="302"/>
      <c r="R9" s="277" t="str" cm="1">
        <f t="array" ref="R9">IF(TB_EC[[#This Row],[REV.00]]="","",INDEX(G$4:Q$4,MATCH(2,1/(G9:Q9&lt;&gt;""),1)))</f>
        <v>REV.05</v>
      </c>
      <c r="S9" s="302">
        <v>45953</v>
      </c>
      <c r="T9" s="273" t="str" cm="1">
        <f t="array" ref="T9">IF(TB_EC[[#This Row],[STATUS DEMANDA]]="CANCELADA","CANCELADA",IF(TB_EC[[#This Row],[DATA ENVIO]]="","PENDENTE",IF(TB_EC[[#This Row],[DATA ENVIO]]&gt;=IFERROR(INDEX(G9:Q9,MATCH(2,1/(G9:Q9&lt;&gt;""))),""),"ENTREGUE","PENDENTE")))</f>
        <v>ENTREGUE</v>
      </c>
      <c r="U9" s="302">
        <v>45954</v>
      </c>
      <c r="V9" s="303" t="s">
        <v>11</v>
      </c>
      <c r="W9" s="307">
        <f>_xlfn.XLOOKUP(TB_EC[[#This Row],[Nº  SS]],'CONTROLE FIN'!A:A,'CONTROLE FIN'!F:F,"",0,1)</f>
        <v>9201249.3284999989</v>
      </c>
      <c r="X9" s="308">
        <f>_xlfn.XLOOKUP(TB_EC[[#This Row],[Nº  SS]],'CONTROLE FIN'!A:A,'CONTROLE FIN'!H:H,"",0,1)</f>
        <v>4922668.2794399997</v>
      </c>
      <c r="Y9" s="309">
        <f>_xlfn.XLOOKUP(TB_EC[[#This Row],[Nº  SS]],'CONTROLE FIN'!A:A,'CONTROLE FIN'!I:I,"",0,1)</f>
        <v>4278581.0490599992</v>
      </c>
    </row>
    <row r="10" spans="1:25" x14ac:dyDescent="0.3">
      <c r="A10" s="344">
        <f>IF(COUNTIFS($B$5:B10,TB_EC[[#This Row],[Nº  SS]])&lt;&gt;1,"",COUNTIFS($B$5:B10,TB_EC[[#This Row],[Nº  SS]]))</f>
        <v>1</v>
      </c>
      <c r="B10" s="267" t="s">
        <v>440</v>
      </c>
      <c r="C10" s="269" t="str">
        <f>_xlfn.XLOOKUP(TB_EC[[#This Row],[Nº  SS]],'CONTROLE CRONOG'!B:B,'CONTROLE CRONOG'!C:C,"",0,1)</f>
        <v>23-0706-ES - MANUTENÇÃO DO GALPÃO SECGN</v>
      </c>
      <c r="D10" s="269" t="str">
        <f>_xlfn.XLOOKUP(TB_EC[[#This Row],[Nº  SS]],'CONTROLE CRONOG'!B:B,'CONTROLE CRONOG'!D:D,"",0,1)</f>
        <v>SERVIÇO</v>
      </c>
      <c r="E10" s="269" t="str">
        <f>_xlfn.XLOOKUP(TB_EC[[#This Row],[Nº  SS]],'CONTROLE CRONOG'!B:B,'CONTROLE CRONOG'!E:E,"",0,1)</f>
        <v>UTGC</v>
      </c>
      <c r="F10" s="310" t="str">
        <f>_xlfn.XLOOKUP(TB_EC[[#This Row],[Nº  SS]],'CONTROLE CRONOG'!B:B,'CONTROLE CRONOG'!F:F,"",0,1)</f>
        <v>CONCLUÍDA</v>
      </c>
      <c r="G10" s="346">
        <v>45918</v>
      </c>
      <c r="H10" s="346">
        <v>45925</v>
      </c>
      <c r="I10" s="346">
        <v>45925</v>
      </c>
      <c r="J10" s="302">
        <v>45932</v>
      </c>
      <c r="K10" s="302"/>
      <c r="L10" s="302"/>
      <c r="M10" s="302"/>
      <c r="N10" s="302"/>
      <c r="O10" s="302"/>
      <c r="P10" s="302"/>
      <c r="Q10" s="302"/>
      <c r="R10" s="277" t="str" cm="1">
        <f t="array" ref="R10">IF(TB_EC[[#This Row],[REV.00]]="","",INDEX(G$4:Q$4,MATCH(2,1/(G10:Q10&lt;&gt;""),1)))</f>
        <v>REV.03</v>
      </c>
      <c r="S10" s="302">
        <v>45932</v>
      </c>
      <c r="T10" s="277" t="str" cm="1">
        <f t="array" ref="T10">IF(TB_EC[[#This Row],[STATUS DEMANDA]]="CANCELADA","CANCELADA",IF(TB_EC[[#This Row],[DATA ENVIO]]="","PENDENTE",IF(TB_EC[[#This Row],[DATA ENVIO]]&gt;=IFERROR(INDEX(G10:Q10,MATCH(2,1/(G10:Q10&lt;&gt;""))),""),"ENTREGUE","PENDENTE")))</f>
        <v>ENTREGUE</v>
      </c>
      <c r="U10" s="302">
        <v>45932</v>
      </c>
      <c r="V10" s="303" t="s">
        <v>11</v>
      </c>
      <c r="W10" s="307">
        <f>_xlfn.XLOOKUP(TB_EC[[#This Row],[Nº  SS]],'CONTROLE FIN'!A:A,'CONTROLE FIN'!F:F,"",0,1)</f>
        <v>857462.22378</v>
      </c>
      <c r="X10" s="308">
        <f>_xlfn.XLOOKUP(TB_EC[[#This Row],[Nº  SS]],'CONTROLE FIN'!A:A,'CONTROLE FIN'!H:H,"",0,1)</f>
        <v>857462.22378</v>
      </c>
      <c r="Y10" s="309">
        <f>_xlfn.XLOOKUP(TB_EC[[#This Row],[Nº  SS]],'CONTROLE FIN'!A:A,'CONTROLE FIN'!I:I,"",0,1)</f>
        <v>0</v>
      </c>
    </row>
    <row r="11" spans="1:25" x14ac:dyDescent="0.3">
      <c r="A11" s="344">
        <f>IF(COUNTIFS($B$5:B11,TB_EC[[#This Row],[Nº  SS]])&lt;&gt;1,"",COUNTIFS($B$5:B11,TB_EC[[#This Row],[Nº  SS]]))</f>
        <v>1</v>
      </c>
      <c r="B11" s="267" t="s">
        <v>441</v>
      </c>
      <c r="C11" s="269" t="str">
        <f>_xlfn.XLOOKUP(TB_EC[[#This Row],[Nº  SS]],'CONTROLE CRONOG'!B:B,'CONTROLE CRONOG'!C:C,"",0,1)</f>
        <v>23-0803-ES - MANUTENÇÃO DO GALPÃO K-14</v>
      </c>
      <c r="D11" s="269" t="str">
        <f>_xlfn.XLOOKUP(TB_EC[[#This Row],[Nº  SS]],'CONTROLE CRONOG'!B:B,'CONTROLE CRONOG'!D:D,"",0,1)</f>
        <v>SERVIÇO</v>
      </c>
      <c r="E11" s="269" t="str">
        <f>_xlfn.XLOOKUP(TB_EC[[#This Row],[Nº  SS]],'CONTROLE CRONOG'!B:B,'CONTROLE CRONOG'!E:E,"",0,1)</f>
        <v>UTGC</v>
      </c>
      <c r="F11" s="310" t="str">
        <f>_xlfn.XLOOKUP(TB_EC[[#This Row],[Nº  SS]],'CONTROLE CRONOG'!B:B,'CONTROLE CRONOG'!F:F,"",0,1)</f>
        <v>CONCLUÍDA</v>
      </c>
      <c r="G11" s="346">
        <v>45931</v>
      </c>
      <c r="H11" s="302">
        <v>45940</v>
      </c>
      <c r="I11" s="302">
        <v>45945</v>
      </c>
      <c r="J11" s="302">
        <v>45946</v>
      </c>
      <c r="K11" s="302">
        <v>45947</v>
      </c>
      <c r="L11" s="302"/>
      <c r="M11" s="302"/>
      <c r="N11" s="302"/>
      <c r="O11" s="302"/>
      <c r="P11" s="302"/>
      <c r="Q11" s="302"/>
      <c r="R11" s="277" t="str" cm="1">
        <f t="array" ref="R11">IF(TB_EC[[#This Row],[REV.00]]="","",INDEX(G$4:Q$4,MATCH(2,1/(G11:Q11&lt;&gt;""),1)))</f>
        <v>REV.04</v>
      </c>
      <c r="S11" s="302">
        <v>45947</v>
      </c>
      <c r="T11" s="277" t="str" cm="1">
        <f t="array" ref="T11">IF(TB_EC[[#This Row],[STATUS DEMANDA]]="CANCELADA","CANCELADA",IF(TB_EC[[#This Row],[DATA ENVIO]]="","PENDENTE",IF(TB_EC[[#This Row],[DATA ENVIO]]&gt;=IFERROR(INDEX(G11:Q11,MATCH(2,1/(G11:Q11&lt;&gt;""))),""),"ENTREGUE","PENDENTE")))</f>
        <v>ENTREGUE</v>
      </c>
      <c r="U11" s="302">
        <v>45947</v>
      </c>
      <c r="V11" s="303" t="s">
        <v>11</v>
      </c>
      <c r="W11" s="307">
        <f>_xlfn.XLOOKUP(TB_EC[[#This Row],[Nº  SS]],'CONTROLE FIN'!A:A,'CONTROLE FIN'!F:F,"",0,1)</f>
        <v>1342003.9550399999</v>
      </c>
      <c r="X11" s="308">
        <f>_xlfn.XLOOKUP(TB_EC[[#This Row],[Nº  SS]],'CONTROLE FIN'!A:A,'CONTROLE FIN'!H:H,"",0,1)</f>
        <v>1342003.9550399999</v>
      </c>
      <c r="Y11" s="309">
        <f>_xlfn.XLOOKUP(TB_EC[[#This Row],[Nº  SS]],'CONTROLE FIN'!A:A,'CONTROLE FIN'!I:I,"",0,1)</f>
        <v>0</v>
      </c>
    </row>
    <row r="12" spans="1:25" x14ac:dyDescent="0.3">
      <c r="A12" s="344">
        <f>IF(COUNTIFS($B$5:B12,TB_EC[[#This Row],[Nº  SS]])&lt;&gt;1,"",COUNTIFS($B$5:B12,TB_EC[[#This Row],[Nº  SS]]))</f>
        <v>1</v>
      </c>
      <c r="B12" s="267" t="s">
        <v>442</v>
      </c>
      <c r="C12" s="269" t="str">
        <f>_xlfn.XLOOKUP(TB_EC[[#This Row],[Nº  SS]],'CONTROLE CRONOG'!B:B,'CONTROLE CRONOG'!C:C,"",0,1)</f>
        <v>23-710B-ES - MANUTENÇÃO DO GALPÃO DE BOMBAS DE TRANSFERÊNCIA DE GLP PARA TABR</v>
      </c>
      <c r="D12" s="269" t="str">
        <f>_xlfn.XLOOKUP(TB_EC[[#This Row],[Nº  SS]],'CONTROLE CRONOG'!B:B,'CONTROLE CRONOG'!D:D,"",0,1)</f>
        <v>SERVIÇO</v>
      </c>
      <c r="E12" s="269" t="str">
        <f>_xlfn.XLOOKUP(TB_EC[[#This Row],[Nº  SS]],'CONTROLE CRONOG'!B:B,'CONTROLE CRONOG'!E:E,"",0,1)</f>
        <v>UTGC</v>
      </c>
      <c r="F12" s="310" t="str">
        <f>_xlfn.XLOOKUP(TB_EC[[#This Row],[Nº  SS]],'CONTROLE CRONOG'!B:B,'CONTROLE CRONOG'!F:F,"",0,1)</f>
        <v>CONCLUÍDA</v>
      </c>
      <c r="G12" s="346">
        <v>45930</v>
      </c>
      <c r="H12" s="302">
        <v>45936</v>
      </c>
      <c r="I12" s="302"/>
      <c r="J12" s="302"/>
      <c r="K12" s="302"/>
      <c r="L12" s="302"/>
      <c r="M12" s="302"/>
      <c r="N12" s="302"/>
      <c r="O12" s="302"/>
      <c r="P12" s="302"/>
      <c r="Q12" s="302"/>
      <c r="R12" s="277" t="str" cm="1">
        <f t="array" ref="R12">IF(TB_EC[[#This Row],[REV.00]]="","",INDEX(G$4:Q$4,MATCH(2,1/(G12:Q12&lt;&gt;""),1)))</f>
        <v>REV.01</v>
      </c>
      <c r="S12" s="302">
        <v>45936</v>
      </c>
      <c r="T12" s="277" t="str" cm="1">
        <f t="array" ref="T12">IF(TB_EC[[#This Row],[STATUS DEMANDA]]="CANCELADA","CANCELADA",IF(TB_EC[[#This Row],[DATA ENVIO]]="","PENDENTE",IF(TB_EC[[#This Row],[DATA ENVIO]]&gt;=IFERROR(INDEX(G12:Q12,MATCH(2,1/(G12:Q12&lt;&gt;""))),""),"ENTREGUE","PENDENTE")))</f>
        <v>ENTREGUE</v>
      </c>
      <c r="U12" s="302">
        <v>45937</v>
      </c>
      <c r="V12" s="303" t="s">
        <v>11</v>
      </c>
      <c r="W12" s="307">
        <f>_xlfn.XLOOKUP(TB_EC[[#This Row],[Nº  SS]],'CONTROLE FIN'!A:A,'CONTROLE FIN'!F:F,"",0,1)</f>
        <v>572533.72343999997</v>
      </c>
      <c r="X12" s="308">
        <f>_xlfn.XLOOKUP(TB_EC[[#This Row],[Nº  SS]],'CONTROLE FIN'!A:A,'CONTROLE FIN'!H:H,"",0,1)</f>
        <v>572533.72343999997</v>
      </c>
      <c r="Y12" s="309">
        <f>_xlfn.XLOOKUP(TB_EC[[#This Row],[Nº  SS]],'CONTROLE FIN'!A:A,'CONTROLE FIN'!I:I,"",0,1)</f>
        <v>0</v>
      </c>
    </row>
    <row r="13" spans="1:25" x14ac:dyDescent="0.3">
      <c r="A13" s="344">
        <f>IF(COUNTIFS($B$5:B13,TB_EC[[#This Row],[Nº  SS]])&lt;&gt;1,"",COUNTIFS($B$5:B13,TB_EC[[#This Row],[Nº  SS]]))</f>
        <v>1</v>
      </c>
      <c r="B13" s="267" t="s">
        <v>443</v>
      </c>
      <c r="C13" s="269" t="str">
        <f>_xlfn.XLOOKUP(TB_EC[[#This Row],[Nº  SS]],'CONTROLE CRONOG'!B:B,'CONTROLE CRONOG'!C:C,"",0,1)</f>
        <v>23-0713-ES - MANUTENÇÃO DO GALPÃO K-02</v>
      </c>
      <c r="D13" s="269" t="str">
        <f>_xlfn.XLOOKUP(TB_EC[[#This Row],[Nº  SS]],'CONTROLE CRONOG'!B:B,'CONTROLE CRONOG'!D:D,"",0,1)</f>
        <v>SERVIÇO</v>
      </c>
      <c r="E13" s="269" t="str">
        <f>_xlfn.XLOOKUP(TB_EC[[#This Row],[Nº  SS]],'CONTROLE CRONOG'!B:B,'CONTROLE CRONOG'!E:E,"",0,1)</f>
        <v>UTGC</v>
      </c>
      <c r="F13" s="310" t="str">
        <f>_xlfn.XLOOKUP(TB_EC[[#This Row],[Nº  SS]],'CONTROLE CRONOG'!B:B,'CONTROLE CRONOG'!F:F,"",0,1)</f>
        <v>EM ANDAMENTO</v>
      </c>
      <c r="G13" s="346">
        <v>45946</v>
      </c>
      <c r="H13" s="302">
        <v>45949</v>
      </c>
      <c r="I13" s="302"/>
      <c r="J13" s="302"/>
      <c r="K13" s="302"/>
      <c r="L13" s="302"/>
      <c r="M13" s="302"/>
      <c r="N13" s="302"/>
      <c r="O13" s="302"/>
      <c r="P13" s="302"/>
      <c r="Q13" s="302"/>
      <c r="R13" s="277" t="str" cm="1">
        <f t="array" ref="R13">IF(TB_EC[[#This Row],[REV.00]]="","",INDEX(G$4:Q$4,MATCH(2,1/(G13:Q13&lt;&gt;""),1)))</f>
        <v>REV.01</v>
      </c>
      <c r="S13" s="302">
        <v>45949</v>
      </c>
      <c r="T13" s="277" t="str" cm="1">
        <f t="array" ref="T13">IF(TB_EC[[#This Row],[STATUS DEMANDA]]="CANCELADA","CANCELADA",IF(TB_EC[[#This Row],[DATA ENVIO]]="","PENDENTE",IF(TB_EC[[#This Row],[DATA ENVIO]]&gt;=IFERROR(INDEX(G13:Q13,MATCH(2,1/(G13:Q13&lt;&gt;""))),""),"ENTREGUE","PENDENTE")))</f>
        <v>ENTREGUE</v>
      </c>
      <c r="U13" s="302">
        <v>45952</v>
      </c>
      <c r="V13" s="303" t="s">
        <v>11</v>
      </c>
      <c r="W13" s="307">
        <f>_xlfn.XLOOKUP(TB_EC[[#This Row],[Nº  SS]],'CONTROLE FIN'!A:A,'CONTROLE FIN'!F:F,"",0,1)</f>
        <v>743593.46399999992</v>
      </c>
      <c r="X13" s="308">
        <f>_xlfn.XLOOKUP(TB_EC[[#This Row],[Nº  SS]],'CONTROLE FIN'!A:A,'CONTROLE FIN'!H:H,"",0,1)</f>
        <v>371796.73200000002</v>
      </c>
      <c r="Y13" s="309">
        <f>_xlfn.XLOOKUP(TB_EC[[#This Row],[Nº  SS]],'CONTROLE FIN'!A:A,'CONTROLE FIN'!I:I,"",0,1)</f>
        <v>371796.7319999999</v>
      </c>
    </row>
    <row r="14" spans="1:25" x14ac:dyDescent="0.3">
      <c r="A14" s="344">
        <f>IF(COUNTIFS($B$5:B14,TB_EC[[#This Row],[Nº  SS]])&lt;&gt;1,"",COUNTIFS($B$5:B14,TB_EC[[#This Row],[Nº  SS]]))</f>
        <v>1</v>
      </c>
      <c r="B14" s="267" t="s">
        <v>444</v>
      </c>
      <c r="C14" s="269" t="str">
        <f>_xlfn.XLOOKUP(TB_EC[[#This Row],[Nº  SS]],'CONTROLE CRONOG'!B:B,'CONTROLE CRONOG'!C:C,"",0,1)</f>
        <v>23-0707-ES - MANUTENÇÃO DO GALPÃO UPGN-3</v>
      </c>
      <c r="D14" s="269" t="str">
        <f>_xlfn.XLOOKUP(TB_EC[[#This Row],[Nº  SS]],'CONTROLE CRONOG'!B:B,'CONTROLE CRONOG'!D:D,"",0,1)</f>
        <v>SERVIÇO</v>
      </c>
      <c r="E14" s="269" t="str">
        <f>_xlfn.XLOOKUP(TB_EC[[#This Row],[Nº  SS]],'CONTROLE CRONOG'!B:B,'CONTROLE CRONOG'!E:E,"",0,1)</f>
        <v>UTGC</v>
      </c>
      <c r="F14" s="310" t="str">
        <f>_xlfn.XLOOKUP(TB_EC[[#This Row],[Nº  SS]],'CONTROLE CRONOG'!B:B,'CONTROLE CRONOG'!F:F,"",0,1)</f>
        <v>CONCLUÍDA</v>
      </c>
      <c r="G14" s="346">
        <v>45919</v>
      </c>
      <c r="H14" s="346">
        <v>45925</v>
      </c>
      <c r="I14" s="346">
        <v>45925</v>
      </c>
      <c r="J14" s="302">
        <v>45932</v>
      </c>
      <c r="K14" s="302"/>
      <c r="L14" s="302"/>
      <c r="M14" s="302"/>
      <c r="N14" s="302"/>
      <c r="O14" s="302"/>
      <c r="P14" s="302"/>
      <c r="Q14" s="302"/>
      <c r="R14" s="277" t="str" cm="1">
        <f t="array" ref="R14">IF(TB_EC[[#This Row],[REV.00]]="","",INDEX(G$4:Q$4,MATCH(2,1/(G14:Q14&lt;&gt;""),1)))</f>
        <v>REV.03</v>
      </c>
      <c r="S14" s="302">
        <v>45932</v>
      </c>
      <c r="T14" s="277" t="str" cm="1">
        <f t="array" ref="T14">IF(TB_EC[[#This Row],[STATUS DEMANDA]]="CANCELADA","CANCELADA",IF(TB_EC[[#This Row],[DATA ENVIO]]="","PENDENTE",IF(TB_EC[[#This Row],[DATA ENVIO]]&gt;=IFERROR(INDEX(G14:Q14,MATCH(2,1/(G14:Q14&lt;&gt;""))),""),"ENTREGUE","PENDENTE")))</f>
        <v>ENTREGUE</v>
      </c>
      <c r="U14" s="302">
        <v>45932</v>
      </c>
      <c r="V14" s="303" t="s">
        <v>11</v>
      </c>
      <c r="W14" s="307">
        <f>_xlfn.XLOOKUP(TB_EC[[#This Row],[Nº  SS]],'CONTROLE FIN'!A:A,'CONTROLE FIN'!F:F,"",0,1)</f>
        <v>588935.40300000005</v>
      </c>
      <c r="X14" s="308">
        <f>_xlfn.XLOOKUP(TB_EC[[#This Row],[Nº  SS]],'CONTROLE FIN'!A:A,'CONTROLE FIN'!H:H,"",0,1)</f>
        <v>588935.40300000005</v>
      </c>
      <c r="Y14" s="309">
        <f>_xlfn.XLOOKUP(TB_EC[[#This Row],[Nº  SS]],'CONTROLE FIN'!A:A,'CONTROLE FIN'!I:I,"",0,1)</f>
        <v>0</v>
      </c>
    </row>
    <row r="15" spans="1:25" x14ac:dyDescent="0.3">
      <c r="A15" s="344">
        <f>IF(COUNTIFS($B$5:B15,TB_EC[[#This Row],[Nº  SS]])&lt;&gt;1,"",COUNTIFS($B$5:B15,TB_EC[[#This Row],[Nº  SS]]))</f>
        <v>1</v>
      </c>
      <c r="B15" s="267" t="s">
        <v>54</v>
      </c>
      <c r="C15" s="269" t="str">
        <f>_xlfn.XLOOKUP(TB_EC[[#This Row],[Nº  SS]],'CONTROLE CRONOG'!B:B,'CONTROLE CRONOG'!C:C,"",0,1)</f>
        <v>24-0096-ES - REFORMA DA COBERTURA DO K-04</v>
      </c>
      <c r="D15" s="269" t="str">
        <f>_xlfn.XLOOKUP(TB_EC[[#This Row],[Nº  SS]],'CONTROLE CRONOG'!B:B,'CONTROLE CRONOG'!D:D,"",0,1)</f>
        <v>SERVIÇO</v>
      </c>
      <c r="E15" s="269" t="str">
        <f>_xlfn.XLOOKUP(TB_EC[[#This Row],[Nº  SS]],'CONTROLE CRONOG'!B:B,'CONTROLE CRONOG'!E:E,"",0,1)</f>
        <v>UTGC</v>
      </c>
      <c r="F15" s="310" t="str">
        <f>_xlfn.XLOOKUP(TB_EC[[#This Row],[Nº  SS]],'CONTROLE CRONOG'!B:B,'CONTROLE CRONOG'!F:F,"",0,1)</f>
        <v>CONCLUÍDA</v>
      </c>
      <c r="G15" s="346">
        <v>45944</v>
      </c>
      <c r="H15" s="302">
        <v>45950</v>
      </c>
      <c r="I15" s="302">
        <v>45953</v>
      </c>
      <c r="J15" s="302">
        <v>45954</v>
      </c>
      <c r="K15" s="302">
        <v>45954</v>
      </c>
      <c r="L15" s="302"/>
      <c r="M15" s="302"/>
      <c r="N15" s="302"/>
      <c r="O15" s="302"/>
      <c r="P15" s="302"/>
      <c r="Q15" s="302"/>
      <c r="R15" s="277" t="str" cm="1">
        <f t="array" ref="R15">IF(TB_EC[[#This Row],[REV.00]]="","",INDEX(G$4:Q$4,MATCH(2,1/(G15:Q15&lt;&gt;""),1)))</f>
        <v>REV.04</v>
      </c>
      <c r="S15" s="302">
        <v>45954</v>
      </c>
      <c r="T15" s="277" t="str" cm="1">
        <f t="array" ref="T15">IF(TB_EC[[#This Row],[STATUS DEMANDA]]="CANCELADA","CANCELADA",IF(TB_EC[[#This Row],[DATA ENVIO]]="","PENDENTE",IF(TB_EC[[#This Row],[DATA ENVIO]]&gt;=IFERROR(INDEX(G15:Q15,MATCH(2,1/(G15:Q15&lt;&gt;""))),""),"ENTREGUE","PENDENTE")))</f>
        <v>ENTREGUE</v>
      </c>
      <c r="U15" s="302">
        <v>45954</v>
      </c>
      <c r="V15" s="303" t="s">
        <v>11</v>
      </c>
      <c r="W15" s="307">
        <f>_xlfn.XLOOKUP(TB_EC[[#This Row],[Nº  SS]],'CONTROLE FIN'!A:A,'CONTROLE FIN'!F:F,"",0,1)</f>
        <v>364522.26744000003</v>
      </c>
      <c r="X15" s="308">
        <f>_xlfn.XLOOKUP(TB_EC[[#This Row],[Nº  SS]],'CONTROLE FIN'!A:A,'CONTROLE FIN'!H:H,"",0,1)</f>
        <v>364522.26744000003</v>
      </c>
      <c r="Y15" s="309">
        <f>_xlfn.XLOOKUP(TB_EC[[#This Row],[Nº  SS]],'CONTROLE FIN'!A:A,'CONTROLE FIN'!I:I,"",0,1)</f>
        <v>0</v>
      </c>
    </row>
    <row r="16" spans="1:25" x14ac:dyDescent="0.3">
      <c r="A16" s="344">
        <f>IF(COUNTIFS($B$5:B16,TB_EC[[#This Row],[Nº  SS]])&lt;&gt;1,"",COUNTIFS($B$5:B16,TB_EC[[#This Row],[Nº  SS]]))</f>
        <v>1</v>
      </c>
      <c r="B16" s="267" t="s">
        <v>55</v>
      </c>
      <c r="C16" s="269" t="str">
        <f>_xlfn.XLOOKUP(TB_EC[[#This Row],[Nº  SS]],'CONTROLE CRONOG'!B:B,'CONTROLE CRONOG'!C:C,"",0,1)</f>
        <v>21-0007-ES - DESMONTAGEM DO GALPÃO DA UPCGN-1</v>
      </c>
      <c r="D16" s="269" t="str">
        <f>_xlfn.XLOOKUP(TB_EC[[#This Row],[Nº  SS]],'CONTROLE CRONOG'!B:B,'CONTROLE CRONOG'!D:D,"",0,1)</f>
        <v>SERVIÇO</v>
      </c>
      <c r="E16" s="269" t="str">
        <f>_xlfn.XLOOKUP(TB_EC[[#This Row],[Nº  SS]],'CONTROLE CRONOG'!B:B,'CONTROLE CRONOG'!E:E,"",0,1)</f>
        <v>UTGC</v>
      </c>
      <c r="F16" s="310" t="str">
        <f>_xlfn.XLOOKUP(TB_EC[[#This Row],[Nº  SS]],'CONTROLE CRONOG'!B:B,'CONTROLE CRONOG'!F:F,"",0,1)</f>
        <v>CONCLUÍDA</v>
      </c>
      <c r="G16" s="346">
        <v>45912</v>
      </c>
      <c r="H16" s="302">
        <v>45917</v>
      </c>
      <c r="I16" s="302">
        <v>45917</v>
      </c>
      <c r="J16" s="302">
        <v>45919</v>
      </c>
      <c r="K16" s="302">
        <v>45923</v>
      </c>
      <c r="L16" s="346">
        <v>45925</v>
      </c>
      <c r="M16" s="302">
        <v>45932</v>
      </c>
      <c r="N16" s="302"/>
      <c r="O16" s="302"/>
      <c r="P16" s="302"/>
      <c r="Q16" s="302"/>
      <c r="R16" s="277" t="str" cm="1">
        <f t="array" ref="R16">IF(TB_EC[[#This Row],[REV.00]]="","",INDEX(G$4:Q$4,MATCH(2,1/(G16:Q16&lt;&gt;""),1)))</f>
        <v>REV.06</v>
      </c>
      <c r="S16" s="302">
        <v>45932</v>
      </c>
      <c r="T16" s="277" t="str" cm="1">
        <f t="array" ref="T16">IF(TB_EC[[#This Row],[STATUS DEMANDA]]="CANCELADA","CANCELADA",IF(TB_EC[[#This Row],[DATA ENVIO]]="","PENDENTE",IF(TB_EC[[#This Row],[DATA ENVIO]]&gt;=IFERROR(INDEX(G16:Q16,MATCH(2,1/(G16:Q16&lt;&gt;""))),""),"ENTREGUE","PENDENTE")))</f>
        <v>ENTREGUE</v>
      </c>
      <c r="U16" s="302">
        <v>45932</v>
      </c>
      <c r="V16" s="303" t="s">
        <v>11</v>
      </c>
      <c r="W16" s="307">
        <f>_xlfn.XLOOKUP(TB_EC[[#This Row],[Nº  SS]],'CONTROLE FIN'!A:A,'CONTROLE FIN'!F:F,"",0,1)</f>
        <v>718931.28384000005</v>
      </c>
      <c r="X16" s="308">
        <f>_xlfn.XLOOKUP(TB_EC[[#This Row],[Nº  SS]],'CONTROLE FIN'!A:A,'CONTROLE FIN'!H:H,"",0,1)</f>
        <v>718931.28384000005</v>
      </c>
      <c r="Y16" s="309">
        <f>_xlfn.XLOOKUP(TB_EC[[#This Row],[Nº  SS]],'CONTROLE FIN'!A:A,'CONTROLE FIN'!I:I,"",0,1)</f>
        <v>0</v>
      </c>
    </row>
    <row r="17" spans="1:31" x14ac:dyDescent="0.3">
      <c r="A17" s="344">
        <f>IF(COUNTIFS($B$5:B17,TB_EC[[#This Row],[Nº  SS]])&lt;&gt;1,"",COUNTIFS($B$5:B17,TB_EC[[#This Row],[Nº  SS]]))</f>
        <v>1</v>
      </c>
      <c r="B17" s="267" t="s">
        <v>56</v>
      </c>
      <c r="C17" s="269" t="str">
        <f>_xlfn.XLOOKUP(TB_EC[[#This Row],[Nº  SS]],'CONTROLE CRONOG'!B:B,'CONTROLE CRONOG'!C:C,"",0,1)</f>
        <v>22-0496-ES - CONSTRUÇÃO DE ÁREA DE ESTOQUE DE MATERIAIS</v>
      </c>
      <c r="D17" s="269" t="str">
        <f>_xlfn.XLOOKUP(TB_EC[[#This Row],[Nº  SS]],'CONTROLE CRONOG'!B:B,'CONTROLE CRONOG'!D:D,"",0,1)</f>
        <v>SERVIÇO</v>
      </c>
      <c r="E17" s="269" t="str">
        <f>_xlfn.XLOOKUP(TB_EC[[#This Row],[Nº  SS]],'CONTROLE CRONOG'!B:B,'CONTROLE CRONOG'!E:E,"",0,1)</f>
        <v>UTGC</v>
      </c>
      <c r="F17" s="310" t="str">
        <f>_xlfn.XLOOKUP(TB_EC[[#This Row],[Nº  SS]],'CONTROLE CRONOG'!B:B,'CONTROLE CRONOG'!F:F,"",0,1)</f>
        <v>EM ANDAMENTO</v>
      </c>
      <c r="G17" s="346">
        <v>45930</v>
      </c>
      <c r="H17" s="302">
        <v>45943</v>
      </c>
      <c r="I17" s="302">
        <v>45951</v>
      </c>
      <c r="J17" s="302"/>
      <c r="K17" s="302"/>
      <c r="L17" s="302"/>
      <c r="M17" s="302"/>
      <c r="N17" s="302"/>
      <c r="O17" s="302"/>
      <c r="P17" s="302"/>
      <c r="Q17" s="302"/>
      <c r="R17" s="277" t="str" cm="1">
        <f t="array" ref="R17">IF(TB_EC[[#This Row],[REV.00]]="","",INDEX(G$4:Q$4,MATCH(2,1/(G17:Q17&lt;&gt;""),1)))</f>
        <v>REV.02</v>
      </c>
      <c r="S17" s="302">
        <v>45951</v>
      </c>
      <c r="T17" s="277" t="str" cm="1">
        <f t="array" ref="T17">IF(TB_EC[[#This Row],[STATUS DEMANDA]]="CANCELADA","CANCELADA",IF(TB_EC[[#This Row],[DATA ENVIO]]="","PENDENTE",IF(TB_EC[[#This Row],[DATA ENVIO]]&gt;=IFERROR(INDEX(G17:Q17,MATCH(2,1/(G17:Q17&lt;&gt;""))),""),"ENTREGUE","PENDENTE")))</f>
        <v>ENTREGUE</v>
      </c>
      <c r="U17" s="302">
        <v>45952</v>
      </c>
      <c r="V17" s="303" t="s">
        <v>11</v>
      </c>
      <c r="W17" s="307">
        <f>_xlfn.XLOOKUP(TB_EC[[#This Row],[Nº  SS]],'CONTROLE FIN'!A:A,'CONTROLE FIN'!F:F,"",0,1)</f>
        <v>1144868.57748</v>
      </c>
      <c r="X17" s="308">
        <f>_xlfn.XLOOKUP(TB_EC[[#This Row],[Nº  SS]],'CONTROLE FIN'!A:A,'CONTROLE FIN'!H:H,"",0,1)</f>
        <v>457946.06561999995</v>
      </c>
      <c r="Y17" s="309">
        <f>_xlfn.XLOOKUP(TB_EC[[#This Row],[Nº  SS]],'CONTROLE FIN'!A:A,'CONTROLE FIN'!I:I,"",0,1)</f>
        <v>686922.51185999997</v>
      </c>
    </row>
    <row r="18" spans="1:31" x14ac:dyDescent="0.3">
      <c r="A18" s="344">
        <f>IF(COUNTIFS($B$5:B18,TB_EC[[#This Row],[Nº  SS]])&lt;&gt;1,"",COUNTIFS($B$5:B18,TB_EC[[#This Row],[Nº  SS]]))</f>
        <v>1</v>
      </c>
      <c r="B18" s="267" t="s">
        <v>57</v>
      </c>
      <c r="C18" s="269" t="str">
        <f>_xlfn.XLOOKUP(TB_EC[[#This Row],[Nº  SS]],'CONTROLE CRONOG'!B:B,'CONTROLE CRONOG'!C:C,"",0,1)</f>
        <v>23-0496-ES - ADEQUAÇÃO DOS SANITÁRIOS COLETIVOS - TORRES LESTE E OESTE</v>
      </c>
      <c r="D18" s="269" t="str">
        <f>_xlfn.XLOOKUP(TB_EC[[#This Row],[Nº  SS]],'CONTROLE CRONOG'!B:B,'CONTROLE CRONOG'!D:D,"",0,1)</f>
        <v>SERVIÇO</v>
      </c>
      <c r="E18" s="269" t="str">
        <f>_xlfn.XLOOKUP(TB_EC[[#This Row],[Nº  SS]],'CONTROLE CRONOG'!B:B,'CONTROLE CRONOG'!E:E,"",0,1)</f>
        <v>EDIVIT</v>
      </c>
      <c r="F18" s="310" t="str">
        <f>_xlfn.XLOOKUP(TB_EC[[#This Row],[Nº  SS]],'CONTROLE CRONOG'!B:B,'CONTROLE CRONOG'!F:F,"",0,1)</f>
        <v>ON HOLD</v>
      </c>
      <c r="G18" s="346">
        <v>45939</v>
      </c>
      <c r="H18" s="302">
        <v>45965</v>
      </c>
      <c r="I18" s="302">
        <v>45980</v>
      </c>
      <c r="J18" s="302">
        <v>45986</v>
      </c>
      <c r="K18" s="302"/>
      <c r="L18" s="302"/>
      <c r="M18" s="302"/>
      <c r="N18" s="302"/>
      <c r="O18" s="302"/>
      <c r="P18" s="302"/>
      <c r="Q18" s="302"/>
      <c r="R18" s="277" t="str" cm="1">
        <f t="array" ref="R18">IF(TB_EC[[#This Row],[REV.00]]="","",INDEX(G$4:Q$4,MATCH(2,1/(G18:Q18&lt;&gt;""),1)))</f>
        <v>REV.03</v>
      </c>
      <c r="S18" s="302">
        <v>45986</v>
      </c>
      <c r="T18" s="277" t="str" cm="1">
        <f t="array" ref="T18">IF(TB_EC[[#This Row],[STATUS DEMANDA]]="CANCELADA","CANCELADA",IF(TB_EC[[#This Row],[DATA ENVIO]]="","PENDENTE",IF(TB_EC[[#This Row],[DATA ENVIO]]&gt;=IFERROR(INDEX(G18:Q18,MATCH(2,1/(G18:Q18&lt;&gt;""))),""),"ENTREGUE","PENDENTE")))</f>
        <v>ENTREGUE</v>
      </c>
      <c r="U18" s="302">
        <v>45980</v>
      </c>
      <c r="V18" s="303" t="s">
        <v>11</v>
      </c>
      <c r="W18" s="307">
        <f>_xlfn.XLOOKUP(TB_EC[[#This Row],[Nº  SS]],'CONTROLE FIN'!A:A,'CONTROLE FIN'!F:F,"",0,1)</f>
        <v>0</v>
      </c>
      <c r="X18" s="308">
        <f>_xlfn.XLOOKUP(TB_EC[[#This Row],[Nº  SS]],'CONTROLE FIN'!A:A,'CONTROLE FIN'!H:H,"",0,1)</f>
        <v>0</v>
      </c>
      <c r="Y18" s="309">
        <f>_xlfn.XLOOKUP(TB_EC[[#This Row],[Nº  SS]],'CONTROLE FIN'!A:A,'CONTROLE FIN'!I:I,"",0,1)</f>
        <v>0</v>
      </c>
    </row>
    <row r="19" spans="1:31" x14ac:dyDescent="0.3">
      <c r="A19" s="344">
        <f>IF(COUNTIFS($B$5:B19,TB_EC[[#This Row],[Nº  SS]])&lt;&gt;1,"",COUNTIFS($B$5:B19,TB_EC[[#This Row],[Nº  SS]]))</f>
        <v>1</v>
      </c>
      <c r="B19" s="267" t="s">
        <v>58</v>
      </c>
      <c r="C19" s="269" t="str">
        <f>_xlfn.XLOOKUP(TB_EC[[#This Row],[Nº  SS]],'CONTROLE CRONOG'!B:B,'CONTROLE CRONOG'!C:C,"",0,1)</f>
        <v>23-0052-ES - MANUTENÇÃO DAS TORRES DE RESFRIAMENTO</v>
      </c>
      <c r="D19" s="269" t="str">
        <f>_xlfn.XLOOKUP(TB_EC[[#This Row],[Nº  SS]],'CONTROLE CRONOG'!B:B,'CONTROLE CRONOG'!D:D,"",0,1)</f>
        <v>SERVIÇO</v>
      </c>
      <c r="E19" s="269" t="str">
        <f>_xlfn.XLOOKUP(TB_EC[[#This Row],[Nº  SS]],'CONTROLE CRONOG'!B:B,'CONTROLE CRONOG'!E:E,"",0,1)</f>
        <v>EDIVIT</v>
      </c>
      <c r="F19" s="310" t="str">
        <f>_xlfn.XLOOKUP(TB_EC[[#This Row],[Nº  SS]],'CONTROLE CRONOG'!B:B,'CONTROLE CRONOG'!F:F,"",0,1)</f>
        <v>EM ANDAMENTO</v>
      </c>
      <c r="G19" s="346">
        <v>45943</v>
      </c>
      <c r="H19" s="302">
        <v>45946</v>
      </c>
      <c r="I19" s="302">
        <v>45951</v>
      </c>
      <c r="J19" s="302"/>
      <c r="K19" s="302"/>
      <c r="L19" s="302"/>
      <c r="M19" s="302"/>
      <c r="N19" s="302"/>
      <c r="O19" s="302"/>
      <c r="P19" s="302"/>
      <c r="Q19" s="302"/>
      <c r="R19" s="277" t="str" cm="1">
        <f t="array" ref="R19">IF(TB_EC[[#This Row],[REV.00]]="","",INDEX(G$4:Q$4,MATCH(2,1/(G19:Q19&lt;&gt;""),1)))</f>
        <v>REV.02</v>
      </c>
      <c r="S19" s="346">
        <v>45951</v>
      </c>
      <c r="T19" s="277" t="str" cm="1">
        <f t="array" ref="T19">IF(TB_EC[[#This Row],[STATUS DEMANDA]]="CANCELADA","CANCELADA",IF(TB_EC[[#This Row],[DATA ENVIO]]="","PENDENTE",IF(TB_EC[[#This Row],[DATA ENVIO]]&gt;=IFERROR(INDEX(G19:Q19,MATCH(2,1/(G19:Q19&lt;&gt;""))),""),"ENTREGUE","PENDENTE")))</f>
        <v>ENTREGUE</v>
      </c>
      <c r="U19" s="302">
        <v>45951</v>
      </c>
      <c r="V19" s="303" t="s">
        <v>11</v>
      </c>
      <c r="W19" s="307">
        <f>_xlfn.XLOOKUP(TB_EC[[#This Row],[Nº  SS]],'CONTROLE FIN'!A:A,'CONTROLE FIN'!F:F,"",0,1)</f>
        <v>1662818.2901999999</v>
      </c>
      <c r="X19" s="308">
        <f>_xlfn.XLOOKUP(TB_EC[[#This Row],[Nº  SS]],'CONTROLE FIN'!A:A,'CONTROLE FIN'!H:H,"",0,1)</f>
        <v>1197230.0000399998</v>
      </c>
      <c r="Y19" s="309">
        <f>_xlfn.XLOOKUP(TB_EC[[#This Row],[Nº  SS]],'CONTROLE FIN'!A:A,'CONTROLE FIN'!I:I,"",0,1)</f>
        <v>465588.29016000009</v>
      </c>
    </row>
    <row r="20" spans="1:31" x14ac:dyDescent="0.3">
      <c r="A20" s="344">
        <f>IF(COUNTIFS($B$5:B20,TB_EC[[#This Row],[Nº  SS]])&lt;&gt;1,"",COUNTIFS($B$5:B20,TB_EC[[#This Row],[Nº  SS]]))</f>
        <v>1</v>
      </c>
      <c r="B20" s="267" t="s">
        <v>59</v>
      </c>
      <c r="C20" s="269" t="str">
        <f>_xlfn.XLOOKUP(TB_EC[[#This Row],[Nº  SS]],'CONTROLE CRONOG'!B:B,'CONTROLE CRONOG'!C:C,"",0,1)</f>
        <v>23-0052-ES - SUBSTITUIÇÃO DOS ISOLAMENTOS ACÚSTICOS NA CENTRAL DE UTILIDADES</v>
      </c>
      <c r="D20" s="269" t="str">
        <f>_xlfn.XLOOKUP(TB_EC[[#This Row],[Nº  SS]],'CONTROLE CRONOG'!B:B,'CONTROLE CRONOG'!D:D,"",0,1)</f>
        <v>SERVIÇO</v>
      </c>
      <c r="E20" s="269" t="str">
        <f>_xlfn.XLOOKUP(TB_EC[[#This Row],[Nº  SS]],'CONTROLE CRONOG'!B:B,'CONTROLE CRONOG'!E:E,"",0,1)</f>
        <v>EDIVIT</v>
      </c>
      <c r="F20" s="310" t="str">
        <f>_xlfn.XLOOKUP(TB_EC[[#This Row],[Nº  SS]],'CONTROLE CRONOG'!B:B,'CONTROLE CRONOG'!F:F,"",0,1)</f>
        <v>CONCLUÍDA</v>
      </c>
      <c r="G20" s="346">
        <v>45938</v>
      </c>
      <c r="H20" s="346">
        <v>45946</v>
      </c>
      <c r="I20" s="302"/>
      <c r="J20" s="302"/>
      <c r="K20" s="302"/>
      <c r="L20" s="302"/>
      <c r="M20" s="302"/>
      <c r="N20" s="302"/>
      <c r="O20" s="302"/>
      <c r="P20" s="302"/>
      <c r="Q20" s="302"/>
      <c r="R20" s="277" t="str" cm="1">
        <f t="array" ref="R20">IF(TB_EC[[#This Row],[REV.00]]="","",INDEX(G$4:Q$4,MATCH(2,1/(G20:Q20&lt;&gt;""),1)))</f>
        <v>REV.01</v>
      </c>
      <c r="S20" s="346">
        <v>45946</v>
      </c>
      <c r="T20" s="277" t="str" cm="1">
        <f t="array" ref="T20">IF(TB_EC[[#This Row],[STATUS DEMANDA]]="CANCELADA","CANCELADA",IF(TB_EC[[#This Row],[DATA ENVIO]]="","PENDENTE",IF(TB_EC[[#This Row],[DATA ENVIO]]&gt;=IFERROR(INDEX(G20:Q20,MATCH(2,1/(G20:Q20&lt;&gt;""))),""),"ENTREGUE","PENDENTE")))</f>
        <v>ENTREGUE</v>
      </c>
      <c r="U20" s="346">
        <v>45947</v>
      </c>
      <c r="V20" s="303" t="s">
        <v>11</v>
      </c>
      <c r="W20" s="307">
        <f>_xlfn.XLOOKUP(TB_EC[[#This Row],[Nº  SS]],'CONTROLE FIN'!A:A,'CONTROLE FIN'!F:F,"",0,1)</f>
        <v>228497.33</v>
      </c>
      <c r="X20" s="308">
        <f>_xlfn.XLOOKUP(TB_EC[[#This Row],[Nº  SS]],'CONTROLE FIN'!A:A,'CONTROLE FIN'!H:H,"",0,1)</f>
        <v>228497.32533239998</v>
      </c>
      <c r="Y20" s="309">
        <f>_xlfn.XLOOKUP(TB_EC[[#This Row],[Nº  SS]],'CONTROLE FIN'!A:A,'CONTROLE FIN'!I:I,"",0,1)</f>
        <v>0</v>
      </c>
    </row>
    <row r="21" spans="1:31" x14ac:dyDescent="0.3">
      <c r="A21" s="344">
        <f>IF(COUNTIFS($B$5:B21,TB_EC[[#This Row],[Nº  SS]])&lt;&gt;1,"",COUNTIFS($B$5:B21,TB_EC[[#This Row],[Nº  SS]]))</f>
        <v>1</v>
      </c>
      <c r="B21" s="267" t="s">
        <v>60</v>
      </c>
      <c r="C21" s="269" t="str">
        <f>_xlfn.XLOOKUP(TB_EC[[#This Row],[Nº  SS]],'CONTROLE CRONOG'!B:B,'CONTROLE CRONOG'!C:C,"",0,1)</f>
        <v>23-0291-ES - ADEQUAÇÃO DA LUMINOSIDADE EXTERNA DO EDIVIT</v>
      </c>
      <c r="D21" s="269" t="str">
        <f>_xlfn.XLOOKUP(TB_EC[[#This Row],[Nº  SS]],'CONTROLE CRONOG'!B:B,'CONTROLE CRONOG'!D:D,"",0,1)</f>
        <v>SERVIÇO</v>
      </c>
      <c r="E21" s="269" t="str">
        <f>_xlfn.XLOOKUP(TB_EC[[#This Row],[Nº  SS]],'CONTROLE CRONOG'!B:B,'CONTROLE CRONOG'!E:E,"",0,1)</f>
        <v>EDIVIT</v>
      </c>
      <c r="F21" s="310" t="str">
        <f>_xlfn.XLOOKUP(TB_EC[[#This Row],[Nº  SS]],'CONTROLE CRONOG'!B:B,'CONTROLE CRONOG'!F:F,"",0,1)</f>
        <v>EM ANDAMENTO</v>
      </c>
      <c r="G21" s="346">
        <v>45962</v>
      </c>
      <c r="H21" s="302">
        <v>45973</v>
      </c>
      <c r="I21" s="302"/>
      <c r="J21" s="302"/>
      <c r="K21" s="302"/>
      <c r="L21" s="302"/>
      <c r="M21" s="302"/>
      <c r="N21" s="302"/>
      <c r="O21" s="302"/>
      <c r="P21" s="302"/>
      <c r="Q21" s="302"/>
      <c r="R21" s="277" t="str" cm="1">
        <f t="array" ref="R21">IF(TB_EC[[#This Row],[REV.00]]="","",INDEX(G$4:Q$4,MATCH(2,1/(G21:Q21&lt;&gt;""),1)))</f>
        <v>REV.01</v>
      </c>
      <c r="S21" s="302">
        <v>45973</v>
      </c>
      <c r="T21" s="277" t="str" cm="1">
        <f t="array" ref="T21">IF(TB_EC[[#This Row],[STATUS DEMANDA]]="CANCELADA","CANCELADA",IF(TB_EC[[#This Row],[DATA ENVIO]]="","PENDENTE",IF(TB_EC[[#This Row],[DATA ENVIO]]&gt;=IFERROR(INDEX(G21:Q21,MATCH(2,1/(G21:Q21&lt;&gt;""))),""),"ENTREGUE","PENDENTE")))</f>
        <v>ENTREGUE</v>
      </c>
      <c r="U21" s="302">
        <v>45973</v>
      </c>
      <c r="V21" s="303" t="s">
        <v>11</v>
      </c>
      <c r="W21" s="307">
        <f>_xlfn.XLOOKUP(TB_EC[[#This Row],[Nº  SS]],'CONTROLE FIN'!A:A,'CONTROLE FIN'!F:F,"",0,1)</f>
        <v>1233914.5200000003</v>
      </c>
      <c r="X21" s="308">
        <f>_xlfn.XLOOKUP(TB_EC[[#This Row],[Nº  SS]],'CONTROLE FIN'!A:A,'CONTROLE FIN'!H:H,"",0,1)</f>
        <v>715670.12249999994</v>
      </c>
      <c r="Y21" s="309">
        <f>_xlfn.XLOOKUP(TB_EC[[#This Row],[Nº  SS]],'CONTROLE FIN'!A:A,'CONTROLE FIN'!I:I,"",0,1)</f>
        <v>518244.39750000031</v>
      </c>
    </row>
    <row r="22" spans="1:31" x14ac:dyDescent="0.3">
      <c r="A22" s="344">
        <f>IF(COUNTIFS($B$5:B22,TB_EC[[#This Row],[Nº  SS]])&lt;&gt;1,"",COUNTIFS($B$5:B22,TB_EC[[#This Row],[Nº  SS]]))</f>
        <v>1</v>
      </c>
      <c r="B22" s="267" t="s">
        <v>61</v>
      </c>
      <c r="C22" s="269" t="str">
        <f>_xlfn.XLOOKUP(TB_EC[[#This Row],[Nº  SS]],'CONTROLE CRONOG'!B:B,'CONTROLE CRONOG'!C:C,"",0,1)</f>
        <v>24-1110-ES - ADEQUAÇÃO DA SALA DE MONITORAMENTO CISC</v>
      </c>
      <c r="D22" s="269" t="str">
        <f>_xlfn.XLOOKUP(TB_EC[[#This Row],[Nº  SS]],'CONTROLE CRONOG'!B:B,'CONTROLE CRONOG'!D:D,"",0,1)</f>
        <v>SERVIÇO</v>
      </c>
      <c r="E22" s="269" t="str">
        <f>_xlfn.XLOOKUP(TB_EC[[#This Row],[Nº  SS]],'CONTROLE CRONOG'!B:B,'CONTROLE CRONOG'!E:E,"",0,1)</f>
        <v>UTGC</v>
      </c>
      <c r="F22" s="310" t="str">
        <f>_xlfn.XLOOKUP(TB_EC[[#This Row],[Nº  SS]],'CONTROLE CRONOG'!B:B,'CONTROLE CRONOG'!F:F,"",0,1)</f>
        <v>CONCLUÍDA</v>
      </c>
      <c r="G22" s="346">
        <v>45965</v>
      </c>
      <c r="H22" s="302">
        <v>45972</v>
      </c>
      <c r="I22" s="302">
        <v>45975</v>
      </c>
      <c r="J22" s="302"/>
      <c r="K22" s="302"/>
      <c r="L22" s="302"/>
      <c r="M22" s="302"/>
      <c r="N22" s="302"/>
      <c r="O22" s="302"/>
      <c r="P22" s="302"/>
      <c r="Q22" s="302"/>
      <c r="R22" s="277" t="str" cm="1">
        <f t="array" ref="R22">IF(TB_EC[[#This Row],[REV.00]]="","",INDEX(G$4:Q$4,MATCH(2,1/(G22:Q22&lt;&gt;""),1)))</f>
        <v>REV.02</v>
      </c>
      <c r="S22" s="302">
        <v>45975</v>
      </c>
      <c r="T22" s="277" t="str" cm="1">
        <f t="array" ref="T22">IF(TB_EC[[#This Row],[STATUS DEMANDA]]="CANCELADA","CANCELADA",IF(TB_EC[[#This Row],[DATA ENVIO]]="","PENDENTE",IF(TB_EC[[#This Row],[DATA ENVIO]]&gt;=IFERROR(INDEX(G22:Q22,MATCH(2,1/(G22:Q22&lt;&gt;""))),""),"ENTREGUE","PENDENTE")))</f>
        <v>ENTREGUE</v>
      </c>
      <c r="U22" s="302">
        <v>45975</v>
      </c>
      <c r="V22" s="303" t="s">
        <v>11</v>
      </c>
      <c r="W22" s="307">
        <f>_xlfn.XLOOKUP(TB_EC[[#This Row],[Nº  SS]],'CONTROLE FIN'!A:A,'CONTROLE FIN'!F:F,"",0,1)</f>
        <v>196612.97435999999</v>
      </c>
      <c r="X22" s="308">
        <f>_xlfn.XLOOKUP(TB_EC[[#This Row],[Nº  SS]],'CONTROLE FIN'!A:A,'CONTROLE FIN'!H:H,"",0,1)</f>
        <v>196612.97435999999</v>
      </c>
      <c r="Y22" s="309">
        <f>_xlfn.XLOOKUP(TB_EC[[#This Row],[Nº  SS]],'CONTROLE FIN'!A:A,'CONTROLE FIN'!I:I,"",0,1)</f>
        <v>0</v>
      </c>
    </row>
    <row r="23" spans="1:31" x14ac:dyDescent="0.3">
      <c r="A23" s="344">
        <f>IF(COUNTIFS($B$5:B23,TB_EC[[#This Row],[Nº  SS]])&lt;&gt;1,"",COUNTIFS($B$5:B23,TB_EC[[#This Row],[Nº  SS]]))</f>
        <v>1</v>
      </c>
      <c r="B23" s="267" t="s">
        <v>62</v>
      </c>
      <c r="C23" s="269" t="str">
        <f>_xlfn.XLOOKUP(TB_EC[[#This Row],[Nº  SS]],'CONTROLE CRONOG'!B:B,'CONTROLE CRONOG'!C:C,"",0,1)</f>
        <v>23-0316-ES - SINALIZAÇÃO DAS ESCADAS</v>
      </c>
      <c r="D23" s="269" t="str">
        <f>_xlfn.XLOOKUP(TB_EC[[#This Row],[Nº  SS]],'CONTROLE CRONOG'!B:B,'CONTROLE CRONOG'!D:D,"",0,1)</f>
        <v>SERVIÇO</v>
      </c>
      <c r="E23" s="269" t="str">
        <f>_xlfn.XLOOKUP(TB_EC[[#This Row],[Nº  SS]],'CONTROLE CRONOG'!B:B,'CONTROLE CRONOG'!E:E,"",0,1)</f>
        <v>EDIVIT</v>
      </c>
      <c r="F23" s="310" t="str">
        <f>_xlfn.XLOOKUP(TB_EC[[#This Row],[Nº  SS]],'CONTROLE CRONOG'!B:B,'CONTROLE CRONOG'!F:F,"",0,1)</f>
        <v>CONCLUÍDA</v>
      </c>
      <c r="G23" s="302">
        <v>45957</v>
      </c>
      <c r="H23" s="302">
        <v>45960</v>
      </c>
      <c r="I23" s="302"/>
      <c r="J23" s="302"/>
      <c r="K23" s="302"/>
      <c r="L23" s="302"/>
      <c r="M23" s="302"/>
      <c r="N23" s="302"/>
      <c r="O23" s="302"/>
      <c r="P23" s="302"/>
      <c r="Q23" s="302"/>
      <c r="R23" s="277" t="str" cm="1">
        <f t="array" ref="R23">IF(TB_EC[[#This Row],[REV.00]]="","",INDEX(G$4:Q$4,MATCH(2,1/(G23:Q23&lt;&gt;""),1)))</f>
        <v>REV.01</v>
      </c>
      <c r="S23" s="302">
        <v>45960</v>
      </c>
      <c r="T23" s="277" t="str" cm="1">
        <f t="array" ref="T23">IF(TB_EC[[#This Row],[STATUS DEMANDA]]="CANCELADA","CANCELADA",IF(TB_EC[[#This Row],[DATA ENVIO]]="","PENDENTE",IF(TB_EC[[#This Row],[DATA ENVIO]]&gt;=IFERROR(INDEX(G23:Q23,MATCH(2,1/(G23:Q23&lt;&gt;""))),""),"ENTREGUE","PENDENTE")))</f>
        <v>ENTREGUE</v>
      </c>
      <c r="U23" s="302">
        <v>45960</v>
      </c>
      <c r="V23" s="303" t="s">
        <v>11</v>
      </c>
      <c r="W23" s="307">
        <f>_xlfn.XLOOKUP(TB_EC[[#This Row],[Nº  SS]],'CONTROLE FIN'!A:A,'CONTROLE FIN'!F:F,"",0,1)</f>
        <v>90327.897311399996</v>
      </c>
      <c r="X23" s="308">
        <f>_xlfn.XLOOKUP(TB_EC[[#This Row],[Nº  SS]],'CONTROLE FIN'!A:A,'CONTROLE FIN'!H:H,"",0,1)</f>
        <v>90327.897311399996</v>
      </c>
      <c r="Y23" s="309">
        <f>_xlfn.XLOOKUP(TB_EC[[#This Row],[Nº  SS]],'CONTROLE FIN'!A:A,'CONTROLE FIN'!I:I,"",0,1)</f>
        <v>0</v>
      </c>
    </row>
    <row r="24" spans="1:31" x14ac:dyDescent="0.3">
      <c r="A24" s="344">
        <f>IF(COUNTIFS($B$5:B24,TB_EC[[#This Row],[Nº  SS]])&lt;&gt;1,"",COUNTIFS($B$5:B24,TB_EC[[#This Row],[Nº  SS]]))</f>
        <v>1</v>
      </c>
      <c r="B24" s="267" t="s">
        <v>63</v>
      </c>
      <c r="C24" s="269" t="str">
        <f>_xlfn.XLOOKUP(TB_EC[[#This Row],[Nº  SS]],'CONTROLE CRONOG'!B:B,'CONTROLE CRONOG'!C:C,"",0,1)</f>
        <v>25-0147-ES - DISPONIBILIZAÇÃO DE CONTAINER ESCRITÓRIO</v>
      </c>
      <c r="D24" s="269" t="str">
        <f>_xlfn.XLOOKUP(TB_EC[[#This Row],[Nº  SS]],'CONTROLE CRONOG'!B:B,'CONTROLE CRONOG'!D:D,"",0,1)</f>
        <v>SERVIÇO</v>
      </c>
      <c r="E24" s="269" t="str">
        <f>_xlfn.XLOOKUP(TB_EC[[#This Row],[Nº  SS]],'CONTROLE CRONOG'!B:B,'CONTROLE CRONOG'!E:E,"",0,1)</f>
        <v>UTGC</v>
      </c>
      <c r="F24" s="310" t="str">
        <f>_xlfn.XLOOKUP(TB_EC[[#This Row],[Nº  SS]],'CONTROLE CRONOG'!B:B,'CONTROLE CRONOG'!F:F,"",0,1)</f>
        <v>CONCLUÍDA</v>
      </c>
      <c r="G24" s="302">
        <v>45957</v>
      </c>
      <c r="H24" s="302"/>
      <c r="I24" s="302"/>
      <c r="J24" s="302"/>
      <c r="K24" s="302"/>
      <c r="L24" s="302"/>
      <c r="M24" s="302"/>
      <c r="N24" s="302"/>
      <c r="O24" s="302"/>
      <c r="P24" s="302"/>
      <c r="Q24" s="302"/>
      <c r="R24" s="277" t="str" cm="1">
        <f t="array" ref="R24">IF(TB_EC[[#This Row],[REV.00]]="","",INDEX(G$4:Q$4,MATCH(2,1/(G24:Q24&lt;&gt;""),1)))</f>
        <v>REV.00</v>
      </c>
      <c r="S24" s="276">
        <v>45957</v>
      </c>
      <c r="T24" s="277" t="str" cm="1">
        <f t="array" ref="T24">IF(TB_EC[[#This Row],[STATUS DEMANDA]]="CANCELADA","CANCELADA",IF(TB_EC[[#This Row],[DATA ENVIO]]="","PENDENTE",IF(TB_EC[[#This Row],[DATA ENVIO]]&gt;=IFERROR(INDEX(G24:Q24,MATCH(2,1/(G24:Q24&lt;&gt;""))),""),"ENTREGUE","PENDENTE")))</f>
        <v>ENTREGUE</v>
      </c>
      <c r="U24" s="302">
        <v>45959</v>
      </c>
      <c r="V24" s="303" t="s">
        <v>11</v>
      </c>
      <c r="W24" s="307">
        <f>_xlfn.XLOOKUP(TB_EC[[#This Row],[Nº  SS]],'CONTROLE FIN'!A:A,'CONTROLE FIN'!F:F,"",0,1)</f>
        <v>9890.6360400000012</v>
      </c>
      <c r="X24" s="308">
        <f>_xlfn.XLOOKUP(TB_EC[[#This Row],[Nº  SS]],'CONTROLE FIN'!A:A,'CONTROLE FIN'!H:H,"",0,1)</f>
        <v>9890.6360400000012</v>
      </c>
      <c r="Y24" s="309">
        <f>_xlfn.XLOOKUP(TB_EC[[#This Row],[Nº  SS]],'CONTROLE FIN'!A:A,'CONTROLE FIN'!I:I,"",0,1)</f>
        <v>0</v>
      </c>
    </row>
    <row r="25" spans="1:31" x14ac:dyDescent="0.3">
      <c r="A25" s="344">
        <f>IF(COUNTIFS($B$5:B25,TB_EC[[#This Row],[Nº  SS]])&lt;&gt;1,"",COUNTIFS($B$5:B25,TB_EC[[#This Row],[Nº  SS]]))</f>
        <v>1</v>
      </c>
      <c r="B25" s="267" t="s">
        <v>163</v>
      </c>
      <c r="C25" s="269" t="str">
        <f>_xlfn.XLOOKUP(TB_EC[[#This Row],[Nº  SS]],'CONTROLE CRONOG'!B:B,'CONTROLE CRONOG'!C:C,"",0,1)</f>
        <v>23-0838-ES - ADEQUAÇÃO DA ILUMINAÇÃO VIÁRIA</v>
      </c>
      <c r="D25" s="269" t="str">
        <f>_xlfn.XLOOKUP(TB_EC[[#This Row],[Nº  SS]],'CONTROLE CRONOG'!B:B,'CONTROLE CRONOG'!D:D,"",0,1)</f>
        <v>SERVIÇO</v>
      </c>
      <c r="E25" s="269" t="str">
        <f>_xlfn.XLOOKUP(TB_EC[[#This Row],[Nº  SS]],'CONTROLE CRONOG'!B:B,'CONTROLE CRONOG'!E:E,"",0,1)</f>
        <v>UTGC</v>
      </c>
      <c r="F25" s="310" t="str">
        <f>_xlfn.XLOOKUP(TB_EC[[#This Row],[Nº  SS]],'CONTROLE CRONOG'!B:B,'CONTROLE CRONOG'!F:F,"",0,1)</f>
        <v>CANCELADA</v>
      </c>
      <c r="G25" s="302">
        <v>45986</v>
      </c>
      <c r="H25" s="302"/>
      <c r="I25" s="302"/>
      <c r="J25" s="302"/>
      <c r="K25" s="302"/>
      <c r="L25" s="302"/>
      <c r="M25" s="302"/>
      <c r="N25" s="302"/>
      <c r="O25" s="302"/>
      <c r="P25" s="302"/>
      <c r="Q25" s="302"/>
      <c r="R25" s="277" t="str" cm="1">
        <f t="array" ref="R25">IF(TB_EC[[#This Row],[REV.00]]="","",INDEX(G$4:Q$4,MATCH(2,1/(G25:Q25&lt;&gt;""),1)))</f>
        <v>REV.00</v>
      </c>
      <c r="S25" s="276">
        <v>45986</v>
      </c>
      <c r="T25" s="277" t="str" cm="1">
        <f t="array" ref="T25">IF(TB_EC[[#This Row],[STATUS DEMANDA]]="CANCELADA","CANCELADA",IF(TB_EC[[#This Row],[DATA ENVIO]]="","PENDENTE",IF(TB_EC[[#This Row],[DATA ENVIO]]&gt;=IFERROR(INDEX(G25:Q25,MATCH(2,1/(G25:Q25&lt;&gt;""))),""),"ENTREGUE","PENDENTE")))</f>
        <v>CANCELADA</v>
      </c>
      <c r="U25" s="302"/>
      <c r="V25" s="303"/>
      <c r="W25" s="307">
        <f>_xlfn.XLOOKUP(TB_EC[[#This Row],[Nº  SS]],'CONTROLE FIN'!A:A,'CONTROLE FIN'!F:F,"",0,1)</f>
        <v>0</v>
      </c>
      <c r="X25" s="308">
        <f>_xlfn.XLOOKUP(TB_EC[[#This Row],[Nº  SS]],'CONTROLE FIN'!A:A,'CONTROLE FIN'!H:H,"",0,1)</f>
        <v>0</v>
      </c>
      <c r="Y25" s="309">
        <f>_xlfn.XLOOKUP(TB_EC[[#This Row],[Nº  SS]],'CONTROLE FIN'!A:A,'CONTROLE FIN'!I:I,"",0,1)</f>
        <v>0</v>
      </c>
    </row>
    <row r="26" spans="1:31" x14ac:dyDescent="0.3">
      <c r="A26" s="344">
        <f>IF(COUNTIFS($B$5:B26,TB_EC[[#This Row],[Nº  SS]])&lt;&gt;1,"",COUNTIFS($B$5:B26,TB_EC[[#This Row],[Nº  SS]]))</f>
        <v>1</v>
      </c>
      <c r="B26" s="267" t="s">
        <v>164</v>
      </c>
      <c r="C26" s="269" t="str">
        <f>_xlfn.XLOOKUP(TB_EC[[#This Row],[Nº  SS]],'CONTROLE CRONOG'!B:B,'CONTROLE CRONOG'!C:C,"",0,1)</f>
        <v>24-1106-ES - ADEQUAÇÃO DA SALA DE MONITORAMENTO N1 CISC</v>
      </c>
      <c r="D26" s="269" t="str">
        <f>_xlfn.XLOOKUP(TB_EC[[#This Row],[Nº  SS]],'CONTROLE CRONOG'!B:B,'CONTROLE CRONOG'!D:D,"",0,1)</f>
        <v>SERVIÇO</v>
      </c>
      <c r="E26" s="269" t="str">
        <f>_xlfn.XLOOKUP(TB_EC[[#This Row],[Nº  SS]],'CONTROLE CRONOG'!B:B,'CONTROLE CRONOG'!E:E,"",0,1)</f>
        <v>UTGSUL</v>
      </c>
      <c r="F26" s="310" t="str">
        <f>_xlfn.XLOOKUP(TB_EC[[#This Row],[Nº  SS]],'CONTROLE CRONOG'!B:B,'CONTROLE CRONOG'!F:F,"",0,1)</f>
        <v>CONCLUÍDA</v>
      </c>
      <c r="G26" s="302">
        <v>45973</v>
      </c>
      <c r="H26" s="302"/>
      <c r="I26" s="302"/>
      <c r="J26" s="302"/>
      <c r="K26" s="302"/>
      <c r="L26" s="302"/>
      <c r="M26" s="302"/>
      <c r="N26" s="302"/>
      <c r="O26" s="302"/>
      <c r="P26" s="302"/>
      <c r="Q26" s="302"/>
      <c r="R26" s="277" t="str" cm="1">
        <f t="array" ref="R26">IF(TB_EC[[#This Row],[REV.00]]="","",INDEX(G$4:Q$4,MATCH(2,1/(G26:Q26&lt;&gt;""),1)))</f>
        <v>REV.00</v>
      </c>
      <c r="S26" s="276">
        <v>45973</v>
      </c>
      <c r="T26" s="277" t="str" cm="1">
        <f t="array" ref="T26">IF(TB_EC[[#This Row],[STATUS DEMANDA]]="CANCELADA","CANCELADA",IF(TB_EC[[#This Row],[DATA ENVIO]]="","PENDENTE",IF(TB_EC[[#This Row],[DATA ENVIO]]&gt;=IFERROR(INDEX(G26:Q26,MATCH(2,1/(G26:Q26&lt;&gt;""))),""),"ENTREGUE","PENDENTE")))</f>
        <v>ENTREGUE</v>
      </c>
      <c r="U26" s="302">
        <v>45975</v>
      </c>
      <c r="V26" s="303" t="s">
        <v>11</v>
      </c>
      <c r="W26" s="307">
        <f>_xlfn.XLOOKUP(TB_EC[[#This Row],[Nº  SS]],'CONTROLE FIN'!A:A,'CONTROLE FIN'!F:F,"",0,1)</f>
        <v>117731.57525999998</v>
      </c>
      <c r="X26" s="308">
        <f>_xlfn.XLOOKUP(TB_EC[[#This Row],[Nº  SS]],'CONTROLE FIN'!A:A,'CONTROLE FIN'!H:H,"",0,1)</f>
        <v>117731.57525999998</v>
      </c>
      <c r="Y26" s="309">
        <f>_xlfn.XLOOKUP(TB_EC[[#This Row],[Nº  SS]],'CONTROLE FIN'!A:A,'CONTROLE FIN'!I:I,"",0,1)</f>
        <v>0</v>
      </c>
    </row>
    <row r="27" spans="1:31" x14ac:dyDescent="0.3">
      <c r="A27" s="344">
        <f>IF(COUNTIFS($B$5:B27,TB_EC[[#This Row],[Nº  SS]])&lt;&gt;1,"",COUNTIFS($B$5:B27,TB_EC[[#This Row],[Nº  SS]]))</f>
        <v>1</v>
      </c>
      <c r="B27" s="267" t="s">
        <v>165</v>
      </c>
      <c r="C27" s="269" t="str">
        <f>_xlfn.XLOOKUP(TB_EC[[#This Row],[Nº  SS]],'CONTROLE CRONOG'!B:B,'CONTROLE CRONOG'!C:C,"",0,1)</f>
        <v>24-0087-ES - REMOÇÃO DAS TELHAS DE PROTEÇÃO DOS PAINÉIS DO K21 E K40</v>
      </c>
      <c r="D27" s="269" t="str">
        <f>_xlfn.XLOOKUP(TB_EC[[#This Row],[Nº  SS]],'CONTROLE CRONOG'!B:B,'CONTROLE CRONOG'!D:D,"",0,1)</f>
        <v>SERVIÇO</v>
      </c>
      <c r="E27" s="269" t="str">
        <f>_xlfn.XLOOKUP(TB_EC[[#This Row],[Nº  SS]],'CONTROLE CRONOG'!B:B,'CONTROLE CRONOG'!E:E,"",0,1)</f>
        <v>UTGC</v>
      </c>
      <c r="F27" s="310" t="str">
        <f>_xlfn.XLOOKUP(TB_EC[[#This Row],[Nº  SS]],'CONTROLE CRONOG'!B:B,'CONTROLE CRONOG'!F:F,"",0,1)</f>
        <v>CONCLUÍDA</v>
      </c>
      <c r="G27" s="302">
        <v>45967</v>
      </c>
      <c r="H27" s="302">
        <v>45971</v>
      </c>
      <c r="I27" s="302">
        <v>45972</v>
      </c>
      <c r="J27" s="302"/>
      <c r="K27" s="302"/>
      <c r="L27" s="302"/>
      <c r="M27" s="302"/>
      <c r="N27" s="302"/>
      <c r="O27" s="302"/>
      <c r="P27" s="302"/>
      <c r="Q27" s="302"/>
      <c r="R27" s="277" t="str" cm="1">
        <f t="array" ref="R27">IF(TB_EC[[#This Row],[REV.00]]="","",INDEX(G$4:Q$4,MATCH(2,1/(G27:Q27&lt;&gt;""),1)))</f>
        <v>REV.02</v>
      </c>
      <c r="S27" s="276">
        <v>45972</v>
      </c>
      <c r="T27" s="277" t="str" cm="1">
        <f t="array" ref="T27">IF(TB_EC[[#This Row],[STATUS DEMANDA]]="CANCELADA","CANCELADA",IF(TB_EC[[#This Row],[DATA ENVIO]]="","PENDENTE",IF(TB_EC[[#This Row],[DATA ENVIO]]&gt;=IFERROR(INDEX(G27:Q27,MATCH(2,1/(G27:Q27&lt;&gt;""))),""),"ENTREGUE","PENDENTE")))</f>
        <v>ENTREGUE</v>
      </c>
      <c r="U27" s="302">
        <v>45972</v>
      </c>
      <c r="V27" s="303" t="s">
        <v>11</v>
      </c>
      <c r="W27" s="307">
        <f>_xlfn.XLOOKUP(TB_EC[[#This Row],[Nº  SS]],'CONTROLE FIN'!A:A,'CONTROLE FIN'!F:F,"",0,1)</f>
        <v>9395.5402799999993</v>
      </c>
      <c r="X27" s="308">
        <f>_xlfn.XLOOKUP(TB_EC[[#This Row],[Nº  SS]],'CONTROLE FIN'!A:A,'CONTROLE FIN'!H:H,"",0,1)</f>
        <v>9395.5402799999993</v>
      </c>
      <c r="Y27" s="309">
        <f>_xlfn.XLOOKUP(TB_EC[[#This Row],[Nº  SS]],'CONTROLE FIN'!A:A,'CONTROLE FIN'!I:I,"",0,1)</f>
        <v>0</v>
      </c>
    </row>
    <row r="28" spans="1:31" x14ac:dyDescent="0.3">
      <c r="A28" s="344">
        <f>IF(COUNTIFS($B$5:B28,TB_EC[[#This Row],[Nº  SS]])&lt;&gt;1,"",COUNTIFS($B$5:B28,TB_EC[[#This Row],[Nº  SS]]))</f>
        <v>1</v>
      </c>
      <c r="B28" s="267" t="s">
        <v>166</v>
      </c>
      <c r="C28" s="269" t="str">
        <f>_xlfn.XLOOKUP(TB_EC[[#This Row],[Nº  SS]],'CONTROLE CRONOG'!B:B,'CONTROLE CRONOG'!C:C,"",0,1)</f>
        <v>23-0052-ES - ATENUAÇÃO DE RUÍDOS NAS TORRES DE RESFRIAMENTO</v>
      </c>
      <c r="D28" s="269" t="str">
        <f>_xlfn.XLOOKUP(TB_EC[[#This Row],[Nº  SS]],'CONTROLE CRONOG'!B:B,'CONTROLE CRONOG'!D:D,"",0,1)</f>
        <v>SERVIÇO</v>
      </c>
      <c r="E28" s="269" t="str">
        <f>_xlfn.XLOOKUP(TB_EC[[#This Row],[Nº  SS]],'CONTROLE CRONOG'!B:B,'CONTROLE CRONOG'!E:E,"",0,1)</f>
        <v>EDIVIT</v>
      </c>
      <c r="F28" s="310" t="str">
        <f>_xlfn.XLOOKUP(TB_EC[[#This Row],[Nº  SS]],'CONTROLE CRONOG'!B:B,'CONTROLE CRONOG'!F:F,"",0,1)</f>
        <v>EM ANDAMENTO</v>
      </c>
      <c r="G28" s="302">
        <v>45974</v>
      </c>
      <c r="H28" s="302">
        <v>45982</v>
      </c>
      <c r="I28" s="302">
        <v>45985</v>
      </c>
      <c r="J28" s="302">
        <v>46001</v>
      </c>
      <c r="K28" s="302">
        <v>46076</v>
      </c>
      <c r="L28" s="302"/>
      <c r="M28" s="302"/>
      <c r="N28" s="302"/>
      <c r="O28" s="302"/>
      <c r="P28" s="302"/>
      <c r="Q28" s="302"/>
      <c r="R28" s="277" t="str" cm="1">
        <f t="array" ref="R28">IF(TB_EC[[#This Row],[REV.00]]="","",INDEX(G$4:Q$4,MATCH(2,1/(G28:Q28&lt;&gt;""),1)))</f>
        <v>REV.04</v>
      </c>
      <c r="S28" s="276">
        <v>46076</v>
      </c>
      <c r="T28" s="277" t="str" cm="1">
        <f t="array" ref="T28">IF(TB_EC[[#This Row],[STATUS DEMANDA]]="CANCELADA","CANCELADA",IF(TB_EC[[#This Row],[DATA ENVIO]]="","PENDENTE",IF(TB_EC[[#This Row],[DATA ENVIO]]&gt;=IFERROR(INDEX(G28:Q28,MATCH(2,1/(G28:Q28&lt;&gt;""))),""),"ENTREGUE","PENDENTE")))</f>
        <v>ENTREGUE</v>
      </c>
      <c r="U28" s="302">
        <v>46077</v>
      </c>
      <c r="V28" s="303" t="s">
        <v>11</v>
      </c>
      <c r="W28" s="307">
        <f>_xlfn.XLOOKUP(TB_EC[[#This Row],[Nº  SS]],'CONTROLE FIN'!A:A,'CONTROLE FIN'!F:F,"",0,1)</f>
        <v>403913.19</v>
      </c>
      <c r="X28" s="308">
        <f>_xlfn.XLOOKUP(TB_EC[[#This Row],[Nº  SS]],'CONTROLE FIN'!A:A,'CONTROLE FIN'!H:H,"",0,1)</f>
        <v>253164.90167999998</v>
      </c>
      <c r="Y28" s="343">
        <f>_xlfn.XLOOKUP(TB_EC[[#This Row],[Nº  SS]],'CONTROLE FIN'!A:A,'CONTROLE FIN'!I:I,"",0,1)</f>
        <v>150748.28832000002</v>
      </c>
    </row>
    <row r="29" spans="1:31" x14ac:dyDescent="0.3">
      <c r="A29" s="344">
        <f>IF(COUNTIFS($B$5:B29,TB_EC[[#This Row],[Nº  SS]])&lt;&gt;1,"",COUNTIFS($B$5:B29,TB_EC[[#This Row],[Nº  SS]]))</f>
        <v>1</v>
      </c>
      <c r="B29" s="267" t="s">
        <v>234</v>
      </c>
      <c r="C29" s="269" t="str">
        <f>_xlfn.XLOOKUP(TB_EC[[#This Row],[Nº  SS]],'CONTROLE CRONOG'!B:B,'CONTROLE CRONOG'!C:C,"",0,1)</f>
        <v>21-0418-ES - SUBSTITUIÇÃO DAS LINHAS DE ABASTECIMENTO DE ÁGUA DE POÇO TUBULARES</v>
      </c>
      <c r="D29" s="269" t="str">
        <f>_xlfn.XLOOKUP(TB_EC[[#This Row],[Nº  SS]],'CONTROLE CRONOG'!B:B,'CONTROLE CRONOG'!D:D,"",0,1)</f>
        <v>SERVIÇO</v>
      </c>
      <c r="E29" s="269" t="str">
        <f>_xlfn.XLOOKUP(TB_EC[[#This Row],[Nº  SS]],'CONTROLE CRONOG'!B:B,'CONTROLE CRONOG'!E:E,"",0,1)</f>
        <v>UTGC</v>
      </c>
      <c r="F29" s="310" t="str">
        <f>_xlfn.XLOOKUP(TB_EC[[#This Row],[Nº  SS]],'CONTROLE CRONOG'!B:B,'CONTROLE CRONOG'!F:F,"",0,1)</f>
        <v>CANCELADA</v>
      </c>
      <c r="G29" s="302">
        <f>_xlfn.XLOOKUP(TB_CR.ACOMP[[#This Row],[Nº  SS]],'PACOTE INICIAL'!A:A,'PACOTE INICIAL'!C:C,"S/EMISS",0,1)</f>
        <v>45980</v>
      </c>
      <c r="H29" s="302">
        <v>45980</v>
      </c>
      <c r="I29" s="302"/>
      <c r="J29" s="302"/>
      <c r="K29" s="302"/>
      <c r="L29" s="302"/>
      <c r="M29" s="302"/>
      <c r="N29" s="302"/>
      <c r="O29" s="302"/>
      <c r="P29" s="302"/>
      <c r="Q29" s="302"/>
      <c r="R29" s="277" t="str" cm="1">
        <f t="array" ref="R29">IF(TB_EC[[#This Row],[REV.00]]="","",INDEX(G$4:Q$4,MATCH(2,1/(G29:Q29&lt;&gt;""),1)))</f>
        <v>REV.01</v>
      </c>
      <c r="S29" s="276">
        <v>45980</v>
      </c>
      <c r="T29" s="277" t="str" cm="1">
        <f t="array" ref="T29">IF(TB_EC[[#This Row],[STATUS DEMANDA]]="CANCELADA","CANCELADA",IF(TB_EC[[#This Row],[DATA ENVIO]]="","PENDENTE",IF(TB_EC[[#This Row],[DATA ENVIO]]&gt;=IFERROR(INDEX(G29:Q29,MATCH(2,1/(G29:Q29&lt;&gt;""))),""),"ENTREGUE","PENDENTE")))</f>
        <v>CANCELADA</v>
      </c>
      <c r="U29" s="302"/>
      <c r="V29" s="303"/>
      <c r="W29" s="307">
        <f>_xlfn.XLOOKUP(TB_EC[[#This Row],[Nº  SS]],'CONTROLE FIN'!A:A,'CONTROLE FIN'!F:F,"",0,1)</f>
        <v>0</v>
      </c>
      <c r="X29" s="308">
        <f>_xlfn.XLOOKUP(TB_EC[[#This Row],[Nº  SS]],'CONTROLE FIN'!A:A,'CONTROLE FIN'!H:H,"",0,1)</f>
        <v>0</v>
      </c>
      <c r="Y29" s="343">
        <f>_xlfn.XLOOKUP(TB_EC[[#This Row],[Nº  SS]],'CONTROLE FIN'!A:A,'CONTROLE FIN'!I:I,"",0,1)</f>
        <v>0</v>
      </c>
    </row>
    <row r="30" spans="1:31" x14ac:dyDescent="0.3">
      <c r="A30" s="344">
        <f>IF(COUNTIFS($B$5:B30,TB_EC[[#This Row],[Nº  SS]])&lt;&gt;1,"",COUNTIFS($B$5:B30,TB_EC[[#This Row],[Nº  SS]]))</f>
        <v>1</v>
      </c>
      <c r="B30" s="267" t="s">
        <v>240</v>
      </c>
      <c r="C30" s="269" t="str">
        <f>_xlfn.XLOOKUP(TB_EC[[#This Row],[Nº  SS]],'CONTROLE CRONOG'!B:B,'CONTROLE CRONOG'!C:C,"",0,1)</f>
        <v>24-0307-ES - MANUTENÇÃO DO GALPÃO K-23</v>
      </c>
      <c r="D30" s="269" t="str">
        <f>_xlfn.XLOOKUP(TB_EC[[#This Row],[Nº  SS]],'CONTROLE CRONOG'!B:B,'CONTROLE CRONOG'!D:D,"",0,1)</f>
        <v>SERVIÇO</v>
      </c>
      <c r="E30" s="269" t="str">
        <f>_xlfn.XLOOKUP(TB_EC[[#This Row],[Nº  SS]],'CONTROLE CRONOG'!B:B,'CONTROLE CRONOG'!E:E,"",0,1)</f>
        <v>UTGC</v>
      </c>
      <c r="F30" s="310" t="str">
        <f>_xlfn.XLOOKUP(TB_EC[[#This Row],[Nº  SS]],'CONTROLE CRONOG'!B:B,'CONTROLE CRONOG'!F:F,"",0,1)</f>
        <v>EM ANDAMENTO</v>
      </c>
      <c r="G30" s="302">
        <v>46002</v>
      </c>
      <c r="H30" s="302">
        <v>46011</v>
      </c>
      <c r="I30" s="302"/>
      <c r="J30" s="302"/>
      <c r="K30" s="302"/>
      <c r="L30" s="302"/>
      <c r="M30" s="302"/>
      <c r="N30" s="302"/>
      <c r="O30" s="302"/>
      <c r="P30" s="302"/>
      <c r="Q30" s="302"/>
      <c r="R30" s="277" t="str" cm="1">
        <f t="array" ref="R30">IF(TB_EC[[#This Row],[REV.00]]="","",INDEX(G$4:Q$4,MATCH(2,1/(G30:Q30&lt;&gt;""),1)))</f>
        <v>REV.01</v>
      </c>
      <c r="S30" s="302">
        <v>46011</v>
      </c>
      <c r="T30" s="277" t="str" cm="1">
        <f t="array" ref="T30">IF(TB_EC[[#This Row],[STATUS DEMANDA]]="CANCELADA","CANCELADA",IF(TB_EC[[#This Row],[DATA ENVIO]]="","PENDENTE",IF(TB_EC[[#This Row],[DATA ENVIO]]&gt;=IFERROR(INDEX(G30:Q30,MATCH(2,1/(G30:Q30&lt;&gt;""))),""),"ENTREGUE","PENDENTE")))</f>
        <v>ENTREGUE</v>
      </c>
      <c r="U30" s="302">
        <v>46011</v>
      </c>
      <c r="V30" s="303" t="s">
        <v>11</v>
      </c>
      <c r="W30" s="307">
        <f>_xlfn.XLOOKUP(TB_EC[[#This Row],[Nº  SS]],'CONTROLE FIN'!A:A,'CONTROLE FIN'!F:F,"",0,1)</f>
        <v>1125967.97034</v>
      </c>
      <c r="X30" s="308">
        <f>_xlfn.XLOOKUP(TB_EC[[#This Row],[Nº  SS]],'CONTROLE FIN'!A:A,'CONTROLE FIN'!H:H,"",0,1)</f>
        <v>517945.26042000001</v>
      </c>
      <c r="Y30" s="343">
        <f>_xlfn.XLOOKUP(TB_EC[[#This Row],[Nº  SS]],'CONTROLE FIN'!A:A,'CONTROLE FIN'!I:I,"",0,1)</f>
        <v>608022.70992000005</v>
      </c>
    </row>
    <row r="31" spans="1:31" x14ac:dyDescent="0.3">
      <c r="A31" s="344">
        <f>IF(COUNTIFS($B$5:B31,TB_EC[[#This Row],[Nº  SS]])&lt;&gt;1,"",COUNTIFS($B$5:B31,TB_EC[[#This Row],[Nº  SS]]))</f>
        <v>1</v>
      </c>
      <c r="B31" s="267" t="s">
        <v>241</v>
      </c>
      <c r="C31" s="269" t="str">
        <f>_xlfn.XLOOKUP(TB_EC[[#This Row],[Nº  SS]],'CONTROLE CRONOG'!B:B,'CONTROLE CRONOG'!C:C,"",0,1)</f>
        <v>23-0735-ES - MANUTENÇÃO DO GALPÃO K-12</v>
      </c>
      <c r="D31" s="269" t="str">
        <f>_xlfn.XLOOKUP(TB_EC[[#This Row],[Nº  SS]],'CONTROLE CRONOG'!B:B,'CONTROLE CRONOG'!D:D,"",0,1)</f>
        <v>SERVIÇO</v>
      </c>
      <c r="E31" s="269" t="str">
        <f>_xlfn.XLOOKUP(TB_EC[[#This Row],[Nº  SS]],'CONTROLE CRONOG'!B:B,'CONTROLE CRONOG'!E:E,"",0,1)</f>
        <v>UTGC</v>
      </c>
      <c r="F31" s="310" t="str">
        <f>_xlfn.XLOOKUP(TB_EC[[#This Row],[Nº  SS]],'CONTROLE CRONOG'!B:B,'CONTROLE CRONOG'!F:F,"",0,1)</f>
        <v>EM ANDAMENTO</v>
      </c>
      <c r="G31" s="302">
        <v>46002</v>
      </c>
      <c r="H31" s="302">
        <v>46011</v>
      </c>
      <c r="I31" s="302"/>
      <c r="J31" s="302"/>
      <c r="K31" s="302"/>
      <c r="L31" s="302"/>
      <c r="M31" s="302"/>
      <c r="N31" s="302"/>
      <c r="O31" s="302"/>
      <c r="P31" s="302"/>
      <c r="Q31" s="302"/>
      <c r="R31" s="277" t="str" cm="1">
        <f t="array" ref="R31">IF(TB_EC[[#This Row],[REV.00]]="","",INDEX(G$4:Q$4,MATCH(2,1/(G31:Q31&lt;&gt;""),1)))</f>
        <v>REV.01</v>
      </c>
      <c r="S31" s="302">
        <v>46011</v>
      </c>
      <c r="T31" s="277" t="str" cm="1">
        <f t="array" ref="T31">IF(TB_EC[[#This Row],[STATUS DEMANDA]]="CANCELADA","CANCELADA",IF(TB_EC[[#This Row],[DATA ENVIO]]="","PENDENTE",IF(TB_EC[[#This Row],[DATA ENVIO]]&gt;=IFERROR(INDEX(G31:Q31,MATCH(2,1/(G31:Q31&lt;&gt;""))),""),"ENTREGUE","PENDENTE")))</f>
        <v>ENTREGUE</v>
      </c>
      <c r="U31" s="302">
        <v>46011</v>
      </c>
      <c r="V31" s="303" t="s">
        <v>11</v>
      </c>
      <c r="W31" s="307">
        <f>_xlfn.XLOOKUP(TB_EC[[#This Row],[Nº  SS]],'CONTROLE FIN'!A:A,'CONTROLE FIN'!F:F,"",0,1)</f>
        <v>415472.31089999998</v>
      </c>
      <c r="X31" s="308">
        <f>_xlfn.XLOOKUP(TB_EC[[#This Row],[Nº  SS]],'CONTROLE FIN'!A:A,'CONTROLE FIN'!H:H,"",0,1)</f>
        <v>290830.46922000003</v>
      </c>
      <c r="Y31" s="343">
        <f>_xlfn.XLOOKUP(TB_EC[[#This Row],[Nº  SS]],'CONTROLE FIN'!A:A,'CONTROLE FIN'!I:I,"",0,1)</f>
        <v>124641.84167999995</v>
      </c>
    </row>
    <row r="32" spans="1:31" x14ac:dyDescent="0.3">
      <c r="A32" s="344">
        <f>IF(COUNTIFS($B$5:B32,TB_EC[[#This Row],[Nº  SS]])&lt;&gt;1,"",COUNTIFS($B$5:B32,TB_EC[[#This Row],[Nº  SS]]))</f>
        <v>1</v>
      </c>
      <c r="B32" s="267" t="s">
        <v>242</v>
      </c>
      <c r="C32" s="269" t="str">
        <f>_xlfn.XLOOKUP(TB_EC[[#This Row],[Nº  SS]],'CONTROLE CRONOG'!B:B,'CONTROLE CRONOG'!C:C,"",0,1)</f>
        <v>23-0831-ES - MANUTENÇÃO DO GALPÃO K-48</v>
      </c>
      <c r="D32" s="269" t="str">
        <f>_xlfn.XLOOKUP(TB_EC[[#This Row],[Nº  SS]],'CONTROLE CRONOG'!B:B,'CONTROLE CRONOG'!D:D,"",0,1)</f>
        <v>SERVIÇO</v>
      </c>
      <c r="E32" s="269" t="str">
        <f>_xlfn.XLOOKUP(TB_EC[[#This Row],[Nº  SS]],'CONTROLE CRONOG'!B:B,'CONTROLE CRONOG'!E:E,"",0,1)</f>
        <v>UTGC</v>
      </c>
      <c r="F32" s="310" t="str">
        <f>_xlfn.XLOOKUP(TB_EC[[#This Row],[Nº  SS]],'CONTROLE CRONOG'!B:B,'CONTROLE CRONOG'!F:F,"",0,1)</f>
        <v>EM ANDAMENTO</v>
      </c>
      <c r="G32" s="302">
        <v>46003</v>
      </c>
      <c r="H32" s="302">
        <v>46011</v>
      </c>
      <c r="I32" s="302"/>
      <c r="J32" s="302"/>
      <c r="K32" s="302"/>
      <c r="L32" s="302"/>
      <c r="M32" s="302"/>
      <c r="N32" s="302"/>
      <c r="O32" s="302"/>
      <c r="P32" s="302"/>
      <c r="Q32" s="302"/>
      <c r="R32" s="277" t="str" cm="1">
        <f t="array" ref="R32">IF(TB_EC[[#This Row],[REV.00]]="","",INDEX(G$4:Q$4,MATCH(2,1/(G32:Q32&lt;&gt;""),1)))</f>
        <v>REV.01</v>
      </c>
      <c r="S32" s="302">
        <v>46011</v>
      </c>
      <c r="T32" s="277" t="str" cm="1">
        <f t="array" ref="T32">IF(TB_EC[[#This Row],[STATUS DEMANDA]]="CANCELADA","CANCELADA",IF(TB_EC[[#This Row],[DATA ENVIO]]="","PENDENTE",IF(TB_EC[[#This Row],[DATA ENVIO]]&gt;=IFERROR(INDEX(G32:Q32,MATCH(2,1/(G32:Q32&lt;&gt;""))),""),"ENTREGUE","PENDENTE")))</f>
        <v>ENTREGUE</v>
      </c>
      <c r="U32" s="302">
        <v>46013</v>
      </c>
      <c r="V32" s="303" t="s">
        <v>11</v>
      </c>
      <c r="W32" s="307">
        <f>_xlfn.XLOOKUP(TB_EC[[#This Row],[Nº  SS]],'CONTROLE FIN'!A:A,'CONTROLE FIN'!F:F,"",0,1)</f>
        <v>1219896.0657000002</v>
      </c>
      <c r="X32" s="308">
        <f>_xlfn.XLOOKUP(TB_EC[[#This Row],[Nº  SS]],'CONTROLE FIN'!A:A,'CONTROLE FIN'!H:H,"",0,1)</f>
        <v>536754.44699999993</v>
      </c>
      <c r="Y32" s="343">
        <f>_xlfn.XLOOKUP(TB_EC[[#This Row],[Nº  SS]],'CONTROLE FIN'!A:A,'CONTROLE FIN'!I:I,"",0,1)</f>
        <v>683141.61870000022</v>
      </c>
      <c r="AE32" s="89"/>
    </row>
    <row r="33" spans="1:31" x14ac:dyDescent="0.3">
      <c r="A33" s="344">
        <f>IF(COUNTIFS($B$5:B33,TB_EC[[#This Row],[Nº  SS]])&lt;&gt;1,"",COUNTIFS($B$5:B33,TB_EC[[#This Row],[Nº  SS]]))</f>
        <v>1</v>
      </c>
      <c r="B33" s="267" t="s">
        <v>243</v>
      </c>
      <c r="C33" s="269" t="str">
        <f>_xlfn.XLOOKUP(TB_EC[[#This Row],[Nº  SS]],'CONTROLE CRONOG'!B:B,'CONTROLE CRONOG'!C:C,"",0,1)</f>
        <v>25-0395-ES - INTERVENÇÃO NAS INFILTRAÇÕES DA COBERTURA PRÉDIO ADMINISTRATIVO</v>
      </c>
      <c r="D33" s="269" t="str">
        <f>_xlfn.XLOOKUP(TB_EC[[#This Row],[Nº  SS]],'CONTROLE CRONOG'!B:B,'CONTROLE CRONOG'!D:D,"",0,1)</f>
        <v>SERVIÇO</v>
      </c>
      <c r="E33" s="269" t="str">
        <f>_xlfn.XLOOKUP(TB_EC[[#This Row],[Nº  SS]],'CONTROLE CRONOG'!B:B,'CONTROLE CRONOG'!E:E,"",0,1)</f>
        <v>UTGC</v>
      </c>
      <c r="F33" s="310" t="str">
        <f>_xlfn.XLOOKUP(TB_EC[[#This Row],[Nº  SS]],'CONTROLE CRONOG'!B:B,'CONTROLE CRONOG'!F:F,"",0,1)</f>
        <v>EM ANDAMENTO</v>
      </c>
      <c r="G33" s="302">
        <v>46009</v>
      </c>
      <c r="H33" s="302">
        <v>46010</v>
      </c>
      <c r="I33" s="302"/>
      <c r="J33" s="302"/>
      <c r="K33" s="302"/>
      <c r="L33" s="302"/>
      <c r="M33" s="302"/>
      <c r="N33" s="302"/>
      <c r="O33" s="302"/>
      <c r="P33" s="302"/>
      <c r="Q33" s="302"/>
      <c r="R33" s="277" t="str" cm="1">
        <f t="array" ref="R33">IF(TB_EC[[#This Row],[REV.00]]="","",INDEX(G$4:Q$4,MATCH(2,1/(G33:Q33&lt;&gt;""),1)))</f>
        <v>REV.01</v>
      </c>
      <c r="S33" s="302">
        <v>46010</v>
      </c>
      <c r="T33" s="277" t="str" cm="1">
        <f t="array" ref="T33">IF(TB_EC[[#This Row],[STATUS DEMANDA]]="CANCELADA","CANCELADA",IF(TB_EC[[#This Row],[DATA ENVIO]]="","PENDENTE",IF(TB_EC[[#This Row],[DATA ENVIO]]&gt;=IFERROR(INDEX(G33:Q33,MATCH(2,1/(G33:Q33&lt;&gt;""))),""),"ENTREGUE","PENDENTE")))</f>
        <v>ENTREGUE</v>
      </c>
      <c r="U33" s="302">
        <v>46013</v>
      </c>
      <c r="V33" s="303" t="s">
        <v>11</v>
      </c>
      <c r="W33" s="307">
        <f>_xlfn.XLOOKUP(TB_EC[[#This Row],[Nº  SS]],'CONTROLE FIN'!A:A,'CONTROLE FIN'!F:F,"",0,1)</f>
        <v>139993.07525999998</v>
      </c>
      <c r="X33" s="308">
        <f>_xlfn.XLOOKUP(TB_EC[[#This Row],[Nº  SS]],'CONTROLE FIN'!A:A,'CONTROLE FIN'!H:H,"",0,1)</f>
        <v>41997.952259999998</v>
      </c>
      <c r="Y33" s="343">
        <f>_xlfn.XLOOKUP(TB_EC[[#This Row],[Nº  SS]],'CONTROLE FIN'!A:A,'CONTROLE FIN'!I:I,"",0,1)</f>
        <v>97995.122999999992</v>
      </c>
    </row>
    <row r="34" spans="1:31" x14ac:dyDescent="0.3">
      <c r="A34" s="344">
        <f>IF(COUNTIFS($B$5:B34,TB_EC[[#This Row],[Nº  SS]])&lt;&gt;1,"",COUNTIFS($B$5:B34,TB_EC[[#This Row],[Nº  SS]]))</f>
        <v>1</v>
      </c>
      <c r="B34" s="267" t="s">
        <v>244</v>
      </c>
      <c r="C34" s="269" t="str">
        <f>_xlfn.XLOOKUP(TB_EC[[#This Row],[Nº  SS]],'CONTROLE CRONOG'!B:B,'CONTROLE CRONOG'!C:C,"",0,1)</f>
        <v>24-0666-ES - ADEQUAÇÃO DE PISO ELEVADO NO CENTRO DE SAÚDE</v>
      </c>
      <c r="D34" s="269" t="str">
        <f>_xlfn.XLOOKUP(TB_EC[[#This Row],[Nº  SS]],'CONTROLE CRONOG'!B:B,'CONTROLE CRONOG'!D:D,"",0,1)</f>
        <v>SERVIÇO</v>
      </c>
      <c r="E34" s="269" t="str">
        <f>_xlfn.XLOOKUP(TB_EC[[#This Row],[Nº  SS]],'CONTROLE CRONOG'!B:B,'CONTROLE CRONOG'!E:E,"",0,1)</f>
        <v>EDIVIT</v>
      </c>
      <c r="F34" s="310" t="str">
        <f>_xlfn.XLOOKUP(TB_EC[[#This Row],[Nº  SS]],'CONTROLE CRONOG'!B:B,'CONTROLE CRONOG'!F:F,"",0,1)</f>
        <v>EM ANDAMENTO</v>
      </c>
      <c r="G34" s="302">
        <f>_xlfn.XLOOKUP(TB_CR.ACOMP[[#This Row],[Nº  SS]],'PACOTE INICIAL'!A:A,'PACOTE INICIAL'!C:C,"S/EMISS",0,1)</f>
        <v>46029</v>
      </c>
      <c r="H34" s="302">
        <v>46041</v>
      </c>
      <c r="I34" s="302"/>
      <c r="J34" s="302"/>
      <c r="K34" s="302"/>
      <c r="L34" s="302"/>
      <c r="M34" s="302"/>
      <c r="N34" s="302"/>
      <c r="O34" s="302"/>
      <c r="P34" s="302"/>
      <c r="Q34" s="302"/>
      <c r="R34" s="277" t="str" cm="1">
        <f t="array" ref="R34">IF(TB_EC[[#This Row],[REV.00]]="","",INDEX(G$4:Q$4,MATCH(2,1/(G34:Q34&lt;&gt;""),1)))</f>
        <v>REV.01</v>
      </c>
      <c r="S34" s="276">
        <v>46041</v>
      </c>
      <c r="T34" s="277" t="str" cm="1">
        <f t="array" ref="T34">IF(TB_EC[[#This Row],[STATUS DEMANDA]]="CANCELADA","CANCELADA",IF(TB_EC[[#This Row],[DATA ENVIO]]="","PENDENTE",IF(TB_EC[[#This Row],[DATA ENVIO]]&gt;=IFERROR(INDEX(G34:Q34,MATCH(2,1/(G34:Q34&lt;&gt;""))),""),"ENTREGUE","PENDENTE")))</f>
        <v>ENTREGUE</v>
      </c>
      <c r="U34" s="302">
        <v>46065</v>
      </c>
      <c r="V34" s="303" t="s">
        <v>11</v>
      </c>
      <c r="W34" s="307">
        <f>_xlfn.XLOOKUP(TB_EC[[#This Row],[Nº  SS]],'CONTROLE FIN'!A:A,'CONTROLE FIN'!F:F,"",0,1)</f>
        <v>41370.68</v>
      </c>
      <c r="X34" s="308">
        <f>_xlfn.XLOOKUP(TB_EC[[#This Row],[Nº  SS]],'CONTROLE FIN'!A:A,'CONTROLE FIN'!H:H,"",0,1)</f>
        <v>4137.0771599999998</v>
      </c>
      <c r="Y34" s="343">
        <f>_xlfn.XLOOKUP(TB_EC[[#This Row],[Nº  SS]],'CONTROLE FIN'!A:A,'CONTROLE FIN'!I:I,"",0,1)</f>
        <v>37233.60284</v>
      </c>
      <c r="AE34" s="89"/>
    </row>
    <row r="35" spans="1:31" x14ac:dyDescent="0.3">
      <c r="A35" s="344">
        <f>IF(COUNTIFS($B$5:B35,TB_EC[[#This Row],[Nº  SS]])&lt;&gt;1,"",COUNTIFS($B$5:B35,TB_EC[[#This Row],[Nº  SS]]))</f>
        <v>1</v>
      </c>
      <c r="B35" s="267" t="s">
        <v>250</v>
      </c>
      <c r="C35" s="269" t="str">
        <f>_xlfn.XLOOKUP(TB_EC[[#This Row],[Nº  SS]],'CONTROLE CRONOG'!B:B,'CONTROLE CRONOG'!C:C,"",0,1)</f>
        <v>25-0147-ES - ADEQUAÇÃO NA ÁREA DA NOVA PORTARIA</v>
      </c>
      <c r="D35" s="269" t="str">
        <f>_xlfn.XLOOKUP(TB_EC[[#This Row],[Nº  SS]],'CONTROLE CRONOG'!B:B,'CONTROLE CRONOG'!D:D,"",0,1)</f>
        <v>SERVIÇO</v>
      </c>
      <c r="E35" s="269" t="str">
        <f>_xlfn.XLOOKUP(TB_EC[[#This Row],[Nº  SS]],'CONTROLE CRONOG'!B:B,'CONTROLE CRONOG'!E:E,"",0,1)</f>
        <v>UTGC</v>
      </c>
      <c r="F35" s="310" t="str">
        <f>_xlfn.XLOOKUP(TB_EC[[#This Row],[Nº  SS]],'CONTROLE CRONOG'!B:B,'CONTROLE CRONOG'!F:F,"",0,1)</f>
        <v>CONCLUÍDA</v>
      </c>
      <c r="G35" s="311">
        <v>46003</v>
      </c>
      <c r="H35" s="302"/>
      <c r="I35" s="302"/>
      <c r="J35" s="302"/>
      <c r="K35" s="302"/>
      <c r="L35" s="302"/>
      <c r="M35" s="302"/>
      <c r="N35" s="302"/>
      <c r="O35" s="302"/>
      <c r="P35" s="302"/>
      <c r="Q35" s="302"/>
      <c r="R35" s="277" t="s">
        <v>64</v>
      </c>
      <c r="S35" s="302">
        <v>46003</v>
      </c>
      <c r="T35" s="277" t="str" cm="1">
        <f t="array" ref="T35">IF(TB_EC[[#This Row],[STATUS DEMANDA]]="CANCELADA","CANCELADA",IF(TB_EC[[#This Row],[DATA ENVIO]]="","PENDENTE",IF(TB_EC[[#This Row],[DATA ENVIO]]&gt;=IFERROR(INDEX(G35:Q35,MATCH(2,1/(G35:Q35&lt;&gt;""))),""),"ENTREGUE","PENDENTE")))</f>
        <v>ENTREGUE</v>
      </c>
      <c r="U35" s="302">
        <v>46003</v>
      </c>
      <c r="V35" s="312" t="s">
        <v>11</v>
      </c>
      <c r="W35" s="307">
        <f>_xlfn.XLOOKUP(TB_EC[[#This Row],[Nº  SS]],'CONTROLE FIN'!A:A,'CONTROLE FIN'!F:F,"",0,1)</f>
        <v>82273.161240000001</v>
      </c>
      <c r="X35" s="308">
        <f>_xlfn.XLOOKUP(TB_EC[[#This Row],[Nº  SS]],'CONTROLE FIN'!A:A,'CONTROLE FIN'!H:H,"",0,1)</f>
        <v>82273.161240000001</v>
      </c>
      <c r="Y35" s="343">
        <f>_xlfn.XLOOKUP(TB_EC[[#This Row],[Nº  SS]],'CONTROLE FIN'!A:A,'CONTROLE FIN'!I:I,"",0,1)</f>
        <v>0</v>
      </c>
      <c r="AE35" s="89"/>
    </row>
    <row r="36" spans="1:31" x14ac:dyDescent="0.3">
      <c r="A36" s="344">
        <f>IF(COUNTIFS($B$5:B36,TB_EC[[#This Row],[Nº  SS]])&lt;&gt;1,"",COUNTIFS($B$5:B36,TB_EC[[#This Row],[Nº  SS]]))</f>
        <v>1</v>
      </c>
      <c r="B36" s="267" t="s">
        <v>417</v>
      </c>
      <c r="C36" s="269" t="str">
        <f>_xlfn.XLOOKUP(TB_EC[[#This Row],[Nº  SS]],'CONTROLE CRONOG'!B:B,'CONTROLE CRONOG'!C:C,"",0,1)</f>
        <v>21-0008-ES - ADEQUAÇÕES DO GALPÃO UPCGN-2</v>
      </c>
      <c r="D36" s="269" t="str">
        <f>_xlfn.XLOOKUP(TB_EC[[#This Row],[Nº  SS]],'CONTROLE CRONOG'!B:B,'CONTROLE CRONOG'!D:D,"",0,1)</f>
        <v>SERVIÇO</v>
      </c>
      <c r="E36" s="269" t="str">
        <f>_xlfn.XLOOKUP(TB_EC[[#This Row],[Nº  SS]],'CONTROLE CRONOG'!B:B,'CONTROLE CRONOG'!E:E,"",0,1)</f>
        <v>UTGC</v>
      </c>
      <c r="F36" s="310" t="str">
        <f>_xlfn.XLOOKUP(TB_EC[[#This Row],[Nº  SS]],'CONTROLE CRONOG'!B:B,'CONTROLE CRONOG'!F:F,"",0,1)</f>
        <v>CONCLUÍDA</v>
      </c>
      <c r="G36" s="346">
        <v>46050</v>
      </c>
      <c r="H36" s="302">
        <v>46076</v>
      </c>
      <c r="I36" s="302"/>
      <c r="J36" s="302"/>
      <c r="K36" s="302"/>
      <c r="L36" s="302"/>
      <c r="M36" s="302"/>
      <c r="N36" s="302"/>
      <c r="O36" s="302"/>
      <c r="P36" s="302"/>
      <c r="Q36" s="302"/>
      <c r="R36" s="277" t="str" cm="1">
        <f t="array" ref="R36">IF(TB_EC[[#This Row],[REV.00]]="","",INDEX(G$4:Q$4,MATCH(2,1/(G36:Q36&lt;&gt;""),1)))</f>
        <v>REV.01</v>
      </c>
      <c r="S36" s="302">
        <v>46076</v>
      </c>
      <c r="T36" s="277" t="str" cm="1">
        <f t="array" ref="T36">IF(TB_EC[[#This Row],[STATUS DEMANDA]]="CANCELADA","CANCELADA",IF(TB_EC[[#This Row],[DATA ENVIO]]="","PENDENTE",IF(TB_EC[[#This Row],[DATA ENVIO]]&gt;=IFERROR(INDEX(G36:Q36,MATCH(2,1/(G36:Q36&lt;&gt;""))),""),"ENTREGUE","PENDENTE")))</f>
        <v>ENTREGUE</v>
      </c>
      <c r="U36" s="302">
        <v>46076</v>
      </c>
      <c r="V36" s="312" t="s">
        <v>11</v>
      </c>
      <c r="W36" s="307">
        <f>_xlfn.XLOOKUP(TB_EC[[#This Row],[Nº  SS]],'CONTROLE FIN'!A:A,'CONTROLE FIN'!F:F,"",0,1)</f>
        <v>128609.1378</v>
      </c>
      <c r="X36" s="308">
        <f>_xlfn.XLOOKUP(TB_EC[[#This Row],[Nº  SS]],'CONTROLE FIN'!A:A,'CONTROLE FIN'!H:H,"",0,1)</f>
        <v>128609.1378</v>
      </c>
      <c r="Y36" s="343">
        <f>_xlfn.XLOOKUP(TB_EC[[#This Row],[Nº  SS]],'CONTROLE FIN'!A:A,'CONTROLE FIN'!I:I,"",0,1)</f>
        <v>0</v>
      </c>
      <c r="AE36" s="89"/>
    </row>
    <row r="37" spans="1:31" x14ac:dyDescent="0.3">
      <c r="A37" s="344">
        <f>IF(COUNTIFS($B$5:B37,TB_EC[[#This Row],[Nº  SS]])&lt;&gt;1,"",COUNTIFS($B$5:B37,TB_EC[[#This Row],[Nº  SS]]))</f>
        <v>1</v>
      </c>
      <c r="B37" s="267" t="s">
        <v>416</v>
      </c>
      <c r="C37" s="269" t="str">
        <f>_xlfn.XLOOKUP(TB_EC[[#This Row],[Nº  SS]],'CONTROLE CRONOG'!B:B,'CONTROLE CRONOG'!C:C,"",0,1)</f>
        <v>24-0669-ES - ADEQUAÇÕES EM PISO ELEVADO - PORTARIAS</v>
      </c>
      <c r="D37" s="269" t="str">
        <f>_xlfn.XLOOKUP(TB_EC[[#This Row],[Nº  SS]],'CONTROLE CRONOG'!B:B,'CONTROLE CRONOG'!D:D,"",0,1)</f>
        <v>SERVIÇO</v>
      </c>
      <c r="E37" s="269" t="str">
        <f>_xlfn.XLOOKUP(TB_EC[[#This Row],[Nº  SS]],'CONTROLE CRONOG'!B:B,'CONTROLE CRONOG'!E:E,"",0,1)</f>
        <v>EDIVIT</v>
      </c>
      <c r="F37" s="310" t="str">
        <f>_xlfn.XLOOKUP(TB_EC[[#This Row],[Nº  SS]],'CONTROLE CRONOG'!B:B,'CONTROLE CRONOG'!F:F,"",0,1)</f>
        <v>EM ANDAMENTO</v>
      </c>
      <c r="G37" s="311">
        <v>46037</v>
      </c>
      <c r="H37" s="302"/>
      <c r="I37" s="302">
        <v>46077</v>
      </c>
      <c r="J37" s="302">
        <v>46078</v>
      </c>
      <c r="K37" s="302"/>
      <c r="L37" s="302"/>
      <c r="M37" s="302"/>
      <c r="N37" s="302"/>
      <c r="O37" s="302"/>
      <c r="P37" s="302"/>
      <c r="Q37" s="302"/>
      <c r="R37" s="277" t="str" cm="1">
        <f t="array" ref="R37">IF(TB_EC[[#This Row],[REV.00]]="","",INDEX(G$4:Q$4,MATCH(2,1/(G37:Q37&lt;&gt;""),1)))</f>
        <v>REV.03</v>
      </c>
      <c r="S37" s="302">
        <v>46078</v>
      </c>
      <c r="T37" s="277" t="str" cm="1">
        <f t="array" ref="T37">IF(TB_EC[[#This Row],[STATUS DEMANDA]]="CANCELADA","CANCELADA",IF(TB_EC[[#This Row],[DATA ENVIO]]="","PENDENTE",IF(TB_EC[[#This Row],[DATA ENVIO]]&gt;=IFERROR(INDEX(G37:Q37,MATCH(2,1/(G37:Q37&lt;&gt;""))),""),"ENTREGUE","PENDENTE")))</f>
        <v>ENTREGUE</v>
      </c>
      <c r="U37" s="302">
        <v>46078</v>
      </c>
      <c r="V37" s="312" t="s">
        <v>11</v>
      </c>
      <c r="W37" s="307">
        <f>_xlfn.XLOOKUP(TB_EC[[#This Row],[Nº  SS]],'CONTROLE FIN'!A:A,'CONTROLE FIN'!F:F,"",0,1)</f>
        <v>1114645.1777999999</v>
      </c>
      <c r="X37" s="308">
        <f>_xlfn.XLOOKUP(TB_EC[[#This Row],[Nº  SS]],'CONTROLE FIN'!A:A,'CONTROLE FIN'!H:H,"",0,1)</f>
        <v>111464.51777999999</v>
      </c>
      <c r="Y37" s="343">
        <f>_xlfn.XLOOKUP(TB_EC[[#This Row],[Nº  SS]],'CONTROLE FIN'!A:A,'CONTROLE FIN'!I:I,"",0,1)</f>
        <v>1003180.66002</v>
      </c>
    </row>
    <row r="38" spans="1:31" x14ac:dyDescent="0.3">
      <c r="A38" s="344">
        <f>IF(COUNTIFS($B$5:B38,TB_EC[[#This Row],[Nº  SS]])&lt;&gt;1,"",COUNTIFS($B$5:B38,TB_EC[[#This Row],[Nº  SS]]))</f>
        <v>1</v>
      </c>
      <c r="B38" s="267" t="s">
        <v>445</v>
      </c>
      <c r="C38" s="269" t="str">
        <f>_xlfn.XLOOKUP(TB_EC[[#This Row],[Nº  SS]],'CONTROLE CRONOG'!B:B,'CONTROLE CRONOG'!C:C,"",0,1)</f>
        <v>21-0008-ES - PREPARAÇÃO DE ÁREA PARA INSTALAÇÃO DO CANTEIRO DA INOVA</v>
      </c>
      <c r="D38" s="269" t="str">
        <f>_xlfn.XLOOKUP(TB_EC[[#This Row],[Nº  SS]],'CONTROLE CRONOG'!B:B,'CONTROLE CRONOG'!D:D,"",0,1)</f>
        <v>SERVIÇO</v>
      </c>
      <c r="E38" s="269" t="str">
        <f>_xlfn.XLOOKUP(TB_EC[[#This Row],[Nº  SS]],'CONTROLE CRONOG'!B:B,'CONTROLE CRONOG'!E:E,"",0,1)</f>
        <v>UTGC</v>
      </c>
      <c r="F38" s="310" t="str">
        <f>_xlfn.XLOOKUP(TB_EC[[#This Row],[Nº  SS]],'CONTROLE CRONOG'!B:B,'CONTROLE CRONOG'!F:F,"",0,1)</f>
        <v>EM ANDAMENTO</v>
      </c>
      <c r="G38" s="346">
        <v>46042</v>
      </c>
      <c r="H38" s="302">
        <v>46056</v>
      </c>
      <c r="I38" s="302">
        <v>46059</v>
      </c>
      <c r="J38" s="302">
        <v>46073</v>
      </c>
      <c r="K38" s="302">
        <v>46073</v>
      </c>
      <c r="L38" s="302">
        <v>46073</v>
      </c>
      <c r="M38" s="302">
        <v>46076</v>
      </c>
      <c r="N38" s="302"/>
      <c r="O38" s="302"/>
      <c r="P38" s="302"/>
      <c r="Q38" s="302"/>
      <c r="R38" s="277" t="str" cm="1">
        <f t="array" ref="R38">IF(TB_EC[[#This Row],[REV.00]]="","",INDEX(G$4:Q$4,MATCH(2,1/(G38:Q38&lt;&gt;""),1)))</f>
        <v>REV.06</v>
      </c>
      <c r="S38" s="302">
        <v>46076</v>
      </c>
      <c r="T38" s="277" t="str" cm="1">
        <f t="array" ref="T38">IF(TB_EC[[#This Row],[STATUS DEMANDA]]="CANCELADA","CANCELADA",IF(TB_EC[[#This Row],[DATA ENVIO]]="","PENDENTE",IF(TB_EC[[#This Row],[DATA ENVIO]]&gt;=IFERROR(INDEX(G38:Q38,MATCH(2,1/(G38:Q38&lt;&gt;""))),""),"ENTREGUE","PENDENTE")))</f>
        <v>ENTREGUE</v>
      </c>
      <c r="U38" s="302">
        <v>46076</v>
      </c>
      <c r="V38" s="312" t="s">
        <v>11</v>
      </c>
      <c r="W38" s="307">
        <f>_xlfn.XLOOKUP(TB_EC[[#This Row],[Nº  SS]],'CONTROLE FIN'!A:A,'CONTROLE FIN'!F:F,"",0,1)</f>
        <v>91628.333999999988</v>
      </c>
      <c r="X38" s="308">
        <f>_xlfn.XLOOKUP(TB_EC[[#This Row],[Nº  SS]],'CONTROLE FIN'!A:A,'CONTROLE FIN'!H:H,"",0,1)</f>
        <v>33901.889940000001</v>
      </c>
      <c r="Y38" s="343">
        <f>_xlfn.XLOOKUP(TB_EC[[#This Row],[Nº  SS]],'CONTROLE FIN'!A:A,'CONTROLE FIN'!I:I,"",0,1)</f>
        <v>57726.444059999987</v>
      </c>
    </row>
    <row r="39" spans="1:31" x14ac:dyDescent="0.3">
      <c r="A39" s="344">
        <f>IF(COUNTIFS($B$5:B39,TB_EC[[#This Row],[Nº  SS]])&lt;&gt;1,"",COUNTIFS($B$5:B39,TB_EC[[#This Row],[Nº  SS]]))</f>
        <v>1</v>
      </c>
      <c r="B39" s="267" t="s">
        <v>530</v>
      </c>
      <c r="C39" s="269" t="str">
        <f>_xlfn.XLOOKUP(TB_EC[[#This Row],[Nº  SS]],'CONTROLE CRONOG'!B:B,'CONTROLE CRONOG'!C:C,"",0,1)</f>
        <v>23-0736-ES - MANUTENÇÃO DO DEPÓSITO DE PIG K-34</v>
      </c>
      <c r="D39" s="269" t="str">
        <f>_xlfn.XLOOKUP(TB_EC[[#This Row],[Nº  SS]],'CONTROLE CRONOG'!B:B,'CONTROLE CRONOG'!D:D,"",0,1)</f>
        <v>SERVIÇO</v>
      </c>
      <c r="E39" s="269" t="str">
        <f>_xlfn.XLOOKUP(TB_EC[[#This Row],[Nº  SS]],'CONTROLE CRONOG'!B:B,'CONTROLE CRONOG'!E:E,"",0,1)</f>
        <v>UTGC</v>
      </c>
      <c r="F39" s="310" t="str">
        <f>_xlfn.XLOOKUP(TB_EC[[#This Row],[Nº  SS]],'CONTROLE CRONOG'!B:B,'CONTROLE CRONOG'!F:F,"",0,1)</f>
        <v>EM ANDAMENTO</v>
      </c>
      <c r="G39" s="346">
        <v>46059</v>
      </c>
      <c r="H39" s="302">
        <v>46079</v>
      </c>
      <c r="I39" s="302">
        <v>46079</v>
      </c>
      <c r="J39" s="302"/>
      <c r="K39" s="302"/>
      <c r="L39" s="302"/>
      <c r="M39" s="302"/>
      <c r="N39" s="302"/>
      <c r="O39" s="302"/>
      <c r="P39" s="302"/>
      <c r="Q39" s="302"/>
      <c r="R39" s="277" t="str" cm="1">
        <f t="array" ref="R39">IF(TB_EC[[#This Row],[REV.00]]="","",INDEX(G$4:Q$4,MATCH(2,1/(G39:Q39&lt;&gt;""),1)))</f>
        <v>REV.02</v>
      </c>
      <c r="S39" s="302">
        <v>46079</v>
      </c>
      <c r="T39" s="277" t="str" cm="1">
        <f t="array" ref="T39">IF(TB_EC[[#This Row],[STATUS DEMANDA]]="CANCELADA","CANCELADA",IF(TB_EC[[#This Row],[DATA ENVIO]]="","PENDENTE",IF(TB_EC[[#This Row],[DATA ENVIO]]&gt;=IFERROR(INDEX(G39:Q39,MATCH(2,1/(G39:Q39&lt;&gt;""))),""),"ENTREGUE","PENDENTE")))</f>
        <v>ENTREGUE</v>
      </c>
      <c r="U39" s="302">
        <v>46079</v>
      </c>
      <c r="V39" s="312" t="s">
        <v>11</v>
      </c>
      <c r="W39" s="307">
        <f>_xlfn.XLOOKUP(TB_EC[[#This Row],[Nº  SS]],'CONTROLE FIN'!A:A,'CONTROLE FIN'!F:F,"",0,1)</f>
        <v>467937.02681999997</v>
      </c>
      <c r="X39" s="308">
        <f>_xlfn.XLOOKUP(TB_EC[[#This Row],[Nº  SS]],'CONTROLE FIN'!A:A,'CONTROLE FIN'!H:H,"",0,1)</f>
        <v>45006.816599999998</v>
      </c>
      <c r="Y39" s="343">
        <f>_xlfn.XLOOKUP(TB_EC[[#This Row],[Nº  SS]],'CONTROLE FIN'!A:A,'CONTROLE FIN'!I:I,"",0,1)</f>
        <v>422930.21021999995</v>
      </c>
    </row>
    <row r="40" spans="1:31" x14ac:dyDescent="0.3">
      <c r="A40" s="344">
        <f>IF(COUNTIFS($B$5:B40,TB_EC[[#This Row],[Nº  SS]])&lt;&gt;1,"",COUNTIFS($B$5:B40,TB_EC[[#This Row],[Nº  SS]]))</f>
        <v>1</v>
      </c>
      <c r="B40" s="267" t="s">
        <v>531</v>
      </c>
      <c r="C40" s="269" t="str">
        <f>_xlfn.XLOOKUP(TB_EC[[#This Row],[Nº  SS]],'CONTROLE CRONOG'!B:B,'CONTROLE CRONOG'!C:C,"",0,1)</f>
        <v>23-0828-ES - MANUTENÇÃO DO GALPÃO K-56</v>
      </c>
      <c r="D40" s="269" t="str">
        <f>_xlfn.XLOOKUP(TB_EC[[#This Row],[Nº  SS]],'CONTROLE CRONOG'!B:B,'CONTROLE CRONOG'!D:D,"",0,1)</f>
        <v>SERVIÇO</v>
      </c>
      <c r="E40" s="269" t="str">
        <f>_xlfn.XLOOKUP(TB_EC[[#This Row],[Nº  SS]],'CONTROLE CRONOG'!B:B,'CONTROLE CRONOG'!E:E,"",0,1)</f>
        <v>UTGC</v>
      </c>
      <c r="F40" s="310" t="str">
        <f>_xlfn.XLOOKUP(TB_EC[[#This Row],[Nº  SS]],'CONTROLE CRONOG'!B:B,'CONTROLE CRONOG'!F:F,"",0,1)</f>
        <v>EM ANDAMENTO</v>
      </c>
      <c r="G40" s="346">
        <v>46085</v>
      </c>
      <c r="H40" s="302">
        <v>46093</v>
      </c>
      <c r="I40" s="302"/>
      <c r="J40" s="302"/>
      <c r="K40" s="302"/>
      <c r="L40" s="302"/>
      <c r="M40" s="302"/>
      <c r="N40" s="302"/>
      <c r="O40" s="302"/>
      <c r="P40" s="302"/>
      <c r="Q40" s="302"/>
      <c r="R40" s="277" t="str" cm="1">
        <f t="array" ref="R40">IF(TB_EC[[#This Row],[REV.00]]="","",INDEX(G$4:Q$4,MATCH(2,1/(G40:Q40&lt;&gt;""),1)))</f>
        <v>REV.01</v>
      </c>
      <c r="S40" s="302">
        <v>46093</v>
      </c>
      <c r="T40" s="277" t="str" cm="1">
        <f t="array" ref="T40">IF(TB_EC[[#This Row],[STATUS DEMANDA]]="CANCELADA","CANCELADA",IF(TB_EC[[#This Row],[DATA ENVIO]]="","PENDENTE",IF(TB_EC[[#This Row],[DATA ENVIO]]&gt;=IFERROR(INDEX(G40:Q40,MATCH(2,1/(G40:Q40&lt;&gt;""))),""),"ENTREGUE","PENDENTE")))</f>
        <v>ENTREGUE</v>
      </c>
      <c r="U40" s="302">
        <v>46093</v>
      </c>
      <c r="V40" s="312" t="s">
        <v>11</v>
      </c>
      <c r="W40" s="307">
        <f>_xlfn.XLOOKUP(TB_EC[[#This Row],[Nº  SS]],'CONTROLE FIN'!A:A,'CONTROLE FIN'!F:F,"",0,1)</f>
        <v>565513.33679999993</v>
      </c>
      <c r="X40" s="308">
        <f>_xlfn.XLOOKUP(TB_EC[[#This Row],[Nº  SS]],'CONTROLE FIN'!A:A,'CONTROLE FIN'!H:H,"",0,1)</f>
        <v>0</v>
      </c>
      <c r="Y40" s="343">
        <f>_xlfn.XLOOKUP(TB_EC[[#This Row],[Nº  SS]],'CONTROLE FIN'!A:A,'CONTROLE FIN'!I:I,"",0,1)</f>
        <v>565513.33679999993</v>
      </c>
    </row>
    <row r="41" spans="1:31" x14ac:dyDescent="0.3">
      <c r="A41" s="344">
        <f>IF(COUNTIFS($B$5:B41,TB_EC[[#This Row],[Nº  SS]])&lt;&gt;1,"",COUNTIFS($B$5:B41,TB_EC[[#This Row],[Nº  SS]]))</f>
        <v>1</v>
      </c>
      <c r="B41" s="267" t="s">
        <v>532</v>
      </c>
      <c r="C41" s="269" t="str">
        <f>_xlfn.XLOOKUP(TB_EC[[#This Row],[Nº  SS]],'CONTROLE CRONOG'!B:B,'CONTROLE CRONOG'!C:C,"",0,1)</f>
        <v>24-0653-ES - REFORMA DO TELHADO DO K-26</v>
      </c>
      <c r="D41" s="269" t="str">
        <f>_xlfn.XLOOKUP(TB_EC[[#This Row],[Nº  SS]],'CONTROLE CRONOG'!B:B,'CONTROLE CRONOG'!D:D,"",0,1)</f>
        <v>SERVIÇO</v>
      </c>
      <c r="E41" s="269" t="str">
        <f>_xlfn.XLOOKUP(TB_EC[[#This Row],[Nº  SS]],'CONTROLE CRONOG'!B:B,'CONTROLE CRONOG'!E:E,"",0,1)</f>
        <v>UTGC</v>
      </c>
      <c r="F41" s="310" t="str">
        <f>_xlfn.XLOOKUP(TB_EC[[#This Row],[Nº  SS]],'CONTROLE CRONOG'!B:B,'CONTROLE CRONOG'!F:F,"",0,1)</f>
        <v>EM ANDAMENTO</v>
      </c>
      <c r="G41" s="346">
        <f>_xlfn.XLOOKUP(TB_CR.ACOMP[[#This Row],[Nº  SS]],'PACOTE INICIAL'!A:A,'PACOTE INICIAL'!C:C,"S/EMISS",0,1)</f>
        <v>46066</v>
      </c>
      <c r="H41" s="302">
        <v>46076</v>
      </c>
      <c r="I41" s="302">
        <v>46076</v>
      </c>
      <c r="J41" s="302"/>
      <c r="K41" s="302"/>
      <c r="L41" s="302"/>
      <c r="M41" s="302"/>
      <c r="N41" s="302"/>
      <c r="O41" s="302"/>
      <c r="P41" s="302"/>
      <c r="Q41" s="302"/>
      <c r="R41" s="277" t="str" cm="1">
        <f t="array" ref="R41">IF(TB_EC[[#This Row],[REV.00]]="","",INDEX(G$4:Q$4,MATCH(2,1/(G41:Q41&lt;&gt;""),1)))</f>
        <v>REV.02</v>
      </c>
      <c r="S41" s="302">
        <v>46076</v>
      </c>
      <c r="T41" s="277" t="str" cm="1">
        <f t="array" ref="T41">IF(TB_EC[[#This Row],[STATUS DEMANDA]]="CANCELADA","CANCELADA",IF(TB_EC[[#This Row],[DATA ENVIO]]="","PENDENTE",IF(TB_EC[[#This Row],[DATA ENVIO]]&gt;=IFERROR(INDEX(G41:Q41,MATCH(2,1/(G41:Q41&lt;&gt;""))),""),"ENTREGUE","PENDENTE")))</f>
        <v>ENTREGUE</v>
      </c>
      <c r="U41" s="302">
        <v>46076</v>
      </c>
      <c r="V41" s="312" t="s">
        <v>11</v>
      </c>
      <c r="W41" s="307">
        <f>_xlfn.XLOOKUP(TB_EC[[#This Row],[Nº  SS]],'CONTROLE FIN'!A:A,'CONTROLE FIN'!F:F,"",0,1)</f>
        <v>348499.33019999997</v>
      </c>
      <c r="X41" s="308">
        <f>_xlfn.XLOOKUP(TB_EC[[#This Row],[Nº  SS]],'CONTROLE FIN'!A:A,'CONTROLE FIN'!H:H,"",0,1)</f>
        <v>34849.933019999997</v>
      </c>
      <c r="Y41" s="343">
        <f>_xlfn.XLOOKUP(TB_EC[[#This Row],[Nº  SS]],'CONTROLE FIN'!A:A,'CONTROLE FIN'!I:I,"",0,1)</f>
        <v>313649.39717999997</v>
      </c>
    </row>
    <row r="42" spans="1:31" x14ac:dyDescent="0.3">
      <c r="A42" s="344">
        <f>IF(COUNTIFS($B$5:B42,TB_EC[[#This Row],[Nº  SS]])&lt;&gt;1,"",COUNTIFS($B$5:B42,TB_EC[[#This Row],[Nº  SS]]))</f>
        <v>1</v>
      </c>
      <c r="B42" s="267" t="s">
        <v>621</v>
      </c>
      <c r="C42" s="269" t="str">
        <f>_xlfn.XLOOKUP(TB_EC[[#This Row],[Nº  SS]],'CONTROLE CRONOG'!B:B,'CONTROLE CRONOG'!C:C,"",0,1)</f>
        <v>24-1172-ES - REFORMA DO TELHADO DO K-24</v>
      </c>
      <c r="D42" s="269" t="str">
        <f>_xlfn.XLOOKUP(TB_EC[[#This Row],[Nº  SS]],'CONTROLE CRONOG'!B:B,'CONTROLE CRONOG'!D:D,"",0,1)</f>
        <v>SERVIÇO</v>
      </c>
      <c r="E42" s="269" t="str">
        <f>_xlfn.XLOOKUP(TB_EC[[#This Row],[Nº  SS]],'CONTROLE CRONOG'!B:B,'CONTROLE CRONOG'!E:E,"",0,1)</f>
        <v>UTGC</v>
      </c>
      <c r="F42" s="310" t="str">
        <f>_xlfn.XLOOKUP(TB_EC[[#This Row],[Nº  SS]],'CONTROLE CRONOG'!B:B,'CONTROLE CRONOG'!F:F,"",0,1)</f>
        <v>ON HOLD</v>
      </c>
      <c r="G42" s="346"/>
      <c r="H42" s="302"/>
      <c r="I42" s="302"/>
      <c r="J42" s="302"/>
      <c r="K42" s="302"/>
      <c r="L42" s="302"/>
      <c r="M42" s="302"/>
      <c r="N42" s="302"/>
      <c r="O42" s="302"/>
      <c r="P42" s="302"/>
      <c r="Q42" s="302"/>
      <c r="R42" s="277" t="str" cm="1">
        <f t="array" ref="R42">IF(TB_EC[[#This Row],[REV.00]]="","",INDEX(G$4:Q$4,MATCH(2,1/(G42:Q42&lt;&gt;""),1)))</f>
        <v/>
      </c>
      <c r="S42" s="302"/>
      <c r="T42" s="277" t="str" cm="1">
        <f t="array" ref="T42">IF(TB_EC[[#This Row],[STATUS DEMANDA]]="CANCELADA","CANCELADA",IF(TB_EC[[#This Row],[DATA ENVIO]]="","PENDENTE",IF(TB_EC[[#This Row],[DATA ENVIO]]&gt;=IFERROR(INDEX(G42:Q42,MATCH(2,1/(G42:Q42&lt;&gt;""))),""),"ENTREGUE","PENDENTE")))</f>
        <v>PENDENTE</v>
      </c>
      <c r="U42" s="302"/>
      <c r="V42" s="312"/>
      <c r="W42" s="307">
        <f>_xlfn.XLOOKUP(TB_EC[[#This Row],[Nº  SS]],'CONTROLE FIN'!A:A,'CONTROLE FIN'!F:F,"",0,1)</f>
        <v>0</v>
      </c>
      <c r="X42" s="308">
        <f>_xlfn.XLOOKUP(TB_EC[[#This Row],[Nº  SS]],'CONTROLE FIN'!A:A,'CONTROLE FIN'!H:H,"",0,1)</f>
        <v>0</v>
      </c>
      <c r="Y42" s="343">
        <f>_xlfn.XLOOKUP(TB_EC[[#This Row],[Nº  SS]],'CONTROLE FIN'!A:A,'CONTROLE FIN'!I:I,"",0,1)</f>
        <v>0</v>
      </c>
    </row>
    <row r="43" spans="1:31" x14ac:dyDescent="0.3">
      <c r="A43" s="363">
        <f>IF(COUNTIFS($B$5:B43,TB_EC[[#This Row],[Nº  SS]])&lt;&gt;1,"",COUNTIFS($B$5:B43,TB_EC[[#This Row],[Nº  SS]]))</f>
        <v>1</v>
      </c>
      <c r="B43" s="267" t="s">
        <v>642</v>
      </c>
      <c r="C43" s="269" t="str">
        <f>_xlfn.XLOOKUP(TB_EC[[#This Row],[Nº  SS]],'CONTROLE CRONOG'!B:B,'CONTROLE CRONOG'!C:C,"",0,1)</f>
        <v>21-0036-ES - DESMONTAGEM DOS CHILLERS DE ABSORÇÃO E RECUPERADORES DE ENERGIA</v>
      </c>
      <c r="D43" s="269" t="str">
        <f>_xlfn.XLOOKUP(TB_EC[[#This Row],[Nº  SS]],'CONTROLE CRONOG'!B:B,'CONTROLE CRONOG'!D:D,"",0,1)</f>
        <v>SERVIÇO</v>
      </c>
      <c r="E43" s="269" t="str">
        <f>_xlfn.XLOOKUP(TB_EC[[#This Row],[Nº  SS]],'CONTROLE CRONOG'!B:B,'CONTROLE CRONOG'!E:E,"",0,1)</f>
        <v>EDIVIT</v>
      </c>
      <c r="F43" s="310" t="str">
        <f>_xlfn.XLOOKUP(TB_EC[[#This Row],[Nº  SS]],'CONTROLE CRONOG'!B:B,'CONTROLE CRONOG'!F:F,"",0,1)</f>
        <v>EM ANDAMENTO</v>
      </c>
      <c r="G43" s="346">
        <v>46092</v>
      </c>
      <c r="H43" s="302">
        <v>46093</v>
      </c>
      <c r="I43" s="302">
        <v>46093</v>
      </c>
      <c r="J43" s="302"/>
      <c r="K43" s="302"/>
      <c r="L43" s="302"/>
      <c r="M43" s="302"/>
      <c r="N43" s="302"/>
      <c r="O43" s="302"/>
      <c r="P43" s="302"/>
      <c r="Q43" s="302"/>
      <c r="R43" s="277" t="str" cm="1">
        <f t="array" ref="R43">IF(TB_EC[[#This Row],[REV.00]]="","",INDEX(G$4:Q$4,MATCH(2,1/(G43:Q43&lt;&gt;""),1)))</f>
        <v>REV.02</v>
      </c>
      <c r="S43" s="302">
        <v>46093</v>
      </c>
      <c r="T43" s="277" t="str" cm="1">
        <f t="array" ref="T43">IF(TB_EC[[#This Row],[STATUS DEMANDA]]="CANCELADA","CANCELADA",IF(TB_EC[[#This Row],[DATA ENVIO]]="","PENDENTE",IF(TB_EC[[#This Row],[DATA ENVIO]]&gt;=IFERROR(INDEX(G43:Q43,MATCH(2,1/(G43:Q43&lt;&gt;""))),""),"ENTREGUE","PENDENTE")))</f>
        <v>ENTREGUE</v>
      </c>
      <c r="U43" s="302">
        <v>46093</v>
      </c>
      <c r="V43" s="312" t="s">
        <v>11</v>
      </c>
      <c r="W43" s="307">
        <f>_xlfn.XLOOKUP(TB_EC[[#This Row],[Nº  SS]],'CONTROLE FIN'!A:A,'CONTROLE FIN'!F:F,"",0,1)</f>
        <v>416350.00763999997</v>
      </c>
      <c r="X43" s="308">
        <f>_xlfn.XLOOKUP(TB_EC[[#This Row],[Nº  SS]],'CONTROLE FIN'!A:A,'CONTROLE FIN'!H:H,"",0,1)</f>
        <v>0</v>
      </c>
      <c r="Y43" s="343">
        <f>_xlfn.XLOOKUP(TB_EC[[#This Row],[Nº  SS]],'CONTROLE FIN'!A:A,'CONTROLE FIN'!I:I,"",0,1)</f>
        <v>416350.00763999997</v>
      </c>
    </row>
    <row r="44" spans="1:31" ht="15" thickBot="1" x14ac:dyDescent="0.35">
      <c r="A44" s="455">
        <f>IF(COUNTIFS($B$5:B45,TB_EC[[#This Row],[Nº  SS]])&lt;&gt;1,"",COUNTIFS($B$5:B45,TB_EC[[#This Row],[Nº  SS]]))</f>
        <v>1</v>
      </c>
      <c r="B44" s="267" t="s">
        <v>624</v>
      </c>
      <c r="C44" s="269" t="str">
        <f>_xlfn.XLOOKUP(TB_EC[[#This Row],[Nº  SS]],'CONTROLE CRONOG'!B:B,'CONTROLE CRONOG'!C:C,"",0,1)</f>
        <v>24-0968-ES - INSTALAÇÃO DE SISTEMA DE CLIMATIZAÇÃO NO K-24</v>
      </c>
      <c r="D44" s="269" t="str">
        <f>_xlfn.XLOOKUP(TB_EC[[#This Row],[Nº  SS]],'CONTROLE CRONOG'!B:B,'CONTROLE CRONOG'!D:D,"",0,1)</f>
        <v>SERVIÇO</v>
      </c>
      <c r="E44" s="269" t="str">
        <f>_xlfn.XLOOKUP(TB_EC[[#This Row],[Nº  SS]],'CONTROLE CRONOG'!B:B,'CONTROLE CRONOG'!E:E,"",0,1)</f>
        <v>UTGC</v>
      </c>
      <c r="F44" s="310" t="str">
        <f>_xlfn.XLOOKUP(TB_EC[[#This Row],[Nº  SS]],'CONTROLE CRONOG'!B:B,'CONTROLE CRONOG'!F:F,"",0,1)</f>
        <v>ON HOLD</v>
      </c>
      <c r="G44" s="346"/>
      <c r="H44" s="302"/>
      <c r="I44" s="302"/>
      <c r="J44" s="302"/>
      <c r="K44" s="302"/>
      <c r="L44" s="302"/>
      <c r="M44" s="302"/>
      <c r="N44" s="302"/>
      <c r="O44" s="302"/>
      <c r="P44" s="302"/>
      <c r="Q44" s="302"/>
      <c r="R44" s="277" t="str" cm="1">
        <f t="array" ref="R44">IF(TB_EC[[#This Row],[REV.00]]="","",INDEX(G$4:Q$4,MATCH(2,1/(G44:Q44&lt;&gt;""),1)))</f>
        <v/>
      </c>
      <c r="S44" s="302"/>
      <c r="T44" s="277" t="str" cm="1">
        <f t="array" ref="T44">IF(TB_EC[[#This Row],[STATUS DEMANDA]]="CANCELADA","CANCELADA",IF(TB_EC[[#This Row],[DATA ENVIO]]="","PENDENTE",IF(TB_EC[[#This Row],[DATA ENVIO]]&gt;=IFERROR(INDEX(G44:Q44,MATCH(2,1/(G44:Q44&lt;&gt;""))),""),"ENTREGUE","PENDENTE")))</f>
        <v>PENDENTE</v>
      </c>
      <c r="U44" s="302"/>
      <c r="V44" s="312"/>
      <c r="W44" s="307">
        <f>_xlfn.XLOOKUP(TB_EC[[#This Row],[Nº  SS]],'CONTROLE FIN'!A:A,'CONTROLE FIN'!F:F,"",0,1)</f>
        <v>0</v>
      </c>
      <c r="X44" s="308">
        <f>_xlfn.XLOOKUP(TB_EC[[#This Row],[Nº  SS]],'CONTROLE FIN'!A:A,'CONTROLE FIN'!H:H,"",0,1)</f>
        <v>0</v>
      </c>
      <c r="Y44" s="343">
        <f>_xlfn.XLOOKUP(TB_EC[[#This Row],[Nº  SS]],'CONTROLE FIN'!A:A,'CONTROLE FIN'!I:I,"",0,1)</f>
        <v>0</v>
      </c>
    </row>
    <row r="45" spans="1:31" x14ac:dyDescent="0.3">
      <c r="A45" s="443">
        <f>IF(COUNTIFS($B$5:B45,TB_EC[[#This Row],[Nº  SS]])&lt;&gt;1,"",COUNTIFS($B$5:B45,TB_EC[[#This Row],[Nº  SS]]))</f>
        <v>1</v>
      </c>
      <c r="B45" s="267" t="s">
        <v>3281</v>
      </c>
      <c r="C45" s="269" t="str">
        <f>_xlfn.XLOOKUP(TB_EC[[#This Row],[Nº  SS]],'CONTROLE CRONOG'!B:B,'CONTROLE CRONOG'!C:C,"",0,1)</f>
        <v>24-0308-ES - ADEQUAÇÃO DAS CALHAS DA COBERTURA DO K-39</v>
      </c>
      <c r="D45" s="269" t="str">
        <f>_xlfn.XLOOKUP(TB_EC[[#This Row],[Nº  SS]],'CONTROLE CRONOG'!B:B,'CONTROLE CRONOG'!D:D,"",0,1)</f>
        <v>SERVIÇO</v>
      </c>
      <c r="E45" s="269" t="str">
        <f>_xlfn.XLOOKUP(TB_EC[[#This Row],[Nº  SS]],'CONTROLE CRONOG'!B:B,'CONTROLE CRONOG'!E:E,"",0,1)</f>
        <v>UTGC</v>
      </c>
      <c r="F45" s="310" t="str">
        <f>_xlfn.XLOOKUP(TB_EC[[#This Row],[Nº  SS]],'CONTROLE CRONOG'!B:B,'CONTROLE CRONOG'!F:F,"",0,1)</f>
        <v>EM PLANEJAMENTO</v>
      </c>
      <c r="G45" s="346">
        <f>_xlfn.XLOOKUP(TB_CR.ACOMP[[#This Row],[Nº  SS]],'PACOTE INICIAL'!A:A,'PACOTE INICIAL'!C:C,"S/EMISS",0,1)</f>
        <v>46104</v>
      </c>
      <c r="H45" s="302"/>
      <c r="I45" s="302"/>
      <c r="J45" s="302"/>
      <c r="K45" s="302"/>
      <c r="L45" s="302"/>
      <c r="M45" s="302"/>
      <c r="N45" s="302"/>
      <c r="O45" s="302"/>
      <c r="P45" s="302"/>
      <c r="Q45" s="302"/>
      <c r="R45" s="277" t="str" cm="1">
        <f t="array" ref="R45">IF(TB_EC[[#This Row],[REV.00]]="","",INDEX(G$4:Q$4,MATCH(2,1/(G45:Q45&lt;&gt;""),1)))</f>
        <v>REV.00</v>
      </c>
      <c r="S45" s="302"/>
      <c r="T45" s="277" t="str" cm="1">
        <f t="array" ref="T45">IF(TB_EC[[#This Row],[STATUS DEMANDA]]="CANCELADA","CANCELADA",IF(TB_EC[[#This Row],[DATA ENVIO]]="","PENDENTE",IF(TB_EC[[#This Row],[DATA ENVIO]]&gt;=IFERROR(INDEX(G45:Q45,MATCH(2,1/(G45:Q45&lt;&gt;""))),""),"ENTREGUE","PENDENTE")))</f>
        <v>PENDENTE</v>
      </c>
      <c r="U45" s="302"/>
      <c r="V45" s="312"/>
      <c r="W45" s="307">
        <f>_xlfn.XLOOKUP(TB_EC[[#This Row],[Nº  SS]],'CONTROLE FIN'!A:A,'CONTROLE FIN'!F:F,"",0,1)</f>
        <v>0</v>
      </c>
      <c r="X45" s="308">
        <f>_xlfn.XLOOKUP(TB_EC[[#This Row],[Nº  SS]],'CONTROLE FIN'!A:A,'CONTROLE FIN'!H:H,"",0,1)</f>
        <v>0</v>
      </c>
      <c r="Y45" s="343">
        <f>_xlfn.XLOOKUP(TB_EC[[#This Row],[Nº  SS]],'CONTROLE FIN'!A:A,'CONTROLE FIN'!I:I,"",0,1)</f>
        <v>0</v>
      </c>
    </row>
  </sheetData>
  <sheetProtection autoFilter="0"/>
  <mergeCells count="4">
    <mergeCell ref="E2:E3"/>
    <mergeCell ref="W1:W3"/>
    <mergeCell ref="Y1:Y3"/>
    <mergeCell ref="X1:X3"/>
  </mergeCells>
  <phoneticPr fontId="2" type="noConversion"/>
  <conditionalFormatting sqref="A6:Y45">
    <cfRule type="expression" dxfId="828" priority="1">
      <formula>$F6="CONCLUÍDA"</formula>
    </cfRule>
    <cfRule type="expression" dxfId="827" priority="2">
      <formula>$F6="CANCELADA"</formula>
    </cfRule>
    <cfRule type="expression" dxfId="826" priority="3">
      <formula>$F6="ON HOLD"</formula>
    </cfRule>
    <cfRule type="expression" dxfId="825" priority="6">
      <formula>$F6="EM PLANEJAMENTO"</formula>
    </cfRule>
  </conditionalFormatting>
  <conditionalFormatting sqref="S6:T45">
    <cfRule type="expression" dxfId="824" priority="5">
      <formula>$T6="PENDENTE"</formula>
    </cfRule>
  </conditionalFormatting>
  <conditionalFormatting sqref="U6:V45">
    <cfRule type="expression" dxfId="823" priority="4">
      <formula>$V6="REPROVADO"</formula>
    </cfRule>
  </conditionalFormatting>
  <dataValidations disablePrompts="1" count="1">
    <dataValidation type="list" allowBlank="1" showInputMessage="1" showErrorMessage="1" sqref="V6:V45" xr:uid="{BE9B712E-AE2A-4781-8D9A-387AC76C7FAE}">
      <formula1>"APROVADO,REPROVADO"</formula1>
    </dataValidation>
  </dataValidations>
  <pageMargins left="0.511811024" right="0.511811024" top="0.78740157499999996" bottom="0.78740157499999996" header="0.31496062000000002" footer="0.31496062000000002"/>
  <pageSetup paperSize="9" orientation="portrait" horizontalDpi="1200" verticalDpi="1200" r:id="rId1"/>
  <ignoredErrors>
    <ignoredError sqref="T6:T17 R6:R17 G29 G34 G41 G45" unlockedFormula="1"/>
    <ignoredError sqref="R35" calculatedColumn="1"/>
  </ignoredError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5EA73-4FD3-4977-9B6F-B63DAD84C913}">
  <sheetPr codeName="Planilha4">
    <tabColor theme="7"/>
    <outlinePr summaryRight="0"/>
  </sheetPr>
  <dimension ref="A1:Y45"/>
  <sheetViews>
    <sheetView showGridLines="0" zoomScale="80" zoomScaleNormal="80" workbookViewId="0">
      <pane xSplit="6" ySplit="5" topLeftCell="G6" activePane="bottomRight" state="frozen"/>
      <selection activeCell="B1" sqref="B1"/>
      <selection pane="topRight" activeCell="F1" sqref="F1"/>
      <selection pane="bottomLeft" activeCell="B6" sqref="B6"/>
      <selection pane="bottomRight" activeCell="C4" sqref="C4"/>
    </sheetView>
  </sheetViews>
  <sheetFormatPr defaultColWidth="9.109375" defaultRowHeight="14.4" x14ac:dyDescent="0.3"/>
  <cols>
    <col min="1" max="1" width="9.109375" style="2" hidden="1" customWidth="1"/>
    <col min="2" max="2" width="12.6640625" style="2" customWidth="1"/>
    <col min="3" max="3" width="78.6640625" style="2" customWidth="1"/>
    <col min="4" max="5" width="10.6640625" style="2" customWidth="1"/>
    <col min="6" max="6" width="18.6640625" style="2" customWidth="1"/>
    <col min="7" max="18" width="9.6640625" style="2" customWidth="1"/>
    <col min="19" max="19" width="10.6640625" style="2" customWidth="1"/>
    <col min="20" max="20" width="12.6640625" style="2" customWidth="1"/>
    <col min="21" max="21" width="10.6640625" style="2" customWidth="1"/>
    <col min="22" max="22" width="12.6640625" style="2" customWidth="1"/>
    <col min="23" max="25" width="20.6640625" style="7" customWidth="1"/>
    <col min="26" max="16384" width="9.109375" style="2"/>
  </cols>
  <sheetData>
    <row r="1" spans="1:25" ht="22.5" customHeight="1" x14ac:dyDescent="0.3">
      <c r="B1" s="19"/>
      <c r="C1" s="20"/>
      <c r="D1" s="20"/>
      <c r="E1" s="250" t="s">
        <v>0</v>
      </c>
      <c r="F1" s="22"/>
      <c r="G1" s="20"/>
      <c r="H1" s="20"/>
      <c r="I1" s="20"/>
      <c r="J1" s="20"/>
      <c r="K1" s="20"/>
      <c r="L1" s="20"/>
      <c r="M1" s="20"/>
      <c r="N1" s="20"/>
      <c r="O1" s="20"/>
      <c r="P1" s="20"/>
      <c r="Q1" s="20"/>
      <c r="R1" s="20"/>
      <c r="S1" s="20"/>
      <c r="T1" s="20"/>
      <c r="U1" s="20"/>
      <c r="V1" s="20"/>
      <c r="W1" s="501">
        <f>SUBTOTAL(9,TB_CR.ACOMP[R$ APROVADO])</f>
        <v>25645357.794471394</v>
      </c>
      <c r="X1" s="505">
        <f>SUBTOTAL(9,TB_CR.ACOMP[R$ MEDIDO ])</f>
        <v>14843091.568843804</v>
      </c>
      <c r="Y1" s="503">
        <f>SUBTOTAL(9,TB_CR.ACOMP[R$ SALDO ])</f>
        <v>10802266.220959999</v>
      </c>
    </row>
    <row r="2" spans="1:25" ht="22.35" customHeight="1" x14ac:dyDescent="0.3">
      <c r="B2" s="21"/>
      <c r="C2" s="22"/>
      <c r="D2" s="22"/>
      <c r="E2" s="499">
        <f>SUBTOTAL(9,A:A)</f>
        <v>37</v>
      </c>
      <c r="F2" s="22"/>
      <c r="G2" s="22"/>
      <c r="H2" s="22"/>
      <c r="I2" s="22"/>
      <c r="J2" s="22"/>
      <c r="K2" s="22"/>
      <c r="L2" s="22"/>
      <c r="M2" s="22"/>
      <c r="N2" s="22"/>
      <c r="O2" s="22"/>
      <c r="P2" s="22"/>
      <c r="Q2" s="22"/>
      <c r="R2" s="22"/>
      <c r="S2" s="22"/>
      <c r="T2" s="22"/>
      <c r="U2" s="22"/>
      <c r="V2" s="22"/>
      <c r="W2" s="501"/>
      <c r="X2" s="505"/>
      <c r="Y2" s="503"/>
    </row>
    <row r="3" spans="1:25" ht="22.35" customHeight="1" x14ac:dyDescent="0.3">
      <c r="A3" s="23"/>
      <c r="B3" s="121"/>
      <c r="C3" s="24"/>
      <c r="D3" s="24"/>
      <c r="E3" s="500"/>
      <c r="F3" s="22"/>
      <c r="G3" s="24"/>
      <c r="H3" s="24"/>
      <c r="I3" s="24"/>
      <c r="J3" s="24"/>
      <c r="K3" s="24"/>
      <c r="L3" s="24"/>
      <c r="M3" s="24"/>
      <c r="N3" s="24"/>
      <c r="O3" s="24"/>
      <c r="P3" s="24"/>
      <c r="Q3" s="24"/>
      <c r="R3" s="24"/>
      <c r="S3" s="24"/>
      <c r="T3" s="24"/>
      <c r="U3" s="24"/>
      <c r="V3" s="24"/>
      <c r="W3" s="502"/>
      <c r="X3" s="506"/>
      <c r="Y3" s="504"/>
    </row>
    <row r="4" spans="1:25" s="3" customFormat="1" ht="38.1" customHeight="1" x14ac:dyDescent="0.3">
      <c r="A4" s="25" t="s">
        <v>17</v>
      </c>
      <c r="B4" s="27" t="s">
        <v>18</v>
      </c>
      <c r="C4" s="27" t="s">
        <v>19</v>
      </c>
      <c r="D4" s="27" t="s">
        <v>434</v>
      </c>
      <c r="E4" s="27" t="s">
        <v>2</v>
      </c>
      <c r="F4" s="411" t="s">
        <v>20</v>
      </c>
      <c r="G4" s="409" t="s">
        <v>64</v>
      </c>
      <c r="H4" s="29" t="s">
        <v>65</v>
      </c>
      <c r="I4" s="29" t="s">
        <v>66</v>
      </c>
      <c r="J4" s="29" t="s">
        <v>67</v>
      </c>
      <c r="K4" s="29" t="s">
        <v>68</v>
      </c>
      <c r="L4" s="29" t="s">
        <v>69</v>
      </c>
      <c r="M4" s="29" t="s">
        <v>70</v>
      </c>
      <c r="N4" s="29" t="s">
        <v>71</v>
      </c>
      <c r="O4" s="29" t="s">
        <v>72</v>
      </c>
      <c r="P4" s="29" t="s">
        <v>73</v>
      </c>
      <c r="Q4" s="29" t="s">
        <v>74</v>
      </c>
      <c r="R4" s="27" t="s">
        <v>24</v>
      </c>
      <c r="S4" s="29" t="s">
        <v>75</v>
      </c>
      <c r="T4" s="27" t="s">
        <v>83</v>
      </c>
      <c r="U4" s="29" t="s">
        <v>26</v>
      </c>
      <c r="V4" s="410" t="s">
        <v>77</v>
      </c>
      <c r="W4" s="6" t="s">
        <v>39</v>
      </c>
      <c r="X4" s="4" t="s">
        <v>40</v>
      </c>
      <c r="Y4" s="5" t="s">
        <v>41</v>
      </c>
    </row>
    <row r="5" spans="1:25" s="3" customFormat="1" ht="9" customHeight="1" x14ac:dyDescent="0.3">
      <c r="A5" s="31" t="s">
        <v>17</v>
      </c>
      <c r="B5" s="32" t="s">
        <v>18</v>
      </c>
      <c r="C5" s="33" t="s">
        <v>19</v>
      </c>
      <c r="D5" s="34" t="s">
        <v>434</v>
      </c>
      <c r="E5" s="34" t="s">
        <v>2</v>
      </c>
      <c r="F5" s="35" t="s">
        <v>20</v>
      </c>
      <c r="G5" s="36" t="s">
        <v>64</v>
      </c>
      <c r="H5" s="37" t="s">
        <v>65</v>
      </c>
      <c r="I5" s="37" t="s">
        <v>66</v>
      </c>
      <c r="J5" s="37" t="s">
        <v>67</v>
      </c>
      <c r="K5" s="37" t="s">
        <v>68</v>
      </c>
      <c r="L5" s="37" t="s">
        <v>69</v>
      </c>
      <c r="M5" s="37" t="s">
        <v>70</v>
      </c>
      <c r="N5" s="37" t="s">
        <v>71</v>
      </c>
      <c r="O5" s="37" t="s">
        <v>72</v>
      </c>
      <c r="P5" s="37" t="s">
        <v>73</v>
      </c>
      <c r="Q5" s="37" t="s">
        <v>74</v>
      </c>
      <c r="R5" s="33" t="s">
        <v>24</v>
      </c>
      <c r="S5" s="37" t="s">
        <v>75</v>
      </c>
      <c r="T5" s="33" t="s">
        <v>84</v>
      </c>
      <c r="U5" s="37" t="s">
        <v>50</v>
      </c>
      <c r="V5" s="38" t="s">
        <v>85</v>
      </c>
      <c r="W5" s="8" t="s">
        <v>39</v>
      </c>
      <c r="X5" s="9" t="s">
        <v>40</v>
      </c>
      <c r="Y5" s="10" t="s">
        <v>41</v>
      </c>
    </row>
    <row r="6" spans="1:25" hidden="1" x14ac:dyDescent="0.3">
      <c r="A6" s="270">
        <f>IF(COUNTIFS($B$5:B6,TB_CR.ACOMP[[#This Row],[Nº  SS]])&lt;&gt;1,"",COUNTIFS($B$5:B6,TB_CR.ACOMP[[#This Row],[Nº  SS]]))</f>
        <v>1</v>
      </c>
      <c r="B6" s="298" t="s">
        <v>436</v>
      </c>
      <c r="C6" s="268" t="s">
        <v>86</v>
      </c>
      <c r="D6" s="268" t="s">
        <v>429</v>
      </c>
      <c r="E6" s="268" t="s">
        <v>87</v>
      </c>
      <c r="F6" s="313" t="s">
        <v>10</v>
      </c>
      <c r="G6" s="300" t="s">
        <v>81</v>
      </c>
      <c r="H6" s="301"/>
      <c r="I6" s="301"/>
      <c r="J6" s="301"/>
      <c r="K6" s="301"/>
      <c r="L6" s="301"/>
      <c r="M6" s="301"/>
      <c r="N6" s="301" t="s">
        <v>88</v>
      </c>
      <c r="O6" s="301" t="s">
        <v>88</v>
      </c>
      <c r="P6" s="301" t="s">
        <v>88</v>
      </c>
      <c r="Q6" s="301" t="s">
        <v>88</v>
      </c>
      <c r="R6" s="273" t="str" cm="1">
        <f t="array" ref="R6">IF(TB_CR.ACOMP[[#This Row],[REV.00]]="","",INDEX(G$4:Q$4,MATCH(2,1/(G6:Q6&lt;&gt;""),1)))</f>
        <v>REV.00</v>
      </c>
      <c r="S6" s="302" t="s">
        <v>81</v>
      </c>
      <c r="T6" s="273" t="str" cm="1">
        <f t="array" ref="T6">IF(TB_CR.ACOMP[[#This Row],[STATUS DEMANDA]]="CANCELADA","CANCELADA",IF(TB_CR.ACOMP[[#This Row],[DATA ENVIO]]="","PENDENTE",IF(TB_CR.ACOMP[[#This Row],[DATA ENVIO]]&gt;=IFERROR(INDEX(G6:Q6,MATCH(2,1/(G6:Q6&lt;&gt;""))),""),"ENTREGUE","PENDENTE")))</f>
        <v>ENTREGUE</v>
      </c>
      <c r="U6" s="302" t="s">
        <v>81</v>
      </c>
      <c r="V6" s="314" t="s">
        <v>11</v>
      </c>
      <c r="W6" s="315">
        <f>_xlfn.XLOOKUP(TB_CR.ACOMP[[#This Row],[Nº  SS]],'CONTROLE FIN'!A:A,'CONTROLE FIN'!F:F,"",0,1)</f>
        <v>7940511.1276199995</v>
      </c>
      <c r="X6" s="315">
        <f>_xlfn.XLOOKUP(TB_CR.ACOMP[[#This Row],[Nº  SS]],'CONTROLE FIN'!A:A,'CONTROLE FIN'!H:H,"",0,1)</f>
        <v>2080364.77926</v>
      </c>
      <c r="Y6" s="281">
        <f>_xlfn.XLOOKUP(TB_CR.ACOMP[[#This Row],[Nº  SS]],'CONTROLE EC'!B:B,'CONTROLE EC'!Y:Y,"",0,1)</f>
        <v>5860146.3483599992</v>
      </c>
    </row>
    <row r="7" spans="1:25" hidden="1" x14ac:dyDescent="0.3">
      <c r="A7" s="270">
        <f>IF(COUNTIFS($B$5:B7,TB_CR.ACOMP[[#This Row],[Nº  SS]])&lt;&gt;1,"",COUNTIFS($B$5:B7,TB_CR.ACOMP[[#This Row],[Nº  SS]]))</f>
        <v>1</v>
      </c>
      <c r="B7" s="298" t="s">
        <v>437</v>
      </c>
      <c r="C7" s="269" t="s">
        <v>89</v>
      </c>
      <c r="D7" s="269" t="s">
        <v>429</v>
      </c>
      <c r="E7" s="269" t="s">
        <v>90</v>
      </c>
      <c r="F7" s="316" t="s">
        <v>10</v>
      </c>
      <c r="G7" s="300" t="s">
        <v>81</v>
      </c>
      <c r="H7" s="302"/>
      <c r="I7" s="302"/>
      <c r="J7" s="302"/>
      <c r="K7" s="302"/>
      <c r="L7" s="302"/>
      <c r="M7" s="302"/>
      <c r="N7" s="302"/>
      <c r="O7" s="302"/>
      <c r="P7" s="302"/>
      <c r="Q7" s="301" t="s">
        <v>88</v>
      </c>
      <c r="R7" s="273" t="str" cm="1">
        <f t="array" ref="R7">IF(TB_CR.ACOMP[[#This Row],[REV.00]]="","",INDEX(G$4:Q$4,MATCH(2,1/(G7:Q7&lt;&gt;""),1)))</f>
        <v>REV.00</v>
      </c>
      <c r="S7" s="302" t="s">
        <v>81</v>
      </c>
      <c r="T7" s="273" t="str" cm="1">
        <f t="array" ref="T7">IF(TB_CR.ACOMP[[#This Row],[STATUS DEMANDA]]="CANCELADA","CANCELADA",IF(TB_CR.ACOMP[[#This Row],[DATA ENVIO]]="","PENDENTE",IF(TB_CR.ACOMP[[#This Row],[DATA ENVIO]]&gt;=IFERROR(INDEX(G7:Q7,MATCH(2,1/(G7:Q7&lt;&gt;""))),""),"ENTREGUE","PENDENTE")))</f>
        <v>ENTREGUE</v>
      </c>
      <c r="U7" s="302" t="s">
        <v>81</v>
      </c>
      <c r="V7" s="303" t="s">
        <v>11</v>
      </c>
      <c r="W7" s="317">
        <f>_xlfn.XLOOKUP(TB_CR.ACOMP[[#This Row],[Nº  SS]],'CONTROLE FIN'!A:A,'CONTROLE FIN'!F:F,"",0,1)</f>
        <v>10320001.30782</v>
      </c>
      <c r="X7" s="317">
        <f>_xlfn.XLOOKUP(TB_CR.ACOMP[[#This Row],[Nº  SS]],'CONTROLE FIN'!A:A,'CONTROLE FIN'!H:H,"",0,1)</f>
        <v>3321231.7716000001</v>
      </c>
      <c r="Y7" s="281">
        <f>_xlfn.XLOOKUP(TB_CR.ACOMP[[#This Row],[Nº  SS]],'CONTROLE EC'!B:B,'CONTROLE EC'!Y:Y,"",0,1)</f>
        <v>6998769.5362199992</v>
      </c>
    </row>
    <row r="8" spans="1:25" hidden="1" x14ac:dyDescent="0.3">
      <c r="A8" s="270">
        <f>IF(COUNTIFS($B$5:B8,TB_CR.ACOMP[[#This Row],[Nº  SS]])&lt;&gt;1,"",COUNTIFS($B$5:B8,TB_CR.ACOMP[[#This Row],[Nº  SS]]))</f>
        <v>1</v>
      </c>
      <c r="B8" s="298" t="s">
        <v>438</v>
      </c>
      <c r="C8" s="269" t="s">
        <v>91</v>
      </c>
      <c r="D8" s="269" t="s">
        <v>429</v>
      </c>
      <c r="E8" s="269" t="s">
        <v>92</v>
      </c>
      <c r="F8" s="316" t="s">
        <v>15</v>
      </c>
      <c r="G8" s="300"/>
      <c r="H8" s="302"/>
      <c r="I8" s="302"/>
      <c r="J8" s="302"/>
      <c r="K8" s="302"/>
      <c r="L8" s="302"/>
      <c r="M8" s="302"/>
      <c r="N8" s="302"/>
      <c r="O8" s="302"/>
      <c r="P8" s="302"/>
      <c r="Q8" s="301"/>
      <c r="R8" s="273" t="str" cm="1">
        <f t="array" ref="R8">IF(TB_CR.ACOMP[[#This Row],[REV.00]]="","",INDEX(G$4:Q$4,MATCH(2,1/(G8:Q8&lt;&gt;""),1)))</f>
        <v/>
      </c>
      <c r="S8" s="302"/>
      <c r="T8" s="273" t="str" cm="1">
        <f t="array" ref="T8">IF(TB_CR.ACOMP[[#This Row],[STATUS DEMANDA]]="CANCELADA","CANCELADA",IF(TB_CR.ACOMP[[#This Row],[DATA ENVIO]]="","PENDENTE",IF(TB_CR.ACOMP[[#This Row],[DATA ENVIO]]&gt;=IFERROR(INDEX(G8:Q8,MATCH(2,1/(G8:Q8&lt;&gt;""))),""),"ENTREGUE","PENDENTE")))</f>
        <v>PENDENTE</v>
      </c>
      <c r="U8" s="302"/>
      <c r="V8" s="303"/>
      <c r="W8" s="317">
        <f>_xlfn.XLOOKUP(TB_CR.ACOMP[[#This Row],[Nº  SS]],'CONTROLE FIN'!A:A,'CONTROLE FIN'!F:F,"",0,1)</f>
        <v>0</v>
      </c>
      <c r="X8" s="317">
        <f>_xlfn.XLOOKUP(TB_CR.ACOMP[[#This Row],[Nº  SS]],'CONTROLE FIN'!A:A,'CONTROLE FIN'!H:H,"",0,1)</f>
        <v>0</v>
      </c>
      <c r="Y8" s="281">
        <f>_xlfn.XLOOKUP(TB_CR.ACOMP[[#This Row],[Nº  SS]],'CONTROLE EC'!B:B,'CONTROLE EC'!Y:Y,"",0,1)</f>
        <v>0</v>
      </c>
    </row>
    <row r="9" spans="1:25" x14ac:dyDescent="0.3">
      <c r="A9" s="270">
        <f>IF(COUNTIFS($B$5:B9,TB_CR.ACOMP[[#This Row],[Nº  SS]])&lt;&gt;1,"",COUNTIFS($B$5:B9,TB_CR.ACOMP[[#This Row],[Nº  SS]]))</f>
        <v>1</v>
      </c>
      <c r="B9" s="298" t="s">
        <v>439</v>
      </c>
      <c r="C9" s="269" t="s">
        <v>93</v>
      </c>
      <c r="D9" s="269" t="s">
        <v>435</v>
      </c>
      <c r="E9" s="269" t="s">
        <v>90</v>
      </c>
      <c r="F9" s="316" t="s">
        <v>10</v>
      </c>
      <c r="G9" s="300">
        <v>45929</v>
      </c>
      <c r="H9" s="302">
        <v>45951</v>
      </c>
      <c r="I9" s="302">
        <v>45952</v>
      </c>
      <c r="J9" s="302">
        <v>45953</v>
      </c>
      <c r="K9" s="302"/>
      <c r="L9" s="302"/>
      <c r="M9" s="302"/>
      <c r="N9" s="302" t="s">
        <v>88</v>
      </c>
      <c r="O9" s="302" t="s">
        <v>88</v>
      </c>
      <c r="P9" s="302" t="s">
        <v>88</v>
      </c>
      <c r="Q9" s="301" t="s">
        <v>88</v>
      </c>
      <c r="R9" s="273" t="str" cm="1">
        <f t="array" ref="R9">IF(TB_CR.ACOMP[[#This Row],[REV.00]]="","",INDEX(G$4:Q$4,MATCH(2,1/(G9:Q9&lt;&gt;""),1)))</f>
        <v>REV.03</v>
      </c>
      <c r="S9" s="302">
        <v>45953</v>
      </c>
      <c r="T9" s="273" t="str" cm="1">
        <f t="array" ref="T9">IF(TB_CR.ACOMP[[#This Row],[STATUS DEMANDA]]="CANCELADA","CANCELADA",IF(TB_CR.ACOMP[[#This Row],[DATA ENVIO]]="","PENDENTE",IF(TB_CR.ACOMP[[#This Row],[DATA ENVIO]]&gt;=IFERROR(INDEX(G9:Q9,MATCH(2,1/(G9:Q9&lt;&gt;""))),""),"ENTREGUE","PENDENTE")))</f>
        <v>ENTREGUE</v>
      </c>
      <c r="U9" s="302">
        <v>45953</v>
      </c>
      <c r="V9" s="303" t="s">
        <v>11</v>
      </c>
      <c r="W9" s="317">
        <f>_xlfn.XLOOKUP(TB_CR.ACOMP[[#This Row],[Nº  SS]],'CONTROLE FIN'!A:A,'CONTROLE FIN'!F:F,"",0,1)</f>
        <v>9201249.3284999989</v>
      </c>
      <c r="X9" s="317">
        <f>_xlfn.XLOOKUP(TB_CR.ACOMP[[#This Row],[Nº  SS]],'CONTROLE FIN'!A:A,'CONTROLE FIN'!H:H,"",0,1)</f>
        <v>4922668.2794399997</v>
      </c>
      <c r="Y9" s="281">
        <f>_xlfn.XLOOKUP(TB_CR.ACOMP[[#This Row],[Nº  SS]],'CONTROLE EC'!B:B,'CONTROLE EC'!Y:Y,"",0,1)</f>
        <v>4278581.0490599992</v>
      </c>
    </row>
    <row r="10" spans="1:25" x14ac:dyDescent="0.3">
      <c r="A10" s="270">
        <f>IF(COUNTIFS($B$5:B10,TB_CR.ACOMP[[#This Row],[Nº  SS]])&lt;&gt;1,"",COUNTIFS($B$5:B10,TB_CR.ACOMP[[#This Row],[Nº  SS]]))</f>
        <v>1</v>
      </c>
      <c r="B10" s="267" t="s">
        <v>440</v>
      </c>
      <c r="C10" s="269" t="s">
        <v>94</v>
      </c>
      <c r="D10" s="269" t="s">
        <v>435</v>
      </c>
      <c r="E10" s="269" t="s">
        <v>90</v>
      </c>
      <c r="F10" s="316" t="s">
        <v>247</v>
      </c>
      <c r="G10" s="346">
        <v>45918</v>
      </c>
      <c r="H10" s="346">
        <v>45925</v>
      </c>
      <c r="I10" s="302"/>
      <c r="J10" s="302"/>
      <c r="K10" s="302"/>
      <c r="L10" s="302"/>
      <c r="M10" s="302"/>
      <c r="N10" s="302" t="s">
        <v>88</v>
      </c>
      <c r="O10" s="302" t="s">
        <v>88</v>
      </c>
      <c r="P10" s="302" t="s">
        <v>88</v>
      </c>
      <c r="Q10" s="302" t="s">
        <v>88</v>
      </c>
      <c r="R10" s="277" t="str" cm="1">
        <f t="array" ref="R10">IF(TB_CR.ACOMP[[#This Row],[REV.00]]="","",INDEX(G$4:Q$4,MATCH(2,1/(G10:Q10&lt;&gt;""),1)))</f>
        <v>REV.01</v>
      </c>
      <c r="S10" s="302">
        <v>45925</v>
      </c>
      <c r="T10" s="277" t="str" cm="1">
        <f t="array" ref="T10">IF(TB_CR.ACOMP[[#This Row],[STATUS DEMANDA]]="CANCELADA","CANCELADA",IF(TB_CR.ACOMP[[#This Row],[DATA ENVIO]]="","PENDENTE",IF(TB_CR.ACOMP[[#This Row],[DATA ENVIO]]&gt;=IFERROR(INDEX(G10:Q10,MATCH(2,1/(G10:Q10&lt;&gt;""))),""),"ENTREGUE","PENDENTE")))</f>
        <v>ENTREGUE</v>
      </c>
      <c r="U10" s="302">
        <v>45925</v>
      </c>
      <c r="V10" s="303" t="s">
        <v>11</v>
      </c>
      <c r="W10" s="317">
        <f>_xlfn.XLOOKUP(TB_CR.ACOMP[[#This Row],[Nº  SS]],'CONTROLE FIN'!A:A,'CONTROLE FIN'!F:F,"",0,1)</f>
        <v>857462.22378</v>
      </c>
      <c r="X10" s="317">
        <f>_xlfn.XLOOKUP(TB_CR.ACOMP[[#This Row],[Nº  SS]],'CONTROLE FIN'!A:A,'CONTROLE FIN'!H:H,"",0,1)</f>
        <v>857462.22378</v>
      </c>
      <c r="Y10" s="343">
        <f>_xlfn.XLOOKUP(TB_CR.ACOMP[[#This Row],[Nº  SS]],'CONTROLE EC'!B:B,'CONTROLE EC'!Y:Y,"",0,1)</f>
        <v>0</v>
      </c>
    </row>
    <row r="11" spans="1:25" x14ac:dyDescent="0.3">
      <c r="A11" s="270">
        <f>IF(COUNTIFS($B$5:B11,TB_CR.ACOMP[[#This Row],[Nº  SS]])&lt;&gt;1,"",COUNTIFS($B$5:B11,TB_CR.ACOMP[[#This Row],[Nº  SS]]))</f>
        <v>1</v>
      </c>
      <c r="B11" s="267" t="s">
        <v>441</v>
      </c>
      <c r="C11" s="269" t="s">
        <v>95</v>
      </c>
      <c r="D11" s="269" t="s">
        <v>435</v>
      </c>
      <c r="E11" s="269" t="s">
        <v>90</v>
      </c>
      <c r="F11" s="316" t="s">
        <v>247</v>
      </c>
      <c r="G11" s="346">
        <v>45931</v>
      </c>
      <c r="H11" s="302">
        <v>45946</v>
      </c>
      <c r="I11" s="302">
        <v>45950</v>
      </c>
      <c r="J11" s="302">
        <v>45952</v>
      </c>
      <c r="K11" s="302"/>
      <c r="L11" s="302"/>
      <c r="M11" s="302"/>
      <c r="N11" s="302" t="s">
        <v>88</v>
      </c>
      <c r="O11" s="302" t="s">
        <v>88</v>
      </c>
      <c r="P11" s="302" t="s">
        <v>88</v>
      </c>
      <c r="Q11" s="302" t="s">
        <v>88</v>
      </c>
      <c r="R11" s="277" t="str" cm="1">
        <f t="array" ref="R11">IF(TB_CR.ACOMP[[#This Row],[REV.00]]="","",INDEX(G$4:Q$4,MATCH(2,1/(G11:Q11&lt;&gt;""),1)))</f>
        <v>REV.03</v>
      </c>
      <c r="S11" s="302">
        <v>45952</v>
      </c>
      <c r="T11" s="277" t="str" cm="1">
        <f t="array" ref="T11">IF(TB_CR.ACOMP[[#This Row],[STATUS DEMANDA]]="CANCELADA","CANCELADA",IF(TB_CR.ACOMP[[#This Row],[DATA ENVIO]]="","PENDENTE",IF(TB_CR.ACOMP[[#This Row],[DATA ENVIO]]&gt;=IFERROR(INDEX(G11:Q11,MATCH(2,1/(G11:Q11&lt;&gt;""))),""),"ENTREGUE","PENDENTE")))</f>
        <v>ENTREGUE</v>
      </c>
      <c r="U11" s="302">
        <v>45952</v>
      </c>
      <c r="V11" s="303" t="s">
        <v>11</v>
      </c>
      <c r="W11" s="317">
        <f>_xlfn.XLOOKUP(TB_CR.ACOMP[[#This Row],[Nº  SS]],'CONTROLE FIN'!A:A,'CONTROLE FIN'!F:F,"",0,1)</f>
        <v>1342003.9550399999</v>
      </c>
      <c r="X11" s="317">
        <f>_xlfn.XLOOKUP(TB_CR.ACOMP[[#This Row],[Nº  SS]],'CONTROLE FIN'!A:A,'CONTROLE FIN'!H:H,"",0,1)</f>
        <v>1342003.9550399999</v>
      </c>
      <c r="Y11" s="343">
        <f>_xlfn.XLOOKUP(TB_CR.ACOMP[[#This Row],[Nº  SS]],'CONTROLE EC'!B:B,'CONTROLE EC'!Y:Y,"",0,1)</f>
        <v>0</v>
      </c>
    </row>
    <row r="12" spans="1:25" x14ac:dyDescent="0.3">
      <c r="A12" s="270">
        <f>IF(COUNTIFS($B$5:B12,TB_CR.ACOMP[[#This Row],[Nº  SS]])&lt;&gt;1,"",COUNTIFS($B$5:B12,TB_CR.ACOMP[[#This Row],[Nº  SS]]))</f>
        <v>1</v>
      </c>
      <c r="B12" s="267" t="s">
        <v>442</v>
      </c>
      <c r="C12" s="269" t="s">
        <v>96</v>
      </c>
      <c r="D12" s="269" t="s">
        <v>435</v>
      </c>
      <c r="E12" s="269" t="s">
        <v>90</v>
      </c>
      <c r="F12" s="316" t="s">
        <v>247</v>
      </c>
      <c r="G12" s="346">
        <v>45930</v>
      </c>
      <c r="H12" s="302">
        <v>45933</v>
      </c>
      <c r="I12" s="302"/>
      <c r="J12" s="302"/>
      <c r="K12" s="302"/>
      <c r="L12" s="302"/>
      <c r="M12" s="302"/>
      <c r="N12" s="302" t="s">
        <v>88</v>
      </c>
      <c r="O12" s="302" t="s">
        <v>88</v>
      </c>
      <c r="P12" s="302" t="s">
        <v>88</v>
      </c>
      <c r="Q12" s="302" t="s">
        <v>88</v>
      </c>
      <c r="R12" s="277" t="str" cm="1">
        <f t="array" ref="R12">IF(TB_CR.ACOMP[[#This Row],[REV.00]]="","",INDEX(G$4:Q$4,MATCH(2,1/(G12:Q12&lt;&gt;""),1)))</f>
        <v>REV.01</v>
      </c>
      <c r="S12" s="302">
        <v>45933</v>
      </c>
      <c r="T12" s="277" t="str" cm="1">
        <f t="array" ref="T12">IF(TB_CR.ACOMP[[#This Row],[STATUS DEMANDA]]="CANCELADA","CANCELADA",IF(TB_CR.ACOMP[[#This Row],[DATA ENVIO]]="","PENDENTE",IF(TB_CR.ACOMP[[#This Row],[DATA ENVIO]]&gt;=IFERROR(INDEX(G12:Q12,MATCH(2,1/(G12:Q12&lt;&gt;""))),""),"ENTREGUE","PENDENTE")))</f>
        <v>ENTREGUE</v>
      </c>
      <c r="U12" s="302">
        <v>45936</v>
      </c>
      <c r="V12" s="303" t="s">
        <v>11</v>
      </c>
      <c r="W12" s="317">
        <f>_xlfn.XLOOKUP(TB_CR.ACOMP[[#This Row],[Nº  SS]],'CONTROLE FIN'!A:A,'CONTROLE FIN'!F:F,"",0,1)</f>
        <v>572533.72343999997</v>
      </c>
      <c r="X12" s="317">
        <f>_xlfn.XLOOKUP(TB_CR.ACOMP[[#This Row],[Nº  SS]],'CONTROLE FIN'!A:A,'CONTROLE FIN'!H:H,"",0,1)</f>
        <v>572533.72343999997</v>
      </c>
      <c r="Y12" s="343">
        <f>_xlfn.XLOOKUP(TB_CR.ACOMP[[#This Row],[Nº  SS]],'CONTROLE EC'!B:B,'CONTROLE EC'!Y:Y,"",0,1)</f>
        <v>0</v>
      </c>
    </row>
    <row r="13" spans="1:25" x14ac:dyDescent="0.3">
      <c r="A13" s="270">
        <f>IF(COUNTIFS($B$5:B13,TB_CR.ACOMP[[#This Row],[Nº  SS]])&lt;&gt;1,"",COUNTIFS($B$5:B13,TB_CR.ACOMP[[#This Row],[Nº  SS]]))</f>
        <v>1</v>
      </c>
      <c r="B13" s="267" t="s">
        <v>443</v>
      </c>
      <c r="C13" s="269" t="s">
        <v>97</v>
      </c>
      <c r="D13" s="269" t="s">
        <v>435</v>
      </c>
      <c r="E13" s="269" t="s">
        <v>90</v>
      </c>
      <c r="F13" s="316" t="s">
        <v>10</v>
      </c>
      <c r="G13" s="346">
        <v>45946</v>
      </c>
      <c r="H13" s="346">
        <v>45950</v>
      </c>
      <c r="I13" s="302">
        <v>45952</v>
      </c>
      <c r="J13" s="302"/>
      <c r="K13" s="302"/>
      <c r="L13" s="302"/>
      <c r="M13" s="302"/>
      <c r="N13" s="302" t="s">
        <v>88</v>
      </c>
      <c r="O13" s="302" t="s">
        <v>88</v>
      </c>
      <c r="P13" s="302" t="s">
        <v>88</v>
      </c>
      <c r="Q13" s="302" t="s">
        <v>88</v>
      </c>
      <c r="R13" s="277" t="str" cm="1">
        <f t="array" ref="R13">IF(TB_CR.ACOMP[[#This Row],[REV.00]]="","",INDEX(G$4:Q$4,MATCH(2,1/(G13:Q13&lt;&gt;""),1)))</f>
        <v>REV.02</v>
      </c>
      <c r="S13" s="302">
        <v>45952</v>
      </c>
      <c r="T13" s="277" t="str" cm="1">
        <f t="array" ref="T13">IF(TB_CR.ACOMP[[#This Row],[STATUS DEMANDA]]="CANCELADA","CANCELADA",IF(TB_CR.ACOMP[[#This Row],[DATA ENVIO]]="","PENDENTE",IF(TB_CR.ACOMP[[#This Row],[DATA ENVIO]]&gt;=IFERROR(INDEX(G13:Q13,MATCH(2,1/(G13:Q13&lt;&gt;""))),""),"ENTREGUE","PENDENTE")))</f>
        <v>ENTREGUE</v>
      </c>
      <c r="U13" s="302">
        <v>45952</v>
      </c>
      <c r="V13" s="303" t="s">
        <v>11</v>
      </c>
      <c r="W13" s="317">
        <f>_xlfn.XLOOKUP(TB_CR.ACOMP[[#This Row],[Nº  SS]],'CONTROLE FIN'!A:A,'CONTROLE FIN'!F:F,"",0,1)</f>
        <v>743593.46399999992</v>
      </c>
      <c r="X13" s="317">
        <f>_xlfn.XLOOKUP(TB_CR.ACOMP[[#This Row],[Nº  SS]],'CONTROLE FIN'!A:A,'CONTROLE FIN'!H:H,"",0,1)</f>
        <v>371796.73200000002</v>
      </c>
      <c r="Y13" s="343">
        <f>_xlfn.XLOOKUP(TB_CR.ACOMP[[#This Row],[Nº  SS]],'CONTROLE EC'!B:B,'CONTROLE EC'!Y:Y,"",0,1)</f>
        <v>371796.7319999999</v>
      </c>
    </row>
    <row r="14" spans="1:25" x14ac:dyDescent="0.3">
      <c r="A14" s="270">
        <f>IF(COUNTIFS($B$5:B14,TB_CR.ACOMP[[#This Row],[Nº  SS]])&lt;&gt;1,"",COUNTIFS($B$5:B14,TB_CR.ACOMP[[#This Row],[Nº  SS]]))</f>
        <v>1</v>
      </c>
      <c r="B14" s="267" t="s">
        <v>444</v>
      </c>
      <c r="C14" s="269" t="s">
        <v>98</v>
      </c>
      <c r="D14" s="269" t="s">
        <v>435</v>
      </c>
      <c r="E14" s="269" t="s">
        <v>90</v>
      </c>
      <c r="F14" s="316" t="s">
        <v>247</v>
      </c>
      <c r="G14" s="346">
        <v>45919</v>
      </c>
      <c r="H14" s="346">
        <v>45923</v>
      </c>
      <c r="I14" s="346">
        <v>45924</v>
      </c>
      <c r="J14" s="302"/>
      <c r="K14" s="302"/>
      <c r="L14" s="302"/>
      <c r="M14" s="302"/>
      <c r="N14" s="302" t="s">
        <v>88</v>
      </c>
      <c r="O14" s="302" t="s">
        <v>88</v>
      </c>
      <c r="P14" s="302" t="s">
        <v>88</v>
      </c>
      <c r="Q14" s="302" t="s">
        <v>88</v>
      </c>
      <c r="R14" s="277" t="str" cm="1">
        <f t="array" ref="R14">IF(TB_CR.ACOMP[[#This Row],[REV.00]]="","",INDEX(G$4:Q$4,MATCH(2,1/(G14:Q14&lt;&gt;""),1)))</f>
        <v>REV.02</v>
      </c>
      <c r="S14" s="302">
        <v>45924</v>
      </c>
      <c r="T14" s="277" t="str" cm="1">
        <f t="array" ref="T14">IF(TB_CR.ACOMP[[#This Row],[STATUS DEMANDA]]="CANCELADA","CANCELADA",IF(TB_CR.ACOMP[[#This Row],[DATA ENVIO]]="","PENDENTE",IF(TB_CR.ACOMP[[#This Row],[DATA ENVIO]]&gt;=IFERROR(INDEX(G14:Q14,MATCH(2,1/(G14:Q14&lt;&gt;""))),""),"ENTREGUE","PENDENTE")))</f>
        <v>ENTREGUE</v>
      </c>
      <c r="U14" s="302">
        <v>45925</v>
      </c>
      <c r="V14" s="303" t="s">
        <v>11</v>
      </c>
      <c r="W14" s="317">
        <f>_xlfn.XLOOKUP(TB_CR.ACOMP[[#This Row],[Nº  SS]],'CONTROLE FIN'!A:A,'CONTROLE FIN'!F:F,"",0,1)</f>
        <v>588935.40300000005</v>
      </c>
      <c r="X14" s="317">
        <f>_xlfn.XLOOKUP(TB_CR.ACOMP[[#This Row],[Nº  SS]],'CONTROLE FIN'!A:A,'CONTROLE FIN'!H:H,"",0,1)</f>
        <v>588935.40300000005</v>
      </c>
      <c r="Y14" s="343">
        <f>_xlfn.XLOOKUP(TB_CR.ACOMP[[#This Row],[Nº  SS]],'CONTROLE EC'!B:B,'CONTROLE EC'!Y:Y,"",0,1)</f>
        <v>0</v>
      </c>
    </row>
    <row r="15" spans="1:25" x14ac:dyDescent="0.3">
      <c r="A15" s="270">
        <f>IF(COUNTIFS($B$5:B15,TB_CR.ACOMP[[#This Row],[Nº  SS]])&lt;&gt;1,"",COUNTIFS($B$5:B15,TB_CR.ACOMP[[#This Row],[Nº  SS]]))</f>
        <v>1</v>
      </c>
      <c r="B15" s="267" t="s">
        <v>54</v>
      </c>
      <c r="C15" s="269" t="s">
        <v>99</v>
      </c>
      <c r="D15" s="269" t="s">
        <v>435</v>
      </c>
      <c r="E15" s="269" t="s">
        <v>90</v>
      </c>
      <c r="F15" s="316" t="s">
        <v>247</v>
      </c>
      <c r="G15" s="346">
        <v>45944</v>
      </c>
      <c r="H15" s="302">
        <v>45950</v>
      </c>
      <c r="I15" s="302">
        <v>45952</v>
      </c>
      <c r="J15" s="302">
        <v>45954</v>
      </c>
      <c r="K15" s="302"/>
      <c r="L15" s="302"/>
      <c r="M15" s="302"/>
      <c r="N15" s="302" t="s">
        <v>88</v>
      </c>
      <c r="O15" s="302" t="s">
        <v>88</v>
      </c>
      <c r="P15" s="302" t="s">
        <v>88</v>
      </c>
      <c r="Q15" s="302" t="s">
        <v>88</v>
      </c>
      <c r="R15" s="277" t="str" cm="1">
        <f t="array" ref="R15">IF(TB_CR.ACOMP[[#This Row],[REV.00]]="","",INDEX(G$4:Q$4,MATCH(2,1/(G15:Q15&lt;&gt;""),1)))</f>
        <v>REV.03</v>
      </c>
      <c r="S15" s="302">
        <v>45954</v>
      </c>
      <c r="T15" s="277" t="str" cm="1">
        <f t="array" ref="T15">IF(TB_CR.ACOMP[[#This Row],[STATUS DEMANDA]]="CANCELADA","CANCELADA",IF(TB_CR.ACOMP[[#This Row],[DATA ENVIO]]="","PENDENTE",IF(TB_CR.ACOMP[[#This Row],[DATA ENVIO]]&gt;=IFERROR(INDEX(G15:Q15,MATCH(2,1/(G15:Q15&lt;&gt;""))),""),"ENTREGUE","PENDENTE")))</f>
        <v>ENTREGUE</v>
      </c>
      <c r="U15" s="302">
        <v>45954</v>
      </c>
      <c r="V15" s="303" t="s">
        <v>11</v>
      </c>
      <c r="W15" s="317">
        <f>_xlfn.XLOOKUP(TB_CR.ACOMP[[#This Row],[Nº  SS]],'CONTROLE FIN'!A:A,'CONTROLE FIN'!F:F,"",0,1)</f>
        <v>364522.26744000003</v>
      </c>
      <c r="X15" s="317">
        <f>_xlfn.XLOOKUP(TB_CR.ACOMP[[#This Row],[Nº  SS]],'CONTROLE FIN'!A:A,'CONTROLE FIN'!H:H,"",0,1)</f>
        <v>364522.26744000003</v>
      </c>
      <c r="Y15" s="343">
        <f>_xlfn.XLOOKUP(TB_CR.ACOMP[[#This Row],[Nº  SS]],'CONTROLE EC'!B:B,'CONTROLE EC'!Y:Y,"",0,1)</f>
        <v>0</v>
      </c>
    </row>
    <row r="16" spans="1:25" x14ac:dyDescent="0.3">
      <c r="A16" s="270">
        <f>IF(COUNTIFS($B$5:B16,TB_CR.ACOMP[[#This Row],[Nº  SS]])&lt;&gt;1,"",COUNTIFS($B$5:B16,TB_CR.ACOMP[[#This Row],[Nº  SS]]))</f>
        <v>1</v>
      </c>
      <c r="B16" s="267" t="s">
        <v>55</v>
      </c>
      <c r="C16" s="269" t="s">
        <v>100</v>
      </c>
      <c r="D16" s="269" t="s">
        <v>435</v>
      </c>
      <c r="E16" s="269" t="s">
        <v>90</v>
      </c>
      <c r="F16" s="316" t="s">
        <v>247</v>
      </c>
      <c r="G16" s="346">
        <v>45912</v>
      </c>
      <c r="H16" s="302">
        <v>45917</v>
      </c>
      <c r="I16" s="302">
        <v>45923</v>
      </c>
      <c r="J16" s="302">
        <v>45923</v>
      </c>
      <c r="K16" s="302">
        <v>45923</v>
      </c>
      <c r="L16" s="302"/>
      <c r="M16" s="302"/>
      <c r="N16" s="302" t="s">
        <v>88</v>
      </c>
      <c r="O16" s="302" t="s">
        <v>88</v>
      </c>
      <c r="P16" s="302" t="s">
        <v>88</v>
      </c>
      <c r="Q16" s="302" t="s">
        <v>88</v>
      </c>
      <c r="R16" s="277" t="str" cm="1">
        <f t="array" ref="R16">IF(TB_CR.ACOMP[[#This Row],[REV.00]]="","",INDEX(G$4:Q$4,MATCH(2,1/(G16:Q16&lt;&gt;""),1)))</f>
        <v>REV.04</v>
      </c>
      <c r="S16" s="302">
        <v>45923</v>
      </c>
      <c r="T16" s="277" t="str" cm="1">
        <f t="array" ref="T16">IF(TB_CR.ACOMP[[#This Row],[STATUS DEMANDA]]="CANCELADA","CANCELADA",IF(TB_CR.ACOMP[[#This Row],[DATA ENVIO]]="","PENDENTE",IF(TB_CR.ACOMP[[#This Row],[DATA ENVIO]]&gt;=IFERROR(INDEX(G16:Q16,MATCH(2,1/(G16:Q16&lt;&gt;""))),""),"ENTREGUE","PENDENTE")))</f>
        <v>ENTREGUE</v>
      </c>
      <c r="U16" s="302">
        <v>45924</v>
      </c>
      <c r="V16" s="303" t="s">
        <v>11</v>
      </c>
      <c r="W16" s="317">
        <f>_xlfn.XLOOKUP(TB_CR.ACOMP[[#This Row],[Nº  SS]],'CONTROLE FIN'!A:A,'CONTROLE FIN'!F:F,"",0,1)</f>
        <v>718931.28384000005</v>
      </c>
      <c r="X16" s="317">
        <f>_xlfn.XLOOKUP(TB_CR.ACOMP[[#This Row],[Nº  SS]],'CONTROLE FIN'!A:A,'CONTROLE FIN'!H:H,"",0,1)</f>
        <v>718931.28384000005</v>
      </c>
      <c r="Y16" s="343">
        <f>_xlfn.XLOOKUP(TB_CR.ACOMP[[#This Row],[Nº  SS]],'CONTROLE EC'!B:B,'CONTROLE EC'!Y:Y,"",0,1)</f>
        <v>0</v>
      </c>
    </row>
    <row r="17" spans="1:25" x14ac:dyDescent="0.3">
      <c r="A17" s="270">
        <f>IF(COUNTIFS($B$5:B17,TB_CR.ACOMP[[#This Row],[Nº  SS]])&lt;&gt;1,"",COUNTIFS($B$5:B17,TB_CR.ACOMP[[#This Row],[Nº  SS]]))</f>
        <v>1</v>
      </c>
      <c r="B17" s="267" t="s">
        <v>56</v>
      </c>
      <c r="C17" s="269" t="s">
        <v>101</v>
      </c>
      <c r="D17" s="269" t="s">
        <v>435</v>
      </c>
      <c r="E17" s="269" t="s">
        <v>90</v>
      </c>
      <c r="F17" s="316" t="s">
        <v>10</v>
      </c>
      <c r="G17" s="346">
        <v>45930</v>
      </c>
      <c r="H17" s="302">
        <v>45937</v>
      </c>
      <c r="I17" s="302"/>
      <c r="J17" s="302"/>
      <c r="K17" s="302"/>
      <c r="L17" s="302"/>
      <c r="M17" s="302"/>
      <c r="N17" s="302" t="s">
        <v>88</v>
      </c>
      <c r="O17" s="302" t="s">
        <v>88</v>
      </c>
      <c r="P17" s="302" t="s">
        <v>88</v>
      </c>
      <c r="Q17" s="302" t="s">
        <v>88</v>
      </c>
      <c r="R17" s="277" t="str" cm="1">
        <f t="array" ref="R17">IF(TB_CR.ACOMP[[#This Row],[REV.00]]="","",INDEX(G$4:Q$4,MATCH(2,1/(G17:Q17&lt;&gt;""),1)))</f>
        <v>REV.01</v>
      </c>
      <c r="S17" s="302">
        <v>45937</v>
      </c>
      <c r="T17" s="277" t="str" cm="1">
        <f t="array" ref="T17">IF(TB_CR.ACOMP[[#This Row],[STATUS DEMANDA]]="CANCELADA","CANCELADA",IF(TB_CR.ACOMP[[#This Row],[DATA ENVIO]]="","PENDENTE",IF(TB_CR.ACOMP[[#This Row],[DATA ENVIO]]&gt;=IFERROR(INDEX(G17:Q17,MATCH(2,1/(G17:Q17&lt;&gt;""))),""),"ENTREGUE","PENDENTE")))</f>
        <v>ENTREGUE</v>
      </c>
      <c r="U17" s="302">
        <v>45950</v>
      </c>
      <c r="V17" s="303" t="s">
        <v>11</v>
      </c>
      <c r="W17" s="317">
        <f>_xlfn.XLOOKUP(TB_CR.ACOMP[[#This Row],[Nº  SS]],'CONTROLE FIN'!A:A,'CONTROLE FIN'!F:F,"",0,1)</f>
        <v>1144868.57748</v>
      </c>
      <c r="X17" s="317">
        <f>_xlfn.XLOOKUP(TB_CR.ACOMP[[#This Row],[Nº  SS]],'CONTROLE FIN'!A:A,'CONTROLE FIN'!H:H,"",0,1)</f>
        <v>457946.06561999995</v>
      </c>
      <c r="Y17" s="343">
        <f>_xlfn.XLOOKUP(TB_CR.ACOMP[[#This Row],[Nº  SS]],'CONTROLE EC'!B:B,'CONTROLE EC'!Y:Y,"",0,1)</f>
        <v>686922.51185999997</v>
      </c>
    </row>
    <row r="18" spans="1:25" x14ac:dyDescent="0.3">
      <c r="A18" s="270">
        <f>IF(COUNTIFS($B$5:B18,TB_CR.ACOMP[[#This Row],[Nº  SS]])&lt;&gt;1,"",COUNTIFS($B$5:B18,TB_CR.ACOMP[[#This Row],[Nº  SS]]))</f>
        <v>1</v>
      </c>
      <c r="B18" s="267" t="s">
        <v>57</v>
      </c>
      <c r="C18" s="269" t="s">
        <v>102</v>
      </c>
      <c r="D18" s="269" t="s">
        <v>435</v>
      </c>
      <c r="E18" s="269" t="s">
        <v>87</v>
      </c>
      <c r="F18" s="316" t="s">
        <v>432</v>
      </c>
      <c r="G18" s="346">
        <v>45938</v>
      </c>
      <c r="H18" s="302">
        <v>45950</v>
      </c>
      <c r="I18" s="302">
        <v>45986</v>
      </c>
      <c r="J18" s="302"/>
      <c r="K18" s="302"/>
      <c r="L18" s="302"/>
      <c r="M18" s="302"/>
      <c r="N18" s="302"/>
      <c r="O18" s="302"/>
      <c r="P18" s="302"/>
      <c r="Q18" s="302"/>
      <c r="R18" s="277" t="str" cm="1">
        <f t="array" ref="R18">IF(TB_CR.ACOMP[[#This Row],[REV.00]]="","",INDEX(G$4:Q$4,MATCH(2,1/(G18:Q18&lt;&gt;""),1)))</f>
        <v>REV.02</v>
      </c>
      <c r="S18" s="302">
        <v>45986</v>
      </c>
      <c r="T18" s="277" t="str" cm="1">
        <f t="array" ref="T18">IF(TB_CR.ACOMP[[#This Row],[STATUS DEMANDA]]="CANCELADA","CANCELADA",IF(TB_CR.ACOMP[[#This Row],[DATA ENVIO]]="","PENDENTE",IF(TB_CR.ACOMP[[#This Row],[DATA ENVIO]]&gt;=IFERROR(INDEX(G18:Q18,MATCH(2,1/(G18:Q18&lt;&gt;""))),""),"ENTREGUE","PENDENTE")))</f>
        <v>ENTREGUE</v>
      </c>
      <c r="U18" s="302">
        <v>45944</v>
      </c>
      <c r="V18" s="303" t="s">
        <v>13</v>
      </c>
      <c r="W18" s="317">
        <f>_xlfn.XLOOKUP(TB_CR.ACOMP[[#This Row],[Nº  SS]],'CONTROLE FIN'!A:A,'CONTROLE FIN'!F:F,"",0,1)</f>
        <v>0</v>
      </c>
      <c r="X18" s="317">
        <f>_xlfn.XLOOKUP(TB_CR.ACOMP[[#This Row],[Nº  SS]],'CONTROLE FIN'!A:A,'CONTROLE FIN'!H:H,"",0,1)</f>
        <v>0</v>
      </c>
      <c r="Y18" s="343">
        <f>_xlfn.XLOOKUP(TB_CR.ACOMP[[#This Row],[Nº  SS]],'CONTROLE EC'!B:B,'CONTROLE EC'!Y:Y,"",0,1)</f>
        <v>0</v>
      </c>
    </row>
    <row r="19" spans="1:25" x14ac:dyDescent="0.3">
      <c r="A19" s="270">
        <f>IF(COUNTIFS($B$5:B19,TB_CR.ACOMP[[#This Row],[Nº  SS]])&lt;&gt;1,"",COUNTIFS($B$5:B19,TB_CR.ACOMP[[#This Row],[Nº  SS]]))</f>
        <v>1</v>
      </c>
      <c r="B19" s="267" t="s">
        <v>58</v>
      </c>
      <c r="C19" s="269" t="s">
        <v>103</v>
      </c>
      <c r="D19" s="269" t="s">
        <v>435</v>
      </c>
      <c r="E19" s="269" t="s">
        <v>87</v>
      </c>
      <c r="F19" s="316" t="s">
        <v>10</v>
      </c>
      <c r="G19" s="346">
        <v>45943</v>
      </c>
      <c r="H19" s="302">
        <v>45946</v>
      </c>
      <c r="I19" s="302">
        <v>45950</v>
      </c>
      <c r="J19" s="302"/>
      <c r="K19" s="302"/>
      <c r="L19" s="302"/>
      <c r="M19" s="302"/>
      <c r="N19" s="302"/>
      <c r="O19" s="302"/>
      <c r="P19" s="302"/>
      <c r="Q19" s="302"/>
      <c r="R19" s="277" t="str" cm="1">
        <f t="array" ref="R19">IF(TB_CR.ACOMP[[#This Row],[REV.00]]="","",INDEX(G$4:Q$4,MATCH(2,1/(G19:Q19&lt;&gt;""),1)))</f>
        <v>REV.02</v>
      </c>
      <c r="S19" s="302">
        <v>45950</v>
      </c>
      <c r="T19" s="277" t="str" cm="1">
        <f t="array" ref="T19">IF(TB_CR.ACOMP[[#This Row],[STATUS DEMANDA]]="CANCELADA","CANCELADA",IF(TB_CR.ACOMP[[#This Row],[DATA ENVIO]]="","PENDENTE",IF(TB_CR.ACOMP[[#This Row],[DATA ENVIO]]&gt;=IFERROR(INDEX(G19:Q19,MATCH(2,1/(G19:Q19&lt;&gt;""))),""),"ENTREGUE","PENDENTE")))</f>
        <v>ENTREGUE</v>
      </c>
      <c r="U19" s="302">
        <v>45951</v>
      </c>
      <c r="V19" s="303" t="s">
        <v>11</v>
      </c>
      <c r="W19" s="317">
        <f>_xlfn.XLOOKUP(TB_CR.ACOMP[[#This Row],[Nº  SS]],'CONTROLE FIN'!A:A,'CONTROLE FIN'!F:F,"",0,1)</f>
        <v>1662818.2901999999</v>
      </c>
      <c r="X19" s="317">
        <f>_xlfn.XLOOKUP(TB_CR.ACOMP[[#This Row],[Nº  SS]],'CONTROLE FIN'!A:A,'CONTROLE FIN'!H:H,"",0,1)</f>
        <v>1197230.0000399998</v>
      </c>
      <c r="Y19" s="343">
        <f>_xlfn.XLOOKUP(TB_CR.ACOMP[[#This Row],[Nº  SS]],'CONTROLE EC'!B:B,'CONTROLE EC'!Y:Y,"",0,1)</f>
        <v>465588.29016000009</v>
      </c>
    </row>
    <row r="20" spans="1:25" x14ac:dyDescent="0.3">
      <c r="A20" s="270">
        <f>IF(COUNTIFS($B$5:B20,TB_CR.ACOMP[[#This Row],[Nº  SS]])&lt;&gt;1,"",COUNTIFS($B$5:B20,TB_CR.ACOMP[[#This Row],[Nº  SS]]))</f>
        <v>1</v>
      </c>
      <c r="B20" s="267" t="s">
        <v>59</v>
      </c>
      <c r="C20" s="269" t="s">
        <v>104</v>
      </c>
      <c r="D20" s="269" t="s">
        <v>435</v>
      </c>
      <c r="E20" s="269" t="s">
        <v>87</v>
      </c>
      <c r="F20" s="316" t="s">
        <v>247</v>
      </c>
      <c r="G20" s="346">
        <v>45938</v>
      </c>
      <c r="H20" s="302"/>
      <c r="I20" s="302"/>
      <c r="J20" s="302"/>
      <c r="K20" s="302"/>
      <c r="L20" s="302"/>
      <c r="M20" s="302"/>
      <c r="N20" s="302"/>
      <c r="O20" s="302"/>
      <c r="P20" s="302"/>
      <c r="Q20" s="302"/>
      <c r="R20" s="277" t="str" cm="1">
        <f t="array" ref="R20">IF(TB_CR.ACOMP[[#This Row],[REV.00]]="","",INDEX(G$4:Q$4,MATCH(2,1/(G20:Q20&lt;&gt;""),1)))</f>
        <v>REV.00</v>
      </c>
      <c r="S20" s="302">
        <v>45938</v>
      </c>
      <c r="T20" s="277" t="str" cm="1">
        <f t="array" ref="T20">IF(TB_CR.ACOMP[[#This Row],[STATUS DEMANDA]]="CANCELADA","CANCELADA",IF(TB_CR.ACOMP[[#This Row],[DATA ENVIO]]="","PENDENTE",IF(TB_CR.ACOMP[[#This Row],[DATA ENVIO]]&gt;=IFERROR(INDEX(G20:Q20,MATCH(2,1/(G20:Q20&lt;&gt;""))),""),"ENTREGUE","PENDENTE")))</f>
        <v>ENTREGUE</v>
      </c>
      <c r="U20" s="302">
        <v>45943</v>
      </c>
      <c r="V20" s="303" t="s">
        <v>11</v>
      </c>
      <c r="W20" s="317">
        <f>_xlfn.XLOOKUP(TB_CR.ACOMP[[#This Row],[Nº  SS]],'CONTROLE FIN'!A:A,'CONTROLE FIN'!F:F,"",0,1)</f>
        <v>228497.33</v>
      </c>
      <c r="X20" s="317">
        <f>_xlfn.XLOOKUP(TB_CR.ACOMP[[#This Row],[Nº  SS]],'CONTROLE FIN'!A:A,'CONTROLE FIN'!H:H,"",0,1)</f>
        <v>228497.32533239998</v>
      </c>
      <c r="Y20" s="343">
        <f>_xlfn.XLOOKUP(TB_CR.ACOMP[[#This Row],[Nº  SS]],'CONTROLE EC'!B:B,'CONTROLE EC'!Y:Y,"",0,1)</f>
        <v>0</v>
      </c>
    </row>
    <row r="21" spans="1:25" x14ac:dyDescent="0.3">
      <c r="A21" s="270">
        <f>IF(COUNTIFS($B$5:B21,TB_CR.ACOMP[[#This Row],[Nº  SS]])&lt;&gt;1,"",COUNTIFS($B$5:B21,TB_CR.ACOMP[[#This Row],[Nº  SS]]))</f>
        <v>1</v>
      </c>
      <c r="B21" s="267" t="s">
        <v>60</v>
      </c>
      <c r="C21" s="269" t="s">
        <v>105</v>
      </c>
      <c r="D21" s="269" t="s">
        <v>435</v>
      </c>
      <c r="E21" s="269" t="s">
        <v>87</v>
      </c>
      <c r="F21" s="316" t="s">
        <v>10</v>
      </c>
      <c r="G21" s="346">
        <v>45962</v>
      </c>
      <c r="H21" s="302">
        <v>45973</v>
      </c>
      <c r="I21" s="302"/>
      <c r="J21" s="302"/>
      <c r="K21" s="302"/>
      <c r="L21" s="302"/>
      <c r="M21" s="302"/>
      <c r="N21" s="302"/>
      <c r="O21" s="302"/>
      <c r="P21" s="302"/>
      <c r="Q21" s="302"/>
      <c r="R21" s="277" t="str" cm="1">
        <f t="array" ref="R21">IF(TB_CR.ACOMP[[#This Row],[REV.00]]="","",INDEX(G$4:Q$4,MATCH(2,1/(G21:Q21&lt;&gt;""),1)))</f>
        <v>REV.01</v>
      </c>
      <c r="S21" s="302">
        <v>45973</v>
      </c>
      <c r="T21" s="277" t="str" cm="1">
        <f t="array" ref="T21">IF(TB_CR.ACOMP[[#This Row],[STATUS DEMANDA]]="CANCELADA","CANCELADA",IF(TB_CR.ACOMP[[#This Row],[DATA ENVIO]]="","PENDENTE",IF(TB_CR.ACOMP[[#This Row],[DATA ENVIO]]&gt;=IFERROR(INDEX(G21:Q21,MATCH(2,1/(G21:Q21&lt;&gt;""))),""),"ENTREGUE","PENDENTE")))</f>
        <v>ENTREGUE</v>
      </c>
      <c r="U21" s="302">
        <v>45973</v>
      </c>
      <c r="V21" s="303" t="s">
        <v>11</v>
      </c>
      <c r="W21" s="317">
        <f>_xlfn.XLOOKUP(TB_CR.ACOMP[[#This Row],[Nº  SS]],'CONTROLE FIN'!A:A,'CONTROLE FIN'!F:F,"",0,1)</f>
        <v>1233914.5200000003</v>
      </c>
      <c r="X21" s="317">
        <f>_xlfn.XLOOKUP(TB_CR.ACOMP[[#This Row],[Nº  SS]],'CONTROLE FIN'!A:A,'CONTROLE FIN'!H:H,"",0,1)</f>
        <v>715670.12249999994</v>
      </c>
      <c r="Y21" s="343">
        <f>_xlfn.XLOOKUP(TB_CR.ACOMP[[#This Row],[Nº  SS]],'CONTROLE EC'!B:B,'CONTROLE EC'!Y:Y,"",0,1)</f>
        <v>518244.39750000031</v>
      </c>
    </row>
    <row r="22" spans="1:25" x14ac:dyDescent="0.3">
      <c r="A22" s="270">
        <f>IF(COUNTIFS($B$5:B22,TB_CR.ACOMP[[#This Row],[Nº  SS]])&lt;&gt;1,"",COUNTIFS($B$5:B22,TB_CR.ACOMP[[#This Row],[Nº  SS]]))</f>
        <v>1</v>
      </c>
      <c r="B22" s="267" t="s">
        <v>61</v>
      </c>
      <c r="C22" s="269" t="s">
        <v>106</v>
      </c>
      <c r="D22" s="269" t="s">
        <v>435</v>
      </c>
      <c r="E22" s="269" t="s">
        <v>90</v>
      </c>
      <c r="F22" s="316" t="s">
        <v>247</v>
      </c>
      <c r="G22" s="346">
        <v>45965</v>
      </c>
      <c r="H22" s="302">
        <v>45972</v>
      </c>
      <c r="I22" s="302">
        <v>45975</v>
      </c>
      <c r="J22" s="302">
        <v>45979</v>
      </c>
      <c r="K22" s="302"/>
      <c r="L22" s="302"/>
      <c r="M22" s="302"/>
      <c r="N22" s="302"/>
      <c r="O22" s="302"/>
      <c r="P22" s="302"/>
      <c r="Q22" s="302"/>
      <c r="R22" s="277" t="str" cm="1">
        <f t="array" ref="R22">IF(TB_CR.ACOMP[[#This Row],[REV.00]]="","",INDEX(G$4:Q$4,MATCH(2,1/(G22:Q22&lt;&gt;""),1)))</f>
        <v>REV.03</v>
      </c>
      <c r="S22" s="302">
        <v>45979</v>
      </c>
      <c r="T22" s="277" t="str" cm="1">
        <f t="array" ref="T22">IF(TB_CR.ACOMP[[#This Row],[STATUS DEMANDA]]="CANCELADA","CANCELADA",IF(TB_CR.ACOMP[[#This Row],[DATA ENVIO]]="","PENDENTE",IF(TB_CR.ACOMP[[#This Row],[DATA ENVIO]]&gt;=IFERROR(INDEX(G22:Q22,MATCH(2,1/(G22:Q22&lt;&gt;""))),""),"ENTREGUE","PENDENTE")))</f>
        <v>ENTREGUE</v>
      </c>
      <c r="U22" s="302">
        <v>45980</v>
      </c>
      <c r="V22" s="303" t="s">
        <v>11</v>
      </c>
      <c r="W22" s="317">
        <f>_xlfn.XLOOKUP(TB_CR.ACOMP[[#This Row],[Nº  SS]],'CONTROLE FIN'!A:A,'CONTROLE FIN'!F:F,"",0,1)</f>
        <v>196612.97435999999</v>
      </c>
      <c r="X22" s="317">
        <f>_xlfn.XLOOKUP(TB_CR.ACOMP[[#This Row],[Nº  SS]],'CONTROLE FIN'!A:A,'CONTROLE FIN'!H:H,"",0,1)</f>
        <v>196612.97435999999</v>
      </c>
      <c r="Y22" s="343">
        <f>_xlfn.XLOOKUP(TB_CR.ACOMP[[#This Row],[Nº  SS]],'CONTROLE EC'!B:B,'CONTROLE EC'!Y:Y,"",0,1)</f>
        <v>0</v>
      </c>
    </row>
    <row r="23" spans="1:25" x14ac:dyDescent="0.3">
      <c r="A23" s="270">
        <f>IF(COUNTIFS($B$5:B23,TB_CR.ACOMP[[#This Row],[Nº  SS]])&lt;&gt;1,"",COUNTIFS($B$5:B23,TB_CR.ACOMP[[#This Row],[Nº  SS]]))</f>
        <v>1</v>
      </c>
      <c r="B23" s="267" t="s">
        <v>62</v>
      </c>
      <c r="C23" s="269" t="s">
        <v>107</v>
      </c>
      <c r="D23" s="269" t="s">
        <v>435</v>
      </c>
      <c r="E23" s="269" t="s">
        <v>87</v>
      </c>
      <c r="F23" s="316" t="s">
        <v>247</v>
      </c>
      <c r="G23" s="346">
        <v>45957</v>
      </c>
      <c r="H23" s="302">
        <v>45959</v>
      </c>
      <c r="I23" s="302"/>
      <c r="J23" s="302"/>
      <c r="K23" s="302"/>
      <c r="L23" s="302"/>
      <c r="M23" s="302"/>
      <c r="N23" s="302"/>
      <c r="O23" s="302"/>
      <c r="P23" s="302"/>
      <c r="Q23" s="302"/>
      <c r="R23" s="277" t="str" cm="1">
        <f t="array" ref="R23">IF(TB_CR.ACOMP[[#This Row],[REV.00]]="","",INDEX(G$4:Q$4,MATCH(2,1/(G23:Q23&lt;&gt;""),1)))</f>
        <v>REV.01</v>
      </c>
      <c r="S23" s="302">
        <v>45959</v>
      </c>
      <c r="T23" s="277" t="str" cm="1">
        <f t="array" ref="T23">IF(TB_CR.ACOMP[[#This Row],[STATUS DEMANDA]]="CANCELADA","CANCELADA",IF(TB_CR.ACOMP[[#This Row],[DATA ENVIO]]="","PENDENTE",IF(TB_CR.ACOMP[[#This Row],[DATA ENVIO]]&gt;=IFERROR(INDEX(G23:Q23,MATCH(2,1/(G23:Q23&lt;&gt;""))),""),"ENTREGUE","PENDENTE")))</f>
        <v>ENTREGUE</v>
      </c>
      <c r="U23" s="302">
        <v>45959</v>
      </c>
      <c r="V23" s="303" t="s">
        <v>11</v>
      </c>
      <c r="W23" s="317">
        <f>_xlfn.XLOOKUP(TB_CR.ACOMP[[#This Row],[Nº  SS]],'CONTROLE FIN'!A:A,'CONTROLE FIN'!F:F,"",0,1)</f>
        <v>90327.897311399996</v>
      </c>
      <c r="X23" s="317">
        <f>_xlfn.XLOOKUP(TB_CR.ACOMP[[#This Row],[Nº  SS]],'CONTROLE FIN'!A:A,'CONTROLE FIN'!H:H,"",0,1)</f>
        <v>90327.897311399996</v>
      </c>
      <c r="Y23" s="343">
        <f>_xlfn.XLOOKUP(TB_CR.ACOMP[[#This Row],[Nº  SS]],'CONTROLE EC'!B:B,'CONTROLE EC'!Y:Y,"",0,1)</f>
        <v>0</v>
      </c>
    </row>
    <row r="24" spans="1:25" x14ac:dyDescent="0.3">
      <c r="A24" s="270">
        <f>IF(COUNTIFS($B$5:B24,TB_CR.ACOMP[[#This Row],[Nº  SS]])&lt;&gt;1,"",COUNTIFS($B$5:B24,TB_CR.ACOMP[[#This Row],[Nº  SS]]))</f>
        <v>1</v>
      </c>
      <c r="B24" s="267" t="s">
        <v>63</v>
      </c>
      <c r="C24" s="269" t="s">
        <v>108</v>
      </c>
      <c r="D24" s="269" t="s">
        <v>435</v>
      </c>
      <c r="E24" s="269" t="s">
        <v>90</v>
      </c>
      <c r="F24" s="316" t="s">
        <v>247</v>
      </c>
      <c r="G24" s="346" t="s">
        <v>81</v>
      </c>
      <c r="H24" s="302"/>
      <c r="I24" s="302"/>
      <c r="J24" s="302"/>
      <c r="K24" s="302"/>
      <c r="L24" s="302"/>
      <c r="M24" s="302"/>
      <c r="N24" s="302"/>
      <c r="O24" s="302"/>
      <c r="P24" s="302"/>
      <c r="Q24" s="302"/>
      <c r="R24" s="277" t="str" cm="1">
        <f t="array" ref="R24">IF(TB_CR.ACOMP[[#This Row],[REV.00]]="","",INDEX(G$4:Q$4,MATCH(2,1/(G24:Q24&lt;&gt;""),1)))</f>
        <v>REV.00</v>
      </c>
      <c r="S24" s="302" t="s">
        <v>81</v>
      </c>
      <c r="T24" s="277" t="str" cm="1">
        <f t="array" ref="T24">IF(TB_CR.ACOMP[[#This Row],[STATUS DEMANDA]]="CANCELADA","CANCELADA",IF(TB_CR.ACOMP[[#This Row],[DATA ENVIO]]="","PENDENTE",IF(TB_CR.ACOMP[[#This Row],[DATA ENVIO]]&gt;=IFERROR(INDEX(G24:Q24,MATCH(2,1/(G24:Q24&lt;&gt;""))),""),"ENTREGUE","PENDENTE")))</f>
        <v>ENTREGUE</v>
      </c>
      <c r="U24" s="302" t="s">
        <v>81</v>
      </c>
      <c r="V24" s="303" t="s">
        <v>11</v>
      </c>
      <c r="W24" s="317">
        <f>_xlfn.XLOOKUP(TB_CR.ACOMP[[#This Row],[Nº  SS]],'CONTROLE FIN'!A:A,'CONTROLE FIN'!F:F,"",0,1)</f>
        <v>9890.6360400000012</v>
      </c>
      <c r="X24" s="317">
        <f>_xlfn.XLOOKUP(TB_CR.ACOMP[[#This Row],[Nº  SS]],'CONTROLE FIN'!A:A,'CONTROLE FIN'!H:H,"",0,1)</f>
        <v>9890.6360400000012</v>
      </c>
      <c r="Y24" s="343">
        <f>_xlfn.XLOOKUP(TB_CR.ACOMP[[#This Row],[Nº  SS]],'CONTROLE EC'!B:B,'CONTROLE EC'!Y:Y,"",0,1)</f>
        <v>0</v>
      </c>
    </row>
    <row r="25" spans="1:25" x14ac:dyDescent="0.3">
      <c r="A25" s="270">
        <f>IF(COUNTIFS($B$5:B25,TB_CR.ACOMP[[#This Row],[Nº  SS]])&lt;&gt;1,"",COUNTIFS($B$5:B25,TB_CR.ACOMP[[#This Row],[Nº  SS]]))</f>
        <v>1</v>
      </c>
      <c r="B25" s="267" t="s">
        <v>163</v>
      </c>
      <c r="C25" s="269" t="s">
        <v>169</v>
      </c>
      <c r="D25" s="269" t="s">
        <v>435</v>
      </c>
      <c r="E25" s="269" t="s">
        <v>90</v>
      </c>
      <c r="F25" s="316" t="s">
        <v>620</v>
      </c>
      <c r="G25" s="346">
        <v>45986</v>
      </c>
      <c r="H25" s="302"/>
      <c r="I25" s="302"/>
      <c r="J25" s="302"/>
      <c r="K25" s="302"/>
      <c r="L25" s="302"/>
      <c r="M25" s="302"/>
      <c r="N25" s="302"/>
      <c r="O25" s="302"/>
      <c r="P25" s="302"/>
      <c r="Q25" s="302"/>
      <c r="R25" s="277" t="str" cm="1">
        <f t="array" ref="R25">IF(TB_CR.ACOMP[[#This Row],[REV.00]]="","",INDEX(G$4:Q$4,MATCH(2,1/(G25:Q25&lt;&gt;""),1)))</f>
        <v>REV.00</v>
      </c>
      <c r="S25" s="302">
        <v>45986</v>
      </c>
      <c r="T25" s="277" t="str" cm="1">
        <f t="array" ref="T25">IF(TB_CR.ACOMP[[#This Row],[STATUS DEMANDA]]="CANCELADA","CANCELADA",IF(TB_CR.ACOMP[[#This Row],[DATA ENVIO]]="","PENDENTE",IF(TB_CR.ACOMP[[#This Row],[DATA ENVIO]]&gt;=IFERROR(INDEX(G25:Q25,MATCH(2,1/(G25:Q25&lt;&gt;""))),""),"ENTREGUE","PENDENTE")))</f>
        <v>CANCELADA</v>
      </c>
      <c r="U25" s="302"/>
      <c r="V25" s="303"/>
      <c r="W25" s="317">
        <f>_xlfn.XLOOKUP(TB_CR.ACOMP[[#This Row],[Nº  SS]],'CONTROLE FIN'!A:A,'CONTROLE FIN'!F:F,"",0,1)</f>
        <v>0</v>
      </c>
      <c r="X25" s="317">
        <f>_xlfn.XLOOKUP(TB_CR.ACOMP[[#This Row],[Nº  SS]],'CONTROLE FIN'!A:A,'CONTROLE FIN'!H:H,"",0,1)</f>
        <v>0</v>
      </c>
      <c r="Y25" s="343">
        <f>_xlfn.XLOOKUP(TB_CR.ACOMP[[#This Row],[Nº  SS]],'CONTROLE EC'!B:B,'CONTROLE EC'!Y:Y,"",0,1)</f>
        <v>0</v>
      </c>
    </row>
    <row r="26" spans="1:25" x14ac:dyDescent="0.3">
      <c r="A26" s="270">
        <f>IF(COUNTIFS($B$5:B26,TB_CR.ACOMP[[#This Row],[Nº  SS]])&lt;&gt;1,"",COUNTIFS($B$5:B26,TB_CR.ACOMP[[#This Row],[Nº  SS]]))</f>
        <v>1</v>
      </c>
      <c r="B26" s="267" t="s">
        <v>164</v>
      </c>
      <c r="C26" s="269" t="s">
        <v>167</v>
      </c>
      <c r="D26" s="269" t="s">
        <v>435</v>
      </c>
      <c r="E26" s="269" t="s">
        <v>170</v>
      </c>
      <c r="F26" s="316" t="s">
        <v>247</v>
      </c>
      <c r="G26" s="346">
        <v>45973</v>
      </c>
      <c r="H26" s="302">
        <v>46000</v>
      </c>
      <c r="I26" s="302"/>
      <c r="J26" s="302"/>
      <c r="K26" s="302"/>
      <c r="L26" s="302"/>
      <c r="M26" s="302"/>
      <c r="N26" s="302"/>
      <c r="O26" s="302"/>
      <c r="P26" s="302"/>
      <c r="Q26" s="302"/>
      <c r="R26" s="277" t="str" cm="1">
        <f t="array" ref="R26">IF(TB_CR.ACOMP[[#This Row],[REV.00]]="","",INDEX(G$4:Q$4,MATCH(2,1/(G26:Q26&lt;&gt;""),1)))</f>
        <v>REV.01</v>
      </c>
      <c r="S26" s="302">
        <v>46000</v>
      </c>
      <c r="T26" s="277" t="str" cm="1">
        <f t="array" ref="T26">IF(TB_CR.ACOMP[[#This Row],[STATUS DEMANDA]]="CANCELADA","CANCELADA",IF(TB_CR.ACOMP[[#This Row],[DATA ENVIO]]="","PENDENTE",IF(TB_CR.ACOMP[[#This Row],[DATA ENVIO]]&gt;=IFERROR(INDEX(G26:Q26,MATCH(2,1/(G26:Q26&lt;&gt;""))),""),"ENTREGUE","PENDENTE")))</f>
        <v>ENTREGUE</v>
      </c>
      <c r="U26" s="302">
        <v>46000</v>
      </c>
      <c r="V26" s="303" t="s">
        <v>11</v>
      </c>
      <c r="W26" s="317">
        <f>_xlfn.XLOOKUP(TB_CR.ACOMP[[#This Row],[Nº  SS]],'CONTROLE FIN'!A:A,'CONTROLE FIN'!F:F,"",0,1)</f>
        <v>117731.57525999998</v>
      </c>
      <c r="X26" s="317">
        <f>_xlfn.XLOOKUP(TB_CR.ACOMP[[#This Row],[Nº  SS]],'CONTROLE FIN'!A:A,'CONTROLE FIN'!H:H,"",0,1)</f>
        <v>117731.57525999998</v>
      </c>
      <c r="Y26" s="343">
        <f>_xlfn.XLOOKUP(TB_CR.ACOMP[[#This Row],[Nº  SS]],'CONTROLE EC'!B:B,'CONTROLE EC'!Y:Y,"",0,1)</f>
        <v>0</v>
      </c>
    </row>
    <row r="27" spans="1:25" x14ac:dyDescent="0.3">
      <c r="A27" s="270">
        <f>IF(COUNTIFS($B$5:B27,TB_CR.ACOMP[[#This Row],[Nº  SS]])&lt;&gt;1,"",COUNTIFS($B$5:B27,TB_CR.ACOMP[[#This Row],[Nº  SS]]))</f>
        <v>1</v>
      </c>
      <c r="B27" s="267" t="s">
        <v>165</v>
      </c>
      <c r="C27" s="269" t="s">
        <v>168</v>
      </c>
      <c r="D27" s="269" t="s">
        <v>435</v>
      </c>
      <c r="E27" s="269" t="s">
        <v>90</v>
      </c>
      <c r="F27" s="316" t="s">
        <v>247</v>
      </c>
      <c r="G27" s="346" t="s">
        <v>81</v>
      </c>
      <c r="H27" s="302"/>
      <c r="I27" s="302"/>
      <c r="J27" s="302"/>
      <c r="K27" s="302"/>
      <c r="L27" s="302"/>
      <c r="M27" s="302"/>
      <c r="N27" s="302"/>
      <c r="O27" s="302"/>
      <c r="P27" s="302"/>
      <c r="Q27" s="302"/>
      <c r="R27" s="277" t="str" cm="1">
        <f t="array" ref="R27">IF(TB_CR.ACOMP[[#This Row],[REV.00]]="","",INDEX(G$4:Q$4,MATCH(2,1/(G27:Q27&lt;&gt;""),1)))</f>
        <v>REV.00</v>
      </c>
      <c r="S27" s="302" t="s">
        <v>81</v>
      </c>
      <c r="T27" s="277" t="str" cm="1">
        <f t="array" ref="T27">IF(TB_CR.ACOMP[[#This Row],[STATUS DEMANDA]]="CANCELADA","CANCELADA",IF(TB_CR.ACOMP[[#This Row],[DATA ENVIO]]="","PENDENTE",IF(TB_CR.ACOMP[[#This Row],[DATA ENVIO]]&gt;=IFERROR(INDEX(G27:Q27,MATCH(2,1/(G27:Q27&lt;&gt;""))),""),"ENTREGUE","PENDENTE")))</f>
        <v>ENTREGUE</v>
      </c>
      <c r="U27" s="302" t="s">
        <v>81</v>
      </c>
      <c r="V27" s="303" t="s">
        <v>11</v>
      </c>
      <c r="W27" s="317">
        <f>_xlfn.XLOOKUP(TB_CR.ACOMP[[#This Row],[Nº  SS]],'CONTROLE FIN'!A:A,'CONTROLE FIN'!F:F,"",0,1)</f>
        <v>9395.5402799999993</v>
      </c>
      <c r="X27" s="317">
        <f>_xlfn.XLOOKUP(TB_CR.ACOMP[[#This Row],[Nº  SS]],'CONTROLE FIN'!A:A,'CONTROLE FIN'!H:H,"",0,1)</f>
        <v>9395.5402799999993</v>
      </c>
      <c r="Y27" s="343">
        <f>_xlfn.XLOOKUP(TB_CR.ACOMP[[#This Row],[Nº  SS]],'CONTROLE EC'!B:B,'CONTROLE EC'!Y:Y,"",0,1)</f>
        <v>0</v>
      </c>
    </row>
    <row r="28" spans="1:25" x14ac:dyDescent="0.3">
      <c r="A28" s="270">
        <f>IF(COUNTIFS($B$5:B28,TB_CR.ACOMP[[#This Row],[Nº  SS]])&lt;&gt;1,"",COUNTIFS($B$5:B28,TB_CR.ACOMP[[#This Row],[Nº  SS]]))</f>
        <v>1</v>
      </c>
      <c r="B28" s="267" t="s">
        <v>166</v>
      </c>
      <c r="C28" s="269" t="s">
        <v>235</v>
      </c>
      <c r="D28" s="269" t="s">
        <v>435</v>
      </c>
      <c r="E28" s="269" t="s">
        <v>87</v>
      </c>
      <c r="F28" s="316" t="s">
        <v>10</v>
      </c>
      <c r="G28" s="346">
        <v>45974</v>
      </c>
      <c r="H28" s="302">
        <v>45982</v>
      </c>
      <c r="I28" s="302">
        <v>46076</v>
      </c>
      <c r="J28" s="302"/>
      <c r="K28" s="302"/>
      <c r="L28" s="302"/>
      <c r="M28" s="302"/>
      <c r="N28" s="302"/>
      <c r="O28" s="302"/>
      <c r="P28" s="302"/>
      <c r="Q28" s="302"/>
      <c r="R28" s="277" t="str" cm="1">
        <f t="array" ref="R28">IF(TB_CR.ACOMP[[#This Row],[REV.00]]="","",INDEX(G$4:Q$4,MATCH(2,1/(G28:Q28&lt;&gt;""),1)))</f>
        <v>REV.02</v>
      </c>
      <c r="S28" s="302">
        <v>46076</v>
      </c>
      <c r="T28" s="277" t="str" cm="1">
        <f t="array" ref="T28">IF(TB_CR.ACOMP[[#This Row],[STATUS DEMANDA]]="CANCELADA","CANCELADA",IF(TB_CR.ACOMP[[#This Row],[DATA ENVIO]]="","PENDENTE",IF(TB_CR.ACOMP[[#This Row],[DATA ENVIO]]&gt;=IFERROR(INDEX(G28:Q28,MATCH(2,1/(G28:Q28&lt;&gt;""))),""),"ENTREGUE","PENDENTE")))</f>
        <v>ENTREGUE</v>
      </c>
      <c r="U28" s="302">
        <v>46077</v>
      </c>
      <c r="V28" s="303" t="s">
        <v>11</v>
      </c>
      <c r="W28" s="317">
        <f>_xlfn.XLOOKUP(TB_CR.ACOMP[[#This Row],[Nº  SS]],'CONTROLE FIN'!A:A,'CONTROLE FIN'!F:F,"",0,1)</f>
        <v>403913.19</v>
      </c>
      <c r="X28" s="317">
        <f>_xlfn.XLOOKUP(TB_CR.ACOMP[[#This Row],[Nº  SS]],'CONTROLE FIN'!A:A,'CONTROLE FIN'!H:H,"",0,1)</f>
        <v>253164.90167999998</v>
      </c>
      <c r="Y28" s="343">
        <f>_xlfn.XLOOKUP(TB_CR.ACOMP[[#This Row],[Nº  SS]],'CONTROLE EC'!B:B,'CONTROLE EC'!Y:Y,"",0,1)</f>
        <v>150748.28832000002</v>
      </c>
    </row>
    <row r="29" spans="1:25" x14ac:dyDescent="0.3">
      <c r="A29" s="270">
        <f>IF(COUNTIFS($B$5:B29,TB_CR.ACOMP[[#This Row],[Nº  SS]])&lt;&gt;1,"",COUNTIFS($B$5:B29,TB_CR.ACOMP[[#This Row],[Nº  SS]]))</f>
        <v>1</v>
      </c>
      <c r="B29" s="267" t="s">
        <v>234</v>
      </c>
      <c r="C29" s="269" t="s">
        <v>236</v>
      </c>
      <c r="D29" s="269" t="s">
        <v>435</v>
      </c>
      <c r="E29" s="269" t="s">
        <v>90</v>
      </c>
      <c r="F29" s="316" t="s">
        <v>620</v>
      </c>
      <c r="G29" s="346">
        <f>_xlfn.XLOOKUP(TB_CR.ACOMP[[#This Row],[Nº  SS]],'PACOTE INICIAL'!A:A,'PACOTE INICIAL'!C:C,"S/EMISS",0,1)</f>
        <v>45980</v>
      </c>
      <c r="H29" s="302"/>
      <c r="I29" s="302"/>
      <c r="J29" s="302"/>
      <c r="K29" s="302"/>
      <c r="L29" s="302"/>
      <c r="M29" s="302"/>
      <c r="N29" s="302"/>
      <c r="O29" s="302"/>
      <c r="P29" s="302"/>
      <c r="Q29" s="302"/>
      <c r="R29" s="277" t="str" cm="1">
        <f t="array" ref="R29">IF(TB_CR.ACOMP[[#This Row],[REV.00]]="","",INDEX(G$4:Q$4,MATCH(2,1/(G29:Q29&lt;&gt;""),1)))</f>
        <v>REV.00</v>
      </c>
      <c r="S29" s="302">
        <v>45980</v>
      </c>
      <c r="T29" s="277" t="str" cm="1">
        <f t="array" ref="T29">IF(TB_CR.ACOMP[[#This Row],[STATUS DEMANDA]]="CANCELADA","CANCELADA",IF(TB_CR.ACOMP[[#This Row],[DATA ENVIO]]="","PENDENTE",IF(TB_CR.ACOMP[[#This Row],[DATA ENVIO]]&gt;=IFERROR(INDEX(G29:Q29,MATCH(2,1/(G29:Q29&lt;&gt;""))),""),"ENTREGUE","PENDENTE")))</f>
        <v>CANCELADA</v>
      </c>
      <c r="U29" s="302"/>
      <c r="V29" s="303"/>
      <c r="W29" s="317">
        <f>_xlfn.XLOOKUP(TB_CR.ACOMP[[#This Row],[Nº  SS]],'CONTROLE FIN'!A:A,'CONTROLE FIN'!F:F,"",0,1)</f>
        <v>0</v>
      </c>
      <c r="X29" s="317">
        <f>_xlfn.XLOOKUP(TB_CR.ACOMP[[#This Row],[Nº  SS]],'CONTROLE FIN'!A:A,'CONTROLE FIN'!H:H,"",0,1)</f>
        <v>0</v>
      </c>
      <c r="Y29" s="343">
        <f>_xlfn.XLOOKUP(TB_CR.ACOMP[[#This Row],[Nº  SS]],'CONTROLE EC'!B:B,'CONTROLE EC'!Y:Y,"",0,1)</f>
        <v>0</v>
      </c>
    </row>
    <row r="30" spans="1:25" x14ac:dyDescent="0.3">
      <c r="A30" s="270">
        <f>IF(COUNTIFS($B$5:B30,TB_CR.ACOMP[[#This Row],[Nº  SS]])&lt;&gt;1,"",COUNTIFS($B$5:B30,TB_CR.ACOMP[[#This Row],[Nº  SS]]))</f>
        <v>1</v>
      </c>
      <c r="B30" s="267" t="s">
        <v>240</v>
      </c>
      <c r="C30" s="269" t="s">
        <v>353</v>
      </c>
      <c r="D30" s="269" t="s">
        <v>435</v>
      </c>
      <c r="E30" s="269" t="s">
        <v>90</v>
      </c>
      <c r="F30" s="316" t="s">
        <v>10</v>
      </c>
      <c r="G30" s="346">
        <f>_xlfn.XLOOKUP(TB_CR.ACOMP[[#This Row],[Nº  SS]],'PACOTE INICIAL'!A:A,'PACOTE INICIAL'!C:C,"S/EMISS",0,1)</f>
        <v>46002</v>
      </c>
      <c r="H30" s="302">
        <v>46013</v>
      </c>
      <c r="I30" s="302"/>
      <c r="J30" s="302"/>
      <c r="K30" s="302"/>
      <c r="L30" s="302"/>
      <c r="M30" s="302"/>
      <c r="N30" s="302"/>
      <c r="O30" s="302"/>
      <c r="P30" s="302"/>
      <c r="Q30" s="302"/>
      <c r="R30" s="277" t="str" cm="1">
        <f t="array" ref="R30">IF(TB_CR.ACOMP[[#This Row],[REV.00]]="","",INDEX(G$4:Q$4,MATCH(2,1/(G30:Q30&lt;&gt;""),1)))</f>
        <v>REV.01</v>
      </c>
      <c r="S30" s="302">
        <v>46013</v>
      </c>
      <c r="T30" s="277" t="str" cm="1">
        <f t="array" ref="T30">IF(TB_CR.ACOMP[[#This Row],[STATUS DEMANDA]]="CANCELADA","CANCELADA",IF(TB_CR.ACOMP[[#This Row],[DATA ENVIO]]="","PENDENTE",IF(TB_CR.ACOMP[[#This Row],[DATA ENVIO]]&gt;=IFERROR(INDEX(G30:Q30,MATCH(2,1/(G30:Q30&lt;&gt;""))),""),"ENTREGUE","PENDENTE")))</f>
        <v>ENTREGUE</v>
      </c>
      <c r="U30" s="302">
        <v>46013</v>
      </c>
      <c r="V30" s="303" t="s">
        <v>11</v>
      </c>
      <c r="W30" s="317">
        <f>_xlfn.XLOOKUP(TB_CR.ACOMP[[#This Row],[Nº  SS]],'CONTROLE FIN'!A:A,'CONTROLE FIN'!F:F,"",0,1)</f>
        <v>1125967.97034</v>
      </c>
      <c r="X30" s="317">
        <f>_xlfn.XLOOKUP(TB_CR.ACOMP[[#This Row],[Nº  SS]],'CONTROLE FIN'!A:A,'CONTROLE FIN'!H:H,"",0,1)</f>
        <v>517945.26042000001</v>
      </c>
      <c r="Y30" s="343">
        <f>_xlfn.XLOOKUP(TB_CR.ACOMP[[#This Row],[Nº  SS]],'CONTROLE EC'!B:B,'CONTROLE EC'!Y:Y,"",0,1)</f>
        <v>608022.70992000005</v>
      </c>
    </row>
    <row r="31" spans="1:25" x14ac:dyDescent="0.3">
      <c r="A31" s="270">
        <f>IF(COUNTIFS($B$5:B31,TB_CR.ACOMP[[#This Row],[Nº  SS]])&lt;&gt;1,"",COUNTIFS($B$5:B31,TB_CR.ACOMP[[#This Row],[Nº  SS]]))</f>
        <v>1</v>
      </c>
      <c r="B31" s="267" t="s">
        <v>241</v>
      </c>
      <c r="C31" s="269" t="s">
        <v>354</v>
      </c>
      <c r="D31" s="269" t="s">
        <v>435</v>
      </c>
      <c r="E31" s="269" t="s">
        <v>90</v>
      </c>
      <c r="F31" s="316" t="s">
        <v>10</v>
      </c>
      <c r="G31" s="346">
        <f>_xlfn.XLOOKUP(TB_CR.ACOMP[[#This Row],[Nº  SS]],'PACOTE INICIAL'!A:A,'PACOTE INICIAL'!C:C,"S/EMISS",0,1)</f>
        <v>46002</v>
      </c>
      <c r="H31" s="302">
        <v>46013</v>
      </c>
      <c r="I31" s="302"/>
      <c r="J31" s="302"/>
      <c r="K31" s="302"/>
      <c r="L31" s="302"/>
      <c r="M31" s="302"/>
      <c r="N31" s="302"/>
      <c r="O31" s="302"/>
      <c r="P31" s="302"/>
      <c r="Q31" s="302"/>
      <c r="R31" s="277" t="str" cm="1">
        <f t="array" ref="R31">IF(TB_CR.ACOMP[[#This Row],[REV.00]]="","",INDEX(G$4:Q$4,MATCH(2,1/(G31:Q31&lt;&gt;""),1)))</f>
        <v>REV.01</v>
      </c>
      <c r="S31" s="302">
        <v>46013</v>
      </c>
      <c r="T31" s="277" t="str" cm="1">
        <f t="array" ref="T31">IF(TB_CR.ACOMP[[#This Row],[STATUS DEMANDA]]="CANCELADA","CANCELADA",IF(TB_CR.ACOMP[[#This Row],[DATA ENVIO]]="","PENDENTE",IF(TB_CR.ACOMP[[#This Row],[DATA ENVIO]]&gt;=IFERROR(INDEX(G31:Q31,MATCH(2,1/(G31:Q31&lt;&gt;""))),""),"ENTREGUE","PENDENTE")))</f>
        <v>ENTREGUE</v>
      </c>
      <c r="U31" s="302">
        <v>46013</v>
      </c>
      <c r="V31" s="303" t="s">
        <v>11</v>
      </c>
      <c r="W31" s="317">
        <f>_xlfn.XLOOKUP(TB_CR.ACOMP[[#This Row],[Nº  SS]],'CONTROLE FIN'!A:A,'CONTROLE FIN'!F:F,"",0,1)</f>
        <v>415472.31089999998</v>
      </c>
      <c r="X31" s="317">
        <f>_xlfn.XLOOKUP(TB_CR.ACOMP[[#This Row],[Nº  SS]],'CONTROLE FIN'!A:A,'CONTROLE FIN'!H:H,"",0,1)</f>
        <v>290830.46922000003</v>
      </c>
      <c r="Y31" s="343">
        <f>_xlfn.XLOOKUP(TB_CR.ACOMP[[#This Row],[Nº  SS]],'CONTROLE EC'!B:B,'CONTROLE EC'!Y:Y,"",0,1)</f>
        <v>124641.84167999995</v>
      </c>
    </row>
    <row r="32" spans="1:25" x14ac:dyDescent="0.3">
      <c r="A32" s="270">
        <f>IF(COUNTIFS($B$5:B32,TB_CR.ACOMP[[#This Row],[Nº  SS]])&lt;&gt;1,"",COUNTIFS($B$5:B32,TB_CR.ACOMP[[#This Row],[Nº  SS]]))</f>
        <v>1</v>
      </c>
      <c r="B32" s="267" t="s">
        <v>242</v>
      </c>
      <c r="C32" s="269" t="s">
        <v>355</v>
      </c>
      <c r="D32" s="269" t="s">
        <v>435</v>
      </c>
      <c r="E32" s="269" t="s">
        <v>90</v>
      </c>
      <c r="F32" s="316" t="s">
        <v>10</v>
      </c>
      <c r="G32" s="346">
        <v>46003</v>
      </c>
      <c r="H32" s="302">
        <v>46013</v>
      </c>
      <c r="I32" s="302"/>
      <c r="J32" s="302"/>
      <c r="K32" s="302"/>
      <c r="L32" s="302"/>
      <c r="M32" s="302"/>
      <c r="N32" s="302"/>
      <c r="O32" s="302"/>
      <c r="P32" s="302"/>
      <c r="Q32" s="302"/>
      <c r="R32" s="277" t="str" cm="1">
        <f t="array" ref="R32">IF(TB_CR.ACOMP[[#This Row],[REV.00]]="","",INDEX(G$4:Q$4,MATCH(2,1/(G32:Q32&lt;&gt;""),1)))</f>
        <v>REV.01</v>
      </c>
      <c r="S32" s="302">
        <v>46013</v>
      </c>
      <c r="T32" s="277" t="str" cm="1">
        <f t="array" ref="T32">IF(TB_CR.ACOMP[[#This Row],[STATUS DEMANDA]]="CANCELADA","CANCELADA",IF(TB_CR.ACOMP[[#This Row],[DATA ENVIO]]="","PENDENTE",IF(TB_CR.ACOMP[[#This Row],[DATA ENVIO]]&gt;=IFERROR(INDEX(G32:Q32,MATCH(2,1/(G32:Q32&lt;&gt;""))),""),"ENTREGUE","PENDENTE")))</f>
        <v>ENTREGUE</v>
      </c>
      <c r="U32" s="302">
        <v>46013</v>
      </c>
      <c r="V32" s="303" t="s">
        <v>11</v>
      </c>
      <c r="W32" s="317">
        <f>_xlfn.XLOOKUP(TB_CR.ACOMP[[#This Row],[Nº  SS]],'CONTROLE FIN'!A:A,'CONTROLE FIN'!F:F,"",0,1)</f>
        <v>1219896.0657000002</v>
      </c>
      <c r="X32" s="317">
        <f>_xlfn.XLOOKUP(TB_CR.ACOMP[[#This Row],[Nº  SS]],'CONTROLE FIN'!A:A,'CONTROLE FIN'!H:H,"",0,1)</f>
        <v>536754.44699999993</v>
      </c>
      <c r="Y32" s="343">
        <f>_xlfn.XLOOKUP(TB_CR.ACOMP[[#This Row],[Nº  SS]],'CONTROLE EC'!B:B,'CONTROLE EC'!Y:Y,"",0,1)</f>
        <v>683141.61870000022</v>
      </c>
    </row>
    <row r="33" spans="1:25" x14ac:dyDescent="0.3">
      <c r="A33" s="270">
        <f>IF(COUNTIFS($B$5:B33,TB_CR.ACOMP[[#This Row],[Nº  SS]])&lt;&gt;1,"",COUNTIFS($B$5:B33,TB_CR.ACOMP[[#This Row],[Nº  SS]]))</f>
        <v>1</v>
      </c>
      <c r="B33" s="267" t="s">
        <v>243</v>
      </c>
      <c r="C33" s="269" t="s">
        <v>245</v>
      </c>
      <c r="D33" s="269" t="s">
        <v>435</v>
      </c>
      <c r="E33" s="269" t="s">
        <v>90</v>
      </c>
      <c r="F33" s="316" t="s">
        <v>10</v>
      </c>
      <c r="G33" s="346">
        <v>46009</v>
      </c>
      <c r="H33" s="302"/>
      <c r="I33" s="302"/>
      <c r="J33" s="302"/>
      <c r="K33" s="302"/>
      <c r="L33" s="302"/>
      <c r="M33" s="302"/>
      <c r="N33" s="302"/>
      <c r="O33" s="302"/>
      <c r="P33" s="302"/>
      <c r="Q33" s="302"/>
      <c r="R33" s="277" t="str" cm="1">
        <f t="array" ref="R33">IF(TB_CR.ACOMP[[#This Row],[REV.00]]="","",INDEX(G$4:Q$4,MATCH(2,1/(G33:Q33&lt;&gt;""),1)))</f>
        <v>REV.00</v>
      </c>
      <c r="S33" s="302">
        <v>46009</v>
      </c>
      <c r="T33" s="277" t="str" cm="1">
        <f t="array" ref="T33">IF(TB_CR.ACOMP[[#This Row],[STATUS DEMANDA]]="CANCELADA","CANCELADA",IF(TB_CR.ACOMP[[#This Row],[DATA ENVIO]]="","PENDENTE",IF(TB_CR.ACOMP[[#This Row],[DATA ENVIO]]&gt;=IFERROR(INDEX(G33:Q33,MATCH(2,1/(G33:Q33&lt;&gt;""))),""),"ENTREGUE","PENDENTE")))</f>
        <v>ENTREGUE</v>
      </c>
      <c r="U33" s="302">
        <v>46013</v>
      </c>
      <c r="V33" s="303" t="s">
        <v>11</v>
      </c>
      <c r="W33" s="317">
        <f>_xlfn.XLOOKUP(TB_CR.ACOMP[[#This Row],[Nº  SS]],'CONTROLE FIN'!A:A,'CONTROLE FIN'!F:F,"",0,1)</f>
        <v>139993.07525999998</v>
      </c>
      <c r="X33" s="317">
        <f>_xlfn.XLOOKUP(TB_CR.ACOMP[[#This Row],[Nº  SS]],'CONTROLE FIN'!A:A,'CONTROLE FIN'!H:H,"",0,1)</f>
        <v>41997.952259999998</v>
      </c>
      <c r="Y33" s="343">
        <f>_xlfn.XLOOKUP(TB_CR.ACOMP[[#This Row],[Nº  SS]],'CONTROLE EC'!B:B,'CONTROLE EC'!Y:Y,"",0,1)</f>
        <v>97995.122999999992</v>
      </c>
    </row>
    <row r="34" spans="1:25" x14ac:dyDescent="0.3">
      <c r="A34" s="270">
        <f>IF(COUNTIFS($B$5:B34,TB_CR.ACOMP[[#This Row],[Nº  SS]])&lt;&gt;1,"",COUNTIFS($B$5:B34,TB_CR.ACOMP[[#This Row],[Nº  SS]]))</f>
        <v>1</v>
      </c>
      <c r="B34" s="267" t="s">
        <v>244</v>
      </c>
      <c r="C34" s="269" t="s">
        <v>246</v>
      </c>
      <c r="D34" s="269" t="s">
        <v>435</v>
      </c>
      <c r="E34" s="269" t="s">
        <v>87</v>
      </c>
      <c r="F34" s="316" t="s">
        <v>10</v>
      </c>
      <c r="G34" s="346">
        <f>_xlfn.XLOOKUP(TB_CR.ACOMP[[#This Row],[Nº  SS]],'PACOTE INICIAL'!A:A,'PACOTE INICIAL'!C:C,"S/EMISS",0,1)</f>
        <v>46029</v>
      </c>
      <c r="H34" s="302">
        <v>46072</v>
      </c>
      <c r="I34" s="302">
        <v>46078</v>
      </c>
      <c r="J34" s="302"/>
      <c r="K34" s="302"/>
      <c r="L34" s="302"/>
      <c r="M34" s="302"/>
      <c r="N34" s="302"/>
      <c r="O34" s="302"/>
      <c r="P34" s="302"/>
      <c r="Q34" s="302"/>
      <c r="R34" s="277" t="str" cm="1">
        <f t="array" ref="R34">IF(TB_CR.ACOMP[[#This Row],[REV.00]]="","",INDEX(G$4:Q$4,MATCH(2,1/(G34:Q34&lt;&gt;""),1)))</f>
        <v>REV.02</v>
      </c>
      <c r="S34" s="302">
        <v>46078</v>
      </c>
      <c r="T34" s="277" t="str" cm="1">
        <f t="array" ref="T34">IF(TB_CR.ACOMP[[#This Row],[STATUS DEMANDA]]="CANCELADA","CANCELADA",IF(TB_CR.ACOMP[[#This Row],[DATA ENVIO]]="","PENDENTE",IF(TB_CR.ACOMP[[#This Row],[DATA ENVIO]]&gt;=IFERROR(INDEX(G34:Q34,MATCH(2,1/(G34:Q34&lt;&gt;""))),""),"ENTREGUE","PENDENTE")))</f>
        <v>ENTREGUE</v>
      </c>
      <c r="U34" s="302">
        <v>46078</v>
      </c>
      <c r="V34" s="303" t="s">
        <v>11</v>
      </c>
      <c r="W34" s="317">
        <f>_xlfn.XLOOKUP(TB_CR.ACOMP[[#This Row],[Nº  SS]],'CONTROLE FIN'!A:A,'CONTROLE FIN'!F:F,"",0,1)</f>
        <v>41370.68</v>
      </c>
      <c r="X34" s="317">
        <f>_xlfn.XLOOKUP(TB_CR.ACOMP[[#This Row],[Nº  SS]],'CONTROLE FIN'!A:A,'CONTROLE FIN'!H:H,"",0,1)</f>
        <v>4137.0771599999998</v>
      </c>
      <c r="Y34" s="343">
        <f>_xlfn.XLOOKUP(TB_CR.ACOMP[[#This Row],[Nº  SS]],'CONTROLE EC'!B:B,'CONTROLE EC'!Y:Y,"",0,1)</f>
        <v>37233.60284</v>
      </c>
    </row>
    <row r="35" spans="1:25" x14ac:dyDescent="0.3">
      <c r="A35" s="270">
        <f>IF(COUNTIFS($B$5:B35,TB_CR.ACOMP[[#This Row],[Nº  SS]])&lt;&gt;1,"",COUNTIFS($B$5:B35,TB_CR.ACOMP[[#This Row],[Nº  SS]]))</f>
        <v>1</v>
      </c>
      <c r="B35" s="267" t="s">
        <v>250</v>
      </c>
      <c r="C35" s="269" t="s">
        <v>251</v>
      </c>
      <c r="D35" s="269" t="s">
        <v>435</v>
      </c>
      <c r="E35" s="269" t="s">
        <v>90</v>
      </c>
      <c r="F35" s="316" t="s">
        <v>247</v>
      </c>
      <c r="G35" s="346">
        <v>46003</v>
      </c>
      <c r="H35" s="302">
        <v>46013</v>
      </c>
      <c r="I35" s="302"/>
      <c r="J35" s="302"/>
      <c r="K35" s="302"/>
      <c r="L35" s="302"/>
      <c r="M35" s="302"/>
      <c r="N35" s="302"/>
      <c r="O35" s="302"/>
      <c r="P35" s="302"/>
      <c r="Q35" s="302"/>
      <c r="R35" s="277" t="s">
        <v>65</v>
      </c>
      <c r="S35" s="302">
        <v>46013</v>
      </c>
      <c r="T35" s="277" t="str" cm="1">
        <f t="array" ref="T35">IF(TB_CR.ACOMP[[#This Row],[STATUS DEMANDA]]="CANCELADA","CANCELADA",IF(TB_CR.ACOMP[[#This Row],[DATA ENVIO]]="","PENDENTE",IF(TB_CR.ACOMP[[#This Row],[DATA ENVIO]]&gt;=IFERROR(INDEX(G35:Q35,MATCH(2,1/(G35:Q35&lt;&gt;""))),""),"ENTREGUE","PENDENTE")))</f>
        <v>ENTREGUE</v>
      </c>
      <c r="U35" s="302">
        <v>46013</v>
      </c>
      <c r="V35" s="303" t="s">
        <v>11</v>
      </c>
      <c r="W35" s="317">
        <f>_xlfn.XLOOKUP(TB_CR.ACOMP[[#This Row],[Nº  SS]],'CONTROLE FIN'!A:A,'CONTROLE FIN'!F:F,"",0,1)</f>
        <v>82273.161240000001</v>
      </c>
      <c r="X35" s="317">
        <f>_xlfn.XLOOKUP(TB_CR.ACOMP[[#This Row],[Nº  SS]],'CONTROLE FIN'!A:A,'CONTROLE FIN'!H:H,"",0,1)</f>
        <v>82273.161240000001</v>
      </c>
      <c r="Y35" s="343">
        <f>_xlfn.XLOOKUP(TB_CR.ACOMP[[#This Row],[Nº  SS]],'CONTROLE EC'!B:B,'CONTROLE EC'!Y:Y,"",0,1)</f>
        <v>0</v>
      </c>
    </row>
    <row r="36" spans="1:25" x14ac:dyDescent="0.3">
      <c r="A36" s="270">
        <f>IF(COUNTIFS($B$5:B36,TB_CR.ACOMP[[#This Row],[Nº  SS]])&lt;&gt;1,"",COUNTIFS($B$5:B36,TB_CR.ACOMP[[#This Row],[Nº  SS]]))</f>
        <v>1</v>
      </c>
      <c r="B36" s="267" t="s">
        <v>417</v>
      </c>
      <c r="C36" s="269" t="s">
        <v>418</v>
      </c>
      <c r="D36" s="269" t="s">
        <v>435</v>
      </c>
      <c r="E36" s="269" t="s">
        <v>90</v>
      </c>
      <c r="F36" s="316" t="s">
        <v>247</v>
      </c>
      <c r="G36" s="346" t="s">
        <v>81</v>
      </c>
      <c r="H36" s="302"/>
      <c r="I36" s="302"/>
      <c r="J36" s="302"/>
      <c r="K36" s="302"/>
      <c r="L36" s="302"/>
      <c r="M36" s="302"/>
      <c r="N36" s="302"/>
      <c r="O36" s="302"/>
      <c r="P36" s="302"/>
      <c r="Q36" s="302"/>
      <c r="R36" s="277" t="str" cm="1">
        <f t="array" ref="R36">IF(TB_CR.ACOMP[[#This Row],[REV.00]]="","",INDEX(G$4:Q$4,MATCH(2,1/(G36:Q36&lt;&gt;""),1)))</f>
        <v>REV.00</v>
      </c>
      <c r="S36" s="302" t="s">
        <v>81</v>
      </c>
      <c r="T36" s="277" t="str" cm="1">
        <f t="array" ref="T36">IF(TB_CR.ACOMP[[#This Row],[STATUS DEMANDA]]="CANCELADA","CANCELADA",IF(TB_CR.ACOMP[[#This Row],[DATA ENVIO]]="","PENDENTE",IF(TB_CR.ACOMP[[#This Row],[DATA ENVIO]]&gt;=IFERROR(INDEX(G36:Q36,MATCH(2,1/(G36:Q36&lt;&gt;""))),""),"ENTREGUE","PENDENTE")))</f>
        <v>ENTREGUE</v>
      </c>
      <c r="U36" s="302" t="s">
        <v>81</v>
      </c>
      <c r="V36" s="303" t="s">
        <v>11</v>
      </c>
      <c r="W36" s="317">
        <f>_xlfn.XLOOKUP(TB_CR.ACOMP[[#This Row],[Nº  SS]],'CONTROLE FIN'!A:A,'CONTROLE FIN'!F:F,"",0,1)</f>
        <v>128609.1378</v>
      </c>
      <c r="X36" s="317">
        <f>_xlfn.XLOOKUP(TB_CR.ACOMP[[#This Row],[Nº  SS]],'CONTROLE FIN'!A:A,'CONTROLE FIN'!H:H,"",0,1)</f>
        <v>128609.1378</v>
      </c>
      <c r="Y36" s="343">
        <f>_xlfn.XLOOKUP(TB_CR.ACOMP[[#This Row],[Nº  SS]],'CONTROLE EC'!B:B,'CONTROLE EC'!Y:Y,"",0,1)</f>
        <v>0</v>
      </c>
    </row>
    <row r="37" spans="1:25" x14ac:dyDescent="0.3">
      <c r="A37" s="267">
        <f>IF(COUNTIFS($B$5:B37,TB_CR.ACOMP[[#This Row],[Nº  SS]])&lt;&gt;1,"",COUNTIFS($B$5:B37,TB_CR.ACOMP[[#This Row],[Nº  SS]]))</f>
        <v>1</v>
      </c>
      <c r="B37" s="267" t="s">
        <v>416</v>
      </c>
      <c r="C37" s="269" t="s">
        <v>419</v>
      </c>
      <c r="D37" s="269" t="s">
        <v>435</v>
      </c>
      <c r="E37" s="269" t="s">
        <v>87</v>
      </c>
      <c r="F37" s="318" t="s">
        <v>10</v>
      </c>
      <c r="G37" s="311">
        <v>46037</v>
      </c>
      <c r="H37" s="302">
        <v>46064</v>
      </c>
      <c r="I37" s="302">
        <v>46077</v>
      </c>
      <c r="J37" s="302">
        <v>46078</v>
      </c>
      <c r="K37" s="302"/>
      <c r="L37" s="302"/>
      <c r="M37" s="302"/>
      <c r="N37" s="302"/>
      <c r="O37" s="302"/>
      <c r="P37" s="302"/>
      <c r="Q37" s="302"/>
      <c r="R37" s="277" t="str" cm="1">
        <f t="array" ref="R37">IF(TB_CR.ACOMP[[#This Row],[REV.00]]="","",INDEX(G$4:Q$4,MATCH(2,1/(G37:Q37&lt;&gt;""),1)))</f>
        <v>REV.03</v>
      </c>
      <c r="S37" s="302">
        <v>46078</v>
      </c>
      <c r="T37" s="277" t="str" cm="1">
        <f t="array" ref="T37">IF(TB_CR.ACOMP[[#This Row],[STATUS DEMANDA]]="CANCELADA","CANCELADA",IF(TB_CR.ACOMP[[#This Row],[DATA ENVIO]]="","PENDENTE",IF(TB_CR.ACOMP[[#This Row],[DATA ENVIO]]&gt;=IFERROR(INDEX(G37:Q37,MATCH(2,1/(G37:Q37&lt;&gt;""))),""),"ENTREGUE","PENDENTE")))</f>
        <v>ENTREGUE</v>
      </c>
      <c r="U37" s="302">
        <v>46078</v>
      </c>
      <c r="V37" s="303" t="s">
        <v>11</v>
      </c>
      <c r="W37" s="317">
        <f>_xlfn.XLOOKUP(TB_CR.ACOMP[[#This Row],[Nº  SS]],'CONTROLE FIN'!A:A,'CONTROLE FIN'!F:F,"",0,1)</f>
        <v>1114645.1777999999</v>
      </c>
      <c r="X37" s="317">
        <f>_xlfn.XLOOKUP(TB_CR.ACOMP[[#This Row],[Nº  SS]],'CONTROLE FIN'!A:A,'CONTROLE FIN'!H:H,"",0,1)</f>
        <v>111464.51777999999</v>
      </c>
      <c r="Y37" s="343">
        <f>_xlfn.XLOOKUP(TB_CR.ACOMP[[#This Row],[Nº  SS]],'CONTROLE EC'!B:B,'CONTROLE EC'!Y:Y,"",0,1)</f>
        <v>1003180.66002</v>
      </c>
    </row>
    <row r="38" spans="1:25" x14ac:dyDescent="0.3">
      <c r="A38" s="267">
        <f>IF(COUNTIFS($B$5:B38,TB_CR.ACOMP[[#This Row],[Nº  SS]])&lt;&gt;1,"",COUNTIFS($B$5:B38,TB_CR.ACOMP[[#This Row],[Nº  SS]]))</f>
        <v>1</v>
      </c>
      <c r="B38" s="267" t="s">
        <v>445</v>
      </c>
      <c r="C38" s="269" t="s">
        <v>533</v>
      </c>
      <c r="D38" s="269" t="s">
        <v>435</v>
      </c>
      <c r="E38" s="269" t="s">
        <v>90</v>
      </c>
      <c r="F38" s="318" t="s">
        <v>10</v>
      </c>
      <c r="G38" s="311">
        <v>46042</v>
      </c>
      <c r="H38" s="302">
        <v>46073</v>
      </c>
      <c r="I38" s="302">
        <v>46078</v>
      </c>
      <c r="J38" s="302"/>
      <c r="K38" s="302"/>
      <c r="L38" s="302"/>
      <c r="M38" s="302"/>
      <c r="N38" s="302"/>
      <c r="O38" s="302"/>
      <c r="P38" s="302"/>
      <c r="Q38" s="302"/>
      <c r="R38" s="277" t="str" cm="1">
        <f t="array" ref="R38">IF(TB_CR.ACOMP[[#This Row],[REV.00]]="","",INDEX(G$4:Q$4,MATCH(2,1/(G38:Q38&lt;&gt;""),1)))</f>
        <v>REV.02</v>
      </c>
      <c r="S38" s="302">
        <v>46078</v>
      </c>
      <c r="T38" s="277" t="str" cm="1">
        <f t="array" ref="T38">IF(TB_CR.ACOMP[[#This Row],[STATUS DEMANDA]]="CANCELADA","CANCELADA",IF(TB_CR.ACOMP[[#This Row],[DATA ENVIO]]="","PENDENTE",IF(TB_CR.ACOMP[[#This Row],[DATA ENVIO]]&gt;=IFERROR(INDEX(G38:Q38,MATCH(2,1/(G38:Q38&lt;&gt;""))),""),"ENTREGUE","PENDENTE")))</f>
        <v>ENTREGUE</v>
      </c>
      <c r="U38" s="302">
        <v>46078</v>
      </c>
      <c r="V38" s="303" t="s">
        <v>11</v>
      </c>
      <c r="W38" s="317">
        <f>_xlfn.XLOOKUP(TB_CR.ACOMP[[#This Row],[Nº  SS]],'CONTROLE FIN'!A:A,'CONTROLE FIN'!F:F,"",0,1)</f>
        <v>91628.333999999988</v>
      </c>
      <c r="X38" s="317">
        <f>_xlfn.XLOOKUP(TB_CR.ACOMP[[#This Row],[Nº  SS]],'CONTROLE FIN'!A:A,'CONTROLE FIN'!H:H,"",0,1)</f>
        <v>33901.889940000001</v>
      </c>
      <c r="Y38" s="343">
        <f>_xlfn.XLOOKUP(TB_CR.ACOMP[[#This Row],[Nº  SS]],'CONTROLE EC'!B:B,'CONTROLE EC'!Y:Y,"",0,1)</f>
        <v>57726.444059999987</v>
      </c>
    </row>
    <row r="39" spans="1:25" x14ac:dyDescent="0.3">
      <c r="A39" s="267">
        <f>IF(COUNTIFS($B$5:B39,TB_CR.ACOMP[[#This Row],[Nº  SS]])&lt;&gt;1,"",COUNTIFS($B$5:B39,TB_CR.ACOMP[[#This Row],[Nº  SS]]))</f>
        <v>1</v>
      </c>
      <c r="B39" s="267" t="s">
        <v>530</v>
      </c>
      <c r="C39" s="269" t="s">
        <v>535</v>
      </c>
      <c r="D39" s="269" t="s">
        <v>435</v>
      </c>
      <c r="E39" s="269" t="s">
        <v>90</v>
      </c>
      <c r="F39" s="318" t="s">
        <v>10</v>
      </c>
      <c r="G39" s="311">
        <v>46059</v>
      </c>
      <c r="H39" s="302">
        <v>46078</v>
      </c>
      <c r="I39" s="302"/>
      <c r="J39" s="302"/>
      <c r="K39" s="302"/>
      <c r="L39" s="302"/>
      <c r="M39" s="302"/>
      <c r="N39" s="302"/>
      <c r="O39" s="302"/>
      <c r="P39" s="302"/>
      <c r="Q39" s="302"/>
      <c r="R39" s="277" t="str" cm="1">
        <f t="array" ref="R39">IF(TB_CR.ACOMP[[#This Row],[REV.00]]="","",INDEX(G$4:Q$4,MATCH(2,1/(G39:Q39&lt;&gt;""),1)))</f>
        <v>REV.01</v>
      </c>
      <c r="S39" s="302">
        <v>46078</v>
      </c>
      <c r="T39" s="277" t="str" cm="1">
        <f t="array" ref="T39">IF(TB_CR.ACOMP[[#This Row],[STATUS DEMANDA]]="CANCELADA","CANCELADA",IF(TB_CR.ACOMP[[#This Row],[DATA ENVIO]]="","PENDENTE",IF(TB_CR.ACOMP[[#This Row],[DATA ENVIO]]&gt;=IFERROR(INDEX(G39:Q39,MATCH(2,1/(G39:Q39&lt;&gt;""))),""),"ENTREGUE","PENDENTE")))</f>
        <v>ENTREGUE</v>
      </c>
      <c r="U39" s="302">
        <v>46078</v>
      </c>
      <c r="V39" s="303" t="s">
        <v>11</v>
      </c>
      <c r="W39" s="317">
        <f>_xlfn.XLOOKUP(TB_CR.ACOMP[[#This Row],[Nº  SS]],'CONTROLE FIN'!A:A,'CONTROLE FIN'!F:F,"",0,1)</f>
        <v>467937.02681999997</v>
      </c>
      <c r="X39" s="317">
        <f>_xlfn.XLOOKUP(TB_CR.ACOMP[[#This Row],[Nº  SS]],'CONTROLE FIN'!A:A,'CONTROLE FIN'!H:H,"",0,1)</f>
        <v>45006.816599999998</v>
      </c>
      <c r="Y39" s="343">
        <f>_xlfn.XLOOKUP(TB_CR.ACOMP[[#This Row],[Nº  SS]],'CONTROLE EC'!B:B,'CONTROLE EC'!Y:Y,"",0,1)</f>
        <v>422930.21021999995</v>
      </c>
    </row>
    <row r="40" spans="1:25" x14ac:dyDescent="0.3">
      <c r="A40" s="267">
        <f>IF(COUNTIFS($B$5:B40,TB_CR.ACOMP[[#This Row],[Nº  SS]])&lt;&gt;1,"",COUNTIFS($B$5:B40,TB_CR.ACOMP[[#This Row],[Nº  SS]]))</f>
        <v>1</v>
      </c>
      <c r="B40" s="267" t="s">
        <v>531</v>
      </c>
      <c r="C40" s="269" t="s">
        <v>534</v>
      </c>
      <c r="D40" s="269" t="s">
        <v>435</v>
      </c>
      <c r="E40" s="269" t="s">
        <v>90</v>
      </c>
      <c r="F40" s="318" t="s">
        <v>10</v>
      </c>
      <c r="G40" s="311">
        <v>46085</v>
      </c>
      <c r="H40" s="302">
        <v>46094</v>
      </c>
      <c r="I40" s="302"/>
      <c r="J40" s="302"/>
      <c r="K40" s="302"/>
      <c r="L40" s="302"/>
      <c r="M40" s="302"/>
      <c r="N40" s="302"/>
      <c r="O40" s="302"/>
      <c r="P40" s="302"/>
      <c r="Q40" s="302"/>
      <c r="R40" s="277" t="str" cm="1">
        <f t="array" ref="R40">IF(TB_CR.ACOMP[[#This Row],[REV.00]]="","",INDEX(G$4:Q$4,MATCH(2,1/(G40:Q40&lt;&gt;""),1)))</f>
        <v>REV.01</v>
      </c>
      <c r="S40" s="302">
        <v>46094</v>
      </c>
      <c r="T40" s="277" t="str" cm="1">
        <f t="array" ref="T40">IF(TB_CR.ACOMP[[#This Row],[STATUS DEMANDA]]="CANCELADA","CANCELADA",IF(TB_CR.ACOMP[[#This Row],[DATA ENVIO]]="","PENDENTE",IF(TB_CR.ACOMP[[#This Row],[DATA ENVIO]]&gt;=IFERROR(INDEX(G40:Q40,MATCH(2,1/(G40:Q40&lt;&gt;""))),""),"ENTREGUE","PENDENTE")))</f>
        <v>ENTREGUE</v>
      </c>
      <c r="U40" s="302">
        <v>46094</v>
      </c>
      <c r="V40" s="303" t="s">
        <v>11</v>
      </c>
      <c r="W40" s="317">
        <f>_xlfn.XLOOKUP(TB_CR.ACOMP[[#This Row],[Nº  SS]],'CONTROLE FIN'!A:A,'CONTROLE FIN'!F:F,"",0,1)</f>
        <v>565513.33679999993</v>
      </c>
      <c r="X40" s="317">
        <f>_xlfn.XLOOKUP(TB_CR.ACOMP[[#This Row],[Nº  SS]],'CONTROLE FIN'!A:A,'CONTROLE FIN'!H:H,"",0,1)</f>
        <v>0</v>
      </c>
      <c r="Y40" s="343">
        <f>_xlfn.XLOOKUP(TB_CR.ACOMP[[#This Row],[Nº  SS]],'CONTROLE EC'!B:B,'CONTROLE EC'!Y:Y,"",0,1)</f>
        <v>565513.33679999993</v>
      </c>
    </row>
    <row r="41" spans="1:25" x14ac:dyDescent="0.3">
      <c r="A41" s="267">
        <f>IF(COUNTIFS($B$5:B41,TB_CR.ACOMP[[#This Row],[Nº  SS]])&lt;&gt;1,"",COUNTIFS($B$5:B41,TB_CR.ACOMP[[#This Row],[Nº  SS]]))</f>
        <v>1</v>
      </c>
      <c r="B41" s="267" t="s">
        <v>532</v>
      </c>
      <c r="C41" s="269" t="s">
        <v>536</v>
      </c>
      <c r="D41" s="269" t="s">
        <v>435</v>
      </c>
      <c r="E41" s="269" t="s">
        <v>90</v>
      </c>
      <c r="F41" s="318" t="s">
        <v>10</v>
      </c>
      <c r="G41" s="311">
        <f>_xlfn.XLOOKUP(TB_CR.ACOMP[[#This Row],[Nº  SS]],'PACOTE INICIAL'!A:A,'PACOTE INICIAL'!C:C,"S/EMISS",0,1)</f>
        <v>46066</v>
      </c>
      <c r="H41" s="302"/>
      <c r="I41" s="302"/>
      <c r="J41" s="302"/>
      <c r="K41" s="302"/>
      <c r="L41" s="302"/>
      <c r="M41" s="302"/>
      <c r="N41" s="302"/>
      <c r="O41" s="302"/>
      <c r="P41" s="302"/>
      <c r="Q41" s="302"/>
      <c r="R41" s="277" t="str" cm="1">
        <f t="array" ref="R41">IF(TB_CR.ACOMP[[#This Row],[REV.00]]="","",INDEX(G$4:Q$4,MATCH(2,1/(G41:Q41&lt;&gt;""),1)))</f>
        <v>REV.00</v>
      </c>
      <c r="S41" s="302">
        <v>46066</v>
      </c>
      <c r="T41" s="277" t="str" cm="1">
        <f t="array" ref="T41">IF(TB_CR.ACOMP[[#This Row],[STATUS DEMANDA]]="CANCELADA","CANCELADA",IF(TB_CR.ACOMP[[#This Row],[DATA ENVIO]]="","PENDENTE",IF(TB_CR.ACOMP[[#This Row],[DATA ENVIO]]&gt;=IFERROR(INDEX(G41:Q41,MATCH(2,1/(G41:Q41&lt;&gt;""))),""),"ENTREGUE","PENDENTE")))</f>
        <v>ENTREGUE</v>
      </c>
      <c r="U41" s="302">
        <v>46076</v>
      </c>
      <c r="V41" s="303" t="s">
        <v>11</v>
      </c>
      <c r="W41" s="317">
        <f>_xlfn.XLOOKUP(TB_CR.ACOMP[[#This Row],[Nº  SS]],'CONTROLE FIN'!A:A,'CONTROLE FIN'!F:F,"",0,1)</f>
        <v>348499.33019999997</v>
      </c>
      <c r="X41" s="317">
        <f>_xlfn.XLOOKUP(TB_CR.ACOMP[[#This Row],[Nº  SS]],'CONTROLE FIN'!A:A,'CONTROLE FIN'!H:H,"",0,1)</f>
        <v>34849.933019999997</v>
      </c>
      <c r="Y41" s="343">
        <f>_xlfn.XLOOKUP(TB_CR.ACOMP[[#This Row],[Nº  SS]],'CONTROLE EC'!B:B,'CONTROLE EC'!Y:Y,"",0,1)</f>
        <v>313649.39717999997</v>
      </c>
    </row>
    <row r="42" spans="1:25" x14ac:dyDescent="0.3">
      <c r="A42" s="267">
        <f>IF(COUNTIFS($B$5:B42,TB_CR.ACOMP[[#This Row],[Nº  SS]])&lt;&gt;1,"",COUNTIFS($B$5:B42,TB_CR.ACOMP[[#This Row],[Nº  SS]]))</f>
        <v>1</v>
      </c>
      <c r="B42" s="267" t="s">
        <v>621</v>
      </c>
      <c r="C42" s="269" t="s">
        <v>622</v>
      </c>
      <c r="D42" s="269" t="s">
        <v>435</v>
      </c>
      <c r="E42" s="269" t="s">
        <v>90</v>
      </c>
      <c r="F42" s="318" t="s">
        <v>432</v>
      </c>
      <c r="G42" s="311"/>
      <c r="H42" s="302"/>
      <c r="I42" s="302"/>
      <c r="J42" s="302"/>
      <c r="K42" s="302"/>
      <c r="L42" s="302"/>
      <c r="M42" s="302"/>
      <c r="N42" s="302"/>
      <c r="O42" s="302"/>
      <c r="P42" s="302"/>
      <c r="Q42" s="302"/>
      <c r="R42" s="277" t="str" cm="1">
        <f t="array" ref="R42">IF(TB_CR.ACOMP[[#This Row],[REV.00]]="","",INDEX(G$4:Q$4,MATCH(2,1/(G42:Q42&lt;&gt;""),1)))</f>
        <v/>
      </c>
      <c r="S42" s="302"/>
      <c r="T42" s="277" t="str" cm="1">
        <f t="array" ref="T42">IF(TB_CR.ACOMP[[#This Row],[STATUS DEMANDA]]="CANCELADA","CANCELADA",IF(TB_CR.ACOMP[[#This Row],[DATA ENVIO]]="","PENDENTE",IF(TB_CR.ACOMP[[#This Row],[DATA ENVIO]]&gt;=IFERROR(INDEX(G42:Q42,MATCH(2,1/(G42:Q42&lt;&gt;""))),""),"ENTREGUE","PENDENTE")))</f>
        <v>PENDENTE</v>
      </c>
      <c r="U42" s="302"/>
      <c r="V42" s="303"/>
      <c r="W42" s="317">
        <f>_xlfn.XLOOKUP(TB_CR.ACOMP[[#This Row],[Nº  SS]],'CONTROLE FIN'!A:A,'CONTROLE FIN'!F:F,"",0,1)</f>
        <v>0</v>
      </c>
      <c r="X42" s="317">
        <f>_xlfn.XLOOKUP(TB_CR.ACOMP[[#This Row],[Nº  SS]],'CONTROLE FIN'!A:A,'CONTROLE FIN'!H:H,"",0,1)</f>
        <v>0</v>
      </c>
      <c r="Y42" s="343">
        <f>_xlfn.XLOOKUP(TB_CR.ACOMP[[#This Row],[Nº  SS]],'CONTROLE EC'!B:B,'CONTROLE EC'!Y:Y,"",0,1)</f>
        <v>0</v>
      </c>
    </row>
    <row r="43" spans="1:25" x14ac:dyDescent="0.3">
      <c r="A43" s="360">
        <f>IF(COUNTIFS($B$5:B43,TB_CR.ACOMP[[#This Row],[Nº  SS]])&lt;&gt;1,"",COUNTIFS($B$5:B43,TB_CR.ACOMP[[#This Row],[Nº  SS]]))</f>
        <v>1</v>
      </c>
      <c r="B43" s="361" t="s">
        <v>642</v>
      </c>
      <c r="C43" s="269" t="s">
        <v>643</v>
      </c>
      <c r="D43" s="269" t="s">
        <v>435</v>
      </c>
      <c r="E43" s="269" t="s">
        <v>87</v>
      </c>
      <c r="F43" s="318" t="s">
        <v>10</v>
      </c>
      <c r="G43" s="311">
        <f>_xlfn.XLOOKUP(TB_CR.ACOMP[[#This Row],[Nº  SS]],'PACOTE INICIAL'!A:A,'PACOTE INICIAL'!C:C,"S/EMISS",0,1)</f>
        <v>46092</v>
      </c>
      <c r="H43" s="302">
        <v>46098</v>
      </c>
      <c r="I43" s="302"/>
      <c r="J43" s="302"/>
      <c r="K43" s="302"/>
      <c r="L43" s="302"/>
      <c r="M43" s="302"/>
      <c r="N43" s="302"/>
      <c r="O43" s="302"/>
      <c r="P43" s="302"/>
      <c r="Q43" s="302"/>
      <c r="R43" s="277" t="str" cm="1">
        <f t="array" ref="R43">IF(TB_CR.ACOMP[[#This Row],[REV.00]]="","",INDEX(G$4:Q$4,MATCH(2,1/(G43:Q43&lt;&gt;""),1)))</f>
        <v>REV.01</v>
      </c>
      <c r="S43" s="302">
        <v>46098</v>
      </c>
      <c r="T43" s="277" t="str" cm="1">
        <f t="array" ref="T43">IF(TB_CR.ACOMP[[#This Row],[STATUS DEMANDA]]="CANCELADA","CANCELADA",IF(TB_CR.ACOMP[[#This Row],[DATA ENVIO]]="","PENDENTE",IF(TB_CR.ACOMP[[#This Row],[DATA ENVIO]]&gt;=IFERROR(INDEX(G43:Q43,MATCH(2,1/(G43:Q43&lt;&gt;""))),""),"ENTREGUE","PENDENTE")))</f>
        <v>ENTREGUE</v>
      </c>
      <c r="U43" s="302">
        <v>46099</v>
      </c>
      <c r="V43" s="312" t="s">
        <v>11</v>
      </c>
      <c r="W43" s="317">
        <f>_xlfn.XLOOKUP(TB_CR.ACOMP[[#This Row],[Nº  SS]],'CONTROLE FIN'!A:A,'CONTROLE FIN'!F:F,"",0,1)</f>
        <v>416350.00763999997</v>
      </c>
      <c r="X43" s="362">
        <f>_xlfn.XLOOKUP(TB_CR.ACOMP[[#This Row],[Nº  SS]],'CONTROLE FIN'!A:A,'CONTROLE FIN'!H:H,"",0,1)</f>
        <v>0</v>
      </c>
      <c r="Y43" s="343">
        <f>_xlfn.XLOOKUP(TB_CR.ACOMP[[#This Row],[Nº  SS]],'CONTROLE EC'!B:B,'CONTROLE EC'!Y:Y,"",0,1)</f>
        <v>416350.00763999997</v>
      </c>
    </row>
    <row r="44" spans="1:25" ht="15" thickBot="1" x14ac:dyDescent="0.35">
      <c r="A44" s="445">
        <f>IF(COUNTIFS($B$5:B45,TB_CR.ACOMP[[#This Row],[Nº  SS]])&lt;&gt;1,"",COUNTIFS($B$5:B45,TB_CR.ACOMP[[#This Row],[Nº  SS]]))</f>
        <v>1</v>
      </c>
      <c r="B44" s="446" t="s">
        <v>624</v>
      </c>
      <c r="C44" s="447" t="s">
        <v>623</v>
      </c>
      <c r="D44" s="447" t="s">
        <v>435</v>
      </c>
      <c r="E44" s="447" t="s">
        <v>90</v>
      </c>
      <c r="F44" s="448" t="s">
        <v>432</v>
      </c>
      <c r="G44" s="449"/>
      <c r="H44" s="450"/>
      <c r="I44" s="450"/>
      <c r="J44" s="450"/>
      <c r="K44" s="450"/>
      <c r="L44" s="450"/>
      <c r="M44" s="450"/>
      <c r="N44" s="450"/>
      <c r="O44" s="450"/>
      <c r="P44" s="450"/>
      <c r="Q44" s="450"/>
      <c r="R44" s="451" t="str" cm="1">
        <f t="array" ref="R44">IF(TB_CR.ACOMP[[#This Row],[REV.00]]="","",INDEX(G$4:Q$4,MATCH(2,1/(G44:Q44&lt;&gt;""),1)))</f>
        <v/>
      </c>
      <c r="S44" s="450"/>
      <c r="T44" s="451" t="str" cm="1">
        <f t="array" ref="T44">IF(TB_CR.ACOMP[[#This Row],[STATUS DEMANDA]]="CANCELADA","CANCELADA",IF(TB_CR.ACOMP[[#This Row],[DATA ENVIO]]="","PENDENTE",IF(TB_CR.ACOMP[[#This Row],[DATA ENVIO]]&gt;=IFERROR(INDEX(G44:Q44,MATCH(2,1/(G44:Q44&lt;&gt;""))),""),"ENTREGUE","PENDENTE")))</f>
        <v>PENDENTE</v>
      </c>
      <c r="U44" s="450"/>
      <c r="V44" s="452"/>
      <c r="W44" s="453">
        <f>_xlfn.XLOOKUP(TB_CR.ACOMP[[#This Row],[Nº  SS]],'CONTROLE FIN'!A:A,'CONTROLE FIN'!F:F,"",0,1)</f>
        <v>0</v>
      </c>
      <c r="X44" s="444">
        <f>_xlfn.XLOOKUP(TB_CR.ACOMP[[#This Row],[Nº  SS]],'CONTROLE FIN'!A:A,'CONTROLE FIN'!H:H,"",0,1)</f>
        <v>0</v>
      </c>
      <c r="Y44" s="454">
        <f>_xlfn.XLOOKUP(TB_CR.ACOMP[[#This Row],[Nº  SS]],'CONTROLE EC'!B:B,'CONTROLE EC'!Y:Y,"",0,1)</f>
        <v>0</v>
      </c>
    </row>
    <row r="45" spans="1:25" x14ac:dyDescent="0.3">
      <c r="A45" s="443">
        <f>IF(COUNTIFS($B$5:B45,TB_CR.ACOMP[[#This Row],[Nº  SS]])&lt;&gt;1,"",COUNTIFS($B$5:B45,TB_CR.ACOMP[[#This Row],[Nº  SS]]))</f>
        <v>1</v>
      </c>
      <c r="B45" s="446" t="s">
        <v>3281</v>
      </c>
      <c r="C45" s="447" t="s">
        <v>3282</v>
      </c>
      <c r="D45" s="447" t="s">
        <v>435</v>
      </c>
      <c r="E45" s="447" t="s">
        <v>90</v>
      </c>
      <c r="F45" s="448" t="s">
        <v>12</v>
      </c>
      <c r="G45" s="449">
        <f>_xlfn.XLOOKUP(TB_CR.ACOMP[[#This Row],[Nº  SS]],'PACOTE INICIAL'!A:A,'PACOTE INICIAL'!C:C,"S/EMISS",0,1)</f>
        <v>46104</v>
      </c>
      <c r="H45" s="450"/>
      <c r="I45" s="450"/>
      <c r="J45" s="450"/>
      <c r="K45" s="450"/>
      <c r="L45" s="450"/>
      <c r="M45" s="450"/>
      <c r="N45" s="450"/>
      <c r="O45" s="450"/>
      <c r="P45" s="450"/>
      <c r="Q45" s="450"/>
      <c r="R45" s="451" t="str" cm="1">
        <f t="array" ref="R45">IF(TB_CR.ACOMP[[#This Row],[REV.00]]="","",INDEX(G$4:Q$4,MATCH(2,1/(G45:Q45&lt;&gt;""),1)))</f>
        <v>REV.00</v>
      </c>
      <c r="S45" s="450"/>
      <c r="T45" s="451" t="str" cm="1">
        <f t="array" ref="T45">IF(TB_CR.ACOMP[[#This Row],[STATUS DEMANDA]]="CANCELADA","CANCELADA",IF(TB_CR.ACOMP[[#This Row],[DATA ENVIO]]="","PENDENTE",IF(TB_CR.ACOMP[[#This Row],[DATA ENVIO]]&gt;=IFERROR(INDEX(G45:Q45,MATCH(2,1/(G45:Q45&lt;&gt;""))),""),"ENTREGUE","PENDENTE")))</f>
        <v>PENDENTE</v>
      </c>
      <c r="U45" s="450"/>
      <c r="V45" s="452"/>
      <c r="W45" s="453">
        <f>_xlfn.XLOOKUP(TB_CR.ACOMP[[#This Row],[Nº  SS]],'CONTROLE FIN'!A:A,'CONTROLE FIN'!F:F,"",0,1)</f>
        <v>0</v>
      </c>
      <c r="X45" s="444">
        <f>_xlfn.XLOOKUP(TB_CR.ACOMP[[#This Row],[Nº  SS]],'CONTROLE FIN'!A:A,'CONTROLE FIN'!H:H,"",0,1)</f>
        <v>0</v>
      </c>
      <c r="Y45" s="454">
        <f>_xlfn.XLOOKUP(TB_CR.ACOMP[[#This Row],[Nº  SS]],'CONTROLE EC'!B:B,'CONTROLE EC'!Y:Y,"",0,1)</f>
        <v>0</v>
      </c>
    </row>
  </sheetData>
  <sheetProtection autoFilter="0"/>
  <mergeCells count="4">
    <mergeCell ref="E2:E3"/>
    <mergeCell ref="Y1:Y3"/>
    <mergeCell ref="X1:X3"/>
    <mergeCell ref="W1:W3"/>
  </mergeCells>
  <phoneticPr fontId="2" type="noConversion"/>
  <conditionalFormatting sqref="W44:Y44 W6:Y42 W43:X43 A6:V44 A45">
    <cfRule type="expression" dxfId="795" priority="61">
      <formula>$F6="CONCLUÍDA"</formula>
    </cfRule>
    <cfRule type="expression" dxfId="794" priority="62">
      <formula>$F6="CANCELADA"</formula>
    </cfRule>
    <cfRule type="expression" dxfId="793" priority="63">
      <formula>$F6="ON HOLD"</formula>
    </cfRule>
    <cfRule type="expression" dxfId="792" priority="66">
      <formula>$F6="EM PLANEJAMENTO"</formula>
    </cfRule>
  </conditionalFormatting>
  <conditionalFormatting sqref="S6:T41">
    <cfRule type="expression" dxfId="791" priority="65">
      <formula>$T6="PENDENTE"</formula>
    </cfRule>
  </conditionalFormatting>
  <conditionalFormatting sqref="U6:V41">
    <cfRule type="expression" dxfId="790" priority="64">
      <formula>$V6="REPROVADO"</formula>
    </cfRule>
  </conditionalFormatting>
  <conditionalFormatting sqref="S44:T44">
    <cfRule type="expression" dxfId="789" priority="56">
      <formula>$T44="PENDENTE"</formula>
    </cfRule>
  </conditionalFormatting>
  <conditionalFormatting sqref="U44:V44">
    <cfRule type="expression" dxfId="788" priority="55">
      <formula>$V44="REPROVADO"</formula>
    </cfRule>
  </conditionalFormatting>
  <conditionalFormatting sqref="S42:T43">
    <cfRule type="expression" dxfId="787" priority="47">
      <formula>$T42="PENDENTE"</formula>
    </cfRule>
  </conditionalFormatting>
  <conditionalFormatting sqref="U42:V43">
    <cfRule type="expression" dxfId="786" priority="46">
      <formula>$V42="REPROVADO"</formula>
    </cfRule>
  </conditionalFormatting>
  <conditionalFormatting sqref="Y43">
    <cfRule type="expression" dxfId="785" priority="15">
      <formula>$F43="CONCLUÍDA"</formula>
    </cfRule>
    <cfRule type="expression" dxfId="784" priority="16">
      <formula>$F43="CANCELADA"</formula>
    </cfRule>
    <cfRule type="expression" dxfId="783" priority="17">
      <formula>$F43="ON HOLD"</formula>
    </cfRule>
    <cfRule type="expression" dxfId="782" priority="18">
      <formula>$F43="EM PLANEJAMENTO"</formula>
    </cfRule>
  </conditionalFormatting>
  <conditionalFormatting sqref="B45:Y45">
    <cfRule type="expression" dxfId="781" priority="3">
      <formula>$F45="CONCLUÍDA"</formula>
    </cfRule>
    <cfRule type="expression" dxfId="780" priority="4">
      <formula>$F45="CANCELADA"</formula>
    </cfRule>
    <cfRule type="expression" dxfId="779" priority="5">
      <formula>$F45="ON HOLD"</formula>
    </cfRule>
    <cfRule type="expression" dxfId="778" priority="6">
      <formula>$F45="EM PLANEJAMENTO"</formula>
    </cfRule>
  </conditionalFormatting>
  <conditionalFormatting sqref="S45:T45">
    <cfRule type="expression" dxfId="777" priority="2">
      <formula>$T45="PENDENTE"</formula>
    </cfRule>
  </conditionalFormatting>
  <conditionalFormatting sqref="U45:V45">
    <cfRule type="expression" dxfId="776" priority="1">
      <formula>$V45="REPROVADO"</formula>
    </cfRule>
  </conditionalFormatting>
  <dataValidations disablePrompts="1" count="3">
    <dataValidation type="list" allowBlank="1" showInputMessage="1" showErrorMessage="1" sqref="F6:F45" xr:uid="{0AF472D5-6620-4370-AD2D-A1F8A31EEA31}">
      <formula1>"AGUARD. PROJ. BR, CANCELADA, CONCLUÍDA, EM ANDAMENTO, EM PLANEJAMENTO,EM REVISÃO,ON HOLD,NÃO EMITIDA SAMC"</formula1>
    </dataValidation>
    <dataValidation type="list" allowBlank="1" showInputMessage="1" showErrorMessage="1" sqref="V6:V45" xr:uid="{A6842900-F85F-4150-96EC-35E0F1D3A35A}">
      <formula1>"APROVADO,REPROVADO"</formula1>
    </dataValidation>
    <dataValidation type="list" allowBlank="1" showInputMessage="1" showErrorMessage="1" sqref="D6:D45" xr:uid="{F5C8267D-08B6-4F71-8552-484A05E40440}">
      <formula1>"ADM,SERVIÇO"</formula1>
    </dataValidation>
  </dataValidations>
  <pageMargins left="0.511811024" right="0.511811024" top="0.78740157499999996" bottom="0.78740157499999996" header="0.31496062000000002" footer="0.31496062000000002"/>
  <pageSetup paperSize="9" orientation="portrait" r:id="rId1"/>
  <ignoredErrors>
    <ignoredError sqref="R6:R17 T6:T17 G29:G31 R34 G45" unlockedFormula="1"/>
    <ignoredError sqref="G9:G25 G26:G28 G32:G33 R35 G35:G36 G6:G7 G37:G39 G40" calculatedColumn="1"/>
    <ignoredError sqref="G34 G41 G43" unlockedFormula="1" calculatedColumn="1"/>
  </ignoredError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4660D-DA4D-46CA-8407-4A23F699F1C5}">
  <sheetPr codeName="Planilha5"/>
  <dimension ref="A1:V114"/>
  <sheetViews>
    <sheetView showGridLines="0" zoomScale="90" zoomScaleNormal="90" workbookViewId="0">
      <selection activeCell="B30" sqref="B30"/>
    </sheetView>
  </sheetViews>
  <sheetFormatPr defaultRowHeight="14.4" x14ac:dyDescent="0.3"/>
  <cols>
    <col min="1" max="1" width="10.6640625" style="51" customWidth="1"/>
    <col min="2" max="3" width="16.6640625" style="52" customWidth="1"/>
    <col min="4" max="4" width="11.5546875" style="53" bestFit="1" customWidth="1"/>
    <col min="5" max="5" width="32.6640625" bestFit="1" customWidth="1"/>
    <col min="6" max="6" width="2.33203125" customWidth="1"/>
    <col min="7" max="7" width="10.6640625" style="51" customWidth="1"/>
    <col min="8" max="8" width="10.5546875" style="52" bestFit="1" customWidth="1"/>
    <col min="9" max="9" width="83.6640625" style="52" bestFit="1" customWidth="1"/>
    <col min="10" max="10" width="11.5546875" style="53" bestFit="1" customWidth="1"/>
    <col min="11" max="11" width="18.6640625" bestFit="1" customWidth="1"/>
    <col min="12" max="15" width="10.6640625" customWidth="1"/>
    <col min="16" max="16" width="10.6640625" style="51" customWidth="1"/>
    <col min="17" max="17" width="1.33203125" style="52" customWidth="1"/>
    <col min="18" max="21" width="10.6640625" customWidth="1"/>
    <col min="22" max="22" width="10.6640625" style="51" customWidth="1"/>
  </cols>
  <sheetData>
    <row r="1" spans="1:22" ht="30" customHeight="1" x14ac:dyDescent="0.3">
      <c r="A1" s="54">
        <v>5</v>
      </c>
      <c r="B1" s="516" t="s">
        <v>109</v>
      </c>
      <c r="C1" s="517"/>
      <c r="D1" s="518" t="s">
        <v>110</v>
      </c>
      <c r="E1" s="519"/>
      <c r="H1" s="513" t="s">
        <v>18</v>
      </c>
      <c r="I1" s="507" t="s">
        <v>19</v>
      </c>
      <c r="J1" s="507" t="s">
        <v>2</v>
      </c>
      <c r="K1" s="507" t="s">
        <v>20</v>
      </c>
      <c r="L1" s="507" t="s">
        <v>111</v>
      </c>
      <c r="M1" s="507" t="s">
        <v>112</v>
      </c>
      <c r="N1" s="507" t="s">
        <v>113</v>
      </c>
      <c r="O1" s="507" t="s">
        <v>114</v>
      </c>
      <c r="P1" s="510" t="s">
        <v>115</v>
      </c>
      <c r="R1" s="507" t="s">
        <v>111</v>
      </c>
      <c r="S1" s="507" t="s">
        <v>112</v>
      </c>
      <c r="T1" s="507" t="s">
        <v>113</v>
      </c>
      <c r="U1" s="507" t="s">
        <v>114</v>
      </c>
      <c r="V1" s="510" t="s">
        <v>115</v>
      </c>
    </row>
    <row r="2" spans="1:22" x14ac:dyDescent="0.3">
      <c r="A2" s="55" t="s">
        <v>116</v>
      </c>
      <c r="B2" s="56" t="s">
        <v>117</v>
      </c>
      <c r="C2" s="56" t="s">
        <v>118</v>
      </c>
      <c r="D2" s="520"/>
      <c r="E2" s="521"/>
      <c r="H2" s="514"/>
      <c r="I2" s="508"/>
      <c r="J2" s="508"/>
      <c r="K2" s="508"/>
      <c r="L2" s="508"/>
      <c r="M2" s="508"/>
      <c r="N2" s="508"/>
      <c r="O2" s="508"/>
      <c r="P2" s="511"/>
      <c r="R2" s="508"/>
      <c r="S2" s="508"/>
      <c r="T2" s="508"/>
      <c r="U2" s="508"/>
      <c r="V2" s="511"/>
    </row>
    <row r="3" spans="1:22" ht="4.5" customHeight="1" thickBot="1" x14ac:dyDescent="0.35">
      <c r="A3" s="65"/>
      <c r="B3" s="59"/>
      <c r="C3" s="59"/>
      <c r="D3" s="57"/>
      <c r="E3" s="58"/>
      <c r="H3" s="515"/>
      <c r="I3" s="509"/>
      <c r="J3" s="509"/>
      <c r="K3" s="509"/>
      <c r="L3" s="509"/>
      <c r="M3" s="509"/>
      <c r="N3" s="509"/>
      <c r="O3" s="509"/>
      <c r="P3" s="512"/>
      <c r="R3" s="509"/>
      <c r="S3" s="509"/>
      <c r="T3" s="509"/>
      <c r="U3" s="509"/>
      <c r="V3" s="512"/>
    </row>
    <row r="4" spans="1:22" x14ac:dyDescent="0.3">
      <c r="A4" s="65" t="s">
        <v>437</v>
      </c>
      <c r="B4" s="60">
        <v>45905</v>
      </c>
      <c r="C4" s="60" t="s">
        <v>119</v>
      </c>
      <c r="D4" s="61">
        <v>45658</v>
      </c>
      <c r="E4" s="58" t="s">
        <v>120</v>
      </c>
      <c r="H4" s="69" t="s">
        <v>439</v>
      </c>
      <c r="I4" s="78" t="str">
        <f>_xlfn.XLOOKUP($H4,TB_CR.ACOMP[Nº  SS],TB_CR.ACOMP[ID | DESCRIÇÃO DA DEMANDA],"",0,1)</f>
        <v>24-0651-ES - MONTAGEM DO GALPÃO DA UPGN-2</v>
      </c>
      <c r="J4" s="77" t="str">
        <f>_xlfn.XLOOKUP($H4,TB_CR.ACOMP[Nº  SS],TB_CR.ACOMP[TOMADOR],"",0,1)</f>
        <v>UTGC</v>
      </c>
      <c r="K4" s="79" t="str">
        <f>_xlfn.XLOOKUP($H4,TB_CR.ACOMP[Nº  SS],TB_CR.ACOMP[STATUS DEMANDA],"",0,1)</f>
        <v>EM ANDAMENTO</v>
      </c>
      <c r="L4" s="84">
        <v>45955</v>
      </c>
      <c r="M4" s="84">
        <v>45955</v>
      </c>
      <c r="N4" s="84"/>
      <c r="O4" s="84"/>
      <c r="P4" s="71"/>
      <c r="R4" s="84">
        <v>45955</v>
      </c>
      <c r="S4" s="84">
        <v>45955</v>
      </c>
      <c r="T4" s="84"/>
      <c r="U4" s="84"/>
      <c r="V4" s="71"/>
    </row>
    <row r="5" spans="1:22" x14ac:dyDescent="0.3">
      <c r="A5" s="65" t="s">
        <v>439</v>
      </c>
      <c r="B5" s="60">
        <v>45905</v>
      </c>
      <c r="C5" s="60">
        <f t="shared" ref="C5:C38" si="0">IF(B5="","",WORKDAY(B5,$A$1,$D$4:$D$38))</f>
        <v>45912</v>
      </c>
      <c r="D5" s="61">
        <v>45719</v>
      </c>
      <c r="E5" s="58" t="s">
        <v>121</v>
      </c>
      <c r="H5" s="16" t="s">
        <v>440</v>
      </c>
      <c r="I5" s="18" t="str">
        <f>_xlfn.XLOOKUP($H5,TB_CR.ACOMP[Nº  SS],TB_CR.ACOMP[ID | DESCRIÇÃO DA DEMANDA],"",0,1)</f>
        <v>23-0706-ES - MANUTENÇÃO DO GALPÃO SECGN</v>
      </c>
      <c r="J5" s="18" t="str">
        <f>_xlfn.XLOOKUP($H5,TB_CR.ACOMP[Nº  SS],TB_CR.ACOMP[TOMADOR],"",0,1)</f>
        <v>UTGC</v>
      </c>
      <c r="K5" s="80" t="str">
        <f>_xlfn.XLOOKUP($H5,TB_CR.ACOMP[Nº  SS],TB_CR.ACOMP[STATUS DEMANDA],"",0,1)</f>
        <v>CONCLUÍDA</v>
      </c>
      <c r="L5" s="47">
        <v>45918</v>
      </c>
      <c r="M5" s="47">
        <v>45932</v>
      </c>
      <c r="N5" s="47">
        <v>45925</v>
      </c>
      <c r="O5" s="47">
        <v>46015</v>
      </c>
      <c r="P5" s="72">
        <v>46020</v>
      </c>
      <c r="R5" s="47">
        <v>45918</v>
      </c>
      <c r="S5" s="47">
        <v>45932</v>
      </c>
      <c r="T5" s="47">
        <v>45925</v>
      </c>
      <c r="U5" s="47">
        <v>46015</v>
      </c>
      <c r="V5" s="72">
        <v>46020</v>
      </c>
    </row>
    <row r="6" spans="1:22" x14ac:dyDescent="0.3">
      <c r="A6" s="46" t="s">
        <v>442</v>
      </c>
      <c r="B6" s="60">
        <v>45916</v>
      </c>
      <c r="C6" s="60">
        <f>IF(B6="","",WORKDAY(B6,$A$1,$D$4:$D$38))</f>
        <v>45923</v>
      </c>
      <c r="D6" s="61">
        <v>45720</v>
      </c>
      <c r="E6" s="58" t="s">
        <v>121</v>
      </c>
      <c r="H6" s="69" t="s">
        <v>441</v>
      </c>
      <c r="I6" s="70" t="str">
        <f>_xlfn.XLOOKUP($H6,TB_CR.ACOMP[Nº  SS],TB_CR.ACOMP[ID | DESCRIÇÃO DA DEMANDA],"",0,1)</f>
        <v>23-0803-ES - MANUTENÇÃO DO GALPÃO K-14</v>
      </c>
      <c r="J6" s="70" t="str">
        <f>_xlfn.XLOOKUP($H6,TB_CR.ACOMP[Nº  SS],TB_CR.ACOMP[TOMADOR],"",0,1)</f>
        <v>UTGC</v>
      </c>
      <c r="K6" s="81" t="str">
        <f>_xlfn.XLOOKUP($H6,TB_CR.ACOMP[Nº  SS],TB_CR.ACOMP[STATUS DEMANDA],"",0,1)</f>
        <v>CONCLUÍDA</v>
      </c>
      <c r="L6" s="85">
        <v>45931</v>
      </c>
      <c r="M6" s="85">
        <v>45945</v>
      </c>
      <c r="N6" s="85"/>
      <c r="O6" s="85"/>
      <c r="P6" s="71"/>
      <c r="R6" s="85">
        <v>45931</v>
      </c>
      <c r="S6" s="85">
        <v>45945</v>
      </c>
      <c r="T6" s="85"/>
      <c r="U6" s="85"/>
      <c r="V6" s="71"/>
    </row>
    <row r="7" spans="1:22" x14ac:dyDescent="0.3">
      <c r="A7" s="46" t="s">
        <v>55</v>
      </c>
      <c r="B7" s="60">
        <v>45905</v>
      </c>
      <c r="C7" s="60">
        <f t="shared" si="0"/>
        <v>45912</v>
      </c>
      <c r="D7" s="61">
        <v>45721</v>
      </c>
      <c r="E7" s="58" t="s">
        <v>122</v>
      </c>
      <c r="H7" s="16" t="s">
        <v>442</v>
      </c>
      <c r="I7" s="18" t="str">
        <f>_xlfn.XLOOKUP($H7,TB_CR.ACOMP[Nº  SS],TB_CR.ACOMP[ID | DESCRIÇÃO DA DEMANDA],"",0,1)</f>
        <v>23-710B-ES - MANUTENÇÃO DO GALPÃO DE BOMBAS DE TRANSFERÊNCIA DE GLP PARA TABR</v>
      </c>
      <c r="J7" s="18" t="str">
        <f>_xlfn.XLOOKUP($H7,TB_CR.ACOMP[Nº  SS],TB_CR.ACOMP[TOMADOR],"",0,1)</f>
        <v>UTGC</v>
      </c>
      <c r="K7" s="80" t="str">
        <f>_xlfn.XLOOKUP($H7,TB_CR.ACOMP[Nº  SS],TB_CR.ACOMP[STATUS DEMANDA],"",0,1)</f>
        <v>CONCLUÍDA</v>
      </c>
      <c r="L7" s="47">
        <v>45930</v>
      </c>
      <c r="M7" s="47">
        <v>45936</v>
      </c>
      <c r="N7" s="47">
        <v>45937</v>
      </c>
      <c r="O7" s="47">
        <v>46014</v>
      </c>
      <c r="P7" s="72">
        <v>46014</v>
      </c>
      <c r="R7" s="47">
        <v>45930</v>
      </c>
      <c r="S7" s="47">
        <v>45936</v>
      </c>
      <c r="T7" s="47">
        <v>45937</v>
      </c>
      <c r="U7" s="47">
        <v>46014</v>
      </c>
      <c r="V7" s="72">
        <v>46014</v>
      </c>
    </row>
    <row r="8" spans="1:22" x14ac:dyDescent="0.3">
      <c r="A8" s="46" t="s">
        <v>56</v>
      </c>
      <c r="B8" s="60">
        <v>45905</v>
      </c>
      <c r="C8" s="60">
        <f t="shared" si="0"/>
        <v>45912</v>
      </c>
      <c r="D8" s="61">
        <v>45765</v>
      </c>
      <c r="E8" s="58" t="s">
        <v>123</v>
      </c>
      <c r="H8" s="69" t="s">
        <v>443</v>
      </c>
      <c r="I8" s="70" t="str">
        <f>_xlfn.XLOOKUP($H8,TB_CR.ACOMP[Nº  SS],TB_CR.ACOMP[ID | DESCRIÇÃO DA DEMANDA],"",0,1)</f>
        <v>23-0713-ES - MANUTENÇÃO DO GALPÃO K-02</v>
      </c>
      <c r="J8" s="70" t="str">
        <f>_xlfn.XLOOKUP($H8,TB_CR.ACOMP[Nº  SS],TB_CR.ACOMP[TOMADOR],"",0,1)</f>
        <v>UTGC</v>
      </c>
      <c r="K8" s="81" t="str">
        <f>_xlfn.XLOOKUP($H8,TB_CR.ACOMP[Nº  SS],TB_CR.ACOMP[STATUS DEMANDA],"",0,1)</f>
        <v>EM ANDAMENTO</v>
      </c>
      <c r="L8" s="85">
        <v>45950</v>
      </c>
      <c r="M8" s="85">
        <v>45946</v>
      </c>
      <c r="N8" s="85"/>
      <c r="O8" s="85"/>
      <c r="P8" s="71"/>
      <c r="R8" s="85">
        <v>45950</v>
      </c>
      <c r="S8" s="85">
        <v>45946</v>
      </c>
      <c r="T8" s="85"/>
      <c r="U8" s="85"/>
      <c r="V8" s="71"/>
    </row>
    <row r="9" spans="1:22" x14ac:dyDescent="0.3">
      <c r="A9" s="46" t="s">
        <v>444</v>
      </c>
      <c r="B9" s="60">
        <v>45910</v>
      </c>
      <c r="C9" s="60">
        <f t="shared" si="0"/>
        <v>45917</v>
      </c>
      <c r="D9" s="61">
        <v>45768</v>
      </c>
      <c r="E9" s="58" t="s">
        <v>124</v>
      </c>
      <c r="H9" s="16" t="s">
        <v>444</v>
      </c>
      <c r="I9" s="18" t="str">
        <f>_xlfn.XLOOKUP($H9,TB_CR.ACOMP[Nº  SS],TB_CR.ACOMP[ID | DESCRIÇÃO DA DEMANDA],"",0,1)</f>
        <v>23-0707-ES - MANUTENÇÃO DO GALPÃO UPGN-3</v>
      </c>
      <c r="J9" s="18" t="str">
        <f>_xlfn.XLOOKUP($H9,TB_CR.ACOMP[Nº  SS],TB_CR.ACOMP[TOMADOR],"",0,1)</f>
        <v>UTGC</v>
      </c>
      <c r="K9" s="80" t="str">
        <f>_xlfn.XLOOKUP($H9,TB_CR.ACOMP[Nº  SS],TB_CR.ACOMP[STATUS DEMANDA],"",0,1)</f>
        <v>CONCLUÍDA</v>
      </c>
      <c r="L9" s="47">
        <v>45919</v>
      </c>
      <c r="M9" s="47">
        <v>45932</v>
      </c>
      <c r="N9" s="47">
        <v>45925</v>
      </c>
      <c r="O9" s="47">
        <v>46042</v>
      </c>
      <c r="P9" s="72">
        <v>46042</v>
      </c>
      <c r="R9" s="47">
        <v>45919</v>
      </c>
      <c r="S9" s="47">
        <v>45932</v>
      </c>
      <c r="T9" s="47">
        <v>45925</v>
      </c>
      <c r="U9" s="47">
        <v>46042</v>
      </c>
      <c r="V9" s="72">
        <v>46042</v>
      </c>
    </row>
    <row r="10" spans="1:22" x14ac:dyDescent="0.3">
      <c r="A10" s="46" t="s">
        <v>440</v>
      </c>
      <c r="B10" s="60">
        <v>45911</v>
      </c>
      <c r="C10" s="60">
        <f t="shared" si="0"/>
        <v>45918</v>
      </c>
      <c r="D10" s="61">
        <v>45775</v>
      </c>
      <c r="E10" s="58" t="s">
        <v>125</v>
      </c>
      <c r="H10" s="69" t="s">
        <v>54</v>
      </c>
      <c r="I10" s="70" t="str">
        <f>_xlfn.XLOOKUP($H10,TB_CR.ACOMP[Nº  SS],TB_CR.ACOMP[ID | DESCRIÇÃO DA DEMANDA],"",0,1)</f>
        <v>24-0096-ES - REFORMA DA COBERTURA DO K-04</v>
      </c>
      <c r="J10" s="70" t="str">
        <f>_xlfn.XLOOKUP($H10,TB_CR.ACOMP[Nº  SS],TB_CR.ACOMP[TOMADOR],"",0,1)</f>
        <v>UTGC</v>
      </c>
      <c r="K10" s="82" t="str">
        <f>_xlfn.XLOOKUP($H10,TB_CR.ACOMP[Nº  SS],TB_CR.ACOMP[STATUS DEMANDA],"",0,1)</f>
        <v>CONCLUÍDA</v>
      </c>
      <c r="L10" s="85">
        <v>45944</v>
      </c>
      <c r="M10" s="85">
        <v>45944</v>
      </c>
      <c r="N10" s="85"/>
      <c r="O10" s="85"/>
      <c r="P10" s="71"/>
      <c r="R10" s="85">
        <v>45944</v>
      </c>
      <c r="S10" s="85">
        <v>45944</v>
      </c>
      <c r="T10" s="85"/>
      <c r="U10" s="85"/>
      <c r="V10" s="71"/>
    </row>
    <row r="11" spans="1:22" x14ac:dyDescent="0.3">
      <c r="A11" s="46" t="s">
        <v>441</v>
      </c>
      <c r="B11" s="60">
        <v>45924</v>
      </c>
      <c r="C11" s="60">
        <f t="shared" si="0"/>
        <v>45931</v>
      </c>
      <c r="D11" s="61">
        <v>45778</v>
      </c>
      <c r="E11" s="58" t="s">
        <v>126</v>
      </c>
      <c r="H11" s="16" t="s">
        <v>55</v>
      </c>
      <c r="I11" s="18" t="str">
        <f>_xlfn.XLOOKUP($H11,TB_CR.ACOMP[Nº  SS],TB_CR.ACOMP[ID | DESCRIÇÃO DA DEMANDA],"",0,1)</f>
        <v>21-0007-ES - DESMONTAGEM DO GALPÃO DA UPCGN-1</v>
      </c>
      <c r="J11" s="18" t="str">
        <f>_xlfn.XLOOKUP($H11,TB_CR.ACOMP[Nº  SS],TB_CR.ACOMP[TOMADOR],"",0,1)</f>
        <v>UTGC</v>
      </c>
      <c r="K11" s="80" t="str">
        <f>_xlfn.XLOOKUP($H11,TB_CR.ACOMP[Nº  SS],TB_CR.ACOMP[STATUS DEMANDA],"",0,1)</f>
        <v>CONCLUÍDA</v>
      </c>
      <c r="L11" s="47">
        <v>45912</v>
      </c>
      <c r="M11" s="47">
        <v>45932</v>
      </c>
      <c r="N11" s="47">
        <v>45924</v>
      </c>
      <c r="O11" s="47">
        <v>45980</v>
      </c>
      <c r="P11" s="72">
        <v>45980</v>
      </c>
      <c r="R11" s="47">
        <v>45912</v>
      </c>
      <c r="S11" s="47">
        <v>45932</v>
      </c>
      <c r="T11" s="47">
        <v>45924</v>
      </c>
      <c r="U11" s="47">
        <v>45980</v>
      </c>
      <c r="V11" s="72">
        <v>45980</v>
      </c>
    </row>
    <row r="12" spans="1:22" x14ac:dyDescent="0.3">
      <c r="A12" s="46" t="s">
        <v>54</v>
      </c>
      <c r="B12" s="60">
        <v>45937</v>
      </c>
      <c r="C12" s="60">
        <f t="shared" si="0"/>
        <v>45944</v>
      </c>
      <c r="D12" s="61">
        <v>45827</v>
      </c>
      <c r="E12" s="58" t="s">
        <v>127</v>
      </c>
      <c r="H12" s="69" t="s">
        <v>56</v>
      </c>
      <c r="I12" s="70" t="str">
        <f>_xlfn.XLOOKUP($H12,TB_CR.ACOMP[Nº  SS],TB_CR.ACOMP[ID | DESCRIÇÃO DA DEMANDA],"",0,1)</f>
        <v>22-0496-ES - CONSTRUÇÃO DE ÁREA DE ESTOQUE DE MATERIAIS</v>
      </c>
      <c r="J12" s="70" t="str">
        <f>_xlfn.XLOOKUP($H12,TB_CR.ACOMP[Nº  SS],TB_CR.ACOMP[TOMADOR],"",0,1)</f>
        <v>UTGC</v>
      </c>
      <c r="K12" s="81" t="str">
        <f>_xlfn.XLOOKUP($H12,TB_CR.ACOMP[Nº  SS],TB_CR.ACOMP[STATUS DEMANDA],"",0,1)</f>
        <v>EM ANDAMENTO</v>
      </c>
      <c r="L12" s="85">
        <v>45930</v>
      </c>
      <c r="M12" s="85">
        <v>45943</v>
      </c>
      <c r="N12" s="85"/>
      <c r="O12" s="85"/>
      <c r="P12" s="71"/>
      <c r="R12" s="85">
        <v>45930</v>
      </c>
      <c r="S12" s="85">
        <v>45943</v>
      </c>
      <c r="T12" s="85"/>
      <c r="U12" s="85"/>
      <c r="V12" s="71"/>
    </row>
    <row r="13" spans="1:22" x14ac:dyDescent="0.3">
      <c r="A13" s="46" t="s">
        <v>61</v>
      </c>
      <c r="B13" s="60">
        <v>45957</v>
      </c>
      <c r="C13" s="60">
        <f t="shared" si="0"/>
        <v>45964</v>
      </c>
      <c r="D13" s="61">
        <v>45891</v>
      </c>
      <c r="E13" s="58" t="s">
        <v>128</v>
      </c>
      <c r="H13" s="73" t="s">
        <v>57</v>
      </c>
      <c r="I13" s="68" t="str">
        <f>_xlfn.XLOOKUP($H13,TB_CR.ACOMP[Nº  SS],TB_CR.ACOMP[ID | DESCRIÇÃO DA DEMANDA],"",0,1)</f>
        <v>23-0496-ES - ADEQUAÇÃO DOS SANITÁRIOS COLETIVOS - TORRES LESTE E OESTE</v>
      </c>
      <c r="J13" s="68" t="str">
        <f>_xlfn.XLOOKUP($H13,TB_CR.ACOMP[Nº  SS],TB_CR.ACOMP[TOMADOR],"",0,1)</f>
        <v>EDIVIT</v>
      </c>
      <c r="K13" s="80" t="str">
        <f>_xlfn.XLOOKUP($H13,TB_CR.ACOMP[Nº  SS],TB_CR.ACOMP[STATUS DEMANDA],"",0,1)</f>
        <v>ON HOLD</v>
      </c>
      <c r="L13" s="86">
        <v>45939</v>
      </c>
      <c r="M13" s="86">
        <v>45939</v>
      </c>
      <c r="N13" s="86"/>
      <c r="O13" s="86"/>
      <c r="P13" s="74"/>
      <c r="R13" s="86">
        <v>45939</v>
      </c>
      <c r="S13" s="86">
        <v>45939</v>
      </c>
      <c r="T13" s="86"/>
      <c r="U13" s="86"/>
      <c r="V13" s="74"/>
    </row>
    <row r="14" spans="1:22" x14ac:dyDescent="0.3">
      <c r="A14" s="46" t="s">
        <v>443</v>
      </c>
      <c r="B14" s="60">
        <v>45943</v>
      </c>
      <c r="C14" s="60">
        <f t="shared" si="0"/>
        <v>45950</v>
      </c>
      <c r="D14" s="61">
        <v>45907</v>
      </c>
      <c r="E14" s="58" t="s">
        <v>129</v>
      </c>
      <c r="H14" s="69" t="s">
        <v>58</v>
      </c>
      <c r="I14" s="70" t="str">
        <f>_xlfn.XLOOKUP($H14,TB_CR.ACOMP[Nº  SS],TB_CR.ACOMP[ID | DESCRIÇÃO DA DEMANDA],"",0,1)</f>
        <v>23-0052-ES - MANUTENÇÃO DAS TORRES DE RESFRIAMENTO</v>
      </c>
      <c r="J14" s="70" t="str">
        <f>_xlfn.XLOOKUP($H14,TB_CR.ACOMP[Nº  SS],TB_CR.ACOMP[TOMADOR],"",0,1)</f>
        <v>EDIVIT</v>
      </c>
      <c r="K14" s="81" t="str">
        <f>_xlfn.XLOOKUP($H14,TB_CR.ACOMP[Nº  SS],TB_CR.ACOMP[STATUS DEMANDA],"",0,1)</f>
        <v>EM ANDAMENTO</v>
      </c>
      <c r="L14" s="85">
        <v>45943</v>
      </c>
      <c r="M14" s="85">
        <v>45943</v>
      </c>
      <c r="N14" s="85"/>
      <c r="O14" s="85"/>
      <c r="P14" s="71"/>
      <c r="R14" s="85">
        <v>45943</v>
      </c>
      <c r="S14" s="85">
        <v>45943</v>
      </c>
      <c r="T14" s="85"/>
      <c r="U14" s="85"/>
      <c r="V14" s="71"/>
    </row>
    <row r="15" spans="1:22" x14ac:dyDescent="0.3">
      <c r="A15" s="46" t="s">
        <v>63</v>
      </c>
      <c r="B15" s="60">
        <v>45957</v>
      </c>
      <c r="C15" s="60">
        <f t="shared" si="0"/>
        <v>45964</v>
      </c>
      <c r="D15" s="61">
        <v>45936</v>
      </c>
      <c r="E15" s="58" t="s">
        <v>130</v>
      </c>
      <c r="H15" s="16" t="s">
        <v>59</v>
      </c>
      <c r="I15" s="18" t="str">
        <f>_xlfn.XLOOKUP($H15,TB_CR.ACOMP[Nº  SS],TB_CR.ACOMP[ID | DESCRIÇÃO DA DEMANDA],"",0,1)</f>
        <v>23-0052-ES - SUBSTITUIÇÃO DOS ISOLAMENTOS ACÚSTICOS NA CENTRAL DE UTILIDADES</v>
      </c>
      <c r="J15" s="18" t="str">
        <f>_xlfn.XLOOKUP($H15,TB_CR.ACOMP[Nº  SS],TB_CR.ACOMP[TOMADOR],"",0,1)</f>
        <v>EDIVIT</v>
      </c>
      <c r="K15" s="80" t="str">
        <f>_xlfn.XLOOKUP($H15,TB_CR.ACOMP[Nº  SS],TB_CR.ACOMP[STATUS DEMANDA],"",0,1)</f>
        <v>CONCLUÍDA</v>
      </c>
      <c r="L15" s="47">
        <v>45938</v>
      </c>
      <c r="M15" s="47">
        <v>45946</v>
      </c>
      <c r="N15" s="47">
        <v>45946</v>
      </c>
      <c r="O15" s="47">
        <v>45926</v>
      </c>
      <c r="P15" s="72">
        <v>45966</v>
      </c>
      <c r="R15" s="47">
        <v>45938</v>
      </c>
      <c r="S15" s="47">
        <v>45946</v>
      </c>
      <c r="T15" s="47">
        <v>45946</v>
      </c>
      <c r="U15" s="47">
        <v>45926</v>
      </c>
      <c r="V15" s="72">
        <v>45966</v>
      </c>
    </row>
    <row r="16" spans="1:22" x14ac:dyDescent="0.3">
      <c r="A16" s="65" t="s">
        <v>163</v>
      </c>
      <c r="B16" s="60">
        <v>45971</v>
      </c>
      <c r="C16" s="60">
        <f t="shared" si="0"/>
        <v>45978</v>
      </c>
      <c r="D16" s="61">
        <v>45942</v>
      </c>
      <c r="E16" s="58" t="s">
        <v>130</v>
      </c>
      <c r="H16" s="69" t="s">
        <v>60</v>
      </c>
      <c r="I16" s="70" t="str">
        <f>_xlfn.XLOOKUP($H16,TB_CR.ACOMP[Nº  SS],TB_CR.ACOMP[ID | DESCRIÇÃO DA DEMANDA],"",0,1)</f>
        <v>23-0291-ES - ADEQUAÇÃO DA LUMINOSIDADE EXTERNA DO EDIVIT</v>
      </c>
      <c r="J16" s="70" t="str">
        <f>_xlfn.XLOOKUP($H16,TB_CR.ACOMP[Nº  SS],TB_CR.ACOMP[TOMADOR],"",0,1)</f>
        <v>EDIVIT</v>
      </c>
      <c r="K16" s="81" t="str">
        <f>_xlfn.XLOOKUP($H16,TB_CR.ACOMP[Nº  SS],TB_CR.ACOMP[STATUS DEMANDA],"",0,1)</f>
        <v>EM ANDAMENTO</v>
      </c>
      <c r="L16" s="85">
        <v>45947</v>
      </c>
      <c r="M16" s="85">
        <v>45947</v>
      </c>
      <c r="N16" s="85"/>
      <c r="O16" s="85"/>
      <c r="P16" s="71"/>
      <c r="R16" s="85">
        <v>45947</v>
      </c>
      <c r="S16" s="85">
        <v>45947</v>
      </c>
      <c r="T16" s="85"/>
      <c r="U16" s="85"/>
      <c r="V16" s="71"/>
    </row>
    <row r="17" spans="1:22" x14ac:dyDescent="0.3">
      <c r="A17" s="65" t="s">
        <v>165</v>
      </c>
      <c r="B17" s="60">
        <v>45961</v>
      </c>
      <c r="C17" s="60">
        <f t="shared" si="0"/>
        <v>45968</v>
      </c>
      <c r="D17" s="61">
        <v>45963</v>
      </c>
      <c r="E17" s="58" t="s">
        <v>131</v>
      </c>
      <c r="H17" s="16" t="s">
        <v>61</v>
      </c>
      <c r="I17" s="18" t="str">
        <f>_xlfn.XLOOKUP($H17,TB_CR.ACOMP[Nº  SS],TB_CR.ACOMP[ID | DESCRIÇÃO DA DEMANDA],"",0,1)</f>
        <v>24-1110-ES - ADEQUAÇÃO DA SALA DE MONITORAMENTO CISC</v>
      </c>
      <c r="J17" s="18" t="str">
        <f>_xlfn.XLOOKUP($H17,TB_CR.ACOMP[Nº  SS],TB_CR.ACOMP[TOMADOR],"",0,1)</f>
        <v>UTGC</v>
      </c>
      <c r="K17" s="80" t="str">
        <f>_xlfn.XLOOKUP($H17,TB_CR.ACOMP[Nº  SS],TB_CR.ACOMP[STATUS DEMANDA],"",0,1)</f>
        <v>CONCLUÍDA</v>
      </c>
      <c r="L17" s="47" t="s">
        <v>119</v>
      </c>
      <c r="M17" s="47" t="s">
        <v>119</v>
      </c>
      <c r="N17" s="47"/>
      <c r="O17" s="47"/>
      <c r="P17" s="72"/>
      <c r="R17" s="47" t="s">
        <v>119</v>
      </c>
      <c r="S17" s="47" t="s">
        <v>119</v>
      </c>
      <c r="T17" s="47"/>
      <c r="U17" s="47"/>
      <c r="V17" s="72"/>
    </row>
    <row r="18" spans="1:22" x14ac:dyDescent="0.3">
      <c r="A18" s="65" t="s">
        <v>234</v>
      </c>
      <c r="B18" s="60">
        <v>45973</v>
      </c>
      <c r="C18" s="60">
        <f t="shared" si="0"/>
        <v>45980</v>
      </c>
      <c r="D18" s="61">
        <v>45976</v>
      </c>
      <c r="E18" s="58" t="s">
        <v>132</v>
      </c>
      <c r="H18" s="69" t="s">
        <v>62</v>
      </c>
      <c r="I18" s="70" t="str">
        <f>_xlfn.XLOOKUP($H18,TB_CR.ACOMP[Nº  SS],TB_CR.ACOMP[ID | DESCRIÇÃO DA DEMANDA],"",0,1)</f>
        <v>23-0316-ES - SINALIZAÇÃO DAS ESCADAS</v>
      </c>
      <c r="J18" s="70" t="str">
        <f>_xlfn.XLOOKUP($H18,TB_CR.ACOMP[Nº  SS],TB_CR.ACOMP[TOMADOR],"",0,1)</f>
        <v>EDIVIT</v>
      </c>
      <c r="K18" s="81" t="str">
        <f>_xlfn.XLOOKUP($H18,TB_CR.ACOMP[Nº  SS],TB_CR.ACOMP[STATUS DEMANDA],"",0,1)</f>
        <v>CONCLUÍDA</v>
      </c>
      <c r="L18" s="85" t="s">
        <v>119</v>
      </c>
      <c r="M18" s="85" t="s">
        <v>119</v>
      </c>
      <c r="N18" s="85"/>
      <c r="O18" s="85"/>
      <c r="P18" s="71"/>
      <c r="R18" s="85" t="s">
        <v>119</v>
      </c>
      <c r="S18" s="85" t="s">
        <v>119</v>
      </c>
      <c r="T18" s="85"/>
      <c r="U18" s="85"/>
      <c r="V18" s="71"/>
    </row>
    <row r="19" spans="1:22" ht="15" thickBot="1" x14ac:dyDescent="0.35">
      <c r="A19" s="65" t="s">
        <v>240</v>
      </c>
      <c r="B19" s="60">
        <v>45994</v>
      </c>
      <c r="C19" s="60">
        <f t="shared" si="0"/>
        <v>46002</v>
      </c>
      <c r="D19" s="61">
        <v>45981</v>
      </c>
      <c r="E19" s="58" t="s">
        <v>133</v>
      </c>
      <c r="H19" s="75" t="s">
        <v>63</v>
      </c>
      <c r="I19" s="76" t="str">
        <f>_xlfn.XLOOKUP($H19,TB_CR.ACOMP[Nº  SS],TB_CR.ACOMP[ID | DESCRIÇÃO DA DEMANDA],"",0,1)</f>
        <v>25-0147-ES - DISPONIBILIZAÇÃO DE CONTAINER ESCRITÓRIO</v>
      </c>
      <c r="J19" s="76" t="str">
        <f>_xlfn.XLOOKUP($H19,TB_CR.ACOMP[Nº  SS],TB_CR.ACOMP[TOMADOR],"",0,1)</f>
        <v>UTGC</v>
      </c>
      <c r="K19" s="83" t="str">
        <f>_xlfn.XLOOKUP($H19,TB_CR.ACOMP[Nº  SS],TB_CR.ACOMP[STATUS DEMANDA],"",0,1)</f>
        <v>CONCLUÍDA</v>
      </c>
      <c r="L19" s="87" t="s">
        <v>119</v>
      </c>
      <c r="M19" s="87" t="s">
        <v>119</v>
      </c>
      <c r="N19" s="87"/>
      <c r="O19" s="87"/>
      <c r="P19" s="88"/>
      <c r="R19" s="87" t="s">
        <v>119</v>
      </c>
      <c r="S19" s="87" t="s">
        <v>119</v>
      </c>
      <c r="T19" s="87"/>
      <c r="U19" s="87"/>
      <c r="V19" s="88"/>
    </row>
    <row r="20" spans="1:22" x14ac:dyDescent="0.3">
      <c r="A20" s="65" t="s">
        <v>241</v>
      </c>
      <c r="B20" s="60">
        <v>45994</v>
      </c>
      <c r="C20" s="60">
        <f t="shared" si="0"/>
        <v>46002</v>
      </c>
      <c r="D20" s="61">
        <v>45999</v>
      </c>
      <c r="E20" s="58" t="s">
        <v>134</v>
      </c>
    </row>
    <row r="21" spans="1:22" x14ac:dyDescent="0.3">
      <c r="A21" s="65" t="s">
        <v>242</v>
      </c>
      <c r="B21" s="60">
        <v>45999</v>
      </c>
      <c r="C21" s="60">
        <f t="shared" si="0"/>
        <v>46006</v>
      </c>
      <c r="D21" s="61">
        <v>46016</v>
      </c>
      <c r="E21" s="58" t="s">
        <v>135</v>
      </c>
    </row>
    <row r="22" spans="1:22" x14ac:dyDescent="0.3">
      <c r="A22" s="65" t="s">
        <v>243</v>
      </c>
      <c r="B22" s="60">
        <v>46001</v>
      </c>
      <c r="C22" s="60">
        <f t="shared" si="0"/>
        <v>46008</v>
      </c>
      <c r="D22" s="61">
        <v>46023</v>
      </c>
      <c r="E22" s="58" t="s">
        <v>120</v>
      </c>
    </row>
    <row r="23" spans="1:22" x14ac:dyDescent="0.3">
      <c r="A23" s="65" t="s">
        <v>417</v>
      </c>
      <c r="B23" s="60">
        <v>46029</v>
      </c>
      <c r="C23" s="60">
        <f t="shared" si="0"/>
        <v>46036</v>
      </c>
      <c r="D23" s="61">
        <v>46069</v>
      </c>
      <c r="E23" s="58" t="s">
        <v>121</v>
      </c>
    </row>
    <row r="24" spans="1:22" x14ac:dyDescent="0.3">
      <c r="A24" s="65" t="s">
        <v>445</v>
      </c>
      <c r="B24" s="60">
        <v>46029</v>
      </c>
      <c r="C24" s="60">
        <f t="shared" si="0"/>
        <v>46036</v>
      </c>
      <c r="D24" s="61">
        <v>46070</v>
      </c>
      <c r="E24" s="58" t="s">
        <v>121</v>
      </c>
    </row>
    <row r="25" spans="1:22" x14ac:dyDescent="0.3">
      <c r="A25" s="65" t="s">
        <v>530</v>
      </c>
      <c r="B25" s="60">
        <v>46050</v>
      </c>
      <c r="C25" s="60">
        <f t="shared" si="0"/>
        <v>46057</v>
      </c>
      <c r="D25" s="61">
        <v>46071</v>
      </c>
      <c r="E25" s="58" t="s">
        <v>122</v>
      </c>
    </row>
    <row r="26" spans="1:22" x14ac:dyDescent="0.3">
      <c r="A26" s="65" t="s">
        <v>531</v>
      </c>
      <c r="B26" s="60">
        <v>46064</v>
      </c>
      <c r="C26" s="60">
        <f t="shared" si="0"/>
        <v>46076</v>
      </c>
      <c r="D26" s="61">
        <v>46115</v>
      </c>
      <c r="E26" s="58" t="s">
        <v>123</v>
      </c>
    </row>
    <row r="27" spans="1:22" x14ac:dyDescent="0.3">
      <c r="A27" s="65" t="s">
        <v>532</v>
      </c>
      <c r="B27" s="60">
        <v>46059</v>
      </c>
      <c r="C27" s="60">
        <f t="shared" si="0"/>
        <v>46066</v>
      </c>
      <c r="D27" s="61">
        <v>46133</v>
      </c>
      <c r="E27" s="58" t="s">
        <v>124</v>
      </c>
    </row>
    <row r="28" spans="1:22" x14ac:dyDescent="0.3">
      <c r="A28" s="65" t="s">
        <v>621</v>
      </c>
      <c r="B28" s="60">
        <v>46078</v>
      </c>
      <c r="C28" s="60">
        <f t="shared" si="0"/>
        <v>46085</v>
      </c>
      <c r="D28" s="61">
        <v>46140</v>
      </c>
      <c r="E28" s="58" t="s">
        <v>125</v>
      </c>
    </row>
    <row r="29" spans="1:22" x14ac:dyDescent="0.3">
      <c r="A29" s="65" t="s">
        <v>624</v>
      </c>
      <c r="B29" s="60">
        <v>46080</v>
      </c>
      <c r="C29" s="60">
        <f t="shared" si="0"/>
        <v>46087</v>
      </c>
      <c r="D29" s="61">
        <v>46143</v>
      </c>
      <c r="E29" s="58" t="s">
        <v>126</v>
      </c>
    </row>
    <row r="30" spans="1:22" x14ac:dyDescent="0.3">
      <c r="A30" s="65" t="s">
        <v>3281</v>
      </c>
      <c r="B30" s="60">
        <v>46097</v>
      </c>
      <c r="C30" s="60">
        <f t="shared" si="0"/>
        <v>46104</v>
      </c>
      <c r="D30" s="61">
        <v>46177</v>
      </c>
      <c r="E30" s="58" t="s">
        <v>127</v>
      </c>
    </row>
    <row r="31" spans="1:22" x14ac:dyDescent="0.3">
      <c r="A31" s="65"/>
      <c r="B31" s="60"/>
      <c r="C31" s="60" t="str">
        <f t="shared" si="0"/>
        <v/>
      </c>
      <c r="D31" s="61">
        <v>46256</v>
      </c>
      <c r="E31" s="58" t="s">
        <v>128</v>
      </c>
      <c r="P31"/>
      <c r="Q31"/>
      <c r="V31"/>
    </row>
    <row r="32" spans="1:22" x14ac:dyDescent="0.3">
      <c r="A32" s="65"/>
      <c r="B32" s="60"/>
      <c r="C32" s="60" t="str">
        <f t="shared" si="0"/>
        <v/>
      </c>
      <c r="D32" s="61">
        <v>46272</v>
      </c>
      <c r="E32" s="58" t="s">
        <v>129</v>
      </c>
      <c r="P32"/>
      <c r="Q32"/>
      <c r="V32"/>
    </row>
    <row r="33" spans="1:22" x14ac:dyDescent="0.3">
      <c r="A33" s="65"/>
      <c r="B33" s="60"/>
      <c r="C33" s="60" t="str">
        <f t="shared" si="0"/>
        <v/>
      </c>
      <c r="D33" s="61">
        <v>46307</v>
      </c>
      <c r="E33" s="58" t="s">
        <v>130</v>
      </c>
      <c r="P33"/>
      <c r="Q33"/>
      <c r="V33"/>
    </row>
    <row r="34" spans="1:22" x14ac:dyDescent="0.3">
      <c r="A34" s="65"/>
      <c r="B34" s="60"/>
      <c r="C34" s="60" t="str">
        <f t="shared" ref="C34:C37" si="1">IF(B34="","",WORKDAY(B34,$A$1,$D$4:$D$38))</f>
        <v/>
      </c>
      <c r="D34" s="61">
        <v>46328</v>
      </c>
      <c r="E34" s="58" t="s">
        <v>131</v>
      </c>
      <c r="P34"/>
      <c r="Q34"/>
      <c r="V34"/>
    </row>
    <row r="35" spans="1:22" x14ac:dyDescent="0.3">
      <c r="A35" s="65"/>
      <c r="B35" s="60"/>
      <c r="C35" s="60" t="str">
        <f t="shared" si="1"/>
        <v/>
      </c>
      <c r="D35" s="61">
        <v>46341</v>
      </c>
      <c r="E35" s="58" t="s">
        <v>132</v>
      </c>
      <c r="P35"/>
      <c r="Q35"/>
      <c r="V35"/>
    </row>
    <row r="36" spans="1:22" x14ac:dyDescent="0.3">
      <c r="A36" s="65"/>
      <c r="B36" s="60"/>
      <c r="C36" s="60" t="str">
        <f t="shared" si="1"/>
        <v/>
      </c>
      <c r="D36" s="61">
        <v>46346</v>
      </c>
      <c r="E36" s="58" t="s">
        <v>133</v>
      </c>
      <c r="P36"/>
      <c r="Q36"/>
      <c r="V36"/>
    </row>
    <row r="37" spans="1:22" x14ac:dyDescent="0.3">
      <c r="A37" s="65"/>
      <c r="B37" s="60"/>
      <c r="C37" s="60" t="str">
        <f t="shared" si="1"/>
        <v/>
      </c>
      <c r="D37" s="61">
        <v>46364</v>
      </c>
      <c r="E37" s="58" t="s">
        <v>134</v>
      </c>
      <c r="P37"/>
      <c r="Q37"/>
      <c r="V37"/>
    </row>
    <row r="38" spans="1:22" ht="15" thickBot="1" x14ac:dyDescent="0.35">
      <c r="A38" s="66"/>
      <c r="B38" s="62"/>
      <c r="C38" s="62" t="str">
        <f t="shared" si="0"/>
        <v/>
      </c>
      <c r="D38" s="63">
        <v>46381</v>
      </c>
      <c r="E38" s="64" t="s">
        <v>135</v>
      </c>
      <c r="P38"/>
      <c r="Q38"/>
      <c r="V38"/>
    </row>
    <row r="39" spans="1:22" ht="15" thickBot="1" x14ac:dyDescent="0.35">
      <c r="P39"/>
      <c r="Q39"/>
      <c r="V39"/>
    </row>
    <row r="40" spans="1:22" ht="30" customHeight="1" x14ac:dyDescent="0.3">
      <c r="A40" s="54">
        <v>5</v>
      </c>
      <c r="B40" s="516" t="s">
        <v>136</v>
      </c>
      <c r="C40" s="517"/>
      <c r="D40" s="518" t="s">
        <v>137</v>
      </c>
      <c r="E40" s="519"/>
    </row>
    <row r="41" spans="1:22" x14ac:dyDescent="0.3">
      <c r="A41" s="55" t="s">
        <v>116</v>
      </c>
      <c r="B41" s="56" t="s">
        <v>117</v>
      </c>
      <c r="C41" s="56" t="s">
        <v>118</v>
      </c>
      <c r="D41" s="520"/>
      <c r="E41" s="521"/>
    </row>
    <row r="42" spans="1:22" ht="4.5" customHeight="1" x14ac:dyDescent="0.3">
      <c r="A42" s="65"/>
      <c r="B42" s="59"/>
      <c r="C42" s="59"/>
      <c r="D42" s="57"/>
      <c r="E42" s="58"/>
    </row>
    <row r="43" spans="1:22" x14ac:dyDescent="0.3">
      <c r="A43" s="65" t="s">
        <v>436</v>
      </c>
      <c r="B43" s="60">
        <v>45905</v>
      </c>
      <c r="C43" s="60" t="s">
        <v>119</v>
      </c>
      <c r="D43" s="61">
        <v>45658</v>
      </c>
      <c r="E43" s="58" t="s">
        <v>120</v>
      </c>
      <c r="P43"/>
      <c r="Q43"/>
      <c r="V43"/>
    </row>
    <row r="44" spans="1:22" x14ac:dyDescent="0.3">
      <c r="A44" s="65" t="s">
        <v>138</v>
      </c>
      <c r="B44" s="60">
        <v>45905</v>
      </c>
      <c r="C44" s="60" t="s">
        <v>119</v>
      </c>
      <c r="D44" s="61">
        <v>45719</v>
      </c>
      <c r="E44" s="58" t="s">
        <v>121</v>
      </c>
      <c r="P44"/>
      <c r="Q44"/>
      <c r="V44"/>
    </row>
    <row r="45" spans="1:22" x14ac:dyDescent="0.3">
      <c r="A45" s="65" t="s">
        <v>57</v>
      </c>
      <c r="B45" s="60">
        <v>45925</v>
      </c>
      <c r="C45" s="60">
        <f t="shared" ref="C45:C76" si="2">IF(B45="","",WORKDAY(B45,$A$40,$D$43:$D$76))</f>
        <v>45932</v>
      </c>
      <c r="D45" s="61">
        <v>45720</v>
      </c>
      <c r="E45" s="58" t="s">
        <v>121</v>
      </c>
      <c r="P45"/>
      <c r="Q45"/>
      <c r="V45"/>
    </row>
    <row r="46" spans="1:22" x14ac:dyDescent="0.3">
      <c r="A46" s="65" t="s">
        <v>58</v>
      </c>
      <c r="B46" s="60">
        <v>45925</v>
      </c>
      <c r="C46" s="60">
        <f t="shared" si="2"/>
        <v>45932</v>
      </c>
      <c r="D46" s="61">
        <v>45721</v>
      </c>
      <c r="E46" s="58" t="s">
        <v>122</v>
      </c>
      <c r="P46"/>
      <c r="Q46"/>
      <c r="V46"/>
    </row>
    <row r="47" spans="1:22" x14ac:dyDescent="0.3">
      <c r="A47" s="65" t="s">
        <v>59</v>
      </c>
      <c r="B47" s="60">
        <v>45926</v>
      </c>
      <c r="C47" s="60">
        <f t="shared" si="2"/>
        <v>45933</v>
      </c>
      <c r="D47" s="61">
        <v>45765</v>
      </c>
      <c r="E47" s="58" t="s">
        <v>123</v>
      </c>
      <c r="P47"/>
      <c r="Q47"/>
      <c r="V47"/>
    </row>
    <row r="48" spans="1:22" x14ac:dyDescent="0.3">
      <c r="A48" s="46" t="s">
        <v>60</v>
      </c>
      <c r="B48" s="60">
        <v>45954</v>
      </c>
      <c r="C48" s="60">
        <f t="shared" si="2"/>
        <v>45961</v>
      </c>
      <c r="D48" s="61">
        <v>45768</v>
      </c>
      <c r="E48" s="58" t="s">
        <v>124</v>
      </c>
      <c r="P48"/>
      <c r="Q48"/>
      <c r="V48"/>
    </row>
    <row r="49" spans="1:22" x14ac:dyDescent="0.3">
      <c r="A49" s="90" t="s">
        <v>62</v>
      </c>
      <c r="B49" s="60">
        <v>45950</v>
      </c>
      <c r="C49" s="60">
        <f t="shared" si="2"/>
        <v>45957</v>
      </c>
      <c r="D49" s="61">
        <v>45775</v>
      </c>
      <c r="E49" s="58" t="s">
        <v>125</v>
      </c>
      <c r="P49"/>
      <c r="Q49"/>
      <c r="V49"/>
    </row>
    <row r="50" spans="1:22" x14ac:dyDescent="0.3">
      <c r="A50" s="65" t="s">
        <v>164</v>
      </c>
      <c r="B50" s="60">
        <v>45967</v>
      </c>
      <c r="C50" s="60">
        <f t="shared" si="2"/>
        <v>45974</v>
      </c>
      <c r="D50" s="61">
        <v>45778</v>
      </c>
      <c r="E50" s="58" t="s">
        <v>126</v>
      </c>
      <c r="P50"/>
      <c r="Q50"/>
      <c r="V50"/>
    </row>
    <row r="51" spans="1:22" x14ac:dyDescent="0.3">
      <c r="A51" s="65" t="s">
        <v>166</v>
      </c>
      <c r="B51" s="60">
        <v>45964</v>
      </c>
      <c r="C51" s="60">
        <f t="shared" si="2"/>
        <v>45971</v>
      </c>
      <c r="D51" s="61">
        <v>45827</v>
      </c>
      <c r="E51" s="58" t="s">
        <v>127</v>
      </c>
    </row>
    <row r="52" spans="1:22" x14ac:dyDescent="0.3">
      <c r="A52" s="65" t="s">
        <v>244</v>
      </c>
      <c r="B52" s="60">
        <v>46021</v>
      </c>
      <c r="C52" s="60">
        <f t="shared" si="2"/>
        <v>46029</v>
      </c>
      <c r="D52" s="61">
        <v>45907</v>
      </c>
      <c r="E52" s="58" t="s">
        <v>129</v>
      </c>
    </row>
    <row r="53" spans="1:22" x14ac:dyDescent="0.3">
      <c r="A53" s="65" t="s">
        <v>416</v>
      </c>
      <c r="B53" s="60">
        <v>46024</v>
      </c>
      <c r="C53" s="60">
        <f t="shared" si="2"/>
        <v>46031</v>
      </c>
      <c r="D53" s="61">
        <v>45908</v>
      </c>
      <c r="E53" s="58" t="s">
        <v>139</v>
      </c>
    </row>
    <row r="54" spans="1:22" x14ac:dyDescent="0.3">
      <c r="A54" s="65" t="s">
        <v>642</v>
      </c>
      <c r="B54" s="60">
        <v>46085</v>
      </c>
      <c r="C54" s="60">
        <f t="shared" si="2"/>
        <v>46092</v>
      </c>
      <c r="D54" s="61">
        <v>45936</v>
      </c>
      <c r="E54" s="58" t="s">
        <v>140</v>
      </c>
    </row>
    <row r="55" spans="1:22" x14ac:dyDescent="0.3">
      <c r="A55" s="65"/>
      <c r="B55" s="60"/>
      <c r="C55" s="60" t="str">
        <f t="shared" si="2"/>
        <v/>
      </c>
      <c r="D55" s="61">
        <v>45942</v>
      </c>
      <c r="E55" s="58" t="s">
        <v>130</v>
      </c>
    </row>
    <row r="56" spans="1:22" x14ac:dyDescent="0.3">
      <c r="A56" s="65"/>
      <c r="B56" s="60"/>
      <c r="C56" s="60" t="str">
        <f t="shared" si="2"/>
        <v/>
      </c>
      <c r="D56" s="61">
        <v>45963</v>
      </c>
      <c r="E56" s="58" t="s">
        <v>131</v>
      </c>
    </row>
    <row r="57" spans="1:22" x14ac:dyDescent="0.3">
      <c r="A57" s="65"/>
      <c r="B57" s="60"/>
      <c r="C57" s="60" t="str">
        <f t="shared" si="2"/>
        <v/>
      </c>
      <c r="D57" s="61">
        <v>45976</v>
      </c>
      <c r="E57" s="58" t="s">
        <v>132</v>
      </c>
    </row>
    <row r="58" spans="1:22" x14ac:dyDescent="0.3">
      <c r="A58" s="65"/>
      <c r="B58" s="60"/>
      <c r="C58" s="60" t="str">
        <f t="shared" si="2"/>
        <v/>
      </c>
      <c r="D58" s="61">
        <v>45981</v>
      </c>
      <c r="E58" s="58" t="s">
        <v>133</v>
      </c>
    </row>
    <row r="59" spans="1:22" x14ac:dyDescent="0.3">
      <c r="A59" s="65"/>
      <c r="B59" s="60"/>
      <c r="C59" s="60" t="str">
        <f t="shared" si="2"/>
        <v/>
      </c>
      <c r="D59" s="61">
        <v>46016</v>
      </c>
      <c r="E59" s="58" t="s">
        <v>135</v>
      </c>
    </row>
    <row r="60" spans="1:22" x14ac:dyDescent="0.3">
      <c r="A60" s="65"/>
      <c r="B60" s="60"/>
      <c r="C60" s="60" t="str">
        <f t="shared" si="2"/>
        <v/>
      </c>
      <c r="D60" s="61">
        <v>46023</v>
      </c>
      <c r="E60" s="58" t="s">
        <v>120</v>
      </c>
    </row>
    <row r="61" spans="1:22" x14ac:dyDescent="0.3">
      <c r="A61" s="65"/>
      <c r="B61" s="60"/>
      <c r="C61" s="60" t="str">
        <f t="shared" si="2"/>
        <v/>
      </c>
      <c r="D61" s="61">
        <v>46069</v>
      </c>
      <c r="E61" s="58" t="s">
        <v>121</v>
      </c>
    </row>
    <row r="62" spans="1:22" x14ac:dyDescent="0.3">
      <c r="A62" s="65"/>
      <c r="B62" s="60"/>
      <c r="C62" s="60" t="str">
        <f t="shared" si="2"/>
        <v/>
      </c>
      <c r="D62" s="61">
        <v>46070</v>
      </c>
      <c r="E62" s="58" t="s">
        <v>121</v>
      </c>
    </row>
    <row r="63" spans="1:22" x14ac:dyDescent="0.3">
      <c r="A63" s="65"/>
      <c r="B63" s="60"/>
      <c r="C63" s="60" t="str">
        <f t="shared" si="2"/>
        <v/>
      </c>
      <c r="D63" s="61">
        <v>46071</v>
      </c>
      <c r="E63" s="58" t="s">
        <v>122</v>
      </c>
    </row>
    <row r="64" spans="1:22" x14ac:dyDescent="0.3">
      <c r="A64" s="65"/>
      <c r="B64" s="60"/>
      <c r="C64" s="60" t="str">
        <f t="shared" si="2"/>
        <v/>
      </c>
      <c r="D64" s="61">
        <v>46115</v>
      </c>
      <c r="E64" s="58" t="s">
        <v>123</v>
      </c>
    </row>
    <row r="65" spans="1:5" x14ac:dyDescent="0.3">
      <c r="A65" s="65"/>
      <c r="B65" s="60"/>
      <c r="C65" s="60" t="str">
        <f t="shared" si="2"/>
        <v/>
      </c>
      <c r="D65" s="61">
        <v>46133</v>
      </c>
      <c r="E65" s="58" t="s">
        <v>124</v>
      </c>
    </row>
    <row r="66" spans="1:5" x14ac:dyDescent="0.3">
      <c r="A66" s="65"/>
      <c r="B66" s="60"/>
      <c r="C66" s="60" t="str">
        <f t="shared" si="2"/>
        <v/>
      </c>
      <c r="D66" s="61">
        <v>46140</v>
      </c>
      <c r="E66" s="58" t="s">
        <v>125</v>
      </c>
    </row>
    <row r="67" spans="1:5" x14ac:dyDescent="0.3">
      <c r="A67" s="65"/>
      <c r="B67" s="60"/>
      <c r="C67" s="60" t="str">
        <f t="shared" si="2"/>
        <v/>
      </c>
      <c r="D67" s="61">
        <v>46143</v>
      </c>
      <c r="E67" s="58" t="s">
        <v>126</v>
      </c>
    </row>
    <row r="68" spans="1:5" x14ac:dyDescent="0.3">
      <c r="A68" s="65"/>
      <c r="B68" s="60"/>
      <c r="C68" s="60" t="str">
        <f t="shared" si="2"/>
        <v/>
      </c>
      <c r="D68" s="61">
        <v>46177</v>
      </c>
      <c r="E68" s="58" t="s">
        <v>127</v>
      </c>
    </row>
    <row r="69" spans="1:5" x14ac:dyDescent="0.3">
      <c r="A69" s="65"/>
      <c r="B69" s="60"/>
      <c r="C69" s="60" t="str">
        <f t="shared" si="2"/>
        <v/>
      </c>
      <c r="D69" s="61">
        <v>46272</v>
      </c>
      <c r="E69" s="58" t="s">
        <v>129</v>
      </c>
    </row>
    <row r="70" spans="1:5" x14ac:dyDescent="0.3">
      <c r="A70" s="65"/>
      <c r="B70" s="60"/>
      <c r="C70" s="60" t="str">
        <f t="shared" si="2"/>
        <v/>
      </c>
      <c r="D70" s="61">
        <v>46273</v>
      </c>
      <c r="E70" s="58" t="s">
        <v>139</v>
      </c>
    </row>
    <row r="71" spans="1:5" x14ac:dyDescent="0.3">
      <c r="A71" s="65"/>
      <c r="B71" s="60"/>
      <c r="C71" s="60" t="str">
        <f t="shared" si="2"/>
        <v/>
      </c>
      <c r="D71" s="61">
        <v>46307</v>
      </c>
      <c r="E71" s="58" t="s">
        <v>130</v>
      </c>
    </row>
    <row r="72" spans="1:5" x14ac:dyDescent="0.3">
      <c r="A72" s="65"/>
      <c r="B72" s="60"/>
      <c r="C72" s="60" t="str">
        <f t="shared" si="2"/>
        <v/>
      </c>
      <c r="D72" s="61">
        <v>46328</v>
      </c>
      <c r="E72" s="58" t="s">
        <v>131</v>
      </c>
    </row>
    <row r="73" spans="1:5" x14ac:dyDescent="0.3">
      <c r="A73" s="65"/>
      <c r="B73" s="60"/>
      <c r="C73" s="60" t="str">
        <f t="shared" si="2"/>
        <v/>
      </c>
      <c r="D73" s="61">
        <v>46341</v>
      </c>
      <c r="E73" s="58" t="s">
        <v>132</v>
      </c>
    </row>
    <row r="74" spans="1:5" x14ac:dyDescent="0.3">
      <c r="A74" s="65"/>
      <c r="B74" s="60"/>
      <c r="C74" s="60" t="str">
        <f t="shared" si="2"/>
        <v/>
      </c>
      <c r="D74" s="61">
        <v>46346</v>
      </c>
      <c r="E74" s="58" t="s">
        <v>133</v>
      </c>
    </row>
    <row r="75" spans="1:5" x14ac:dyDescent="0.3">
      <c r="A75" s="65"/>
      <c r="B75" s="60"/>
      <c r="C75" s="60" t="str">
        <f t="shared" si="2"/>
        <v/>
      </c>
      <c r="D75" s="61">
        <v>46381</v>
      </c>
      <c r="E75" s="58" t="s">
        <v>135</v>
      </c>
    </row>
    <row r="76" spans="1:5" ht="15" thickBot="1" x14ac:dyDescent="0.35">
      <c r="A76" s="66"/>
      <c r="B76" s="62"/>
      <c r="C76" s="62" t="str">
        <f t="shared" si="2"/>
        <v/>
      </c>
      <c r="D76" s="63"/>
      <c r="E76" s="64"/>
    </row>
    <row r="77" spans="1:5" ht="15" thickBot="1" x14ac:dyDescent="0.35"/>
    <row r="78" spans="1:5" ht="30" customHeight="1" x14ac:dyDescent="0.3">
      <c r="A78" s="54">
        <v>5</v>
      </c>
      <c r="B78" s="516" t="s">
        <v>141</v>
      </c>
      <c r="C78" s="517"/>
      <c r="D78" s="518" t="s">
        <v>142</v>
      </c>
      <c r="E78" s="519"/>
    </row>
    <row r="79" spans="1:5" x14ac:dyDescent="0.3">
      <c r="A79" s="55" t="s">
        <v>116</v>
      </c>
      <c r="B79" s="56" t="s">
        <v>117</v>
      </c>
      <c r="C79" s="56" t="s">
        <v>118</v>
      </c>
      <c r="D79" s="520"/>
      <c r="E79" s="521"/>
    </row>
    <row r="80" spans="1:5" ht="4.5" customHeight="1" x14ac:dyDescent="0.3">
      <c r="A80" s="65"/>
      <c r="B80" s="59"/>
      <c r="C80" s="59"/>
      <c r="D80" s="57"/>
      <c r="E80" s="58"/>
    </row>
    <row r="81" spans="1:5" x14ac:dyDescent="0.3">
      <c r="A81" s="65" t="s">
        <v>438</v>
      </c>
      <c r="B81" s="60">
        <v>45905</v>
      </c>
      <c r="C81" s="60"/>
      <c r="D81" s="61"/>
      <c r="E81" s="58"/>
    </row>
    <row r="82" spans="1:5" x14ac:dyDescent="0.3">
      <c r="A82" s="65"/>
      <c r="B82" s="60"/>
      <c r="C82" s="60" t="str">
        <f t="shared" ref="C82:C114" si="3">IF(B82="","",WORKDAY(B82,$A$78,$D$81:$D$114))</f>
        <v/>
      </c>
      <c r="D82" s="61"/>
      <c r="E82" s="58"/>
    </row>
    <row r="83" spans="1:5" x14ac:dyDescent="0.3">
      <c r="A83" s="65"/>
      <c r="B83" s="60"/>
      <c r="C83" s="60" t="str">
        <f t="shared" si="3"/>
        <v/>
      </c>
      <c r="D83" s="61"/>
      <c r="E83" s="58"/>
    </row>
    <row r="84" spans="1:5" x14ac:dyDescent="0.3">
      <c r="A84" s="65"/>
      <c r="B84" s="60"/>
      <c r="C84" s="60" t="str">
        <f t="shared" si="3"/>
        <v/>
      </c>
      <c r="D84" s="61"/>
      <c r="E84" s="58"/>
    </row>
    <row r="85" spans="1:5" x14ac:dyDescent="0.3">
      <c r="A85" s="65"/>
      <c r="B85" s="60"/>
      <c r="C85" s="60" t="str">
        <f t="shared" si="3"/>
        <v/>
      </c>
      <c r="D85" s="61"/>
      <c r="E85" s="58"/>
    </row>
    <row r="86" spans="1:5" x14ac:dyDescent="0.3">
      <c r="A86" s="65"/>
      <c r="B86" s="60"/>
      <c r="C86" s="60" t="str">
        <f t="shared" si="3"/>
        <v/>
      </c>
      <c r="D86" s="61"/>
      <c r="E86" s="58"/>
    </row>
    <row r="87" spans="1:5" x14ac:dyDescent="0.3">
      <c r="A87" s="65"/>
      <c r="B87" s="60"/>
      <c r="C87" s="60" t="str">
        <f t="shared" si="3"/>
        <v/>
      </c>
      <c r="D87" s="61"/>
      <c r="E87" s="58"/>
    </row>
    <row r="88" spans="1:5" x14ac:dyDescent="0.3">
      <c r="A88" s="65"/>
      <c r="B88" s="60"/>
      <c r="C88" s="60" t="str">
        <f t="shared" si="3"/>
        <v/>
      </c>
      <c r="D88" s="61"/>
      <c r="E88" s="58"/>
    </row>
    <row r="89" spans="1:5" x14ac:dyDescent="0.3">
      <c r="A89" s="65"/>
      <c r="B89" s="60"/>
      <c r="C89" s="60" t="str">
        <f t="shared" si="3"/>
        <v/>
      </c>
      <c r="D89" s="61"/>
      <c r="E89" s="58"/>
    </row>
    <row r="90" spans="1:5" x14ac:dyDescent="0.3">
      <c r="A90" s="65"/>
      <c r="B90" s="60"/>
      <c r="C90" s="60" t="str">
        <f t="shared" si="3"/>
        <v/>
      </c>
      <c r="D90" s="61"/>
      <c r="E90" s="58"/>
    </row>
    <row r="91" spans="1:5" x14ac:dyDescent="0.3">
      <c r="A91" s="65"/>
      <c r="B91" s="60"/>
      <c r="C91" s="60" t="str">
        <f t="shared" si="3"/>
        <v/>
      </c>
      <c r="D91" s="61"/>
      <c r="E91" s="58"/>
    </row>
    <row r="92" spans="1:5" x14ac:dyDescent="0.3">
      <c r="A92" s="65"/>
      <c r="B92" s="60"/>
      <c r="C92" s="60" t="str">
        <f t="shared" si="3"/>
        <v/>
      </c>
      <c r="D92" s="61"/>
      <c r="E92" s="58"/>
    </row>
    <row r="93" spans="1:5" x14ac:dyDescent="0.3">
      <c r="A93" s="65"/>
      <c r="B93" s="60"/>
      <c r="C93" s="60" t="str">
        <f t="shared" si="3"/>
        <v/>
      </c>
      <c r="D93" s="61"/>
      <c r="E93" s="58"/>
    </row>
    <row r="94" spans="1:5" x14ac:dyDescent="0.3">
      <c r="A94" s="65"/>
      <c r="B94" s="60"/>
      <c r="C94" s="60" t="str">
        <f t="shared" si="3"/>
        <v/>
      </c>
      <c r="D94" s="61"/>
      <c r="E94" s="58"/>
    </row>
    <row r="95" spans="1:5" x14ac:dyDescent="0.3">
      <c r="A95" s="65"/>
      <c r="B95" s="60"/>
      <c r="C95" s="60" t="str">
        <f t="shared" si="3"/>
        <v/>
      </c>
      <c r="D95" s="61"/>
      <c r="E95" s="58"/>
    </row>
    <row r="96" spans="1:5" x14ac:dyDescent="0.3">
      <c r="A96" s="65"/>
      <c r="B96" s="60"/>
      <c r="C96" s="60" t="str">
        <f t="shared" si="3"/>
        <v/>
      </c>
      <c r="D96" s="61"/>
      <c r="E96" s="58"/>
    </row>
    <row r="97" spans="1:5" x14ac:dyDescent="0.3">
      <c r="A97" s="65"/>
      <c r="B97" s="60"/>
      <c r="C97" s="60" t="str">
        <f t="shared" si="3"/>
        <v/>
      </c>
      <c r="D97" s="61"/>
      <c r="E97" s="58"/>
    </row>
    <row r="98" spans="1:5" x14ac:dyDescent="0.3">
      <c r="A98" s="65"/>
      <c r="B98" s="60"/>
      <c r="C98" s="60" t="str">
        <f t="shared" si="3"/>
        <v/>
      </c>
      <c r="D98" s="61"/>
      <c r="E98" s="58"/>
    </row>
    <row r="99" spans="1:5" x14ac:dyDescent="0.3">
      <c r="A99" s="65"/>
      <c r="B99" s="60"/>
      <c r="C99" s="60" t="str">
        <f t="shared" si="3"/>
        <v/>
      </c>
      <c r="D99" s="61"/>
      <c r="E99" s="58"/>
    </row>
    <row r="100" spans="1:5" x14ac:dyDescent="0.3">
      <c r="A100" s="65"/>
      <c r="B100" s="60"/>
      <c r="C100" s="60" t="str">
        <f t="shared" si="3"/>
        <v/>
      </c>
      <c r="D100" s="61"/>
      <c r="E100" s="58"/>
    </row>
    <row r="101" spans="1:5" x14ac:dyDescent="0.3">
      <c r="A101" s="65"/>
      <c r="B101" s="60"/>
      <c r="C101" s="60" t="str">
        <f t="shared" si="3"/>
        <v/>
      </c>
      <c r="D101" s="61"/>
      <c r="E101" s="58"/>
    </row>
    <row r="102" spans="1:5" x14ac:dyDescent="0.3">
      <c r="A102" s="65"/>
      <c r="B102" s="60"/>
      <c r="C102" s="60" t="str">
        <f t="shared" si="3"/>
        <v/>
      </c>
      <c r="D102" s="61"/>
      <c r="E102" s="58"/>
    </row>
    <row r="103" spans="1:5" x14ac:dyDescent="0.3">
      <c r="A103" s="65"/>
      <c r="B103" s="60"/>
      <c r="C103" s="60" t="str">
        <f t="shared" si="3"/>
        <v/>
      </c>
      <c r="D103" s="61"/>
      <c r="E103" s="58"/>
    </row>
    <row r="104" spans="1:5" x14ac:dyDescent="0.3">
      <c r="A104" s="65"/>
      <c r="B104" s="60"/>
      <c r="C104" s="60" t="str">
        <f t="shared" si="3"/>
        <v/>
      </c>
      <c r="D104" s="61"/>
      <c r="E104" s="58"/>
    </row>
    <row r="105" spans="1:5" x14ac:dyDescent="0.3">
      <c r="A105" s="65"/>
      <c r="B105" s="60"/>
      <c r="C105" s="60" t="str">
        <f t="shared" si="3"/>
        <v/>
      </c>
      <c r="D105" s="61"/>
      <c r="E105" s="58"/>
    </row>
    <row r="106" spans="1:5" x14ac:dyDescent="0.3">
      <c r="A106" s="65"/>
      <c r="B106" s="60"/>
      <c r="C106" s="60" t="str">
        <f t="shared" si="3"/>
        <v/>
      </c>
      <c r="D106" s="61"/>
      <c r="E106" s="58"/>
    </row>
    <row r="107" spans="1:5" x14ac:dyDescent="0.3">
      <c r="A107" s="65"/>
      <c r="B107" s="60"/>
      <c r="C107" s="60" t="str">
        <f t="shared" si="3"/>
        <v/>
      </c>
      <c r="D107" s="61"/>
      <c r="E107" s="58"/>
    </row>
    <row r="108" spans="1:5" x14ac:dyDescent="0.3">
      <c r="A108" s="65"/>
      <c r="B108" s="60"/>
      <c r="C108" s="60" t="str">
        <f t="shared" si="3"/>
        <v/>
      </c>
      <c r="D108" s="61"/>
      <c r="E108" s="58"/>
    </row>
    <row r="109" spans="1:5" x14ac:dyDescent="0.3">
      <c r="A109" s="65"/>
      <c r="B109" s="60"/>
      <c r="C109" s="60" t="str">
        <f t="shared" si="3"/>
        <v/>
      </c>
      <c r="D109" s="61"/>
      <c r="E109" s="58"/>
    </row>
    <row r="110" spans="1:5" x14ac:dyDescent="0.3">
      <c r="A110" s="65"/>
      <c r="B110" s="60"/>
      <c r="C110" s="60" t="str">
        <f t="shared" si="3"/>
        <v/>
      </c>
      <c r="D110" s="61"/>
      <c r="E110" s="58"/>
    </row>
    <row r="111" spans="1:5" x14ac:dyDescent="0.3">
      <c r="A111" s="65"/>
      <c r="B111" s="60"/>
      <c r="C111" s="60" t="str">
        <f t="shared" si="3"/>
        <v/>
      </c>
      <c r="D111" s="61"/>
      <c r="E111" s="58"/>
    </row>
    <row r="112" spans="1:5" x14ac:dyDescent="0.3">
      <c r="A112" s="65"/>
      <c r="B112" s="60"/>
      <c r="C112" s="60" t="str">
        <f t="shared" si="3"/>
        <v/>
      </c>
      <c r="D112" s="61"/>
      <c r="E112" s="58"/>
    </row>
    <row r="113" spans="1:5" x14ac:dyDescent="0.3">
      <c r="A113" s="65"/>
      <c r="B113" s="60"/>
      <c r="C113" s="60" t="str">
        <f t="shared" si="3"/>
        <v/>
      </c>
      <c r="D113" s="61"/>
      <c r="E113" s="58"/>
    </row>
    <row r="114" spans="1:5" ht="15" thickBot="1" x14ac:dyDescent="0.35">
      <c r="A114" s="66"/>
      <c r="B114" s="62"/>
      <c r="C114" s="62" t="str">
        <f t="shared" si="3"/>
        <v/>
      </c>
      <c r="D114" s="63"/>
      <c r="E114" s="64"/>
    </row>
  </sheetData>
  <mergeCells count="20">
    <mergeCell ref="B78:C78"/>
    <mergeCell ref="D78:E79"/>
    <mergeCell ref="B1:C1"/>
    <mergeCell ref="B40:C40"/>
    <mergeCell ref="D1:E2"/>
    <mergeCell ref="D40:E41"/>
    <mergeCell ref="H1:H3"/>
    <mergeCell ref="I1:I3"/>
    <mergeCell ref="P1:P3"/>
    <mergeCell ref="O1:O3"/>
    <mergeCell ref="N1:N3"/>
    <mergeCell ref="M1:M3"/>
    <mergeCell ref="L1:L3"/>
    <mergeCell ref="K1:K3"/>
    <mergeCell ref="J1:J3"/>
    <mergeCell ref="R1:R3"/>
    <mergeCell ref="S1:S3"/>
    <mergeCell ref="T1:T3"/>
    <mergeCell ref="U1:U3"/>
    <mergeCell ref="V1:V3"/>
  </mergeCells>
  <phoneticPr fontId="2" type="noConversion"/>
  <conditionalFormatting sqref="A5:A11">
    <cfRule type="duplicateValues" dxfId="748" priority="116"/>
  </conditionalFormatting>
  <conditionalFormatting sqref="A5:A14">
    <cfRule type="expression" dxfId="747" priority="102">
      <formula>$E5="CONCLUÍDA"</formula>
    </cfRule>
    <cfRule type="expression" dxfId="746" priority="103">
      <formula>$E5="CANCELADA"</formula>
    </cfRule>
  </conditionalFormatting>
  <conditionalFormatting sqref="A12">
    <cfRule type="duplicateValues" dxfId="745" priority="113"/>
  </conditionalFormatting>
  <conditionalFormatting sqref="A13">
    <cfRule type="duplicateValues" dxfId="744" priority="110"/>
  </conditionalFormatting>
  <conditionalFormatting sqref="A14">
    <cfRule type="duplicateValues" dxfId="743" priority="104"/>
  </conditionalFormatting>
  <conditionalFormatting sqref="A48">
    <cfRule type="expression" dxfId="742" priority="105">
      <formula>$E48="CONCLUÍDA"</formula>
    </cfRule>
    <cfRule type="expression" dxfId="741" priority="106">
      <formula>$E48="CANCELADA"</formula>
    </cfRule>
    <cfRule type="duplicateValues" dxfId="740" priority="107"/>
  </conditionalFormatting>
  <conditionalFormatting sqref="H4:H13">
    <cfRule type="expression" dxfId="739" priority="99">
      <formula>$E4="CONCLUÍDA"</formula>
    </cfRule>
    <cfRule type="expression" dxfId="738" priority="100">
      <formula>$E4="CANCELADA"</formula>
    </cfRule>
    <cfRule type="duplicateValues" dxfId="737" priority="101"/>
  </conditionalFormatting>
  <conditionalFormatting sqref="H13:H16 H19">
    <cfRule type="expression" dxfId="736" priority="94">
      <formula>$E13="CONCLUÍDA"</formula>
    </cfRule>
    <cfRule type="expression" dxfId="735" priority="95">
      <formula>$E13="CANCELADA"</formula>
    </cfRule>
  </conditionalFormatting>
  <conditionalFormatting sqref="H14:H16 H19">
    <cfRule type="duplicateValues" dxfId="734" priority="96"/>
  </conditionalFormatting>
  <conditionalFormatting sqref="I4:P16 I19:P19">
    <cfRule type="expression" dxfId="733" priority="20">
      <formula>$E4="CONCLUÍDA"</formula>
    </cfRule>
    <cfRule type="expression" dxfId="732" priority="21">
      <formula>$E4="CANCELADA"</formula>
    </cfRule>
  </conditionalFormatting>
  <conditionalFormatting sqref="A15">
    <cfRule type="expression" dxfId="731" priority="17">
      <formula>$E15="CONCLUÍDA"</formula>
    </cfRule>
    <cfRule type="expression" dxfId="730" priority="18">
      <formula>$E15="CANCELADA"</formula>
    </cfRule>
  </conditionalFormatting>
  <conditionalFormatting sqref="A15">
    <cfRule type="duplicateValues" dxfId="729" priority="19"/>
  </conditionalFormatting>
  <conditionalFormatting sqref="H18">
    <cfRule type="expression" dxfId="728" priority="14">
      <formula>$E18="CONCLUÍDA"</formula>
    </cfRule>
    <cfRule type="expression" dxfId="727" priority="15">
      <formula>$E18="CANCELADA"</formula>
    </cfRule>
  </conditionalFormatting>
  <conditionalFormatting sqref="H18">
    <cfRule type="duplicateValues" dxfId="726" priority="16"/>
  </conditionalFormatting>
  <conditionalFormatting sqref="I18:P18">
    <cfRule type="expression" dxfId="725" priority="12">
      <formula>$E18="CONCLUÍDA"</formula>
    </cfRule>
    <cfRule type="expression" dxfId="724" priority="13">
      <formula>$E18="CANCELADA"</formula>
    </cfRule>
  </conditionalFormatting>
  <conditionalFormatting sqref="H17">
    <cfRule type="expression" dxfId="723" priority="9">
      <formula>$E17="CONCLUÍDA"</formula>
    </cfRule>
    <cfRule type="expression" dxfId="722" priority="10">
      <formula>$E17="CANCELADA"</formula>
    </cfRule>
  </conditionalFormatting>
  <conditionalFormatting sqref="H17">
    <cfRule type="duplicateValues" dxfId="721" priority="11"/>
  </conditionalFormatting>
  <conditionalFormatting sqref="I17:P17">
    <cfRule type="expression" dxfId="720" priority="7">
      <formula>$E17="CONCLUÍDA"</formula>
    </cfRule>
    <cfRule type="expression" dxfId="719" priority="8">
      <formula>$E17="CANCELADA"</formula>
    </cfRule>
  </conditionalFormatting>
  <conditionalFormatting sqref="R4:V16 R19:V19">
    <cfRule type="expression" dxfId="718" priority="5">
      <formula>$E4="CONCLUÍDA"</formula>
    </cfRule>
    <cfRule type="expression" dxfId="717" priority="6">
      <formula>$E4="CANCELADA"</formula>
    </cfRule>
  </conditionalFormatting>
  <conditionalFormatting sqref="R18:V18">
    <cfRule type="expression" dxfId="716" priority="3">
      <formula>$E18="CONCLUÍDA"</formula>
    </cfRule>
    <cfRule type="expression" dxfId="715" priority="4">
      <formula>$E18="CANCELADA"</formula>
    </cfRule>
  </conditionalFormatting>
  <conditionalFormatting sqref="R17:V17">
    <cfRule type="expression" dxfId="714" priority="1">
      <formula>$E17="CONCLUÍDA"</formula>
    </cfRule>
    <cfRule type="expression" dxfId="713" priority="2">
      <formula>$E17="CANCELADA"</formula>
    </cfRule>
  </conditionalFormatting>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77D26-17FF-4B0E-B693-8CFF65A5029B}">
  <sheetPr codeName="Planilha6">
    <tabColor theme="8"/>
    <outlinePr summaryRight="0"/>
  </sheetPr>
  <dimension ref="A1:BG48"/>
  <sheetViews>
    <sheetView showGridLines="0" showZeros="0" zoomScaleNormal="100" workbookViewId="0">
      <pane xSplit="10" ySplit="5" topLeftCell="AN6" activePane="bottomRight" state="frozen"/>
      <selection pane="topRight" activeCell="K1" sqref="K1"/>
      <selection pane="bottomLeft" activeCell="A6" sqref="A6"/>
      <selection pane="bottomRight" activeCell="H5" sqref="H5"/>
    </sheetView>
  </sheetViews>
  <sheetFormatPr defaultColWidth="9.109375" defaultRowHeight="14.4" outlineLevelCol="1" x14ac:dyDescent="0.3"/>
  <cols>
    <col min="1" max="1" width="11.5546875" bestFit="1" customWidth="1"/>
    <col min="2" max="2" width="23.6640625" customWidth="1"/>
    <col min="3" max="3" width="10.6640625" customWidth="1"/>
    <col min="4" max="4" width="18.6640625" customWidth="1"/>
    <col min="5" max="5" width="12.6640625" customWidth="1"/>
    <col min="6" max="6" width="16.6640625" style="1" customWidth="1"/>
    <col min="7" max="7" width="12.6640625" style="1" customWidth="1"/>
    <col min="8" max="8" width="16.6640625" style="1" customWidth="1"/>
    <col min="9" max="9" width="16.6640625" style="1" customWidth="1" collapsed="1"/>
    <col min="10" max="10" width="0.6640625" hidden="1" customWidth="1" outlineLevel="1"/>
    <col min="11" max="26" width="12.6640625" style="51" hidden="1" customWidth="1" outlineLevel="1"/>
    <col min="27" max="27" width="3.109375" customWidth="1"/>
    <col min="28" max="28" width="4.6640625" style="51" customWidth="1" outlineLevel="1"/>
    <col min="29" max="29" width="12.6640625" style="51" customWidth="1" outlineLevel="1"/>
    <col min="30" max="30" width="4.6640625" style="51" customWidth="1" outlineLevel="1"/>
    <col min="31" max="31" width="12.6640625" style="51" customWidth="1" outlineLevel="1"/>
    <col min="32" max="32" width="4.6640625" style="51" customWidth="1" outlineLevel="1"/>
    <col min="33" max="33" width="12.6640625" style="51" customWidth="1" outlineLevel="1"/>
    <col min="34" max="34" width="5.6640625" style="51" customWidth="1" outlineLevel="1"/>
    <col min="35" max="35" width="12.6640625" style="51" customWidth="1" outlineLevel="1"/>
    <col min="36" max="36" width="4.6640625" style="51" customWidth="1" outlineLevel="1"/>
    <col min="37" max="37" width="12.6640625" style="51" customWidth="1" outlineLevel="1"/>
    <col min="38" max="38" width="5.6640625" style="51" customWidth="1" outlineLevel="1"/>
    <col min="39" max="39" width="12.6640625" style="51" customWidth="1" outlineLevel="1"/>
    <col min="40" max="40" width="4.6640625" style="51" customWidth="1" outlineLevel="1"/>
    <col min="41" max="41" width="14.33203125" style="51" bestFit="1" customWidth="1" outlineLevel="1"/>
    <col min="42" max="42" width="4.6640625" style="51" customWidth="1" outlineLevel="1"/>
    <col min="43" max="43" width="13.5546875" style="51" bestFit="1" customWidth="1" outlineLevel="1"/>
    <col min="44" max="44" width="4.6640625" style="51" customWidth="1" outlineLevel="1"/>
    <col min="45" max="45" width="13.6640625" style="51" bestFit="1" customWidth="1" outlineLevel="1"/>
    <col min="46" max="46" width="4.6640625" style="51" customWidth="1" outlineLevel="1"/>
    <col min="47" max="47" width="13.5546875" style="51" bestFit="1" customWidth="1" outlineLevel="1"/>
    <col min="48" max="48" width="4.6640625" style="51" customWidth="1" outlineLevel="1"/>
    <col min="49" max="49" width="13.33203125" style="51" bestFit="1" customWidth="1" outlineLevel="1"/>
    <col min="50" max="50" width="4.6640625" style="51" customWidth="1" outlineLevel="1"/>
    <col min="51" max="51" width="12.6640625" style="51" customWidth="1" outlineLevel="1"/>
    <col min="52" max="52" width="4.6640625" style="51" customWidth="1" outlineLevel="1"/>
    <col min="53" max="53" width="12.6640625" style="51" customWidth="1" outlineLevel="1"/>
    <col min="54" max="54" width="4.6640625" style="51" customWidth="1" outlineLevel="1"/>
    <col min="55" max="55" width="12.6640625" style="51" customWidth="1" outlineLevel="1"/>
    <col min="56" max="56" width="4.6640625" style="51" customWidth="1" outlineLevel="1"/>
    <col min="57" max="57" width="12.6640625" style="51" customWidth="1" outlineLevel="1"/>
    <col min="58" max="58" width="4.6640625" style="51" customWidth="1" outlineLevel="1"/>
    <col min="59" max="59" width="12.6640625" style="51" customWidth="1" outlineLevel="1"/>
  </cols>
  <sheetData>
    <row r="1" spans="1:59" ht="52.5" customHeight="1" x14ac:dyDescent="0.3">
      <c r="K1" s="158" t="s">
        <v>238</v>
      </c>
      <c r="L1" s="158" t="s">
        <v>239</v>
      </c>
      <c r="M1" s="158"/>
      <c r="N1" s="158" t="s">
        <v>415</v>
      </c>
      <c r="O1" s="158" t="s">
        <v>529</v>
      </c>
      <c r="P1" s="159"/>
      <c r="Q1" s="159"/>
      <c r="R1" s="159"/>
      <c r="S1" s="159"/>
      <c r="T1" s="159"/>
      <c r="U1" s="159"/>
      <c r="V1" s="159"/>
      <c r="W1" s="159"/>
      <c r="X1" s="159"/>
      <c r="Y1" s="159"/>
      <c r="Z1" s="159"/>
      <c r="AA1" s="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row>
    <row r="2" spans="1:59" s="239" customFormat="1" x14ac:dyDescent="0.3">
      <c r="A2" s="258"/>
      <c r="B2" s="258"/>
      <c r="C2" s="259"/>
      <c r="D2" s="259" t="s">
        <v>528</v>
      </c>
      <c r="E2" s="258"/>
      <c r="F2" s="522">
        <f>SUBTOTAL(9,Tb_ValorSS[R$ APROVADO])</f>
        <v>38598143.121079996</v>
      </c>
      <c r="G2" s="523">
        <f>SUBTOTAL(9,Tb_ValorSS[UBR MEDIDO])</f>
        <v>50323.296999999999</v>
      </c>
      <c r="H2" s="522">
        <f>SUBTOTAL(9,Tb_ValorSS[R$ MEDIDO ])</f>
        <v>14936961.015540002</v>
      </c>
      <c r="I2" s="522">
        <f>SUBTOTAL(9,Tb_ValorSS[R$ SALDO ])</f>
        <v>23661182.105540004</v>
      </c>
      <c r="J2" s="237"/>
      <c r="K2" s="524">
        <f>SUBTOTAL(9,Tb_ValorSS[SET.25])*296.82</f>
        <v>2470510.0331999999</v>
      </c>
      <c r="L2" s="524">
        <f>SUBTOTAL(9,Tb_ValorSS[OUT.25])*296.82</f>
        <v>2152735.4316600002</v>
      </c>
      <c r="M2" s="524">
        <f>SUBTOTAL(9,Tb_ValorSS[NOV.25])*296.82</f>
        <v>3738394.4724000003</v>
      </c>
      <c r="N2" s="524">
        <f>SUBTOTAL(9,Tb_ValorSS[DEZ.25])*296.82</f>
        <v>2232357.0998399998</v>
      </c>
      <c r="O2" s="524">
        <f>SUBTOTAL(9,Tb_ValorSS[JAN.26])*296.82</f>
        <v>2402557.5464999997</v>
      </c>
      <c r="P2" s="524">
        <f>SUBTOTAL(9,Tb_ValorSS[FEV.26])*296.82</f>
        <v>1940406.4319400003</v>
      </c>
      <c r="Q2" s="524">
        <f>SUBTOTAL(9,Tb_ValorSS[MAR.26])*296.82</f>
        <v>0</v>
      </c>
      <c r="R2" s="524">
        <f>SUBTOTAL(9,Tb_ValorSS[ABR.26])*296.82</f>
        <v>0</v>
      </c>
      <c r="S2" s="524">
        <f>SUBTOTAL(9,Tb_ValorSS[MAI.26])*296.82</f>
        <v>0</v>
      </c>
      <c r="T2" s="524">
        <f>SUBTOTAL(9,Tb_ValorSS[JUN.26])*296.82</f>
        <v>0</v>
      </c>
      <c r="U2" s="524">
        <f>SUBTOTAL(9,Tb_ValorSS[JUL.26])*296.82</f>
        <v>0</v>
      </c>
      <c r="V2" s="524">
        <f>SUBTOTAL(9,Tb_ValorSS[AGO.26])*296.82</f>
        <v>0</v>
      </c>
      <c r="W2" s="524">
        <f>SUBTOTAL(9,Tb_ValorSS[SET.26])*296.82</f>
        <v>0</v>
      </c>
      <c r="X2" s="524">
        <f>SUBTOTAL(9,Tb_ValorSS[OUT.26])*296.82</f>
        <v>0</v>
      </c>
      <c r="Y2" s="524">
        <f>SUBTOTAL(9,Tb_ValorSS[NOV.26])*296.82</f>
        <v>0</v>
      </c>
      <c r="Z2" s="524">
        <f>SUBTOTAL(9,Tb_ValorSS[DEZ.26])*296.82</f>
        <v>0</v>
      </c>
      <c r="AA2" s="238"/>
      <c r="AB2" s="257"/>
      <c r="AC2" s="257" cm="1">
        <f t="array" aca="1" ref="AC2" ca="1">SUMPRODUCT(IF((Tb_ValorSS[TOMADOR]="EDIVIT")+(Tb_ValorSS[TOMADOR]="UTGSUL"),Tb_ValorSS[SET.25 ])*SUBTOTAL(3,OFFSET($C$6,ROW(Tb_ValorSS[TOMADOR])-ROW($C$6),)))</f>
        <v>562141.53588614904</v>
      </c>
      <c r="AD2" s="257"/>
      <c r="AE2" s="257" cm="1">
        <f t="array" aca="1" ref="AE2" ca="1">SUMPRODUCT(IF((Tb_ValorSS[TOMADOR]="EDIVIT")+(Tb_ValorSS[TOMADOR]="UTGSUL"),Tb_ValorSS[OUT.25 ])*SUBTOTAL(3,OFFSET($C$6,ROW(Tb_ValorSS[TOMADOR])-ROW($C$6),)))</f>
        <v>761192.71901999996</v>
      </c>
      <c r="AF2" s="257"/>
      <c r="AG2" s="257" cm="1">
        <f t="array" aca="1" ref="AG2" ca="1">SUMPRODUCT(IF((Tb_ValorSS[TOMADOR]="EDIVIT")+(Tb_ValorSS[TOMADOR]="UTGSUL"),Tb_ValorSS[NOV.25 ])*SUBTOTAL(3,OFFSET($C$6,ROW(Tb_ValorSS[TOMADOR])-ROW($C$6),)))</f>
        <v>961841.95404000022</v>
      </c>
      <c r="AH2" s="257"/>
      <c r="AI2" s="257" cm="1">
        <f t="array" aca="1" ref="AI2" ca="1">SUMPRODUCT(IF((Tb_ValorSS[TOMADOR]="EDIVIT")+(Tb_ValorSS[TOMADOR]="UTGSUL"),Tb_ValorSS[DEZ.25 ])*SUBTOTAL(3,OFFSET($C$6,ROW(Tb_ValorSS[TOMADOR])-ROW($C$6),)))</f>
        <v>831538.80995400005</v>
      </c>
      <c r="AJ2" s="257"/>
      <c r="AK2" s="257" cm="1">
        <f t="array" aca="1" ref="AK2" ca="1">SUMPRODUCT(IF((Tb_ValorSS[TOMADOR]="EDIVIT")+(Tb_ValorSS[TOMADOR]="UTGSUL"),Tb_ValorSS[JAN.26 ])*SUBTOTAL(3,OFFSET($C$6,ROW(Tb_ValorSS[TOMADOR])-ROW($C$6),)))</f>
        <v>536125.355216</v>
      </c>
      <c r="AL2" s="257"/>
      <c r="AM2" s="257" cm="1">
        <f t="array" aca="1" ref="AM2" ca="1">SUMPRODUCT(IF((Tb_ValorSS[TOMADOR]="EDIVIT")+(Tb_ValorSS[TOMADOR]="UTGSUL"),Tb_ValorSS[FEV.26 ])*SUBTOTAL(3,OFFSET($C$6,ROW(Tb_ValorSS[TOMADOR])-ROW($C$6),)))</f>
        <v>709190.81403650006</v>
      </c>
      <c r="AN2" s="257"/>
      <c r="AO2" s="257" cm="1">
        <f t="array" aca="1" ref="AO2" ca="1">SUMPRODUCT(IF((Tb_ValorSS[TOMADOR]="EDIVIT")+(Tb_ValorSS[TOMADOR]="UTGSUL"),Tb_ValorSS[MAR.26 ])*SUBTOTAL(3,OFFSET($C$6,ROW(Tb_ValorSS[TOMADOR])-ROW($C$6),)))</f>
        <v>624439.25112400006</v>
      </c>
      <c r="AP2" s="257"/>
      <c r="AQ2" s="257" cm="1">
        <f t="array" aca="1" ref="AQ2" ca="1">SUMPRODUCT(IF((Tb_ValorSS[TOMADOR]="EDIVIT")+(Tb_ValorSS[TOMADOR]="UTGSUL"),Tb_ValorSS[ABR.26 ])*SUBTOTAL(3,OFFSET($C$6,ROW(Tb_ValorSS[TOMADOR])-ROW($C$6),)))</f>
        <v>924133.23123749997</v>
      </c>
      <c r="AR2" s="257"/>
      <c r="AS2" s="257" cm="1">
        <f t="array" aca="1" ref="AS2" ca="1">SUMPRODUCT(IF((Tb_ValorSS[TOMADOR]="EDIVIT")+(Tb_ValorSS[TOMADOR]="UTGSUL"),Tb_ValorSS[MAI.26 ])*SUBTOTAL(3,OFFSET($C$6,ROW(Tb_ValorSS[TOMADOR])-ROW($C$6),)))</f>
        <v>740960.60457600001</v>
      </c>
      <c r="AT2" s="257"/>
      <c r="AU2" s="257" cm="1">
        <f t="array" aca="1" ref="AU2" ca="1">SUMPRODUCT(IF((Tb_ValorSS[TOMADOR]="EDIVIT")+(Tb_ValorSS[TOMADOR]="UTGSUL"),Tb_ValorSS[JUN.26 ])*SUBTOTAL(3,OFFSET($C$6,ROW(Tb_ValorSS[TOMADOR])-ROW($C$6),)))</f>
        <v>582200.91514800012</v>
      </c>
      <c r="AV2" s="257"/>
      <c r="AW2" s="257" cm="1">
        <f t="array" aca="1" ref="AW2" ca="1">SUMPRODUCT(IF((Tb_ValorSS[TOMADOR]="EDIVIT")+(Tb_ValorSS[TOMADOR]="UTGSUL"),Tb_ValorSS[JUL.26 ])*SUBTOTAL(3,OFFSET($C$6,ROW(Tb_ValorSS[TOMADOR])-ROW($C$6),)))</f>
        <v>397113.73714799999</v>
      </c>
      <c r="AX2" s="257"/>
      <c r="AY2" s="257" cm="1">
        <f t="array" aca="1" ref="AY2" ca="1">SUMPRODUCT(IF((Tb_ValorSS[TOMADOR]="EDIVIT")+(Tb_ValorSS[TOMADOR]="UTGSUL"),Tb_ValorSS[AGO.26 ])*SUBTOTAL(3,OFFSET($C$6,ROW(Tb_ValorSS[TOMADOR])-ROW($C$6),)))</f>
        <v>397113.73714799999</v>
      </c>
      <c r="AZ2" s="257"/>
      <c r="BA2" s="257" cm="1">
        <f t="array" aca="1" ref="BA2" ca="1">SUMPRODUCT(IF((Tb_ValorSS[TOMADOR]="EDIVIT")+(Tb_ValorSS[TOMADOR]="UTGSUL"),Tb_ValorSS[SET.26 ])*SUBTOTAL(3,OFFSET($C$6,ROW(Tb_ValorSS[TOMADOR])-ROW($C$6),)))</f>
        <v>365149.784988</v>
      </c>
      <c r="BB2" s="257"/>
      <c r="BC2" s="257" cm="1">
        <f t="array" aca="1" ref="BC2" ca="1">SUMPRODUCT(IF((Tb_ValorSS[TOMADOR]="EDIVIT")+(Tb_ValorSS[TOMADOR]="UTGSUL"),Tb_ValorSS[OUT.26 ])*SUBTOTAL(3,OFFSET($C$6,ROW(Tb_ValorSS[TOMADOR])-ROW($C$6),)))</f>
        <v>434979.302004</v>
      </c>
      <c r="BD2" s="257"/>
      <c r="BE2" s="257" cm="1">
        <f t="array" aca="1" ref="BE2" ca="1">SUMPRODUCT(IF((Tb_ValorSS[TOMADOR]="EDIVIT")+(Tb_ValorSS[TOMADOR]="UTGSUL"),Tb_ValorSS[NOV.26 ])*SUBTOTAL(3,OFFSET($C$6,ROW(Tb_ValorSS[TOMADOR])-ROW($C$6),)))</f>
        <v>234343.17</v>
      </c>
      <c r="BF2" s="257"/>
      <c r="BG2" s="257" cm="1">
        <f t="array" aca="1" ref="BG2" ca="1">SUMPRODUCT(IF((Tb_ValorSS[TOMADOR]="EDIVIT")+(Tb_ValorSS[TOMADOR]="UTGSUL"),Tb_ValorSS[DEZ.26 ])*SUBTOTAL(3,OFFSET($C$6,ROW(Tb_ValorSS[TOMADOR])-ROW($C$6),)))</f>
        <v>234343.17</v>
      </c>
    </row>
    <row r="3" spans="1:59" s="239" customFormat="1" x14ac:dyDescent="0.3">
      <c r="A3" s="258"/>
      <c r="B3" s="258"/>
      <c r="C3" s="258"/>
      <c r="D3" s="259" t="s">
        <v>90</v>
      </c>
      <c r="E3" s="258"/>
      <c r="F3" s="522"/>
      <c r="G3" s="523"/>
      <c r="H3" s="522"/>
      <c r="I3" s="522"/>
      <c r="J3" s="237"/>
      <c r="K3" s="524"/>
      <c r="L3" s="524"/>
      <c r="M3" s="524"/>
      <c r="N3" s="524"/>
      <c r="O3" s="524"/>
      <c r="P3" s="524"/>
      <c r="Q3" s="524"/>
      <c r="R3" s="524"/>
      <c r="S3" s="524"/>
      <c r="T3" s="524"/>
      <c r="U3" s="524"/>
      <c r="V3" s="524"/>
      <c r="W3" s="524"/>
      <c r="X3" s="524"/>
      <c r="Y3" s="524"/>
      <c r="Z3" s="524"/>
      <c r="AA3" s="238"/>
      <c r="AB3" s="257"/>
      <c r="AC3" s="257" cm="1">
        <f t="array" aca="1" ref="AC3" ca="1">SUMPRODUCT(IF(Tb_ValorSS[TOMADOR]=$D$3,Tb_ValorSS[SET.25 ])*SUBTOTAL(3,OFFSET($C$6,ROW(Tb_ValorSS[TOMADOR])-ROW($C$6),)))</f>
        <v>1908367.88</v>
      </c>
      <c r="AD3" s="257"/>
      <c r="AE3" s="257" cm="1">
        <f t="array" aca="1" ref="AE3" ca="1">SUMPRODUCT(IF(Tb_ValorSS[TOMADOR]=$D$3,Tb_ValorSS[OUT.25 ])*SUBTOTAL(3,OFFSET($C$6,ROW(Tb_ValorSS[TOMADOR])-ROW($C$6),)))</f>
        <v>1391543.776998</v>
      </c>
      <c r="AF3" s="257"/>
      <c r="AG3" s="257" cm="1">
        <f t="array" aca="1" ref="AG3" ca="1">SUMPRODUCT(IF(Tb_ValorSS[TOMADOR]=$D$3,Tb_ValorSS[NOV.25 ])*SUBTOTAL(3,OFFSET($C$6,ROW(Tb_ValorSS[TOMADOR])-ROW($C$6),)))</f>
        <v>2776552.3938509999</v>
      </c>
      <c r="AH3" s="257"/>
      <c r="AI3" s="257" cm="1">
        <f t="array" aca="1" ref="AI3" ca="1">SUMPRODUCT(IF(Tb_ValorSS[TOMADOR]=$D$3,Tb_ValorSS[DEZ.25 ])*SUBTOTAL(3,OFFSET($C$6,ROW(Tb_ValorSS[TOMADOR])-ROW($C$6),)))</f>
        <v>1400818.0217849999</v>
      </c>
      <c r="AJ3" s="257"/>
      <c r="AK3" s="257" cm="1">
        <f t="array" aca="1" ref="AK3" ca="1">SUMPRODUCT(IF(Tb_ValorSS[TOMADOR]=$D$3,Tb_ValorSS[JAN.26 ])*SUBTOTAL(3,OFFSET($C$6,ROW(Tb_ValorSS[TOMADOR])-ROW($C$6),)))</f>
        <v>1866432.6250379998</v>
      </c>
      <c r="AL3" s="257"/>
      <c r="AM3" s="257" cm="1">
        <f t="array" aca="1" ref="AM3" ca="1">SUMPRODUCT(IF(Tb_ValorSS[TOMADOR]=$D$3,Tb_ValorSS[FEV.26 ])*SUBTOTAL(3,OFFSET($C$6,ROW(Tb_ValorSS[TOMADOR])-ROW($C$6),)))</f>
        <v>1233003.1308219</v>
      </c>
      <c r="AN3" s="257"/>
      <c r="AO3" s="257" cm="1">
        <f t="array" aca="1" ref="AO3" ca="1">SUMPRODUCT(IF(Tb_ValorSS[TOMADOR]=$D$3,Tb_ValorSS[MAR.26 ])*SUBTOTAL(3,OFFSET($C$6,ROW(Tb_ValorSS[TOMADOR])-ROW($C$6),)))</f>
        <v>2037775.4843868001</v>
      </c>
      <c r="AP3" s="257"/>
      <c r="AQ3" s="257" cm="1">
        <f t="array" aca="1" ref="AQ3" ca="1">SUMPRODUCT(IF(Tb_ValorSS[TOMADOR]=$D$3,Tb_ValorSS[ABR.26 ])*SUBTOTAL(3,OFFSET($C$6,ROW(Tb_ValorSS[TOMADOR])-ROW($C$6),)))</f>
        <v>2039490.6513363002</v>
      </c>
      <c r="AR3" s="257"/>
      <c r="AS3" s="257" cm="1">
        <f t="array" aca="1" ref="AS3" ca="1">SUMPRODUCT(IF(Tb_ValorSS[TOMADOR]=$D$3,Tb_ValorSS[MAI.26 ])*SUBTOTAL(3,OFFSET($C$6,ROW(Tb_ValorSS[TOMADOR])-ROW($C$6),)))</f>
        <v>1897337.1167945999</v>
      </c>
      <c r="AT3" s="257"/>
      <c r="AU3" s="257" cm="1">
        <f t="array" aca="1" ref="AU3" ca="1">SUMPRODUCT(IF(Tb_ValorSS[TOMADOR]=$D$3,Tb_ValorSS[JUN.26 ])*SUBTOTAL(3,OFFSET($C$6,ROW(Tb_ValorSS[TOMADOR])-ROW($C$6),)))</f>
        <v>1873292.0550966002</v>
      </c>
      <c r="AV3" s="257"/>
      <c r="AW3" s="257" cm="1">
        <f t="array" aca="1" ref="AW3" ca="1">SUMPRODUCT(IF(Tb_ValorSS[TOMADOR]=$D$3,Tb_ValorSS[JUL.26 ])*SUBTOTAL(3,OFFSET($C$6,ROW(Tb_ValorSS[TOMADOR])-ROW($C$6),)))</f>
        <v>1407996.9934146001</v>
      </c>
      <c r="AX3" s="257"/>
      <c r="AY3" s="257" cm="1">
        <f t="array" aca="1" ref="AY3" ca="1">SUMPRODUCT(IF(Tb_ValorSS[TOMADOR]=$D$3,Tb_ValorSS[AGO.26 ])*SUBTOTAL(3,OFFSET($C$6,ROW(Tb_ValorSS[TOMADOR])-ROW($C$6),)))</f>
        <v>530185.83820919995</v>
      </c>
      <c r="AZ3" s="257"/>
      <c r="BA3" s="257" cm="1">
        <f t="array" aca="1" ref="BA3" ca="1">SUMPRODUCT(IF(Tb_ValorSS[TOMADOR]=$D$3,Tb_ValorSS[SET.26 ])*SUBTOTAL(3,OFFSET($C$6,ROW(Tb_ValorSS[TOMADOR])-ROW($C$6),)))</f>
        <v>313937.57971800002</v>
      </c>
      <c r="BB3" s="257"/>
      <c r="BC3" s="257" cm="1">
        <f t="array" aca="1" ref="BC3" ca="1">SUMPRODUCT(IF(Tb_ValorSS[TOMADOR]=$D$3,Tb_ValorSS[OUT.26 ])*SUBTOTAL(3,OFFSET($C$6,ROW(Tb_ValorSS[TOMADOR])-ROW($C$6),)))</f>
        <v>310452.58641600003</v>
      </c>
      <c r="BD3" s="257"/>
      <c r="BE3" s="257" cm="1">
        <f t="array" aca="1" ref="BE3" ca="1">SUMPRODUCT(IF(Tb_ValorSS[TOMADOR]=$D$3,Tb_ValorSS[NOV.26 ])*SUBTOTAL(3,OFFSET($C$6,ROW(Tb_ValorSS[TOMADOR])-ROW($C$6),)))</f>
        <v>341817.52613400004</v>
      </c>
      <c r="BF3" s="257"/>
      <c r="BG3" s="257" cm="1">
        <f t="array" aca="1" ref="BG3" ca="1">SUMPRODUCT(IF(Tb_ValorSS[TOMADOR]=$D$3,Tb_ValorSS[DEZ.26 ])*SUBTOTAL(3,OFFSET($C$6,ROW(Tb_ValorSS[TOMADOR])-ROW($C$6),)))</f>
        <v>282572.64</v>
      </c>
    </row>
    <row r="4" spans="1:59" s="239" customFormat="1" x14ac:dyDescent="0.3">
      <c r="A4" s="258"/>
      <c r="B4" s="258"/>
      <c r="C4" s="258"/>
      <c r="D4" s="259"/>
      <c r="E4" s="258"/>
      <c r="F4" s="522"/>
      <c r="G4" s="523"/>
      <c r="H4" s="522"/>
      <c r="I4" s="522"/>
      <c r="J4" s="237"/>
      <c r="K4" s="353">
        <f>SUBTOTAL(9,Tb_ValorSS[SET.25])</f>
        <v>8323.26</v>
      </c>
      <c r="L4" s="353">
        <f>SUBTOTAL(9,Tb_ValorSS[OUT.25])</f>
        <v>7252.6630000000005</v>
      </c>
      <c r="M4" s="353">
        <f>SUBTOTAL(9,Tb_ValorSS[NOV.25])</f>
        <v>12594.820000000002</v>
      </c>
      <c r="N4" s="353">
        <f>SUBTOTAL(9,Tb_ValorSS[DEZ.25])</f>
        <v>7520.9119999999994</v>
      </c>
      <c r="O4" s="353">
        <f>SUBTOTAL(9,Tb_ValorSS[JAN.26])</f>
        <v>8094.3249999999989</v>
      </c>
      <c r="P4" s="353">
        <f>SUBTOTAL(9,Tb_ValorSS[FEV.26])</f>
        <v>6537.3170000000009</v>
      </c>
      <c r="Q4" s="352">
        <f>SUBTOTAL(9,Tb_ValorSS[MAR.26])</f>
        <v>0</v>
      </c>
      <c r="R4" s="352">
        <f>SUBTOTAL(9,Tb_ValorSS[ABR.26])</f>
        <v>0</v>
      </c>
      <c r="S4" s="352">
        <f>SUBTOTAL(9,Tb_ValorSS[MAI.26])</f>
        <v>0</v>
      </c>
      <c r="T4" s="352">
        <f>SUBTOTAL(9,Tb_ValorSS[JUN.26])</f>
        <v>0</v>
      </c>
      <c r="U4" s="352">
        <f>SUBTOTAL(9,Tb_ValorSS[JUL.26])</f>
        <v>0</v>
      </c>
      <c r="V4" s="352">
        <f>SUBTOTAL(9,Tb_ValorSS[AGO.26])</f>
        <v>0</v>
      </c>
      <c r="W4" s="352">
        <f>SUBTOTAL(9,Tb_ValorSS[SET.26])</f>
        <v>0</v>
      </c>
      <c r="X4" s="352">
        <f>SUBTOTAL(9,Tb_ValorSS[OUT.26])</f>
        <v>0</v>
      </c>
      <c r="Y4" s="352">
        <f>SUBTOTAL(9,Tb_ValorSS[NOV.26])</f>
        <v>0</v>
      </c>
      <c r="Z4" s="352">
        <f>SUBTOTAL(9,Tb_ValorSS[DEZ.26])</f>
        <v>0</v>
      </c>
      <c r="AA4" s="238"/>
      <c r="AB4" s="236"/>
      <c r="AC4" s="236">
        <f ca="1">SUM(AC2:AC3)</f>
        <v>2470509.4158861488</v>
      </c>
      <c r="AD4" s="236"/>
      <c r="AE4" s="236">
        <f>SUBTOTAL(9,Tb_ValorSS[OUT.25 ])</f>
        <v>2152736.4960179999</v>
      </c>
      <c r="AF4" s="236"/>
      <c r="AG4" s="236">
        <f>SUBTOTAL(9,Tb_ValorSS[NOV.25 ])</f>
        <v>3738394.3478910001</v>
      </c>
      <c r="AH4" s="236"/>
      <c r="AI4" s="236">
        <f>SUBTOTAL(9,Tb_ValorSS[DEZ.25 ])</f>
        <v>2232356.8317389996</v>
      </c>
      <c r="AJ4" s="236"/>
      <c r="AK4" s="236">
        <f>SUBTOTAL(9,Tb_ValorSS[JAN.26 ])</f>
        <v>2402557.9802540005</v>
      </c>
      <c r="AL4" s="236"/>
      <c r="AM4" s="236">
        <f>SUBTOTAL(9,Tb_ValorSS[FEV.26 ])</f>
        <v>1942193.9448583997</v>
      </c>
      <c r="AN4" s="236"/>
      <c r="AO4" s="236">
        <f>SUBTOTAL(9,Tb_ValorSS[MAR.26 ])</f>
        <v>2662214.7355107991</v>
      </c>
      <c r="AP4" s="236"/>
      <c r="AQ4" s="236">
        <f>SUBTOTAL(9,Tb_ValorSS[ABR.26 ])</f>
        <v>2963623.8825737997</v>
      </c>
      <c r="AR4" s="236"/>
      <c r="AS4" s="236">
        <f>SUBTOTAL(9,Tb_ValorSS[MAI.26 ])</f>
        <v>2638297.7213706002</v>
      </c>
      <c r="AT4" s="236"/>
      <c r="AU4" s="236">
        <f>SUBTOTAL(9,Tb_ValorSS[JUN.26 ])</f>
        <v>2455492.9702446</v>
      </c>
      <c r="AV4" s="236"/>
      <c r="AW4" s="236">
        <f>SUBTOTAL(9,Tb_ValorSS[JUL.26 ])</f>
        <v>1805110.7305625998</v>
      </c>
      <c r="AX4" s="236"/>
      <c r="AY4" s="236">
        <f>SUBTOTAL(9,Tb_ValorSS[AGO.26 ])</f>
        <v>927299.57535720011</v>
      </c>
      <c r="AZ4" s="236"/>
      <c r="BA4" s="236">
        <f>SUBTOTAL(9,Tb_ValorSS[SET.26 ])</f>
        <v>679087.36470600008</v>
      </c>
      <c r="BB4" s="236"/>
      <c r="BC4" s="236">
        <f>SUBTOTAL(9,Tb_ValorSS[OUT.26 ])</f>
        <v>745431.88842000009</v>
      </c>
      <c r="BD4" s="236"/>
      <c r="BE4" s="236">
        <f>SUBTOTAL(9,Tb_ValorSS[NOV.26 ])</f>
        <v>576160.69613400009</v>
      </c>
      <c r="BF4" s="236"/>
      <c r="BG4" s="236">
        <f>SUBTOTAL(9,Tb_ValorSS[DEZ.26 ])</f>
        <v>516915.81000000006</v>
      </c>
    </row>
    <row r="5" spans="1:59" s="3" customFormat="1" ht="24" customHeight="1" thickBot="1" x14ac:dyDescent="0.35">
      <c r="A5" s="92" t="s">
        <v>18</v>
      </c>
      <c r="B5" s="92" t="s">
        <v>143</v>
      </c>
      <c r="C5" s="92" t="s">
        <v>2</v>
      </c>
      <c r="D5" s="92" t="s">
        <v>144</v>
      </c>
      <c r="E5" s="92" t="s">
        <v>145</v>
      </c>
      <c r="F5" s="93" t="s">
        <v>39</v>
      </c>
      <c r="G5" s="92" t="s">
        <v>146</v>
      </c>
      <c r="H5" s="93" t="s">
        <v>40</v>
      </c>
      <c r="I5" s="93" t="s">
        <v>41</v>
      </c>
      <c r="J5" s="142" t="s">
        <v>78</v>
      </c>
      <c r="K5" s="141" t="s">
        <v>147</v>
      </c>
      <c r="L5" s="95" t="s">
        <v>148</v>
      </c>
      <c r="M5" s="95" t="s">
        <v>149</v>
      </c>
      <c r="N5" s="95" t="s">
        <v>150</v>
      </c>
      <c r="O5" s="95" t="s">
        <v>151</v>
      </c>
      <c r="P5" s="95" t="s">
        <v>152</v>
      </c>
      <c r="Q5" s="95" t="s">
        <v>153</v>
      </c>
      <c r="R5" s="95" t="s">
        <v>154</v>
      </c>
      <c r="S5" s="95" t="s">
        <v>155</v>
      </c>
      <c r="T5" s="95" t="s">
        <v>156</v>
      </c>
      <c r="U5" s="95" t="s">
        <v>157</v>
      </c>
      <c r="V5" s="95" t="s">
        <v>158</v>
      </c>
      <c r="W5" s="95" t="s">
        <v>159</v>
      </c>
      <c r="X5" s="95" t="s">
        <v>160</v>
      </c>
      <c r="Y5" s="95" t="s">
        <v>161</v>
      </c>
      <c r="Z5" s="95" t="s">
        <v>162</v>
      </c>
      <c r="AA5" s="137" t="s">
        <v>187</v>
      </c>
      <c r="AB5" s="134" t="s">
        <v>188</v>
      </c>
      <c r="AC5" s="135" t="s">
        <v>171</v>
      </c>
      <c r="AD5" s="134" t="s">
        <v>190</v>
      </c>
      <c r="AE5" s="135" t="s">
        <v>172</v>
      </c>
      <c r="AF5" s="134" t="s">
        <v>191</v>
      </c>
      <c r="AG5" s="135" t="s">
        <v>173</v>
      </c>
      <c r="AH5" s="134" t="s">
        <v>192</v>
      </c>
      <c r="AI5" s="135" t="s">
        <v>174</v>
      </c>
      <c r="AJ5" s="134" t="s">
        <v>193</v>
      </c>
      <c r="AK5" s="135" t="s">
        <v>175</v>
      </c>
      <c r="AL5" s="134" t="s">
        <v>194</v>
      </c>
      <c r="AM5" s="135" t="s">
        <v>176</v>
      </c>
      <c r="AN5" s="134" t="s">
        <v>195</v>
      </c>
      <c r="AO5" s="135" t="s">
        <v>177</v>
      </c>
      <c r="AP5" s="134" t="s">
        <v>196</v>
      </c>
      <c r="AQ5" s="135" t="s">
        <v>178</v>
      </c>
      <c r="AR5" s="134" t="s">
        <v>197</v>
      </c>
      <c r="AS5" s="135" t="s">
        <v>179</v>
      </c>
      <c r="AT5" s="134" t="s">
        <v>198</v>
      </c>
      <c r="AU5" s="135" t="s">
        <v>180</v>
      </c>
      <c r="AV5" s="134" t="s">
        <v>199</v>
      </c>
      <c r="AW5" s="135" t="s">
        <v>181</v>
      </c>
      <c r="AX5" s="134" t="s">
        <v>189</v>
      </c>
      <c r="AY5" s="135" t="s">
        <v>182</v>
      </c>
      <c r="AZ5" s="134" t="s">
        <v>200</v>
      </c>
      <c r="BA5" s="135" t="s">
        <v>183</v>
      </c>
      <c r="BB5" s="134" t="s">
        <v>201</v>
      </c>
      <c r="BC5" s="135" t="s">
        <v>184</v>
      </c>
      <c r="BD5" s="134" t="s">
        <v>202</v>
      </c>
      <c r="BE5" s="135" t="s">
        <v>185</v>
      </c>
      <c r="BF5" s="134" t="s">
        <v>203</v>
      </c>
      <c r="BG5" s="135" t="s">
        <v>186</v>
      </c>
    </row>
    <row r="6" spans="1:59" ht="15" thickTop="1" x14ac:dyDescent="0.3">
      <c r="A6" s="128" t="s">
        <v>436</v>
      </c>
      <c r="B6" s="128" t="str">
        <f>_xlfn.XLOOKUP(Tb_ValorSS[[#This Row],[Nº  SS]],tb_Distr[SS],tb_Distr[DESCRIÇÃO],"",0,1)</f>
        <v>IMPLANTAÇÃO EDIVIT</v>
      </c>
      <c r="C6" s="128" t="str">
        <f>_xlfn.XLOOKUP(Tb_ValorSS[[#This Row],[Nº  SS]],TB_CR.ACOMP[Nº  SS],TB_CR.ACOMP[TOMADOR],"",0,1)</f>
        <v>EDIVIT</v>
      </c>
      <c r="D6" s="128" t="str">
        <f>_xlfn.XLOOKUP(Tb_ValorSS[[#This Row],[Nº  SS]],TB_CR.ACOMP[Nº  SS],TB_CR.ACOMP[STATUS DEMANDA],"",0,1)</f>
        <v>EM ANDAMENTO</v>
      </c>
      <c r="E6" s="231">
        <v>26751.940999999999</v>
      </c>
      <c r="F6" s="129">
        <f>Tb_ValorSS[[#This Row],[UBR APROV]]*296.82</f>
        <v>7940511.1276199995</v>
      </c>
      <c r="G6" s="231">
        <f>SUM(Tb_ValorSS[[#This Row],[SET.25]:[DEZ.26]])</f>
        <v>7008.8429999999998</v>
      </c>
      <c r="H6" s="129">
        <f>Tb_ValorSS[[#This Row],[UBR MEDIDO]]*296.82</f>
        <v>2080364.77926</v>
      </c>
      <c r="I6" s="129">
        <f>IF(ABS(Tb_ValorSS[[#This Row],[R$ APROVADO]]-Tb_ValorSS[[#This Row],[R$ MEDIDO ]])&lt;0.01,0,Tb_ValorSS[[#This Row],[R$ APROVADO]]-Tb_ValorSS[[#This Row],[R$ MEDIDO ]])</f>
        <v>5860146.3483599992</v>
      </c>
      <c r="J6" s="143"/>
      <c r="K6" s="160">
        <v>1893.88</v>
      </c>
      <c r="L6" s="161">
        <v>2004.2819999999999</v>
      </c>
      <c r="M6" s="161">
        <v>789.51300000000003</v>
      </c>
      <c r="N6" s="161">
        <v>789.51300000000003</v>
      </c>
      <c r="O6" s="161">
        <f>394.756+347.386</f>
        <v>742.14200000000005</v>
      </c>
      <c r="P6" s="161">
        <v>789.51300000000003</v>
      </c>
      <c r="Q6" s="161"/>
      <c r="R6" s="161"/>
      <c r="S6" s="161"/>
      <c r="T6" s="161"/>
      <c r="U6" s="161"/>
      <c r="V6" s="161"/>
      <c r="W6" s="161"/>
      <c r="X6" s="161"/>
      <c r="Y6" s="161"/>
      <c r="Z6" s="161"/>
      <c r="AA6" s="138"/>
      <c r="AB6" s="132" t="str">
        <f>IFERROR(_xlfn.XLOOKUP(Tb_ValorSS[[#This Row],[Nº  SS]],Tb_DISTR.FIN[Nº  SS],Tb_DISTR.FIN[OUT.25],"",0,1),"")</f>
        <v/>
      </c>
      <c r="AC6" s="133">
        <v>562141.53588614904</v>
      </c>
      <c r="AD6" s="132" t="str">
        <f>IFERROR(_xlfn.XLOOKUP(Tb_ValorSS[[#This Row],[Nº  SS]],Tb_DISTR.FIN[Nº  SS],Tb_DISTR.FIN[OUT.25],"",0,1),"")</f>
        <v/>
      </c>
      <c r="AE6" s="133">
        <v>594910.89</v>
      </c>
      <c r="AF6" s="132" t="str">
        <f>IFERROR(_xlfn.XLOOKUP(Tb_ValorSS[[#This Row],[Nº  SS]],Tb_DISTR.FIN[Nº  SS],Tb_DISTR.FIN[OUT.25],"",0,1),"")</f>
        <v/>
      </c>
      <c r="AG6" s="133">
        <v>234343.17</v>
      </c>
      <c r="AH6" s="132" t="str">
        <f>IFERROR(_xlfn.XLOOKUP(Tb_ValorSS[[#This Row],[Nº  SS]],Tb_DISTR.FIN[Nº  SS],Tb_DISTR.FIN[OUT.25],"",0,1),"")</f>
        <v/>
      </c>
      <c r="AI6" s="133">
        <v>234343.17</v>
      </c>
      <c r="AJ6" s="132" t="str">
        <f>IFERROR(_xlfn.XLOOKUP(Tb_ValorSS[[#This Row],[Nº  SS]],Tb_DISTR.FIN[Nº  SS],Tb_DISTR.FIN[OUT.25],"",0,1),"")</f>
        <v/>
      </c>
      <c r="AK6" s="133">
        <v>220282.59</v>
      </c>
      <c r="AL6" s="132" t="str">
        <f>IFERROR(_xlfn.XLOOKUP(Tb_ValorSS[[#This Row],[Nº  SS]],Tb_DISTR.FIN[Nº  SS],Tb_DISTR.FIN[OUT.25],"",0,1),"")</f>
        <v/>
      </c>
      <c r="AM6" s="133">
        <v>234343.17</v>
      </c>
      <c r="AN6" s="132" t="str">
        <f>IFERROR(_xlfn.XLOOKUP(Tb_ValorSS[[#This Row],[Nº  SS]],Tb_DISTR.FIN[Nº  SS],Tb_DISTR.FIN[OUT.25],"",0,1),"")</f>
        <v/>
      </c>
      <c r="AO6" s="133">
        <v>234343.17</v>
      </c>
      <c r="AP6" s="132" t="str">
        <f>IFERROR(_xlfn.XLOOKUP(Tb_ValorSS[[#This Row],[Nº  SS]],Tb_DISTR.FIN[Nº  SS],Tb_DISTR.FIN[OUT.25],"",0,1),"")</f>
        <v/>
      </c>
      <c r="AQ6" s="133">
        <v>234343.17</v>
      </c>
      <c r="AR6" s="132" t="str">
        <f>IFERROR(_xlfn.XLOOKUP(Tb_ValorSS[[#This Row],[Nº  SS]],Tb_DISTR.FIN[Nº  SS],Tb_DISTR.FIN[OUT.25],"",0,1),"")</f>
        <v/>
      </c>
      <c r="AS6" s="133">
        <v>234343.17</v>
      </c>
      <c r="AT6" s="132" t="str">
        <f>IFERROR(_xlfn.XLOOKUP(Tb_ValorSS[[#This Row],[Nº  SS]],Tb_DISTR.FIN[Nº  SS],Tb_DISTR.FIN[OUT.25],"",0,1),"")</f>
        <v/>
      </c>
      <c r="AU6" s="133">
        <v>234343.17</v>
      </c>
      <c r="AV6" s="132" t="str">
        <f>IFERROR(_xlfn.XLOOKUP(Tb_ValorSS[[#This Row],[Nº  SS]],Tb_DISTR.FIN[Nº  SS],Tb_DISTR.FIN[OUT.25],"",0,1),"")</f>
        <v/>
      </c>
      <c r="AW6" s="133">
        <v>234343.17</v>
      </c>
      <c r="AX6" s="132" t="str">
        <f>IFERROR(_xlfn.XLOOKUP(Tb_ValorSS[[#This Row],[Nº  SS]],Tb_DISTR.FIN[Nº  SS],Tb_DISTR.FIN[OUT.25],"",0,1),"")</f>
        <v/>
      </c>
      <c r="AY6" s="133">
        <v>234343.17</v>
      </c>
      <c r="AZ6" s="132" t="str">
        <f>IFERROR(_xlfn.XLOOKUP(Tb_ValorSS[[#This Row],[Nº  SS]],Tb_DISTR.FIN[Nº  SS],Tb_DISTR.FIN[OUT.25],"",0,1),"")</f>
        <v/>
      </c>
      <c r="BA6" s="133">
        <v>234343.17</v>
      </c>
      <c r="BB6" s="132" t="str">
        <f>IFERROR(_xlfn.XLOOKUP(Tb_ValorSS[[#This Row],[Nº  SS]],Tb_DISTR.FIN[Nº  SS],Tb_DISTR.FIN[OUT.25],"",0,1),"")</f>
        <v/>
      </c>
      <c r="BC6" s="133">
        <v>234343.17</v>
      </c>
      <c r="BD6" s="132" t="str">
        <f>IFERROR(_xlfn.XLOOKUP(Tb_ValorSS[[#This Row],[Nº  SS]],Tb_DISTR.FIN[Nº  SS],Tb_DISTR.FIN[OUT.25],"",0,1),"")</f>
        <v/>
      </c>
      <c r="BE6" s="133">
        <v>234343.17</v>
      </c>
      <c r="BF6" s="132" t="str">
        <f>IFERROR(_xlfn.XLOOKUP(Tb_ValorSS[[#This Row],[Nº  SS]],Tb_DISTR.FIN[Nº  SS],Tb_DISTR.FIN[OUT.25],"",0,1),"")</f>
        <v/>
      </c>
      <c r="BG6" s="133">
        <v>234343.17</v>
      </c>
    </row>
    <row r="7" spans="1:59" x14ac:dyDescent="0.3">
      <c r="A7" s="128" t="s">
        <v>437</v>
      </c>
      <c r="B7" s="128" t="str">
        <f>_xlfn.XLOOKUP(Tb_ValorSS[[#This Row],[Nº  SS]],tb_Distr[SS],tb_Distr[DESCRIÇÃO],"",0,1)</f>
        <v>IMPLANTAÇÃO UTGC</v>
      </c>
      <c r="C7" s="128" t="str">
        <f>_xlfn.XLOOKUP(Tb_ValorSS[[#This Row],[Nº  SS]],TB_CR.ACOMP[Nº  SS],TB_CR.ACOMP[TOMADOR],"",0,1)</f>
        <v>UTGC</v>
      </c>
      <c r="D7" s="128" t="str">
        <f>_xlfn.XLOOKUP(Tb_ValorSS[[#This Row],[Nº  SS]],TB_CR.ACOMP[Nº  SS],TB_CR.ACOMP[STATUS DEMANDA],"",0,1)</f>
        <v>EM ANDAMENTO</v>
      </c>
      <c r="E7" s="231">
        <v>34768.550999999999</v>
      </c>
      <c r="F7" s="129">
        <f>Tb_ValorSS[[#This Row],[UBR APROV]]*296.82</f>
        <v>10320001.30782</v>
      </c>
      <c r="G7" s="231">
        <f>SUM(Tb_ValorSS[[#This Row],[SET.25]:[DEZ.26]])</f>
        <v>11189.380000000001</v>
      </c>
      <c r="H7" s="129">
        <f>Tb_ValorSS[[#This Row],[UBR MEDIDO]]*296.82</f>
        <v>3321231.7716000001</v>
      </c>
      <c r="I7" s="129">
        <f>IF(ABS(Tb_ValorSS[[#This Row],[R$ APROVADO]]-Tb_ValorSS[[#This Row],[R$ MEDIDO ]])&lt;0.01,0,Tb_ValorSS[[#This Row],[R$ APROVADO]]-Tb_ValorSS[[#This Row],[R$ MEDIDO ]])</f>
        <v>6998769.5362199992</v>
      </c>
      <c r="J7" s="143"/>
      <c r="K7" s="160">
        <v>6429.38</v>
      </c>
      <c r="L7" s="161">
        <v>952</v>
      </c>
      <c r="M7" s="161">
        <v>952</v>
      </c>
      <c r="N7" s="161">
        <v>952</v>
      </c>
      <c r="O7" s="161">
        <v>952</v>
      </c>
      <c r="P7" s="161">
        <v>952</v>
      </c>
      <c r="Q7" s="161"/>
      <c r="R7" s="161"/>
      <c r="S7" s="161"/>
      <c r="T7" s="161"/>
      <c r="U7" s="161"/>
      <c r="V7" s="161"/>
      <c r="W7" s="161"/>
      <c r="X7" s="161"/>
      <c r="Y7" s="161"/>
      <c r="Z7" s="161"/>
      <c r="AA7" s="138"/>
      <c r="AB7" s="132" t="str">
        <f>IFERROR(_xlfn.XLOOKUP(Tb_ValorSS[[#This Row],[Nº  SS]],Tb_DISTR.FIN[Nº  SS],Tb_DISTR.FIN[OUT.25],"",0,1),"")</f>
        <v/>
      </c>
      <c r="AC7" s="133">
        <v>1908367.88</v>
      </c>
      <c r="AD7" s="132" t="str">
        <f>IFERROR(_xlfn.XLOOKUP(Tb_ValorSS[[#This Row],[Nº  SS]],Tb_DISTR.FIN[Nº  SS],Tb_DISTR.FIN[OUT.25],"",0,1),"")</f>
        <v/>
      </c>
      <c r="AE7" s="133">
        <v>282572.64</v>
      </c>
      <c r="AF7" s="132" t="str">
        <f>IFERROR(_xlfn.XLOOKUP(Tb_ValorSS[[#This Row],[Nº  SS]],Tb_DISTR.FIN[Nº  SS],Tb_DISTR.FIN[OUT.25],"",0,1),"")</f>
        <v/>
      </c>
      <c r="AG7" s="133">
        <v>282572.64</v>
      </c>
      <c r="AH7" s="132" t="str">
        <f>IFERROR(_xlfn.XLOOKUP(Tb_ValorSS[[#This Row],[Nº  SS]],Tb_DISTR.FIN[Nº  SS],Tb_DISTR.FIN[OUT.25],"",0,1),"")</f>
        <v/>
      </c>
      <c r="AI7" s="133">
        <v>282572.64</v>
      </c>
      <c r="AJ7" s="132" t="str">
        <f>IFERROR(_xlfn.XLOOKUP(Tb_ValorSS[[#This Row],[Nº  SS]],Tb_DISTR.FIN[Nº  SS],Tb_DISTR.FIN[OUT.25],"",0,1),"")</f>
        <v/>
      </c>
      <c r="AK7" s="133">
        <v>282572.64</v>
      </c>
      <c r="AL7" s="132" t="str">
        <f>IFERROR(_xlfn.XLOOKUP(Tb_ValorSS[[#This Row],[Nº  SS]],Tb_DISTR.FIN[Nº  SS],Tb_DISTR.FIN[OUT.25],"",0,1),"")</f>
        <v/>
      </c>
      <c r="AM7" s="133">
        <v>282572.64</v>
      </c>
      <c r="AN7" s="132" t="str">
        <f>IFERROR(_xlfn.XLOOKUP(Tb_ValorSS[[#This Row],[Nº  SS]],Tb_DISTR.FIN[Nº  SS],Tb_DISTR.FIN[OUT.25],"",0,1),"")</f>
        <v/>
      </c>
      <c r="AO7" s="133">
        <v>282572.64</v>
      </c>
      <c r="AP7" s="132" t="str">
        <f>IFERROR(_xlfn.XLOOKUP(Tb_ValorSS[[#This Row],[Nº  SS]],Tb_DISTR.FIN[Nº  SS],Tb_DISTR.FIN[OUT.25],"",0,1),"")</f>
        <v/>
      </c>
      <c r="AQ7" s="133">
        <v>282572.64</v>
      </c>
      <c r="AR7" s="132" t="str">
        <f>IFERROR(_xlfn.XLOOKUP(Tb_ValorSS[[#This Row],[Nº  SS]],Tb_DISTR.FIN[Nº  SS],Tb_DISTR.FIN[OUT.25],"",0,1),"")</f>
        <v/>
      </c>
      <c r="AS7" s="133">
        <v>282572.64</v>
      </c>
      <c r="AT7" s="132" t="str">
        <f>IFERROR(_xlfn.XLOOKUP(Tb_ValorSS[[#This Row],[Nº  SS]],Tb_DISTR.FIN[Nº  SS],Tb_DISTR.FIN[OUT.25],"",0,1),"")</f>
        <v/>
      </c>
      <c r="AU7" s="133">
        <v>282572.64</v>
      </c>
      <c r="AV7" s="132" t="str">
        <f>IFERROR(_xlfn.XLOOKUP(Tb_ValorSS[[#This Row],[Nº  SS]],Tb_DISTR.FIN[Nº  SS],Tb_DISTR.FIN[OUT.25],"",0,1),"")</f>
        <v/>
      </c>
      <c r="AW7" s="133">
        <v>282572.64</v>
      </c>
      <c r="AX7" s="132" t="str">
        <f>IFERROR(_xlfn.XLOOKUP(Tb_ValorSS[[#This Row],[Nº  SS]],Tb_DISTR.FIN[Nº  SS],Tb_DISTR.FIN[OUT.25],"",0,1),"")</f>
        <v/>
      </c>
      <c r="AY7" s="133">
        <v>282572.64</v>
      </c>
      <c r="AZ7" s="132" t="str">
        <f>IFERROR(_xlfn.XLOOKUP(Tb_ValorSS[[#This Row],[Nº  SS]],Tb_DISTR.FIN[Nº  SS],Tb_DISTR.FIN[OUT.25],"",0,1),"")</f>
        <v/>
      </c>
      <c r="BA7" s="133">
        <v>282572.64</v>
      </c>
      <c r="BB7" s="132" t="str">
        <f>IFERROR(_xlfn.XLOOKUP(Tb_ValorSS[[#This Row],[Nº  SS]],Tb_DISTR.FIN[Nº  SS],Tb_DISTR.FIN[OUT.25],"",0,1),"")</f>
        <v/>
      </c>
      <c r="BC7" s="133">
        <v>282572.64</v>
      </c>
      <c r="BD7" s="132" t="str">
        <f>IFERROR(_xlfn.XLOOKUP(Tb_ValorSS[[#This Row],[Nº  SS]],Tb_DISTR.FIN[Nº  SS],Tb_DISTR.FIN[OUT.25],"",0,1),"")</f>
        <v/>
      </c>
      <c r="BE7" s="133">
        <v>282572.64</v>
      </c>
      <c r="BF7" s="132" t="str">
        <f>IFERROR(_xlfn.XLOOKUP(Tb_ValorSS[[#This Row],[Nº  SS]],Tb_DISTR.FIN[Nº  SS],Tb_DISTR.FIN[OUT.25],"",0,1),"")</f>
        <v/>
      </c>
      <c r="BG7" s="133">
        <v>282572.64</v>
      </c>
    </row>
    <row r="8" spans="1:59" s="122" customFormat="1" hidden="1" x14ac:dyDescent="0.3">
      <c r="A8" s="130" t="s">
        <v>438</v>
      </c>
      <c r="B8" s="130" t="str">
        <f>_xlfn.XLOOKUP(Tb_ValorSS[[#This Row],[Nº  SS]],tb_Distr[SS],tb_Distr[DESCRIÇÃO],"",0,1)</f>
        <v>IMPLANTAÇÃO REGAP</v>
      </c>
      <c r="C8" s="130" t="str">
        <f>_xlfn.XLOOKUP(Tb_ValorSS[[#This Row],[Nº  SS]],TB_CR.ACOMP[Nº  SS],TB_CR.ACOMP[TOMADOR],"",0,1)</f>
        <v>REGAP</v>
      </c>
      <c r="D8" s="130" t="str">
        <f>_xlfn.XLOOKUP(Tb_ValorSS[[#This Row],[Nº  SS]],TB_CR.ACOMP[Nº  SS],TB_CR.ACOMP[STATUS DEMANDA],"",0,1)</f>
        <v>NÃO EMITIDA SAMC</v>
      </c>
      <c r="E8" s="232"/>
      <c r="F8" s="131"/>
      <c r="G8" s="232">
        <f>SUM(Tb_ValorSS[[#This Row],[SET.25]:[DEZ.26]])</f>
        <v>0</v>
      </c>
      <c r="H8" s="131">
        <f>Tb_ValorSS[[#This Row],[UBR MEDIDO]]*296.82</f>
        <v>0</v>
      </c>
      <c r="I8" s="131">
        <f>IF(ABS(Tb_ValorSS[[#This Row],[R$ APROVADO]]-Tb_ValorSS[[#This Row],[R$ MEDIDO ]])&lt;0.01,0,Tb_ValorSS[[#This Row],[R$ APROVADO]]-Tb_ValorSS[[#This Row],[R$ MEDIDO ]])</f>
        <v>0</v>
      </c>
      <c r="J8" s="143"/>
      <c r="K8" s="162"/>
      <c r="L8" s="163"/>
      <c r="M8" s="163"/>
      <c r="N8" s="163"/>
      <c r="O8" s="163"/>
      <c r="P8" s="163"/>
      <c r="Q8" s="163"/>
      <c r="R8" s="163"/>
      <c r="S8" s="163"/>
      <c r="T8" s="163"/>
      <c r="U8" s="163"/>
      <c r="V8" s="163"/>
      <c r="W8" s="163"/>
      <c r="X8" s="163"/>
      <c r="Y8" s="163"/>
      <c r="Z8" s="163"/>
      <c r="AA8" s="138"/>
      <c r="AB8" s="132"/>
      <c r="AC8" s="133"/>
      <c r="AD8" s="132"/>
      <c r="AE8" s="133"/>
      <c r="AF8" s="132"/>
      <c r="AG8" s="133"/>
      <c r="AH8" s="132"/>
      <c r="AI8" s="133"/>
      <c r="AJ8" s="132"/>
      <c r="AK8" s="133"/>
      <c r="AL8" s="132"/>
      <c r="AM8" s="133"/>
      <c r="AN8" s="132"/>
      <c r="AO8" s="133"/>
      <c r="AP8" s="132"/>
      <c r="AQ8" s="133"/>
      <c r="AR8" s="132"/>
      <c r="AS8" s="133"/>
      <c r="AT8" s="132"/>
      <c r="AU8" s="133"/>
      <c r="AV8" s="132"/>
      <c r="AW8" s="133"/>
      <c r="AX8" s="132"/>
      <c r="AY8" s="133"/>
      <c r="AZ8" s="132"/>
      <c r="BA8" s="133"/>
      <c r="BB8" s="132"/>
      <c r="BC8" s="133"/>
      <c r="BD8" s="132"/>
      <c r="BE8" s="133"/>
      <c r="BF8" s="132"/>
      <c r="BG8" s="133"/>
    </row>
    <row r="9" spans="1:59" x14ac:dyDescent="0.3">
      <c r="A9" t="s">
        <v>439</v>
      </c>
      <c r="B9" t="str">
        <f>_xlfn.XLOOKUP(Tb_ValorSS[[#This Row],[Nº  SS]],tb_Distr[SS],tb_Distr[DESCRIÇÃO],"",0,1)</f>
        <v>GALPÃO UPGN-2</v>
      </c>
      <c r="C9" t="str">
        <f>_xlfn.XLOOKUP(Tb_ValorSS[[#This Row],[Nº  SS]],TB_CR.ACOMP[Nº  SS],TB_CR.ACOMP[TOMADOR],"",0,1)</f>
        <v>UTGC</v>
      </c>
      <c r="D9" t="str">
        <f>_xlfn.XLOOKUP(Tb_ValorSS[[#This Row],[Nº  SS]],TB_CR.ACOMP[Nº  SS],TB_CR.ACOMP[STATUS DEMANDA],"",0,1)</f>
        <v>EM ANDAMENTO</v>
      </c>
      <c r="E9" s="233">
        <v>30999.424999999999</v>
      </c>
      <c r="F9" s="94">
        <f>Tb_ValorSS[[#This Row],[UBR APROV]]*296.82</f>
        <v>9201249.3284999989</v>
      </c>
      <c r="G9" s="233">
        <f>SUM(Tb_ValorSS[[#This Row],[SET.25]:[DEZ.26]])</f>
        <v>16584.691999999999</v>
      </c>
      <c r="H9" s="94">
        <f>Tb_ValorSS[[#This Row],[UBR MEDIDO]]*296.82</f>
        <v>4922668.2794399997</v>
      </c>
      <c r="I9" s="94">
        <f>IF(ABS(Tb_ValorSS[[#This Row],[R$ APROVADO]]-Tb_ValorSS[[#This Row],[R$ MEDIDO ]])&lt;0.01,0,Tb_ValorSS[[#This Row],[R$ APROVADO]]-Tb_ValorSS[[#This Row],[R$ MEDIDO ]])</f>
        <v>4278581.0490599992</v>
      </c>
      <c r="J9" s="143"/>
      <c r="K9" s="164"/>
      <c r="L9" s="165">
        <v>3099.94</v>
      </c>
      <c r="M9" s="165">
        <v>7129.87</v>
      </c>
      <c r="N9" s="165">
        <v>2789.9479999999999</v>
      </c>
      <c r="O9" s="165">
        <v>2789.9479999999999</v>
      </c>
      <c r="P9" s="165">
        <v>774.98599999999999</v>
      </c>
      <c r="Q9" s="165"/>
      <c r="R9" s="165"/>
      <c r="S9" s="165"/>
      <c r="T9" s="165"/>
      <c r="U9" s="165"/>
      <c r="V9" s="165"/>
      <c r="W9" s="165"/>
      <c r="X9" s="165"/>
      <c r="Y9" s="165"/>
      <c r="Z9" s="165"/>
      <c r="AA9" s="138"/>
      <c r="AB9" s="126">
        <f>IFERROR(_xlfn.XLOOKUP(Tb_ValorSS[[#This Row],[Nº  SS]],Tb_DISTR.FIN[Nº  SS],Tb_DISTR.FIN[SET.25],"",0,1),"")</f>
        <v>0</v>
      </c>
      <c r="AC9" s="97">
        <f>IFERROR(_xlfn.XLOOKUP(Tb_ValorSS[[#This Row],[Nº  SS]],Tb_DISTR.FIN[Nº  SS],Tb_DISTR.FIN[SET.25],"",0,1)*Tb_ValorSS[[#This Row],[R$ APROVADO]],"")</f>
        <v>0</v>
      </c>
      <c r="AD9" s="126">
        <f>IFERROR(_xlfn.XLOOKUP(Tb_ValorSS[[#This Row],[Nº  SS]],Tb_DISTR.FIN[Nº  SS],Tb_DISTR.FIN[OUT.25],"",0,1),"")</f>
        <v>0.1</v>
      </c>
      <c r="AE9" s="97">
        <f>IFERROR(_xlfn.XLOOKUP(Tb_ValorSS[[#This Row],[Nº  SS]],Tb_DISTR.FIN[Nº  SS],Tb_DISTR.FIN[OUT.25],"",0,1)*Tb_ValorSS[[#This Row],[R$ APROVADO]],"")</f>
        <v>920124.93284999998</v>
      </c>
      <c r="AF9" s="126">
        <f>IFERROR(_xlfn.XLOOKUP(Tb_ValorSS[[#This Row],[Nº  SS]],Tb_DISTR.FIN[Nº  SS],Tb_DISTR.FIN[NOV.25],"",0,1),"")</f>
        <v>0.23</v>
      </c>
      <c r="AG9" s="97">
        <f>IFERROR(_xlfn.XLOOKUP(Tb_ValorSS[[#This Row],[Nº  SS]],Tb_DISTR.FIN[Nº  SS],Tb_DISTR.FIN[NOV.25],"",0,1)*Tb_ValorSS[[#This Row],[R$ APROVADO]],"")</f>
        <v>2116287.345555</v>
      </c>
      <c r="AH9" s="126">
        <f>IFERROR(_xlfn.XLOOKUP(Tb_ValorSS[[#This Row],[Nº  SS]],Tb_DISTR.FIN[Nº  SS],Tb_DISTR.FIN[DEZ.25],"",0,1),"")</f>
        <v>0.09</v>
      </c>
      <c r="AI9" s="97">
        <f>IFERROR(_xlfn.XLOOKUP(Tb_ValorSS[[#This Row],[Nº  SS]],Tb_DISTR.FIN[Nº  SS],Tb_DISTR.FIN[DEZ.25],"",0,1)*Tb_ValorSS[[#This Row],[R$ APROVADO]],"")</f>
        <v>828112.43956499989</v>
      </c>
      <c r="AJ9" s="126">
        <f>IFERROR(_xlfn.XLOOKUP(Tb_ValorSS[[#This Row],[Nº  SS]],Tb_DISTR.FIN[Nº  SS],Tb_DISTR.FIN[JAN.26],"",0,1),"")</f>
        <v>0.09</v>
      </c>
      <c r="AK9" s="97">
        <f>IFERROR(_xlfn.XLOOKUP(Tb_ValorSS[[#This Row],[Nº  SS]],Tb_DISTR.FIN[Nº  SS],Tb_DISTR.FIN[JAN.26],"",0,1)*Tb_ValorSS[[#This Row],[R$ APROVADO]],"")</f>
        <v>828112.43956499989</v>
      </c>
      <c r="AL9" s="126">
        <f>IFERROR(_xlfn.XLOOKUP(Tb_ValorSS[[#This Row],[Nº  SS]],Tb_DISTR.FIN[Nº  SS],Tb_DISTR.FIN[FEV.26],"",0,1),"")</f>
        <v>2.5000000000000001E-2</v>
      </c>
      <c r="AM9" s="97">
        <f>IFERROR(_xlfn.XLOOKUP(Tb_ValorSS[[#This Row],[Nº  SS]],Tb_DISTR.FIN[Nº  SS],Tb_DISTR.FIN[FEV.26],"",0,1)*Tb_ValorSS[[#This Row],[R$ APROVADO]],"")</f>
        <v>230031.2332125</v>
      </c>
      <c r="AN9" s="126">
        <f>IFERROR(_xlfn.XLOOKUP(Tb_ValorSS[[#This Row],[Nº  SS]],Tb_DISTR.FIN[Nº  SS],Tb_DISTR.FIN[MAR.26],"",0,1),"")</f>
        <v>7.0000000000000007E-2</v>
      </c>
      <c r="AO9" s="97">
        <f>IFERROR(_xlfn.XLOOKUP(Tb_ValorSS[[#This Row],[Nº  SS]],Tb_DISTR.FIN[Nº  SS],Tb_DISTR.FIN[MAR.26],"",0,1)*Tb_ValorSS[[#This Row],[R$ APROVADO]],"")</f>
        <v>644087.45299499994</v>
      </c>
      <c r="AP9" s="126">
        <f>IFERROR(_xlfn.XLOOKUP(Tb_ValorSS[[#This Row],[Nº  SS]],Tb_DISTR.FIN[Nº  SS],Tb_DISTR.FIN[ABR.26],"",0,1),"")</f>
        <v>8.5000000000000006E-2</v>
      </c>
      <c r="AQ9" s="97">
        <f>IFERROR(_xlfn.XLOOKUP(Tb_ValorSS[[#This Row],[Nº  SS]],Tb_DISTR.FIN[Nº  SS],Tb_DISTR.FIN[ABR.26],"",0,1)*Tb_ValorSS[[#This Row],[R$ APROVADO]],"")</f>
        <v>782106.19292249996</v>
      </c>
      <c r="AR9" s="126">
        <f>IFERROR(_xlfn.XLOOKUP(Tb_ValorSS[[#This Row],[Nº  SS]],Tb_DISTR.FIN[Nº  SS],Tb_DISTR.FIN[MAI.26],"",0,1),"")</f>
        <v>0.11</v>
      </c>
      <c r="AS9" s="97">
        <f>IFERROR(_xlfn.XLOOKUP(Tb_ValorSS[[#This Row],[Nº  SS]],Tb_DISTR.FIN[Nº  SS],Tb_DISTR.FIN[MAI.26],"",0,1)*Tb_ValorSS[[#This Row],[R$ APROVADO]],"")</f>
        <v>1012137.4261349998</v>
      </c>
      <c r="AT9" s="126">
        <f>IFERROR(_xlfn.XLOOKUP(Tb_ValorSS[[#This Row],[Nº  SS]],Tb_DISTR.FIN[Nº  SS],Tb_DISTR.FIN[JUN.26],"",0,1),"")</f>
        <v>0.1</v>
      </c>
      <c r="AU9" s="97">
        <f>IFERROR(_xlfn.XLOOKUP(Tb_ValorSS[[#This Row],[Nº  SS]],Tb_DISTR.FIN[Nº  SS],Tb_DISTR.FIN[JUN.26],"",0,1)*Tb_ValorSS[[#This Row],[R$ APROVADO]],"")</f>
        <v>920124.93284999998</v>
      </c>
      <c r="AV9" s="126">
        <f>IFERROR(_xlfn.XLOOKUP(Tb_ValorSS[[#This Row],[Nº  SS]],Tb_DISTR.FIN[Nº  SS],Tb_DISTR.FIN[JUL.26],"",0,1),"")</f>
        <v>0.1</v>
      </c>
      <c r="AW9" s="97">
        <f>IFERROR(_xlfn.XLOOKUP(Tb_ValorSS[[#This Row],[Nº  SS]],Tb_DISTR.FIN[Nº  SS],Tb_DISTR.FIN[JUL.26],"",0,1)*Tb_ValorSS[[#This Row],[R$ APROVADO]],"")</f>
        <v>920124.93284999998</v>
      </c>
      <c r="AX9" s="126">
        <f>IFERROR(_xlfn.XLOOKUP(Tb_ValorSS[[#This Row],[Nº  SS]],Tb_DISTR.FIN[Nº  SS],Tb_DISTR.FIN[AGO.26],"",0,1),"")</f>
        <v>0</v>
      </c>
      <c r="AY9" s="97">
        <f>IFERROR(_xlfn.XLOOKUP(Tb_ValorSS[[#This Row],[Nº  SS]],Tb_DISTR.FIN[Nº  SS],Tb_DISTR.FIN[AGO.26],"",0,1)*Tb_ValorSS[[#This Row],[R$ APROVADO]],"")</f>
        <v>0</v>
      </c>
      <c r="AZ9" s="126">
        <f>IFERROR(_xlfn.XLOOKUP(Tb_ValorSS[[#This Row],[Nº  SS]],Tb_DISTR.FIN[Nº  SS],Tb_DISTR.FIN[SET.26],"",0,1),"")</f>
        <v>0</v>
      </c>
      <c r="BA9" s="97">
        <f>IFERROR(_xlfn.XLOOKUP(Tb_ValorSS[[#This Row],[Nº  SS]],Tb_DISTR.FIN[Nº  SS],Tb_DISTR.FIN[SET.26],"",0,1)*Tb_ValorSS[[#This Row],[R$ APROVADO]],"")</f>
        <v>0</v>
      </c>
      <c r="BB9" s="126">
        <f>IFERROR(_xlfn.XLOOKUP(Tb_ValorSS[[#This Row],[Nº  SS]],Tb_DISTR.FIN[Nº  SS],Tb_DISTR.FIN[OUT.26],"",0,1),"")</f>
        <v>0</v>
      </c>
      <c r="BC9" s="97">
        <f>IFERROR(_xlfn.XLOOKUP(Tb_ValorSS[[#This Row],[Nº  SS]],Tb_DISTR.FIN[Nº  SS],Tb_DISTR.FIN[OUT.26],"",0,1)*Tb_ValorSS[[#This Row],[R$ APROVADO]],"")</f>
        <v>0</v>
      </c>
      <c r="BD9" s="126">
        <f>IFERROR(_xlfn.XLOOKUP(Tb_ValorSS[[#This Row],[Nº  SS]],Tb_DISTR.FIN[Nº  SS],Tb_DISTR.FIN[NOV.26],"",0,1),"")</f>
        <v>0</v>
      </c>
      <c r="BE9" s="97">
        <f>IFERROR(_xlfn.XLOOKUP(Tb_ValorSS[[#This Row],[Nº  SS]],Tb_DISTR.FIN[Nº  SS],Tb_DISTR.FIN[NOV.26],"",0,1)*Tb_ValorSS[[#This Row],[R$ APROVADO]],"")</f>
        <v>0</v>
      </c>
      <c r="BF9" s="126">
        <f>IFERROR(_xlfn.XLOOKUP(Tb_ValorSS[[#This Row],[Nº  SS]],Tb_DISTR.FIN[Nº  SS],Tb_DISTR.FIN[DEZ.26],"",0,1),"")</f>
        <v>0</v>
      </c>
      <c r="BG9" s="97">
        <f>IFERROR(_xlfn.XLOOKUP(Tb_ValorSS[[#This Row],[Nº  SS]],Tb_DISTR.FIN[Nº  SS],Tb_DISTR.FIN[DEZ.26],"",0,1)*Tb_ValorSS[[#This Row],[R$ APROVADO]],"")</f>
        <v>0</v>
      </c>
    </row>
    <row r="10" spans="1:59" hidden="1" x14ac:dyDescent="0.3">
      <c r="A10" t="s">
        <v>440</v>
      </c>
      <c r="B10" t="str">
        <f>_xlfn.XLOOKUP(Tb_ValorSS[[#This Row],[Nº  SS]],tb_Distr[SS],tb_Distr[DESCRIÇÃO],"",0,1)</f>
        <v>GALPÃO SECGN</v>
      </c>
      <c r="C10" t="str">
        <f>_xlfn.XLOOKUP(Tb_ValorSS[[#This Row],[Nº  SS]],TB_CR.ACOMP[Nº  SS],TB_CR.ACOMP[TOMADOR],"",0,1)</f>
        <v>UTGC</v>
      </c>
      <c r="D10" t="str">
        <f>_xlfn.XLOOKUP(Tb_ValorSS[[#This Row],[Nº  SS]],TB_CR.ACOMP[Nº  SS],TB_CR.ACOMP[STATUS DEMANDA],"",0,1)</f>
        <v>CONCLUÍDA</v>
      </c>
      <c r="E10" s="233">
        <v>2888.8290000000002</v>
      </c>
      <c r="F10" s="94">
        <f>Tb_ValorSS[[#This Row],[UBR APROV]]*296.82</f>
        <v>857462.22378</v>
      </c>
      <c r="G10" s="233">
        <f>SUM(Tb_ValorSS[[#This Row],[SET.25]:[DEZ.26]])</f>
        <v>2888.8290000000002</v>
      </c>
      <c r="H10" s="94">
        <f>Tb_ValorSS[[#This Row],[UBR MEDIDO]]*296.82</f>
        <v>857462.22378</v>
      </c>
      <c r="I10" s="94">
        <f>IF(ABS(Tb_ValorSS[[#This Row],[R$ APROVADO]]-Tb_ValorSS[[#This Row],[R$ MEDIDO ]])&lt;0.01,0,Tb_ValorSS[[#This Row],[R$ APROVADO]]-Tb_ValorSS[[#This Row],[R$ MEDIDO ]])</f>
        <v>0</v>
      </c>
      <c r="J10" s="143"/>
      <c r="K10" s="164">
        <v>240.15</v>
      </c>
      <c r="L10" s="165">
        <v>669.91</v>
      </c>
      <c r="M10" s="165">
        <v>714.57</v>
      </c>
      <c r="N10" s="165"/>
      <c r="O10" s="165">
        <v>1264.1990000000001</v>
      </c>
      <c r="P10" s="165"/>
      <c r="Q10" s="165"/>
      <c r="R10" s="165"/>
      <c r="S10" s="165"/>
      <c r="T10" s="165"/>
      <c r="U10" s="165"/>
      <c r="V10" s="165"/>
      <c r="W10" s="165"/>
      <c r="X10" s="165"/>
      <c r="Y10" s="165"/>
      <c r="Z10" s="165"/>
      <c r="AA10" s="138"/>
      <c r="AB10" s="126">
        <f>IFERROR(_xlfn.XLOOKUP(Tb_ValorSS[[#This Row],[Nº  SS]],Tb_DISTR.FIN[Nº  SS],Tb_DISTR.FIN[SET.25],"",0,1),"")</f>
        <v>8.3130569514498792E-2</v>
      </c>
      <c r="AC10" s="97">
        <v>71281.323000000004</v>
      </c>
      <c r="AD10" s="126">
        <f>IFERROR(_xlfn.XLOOKUP(Tb_ValorSS[[#This Row],[Nº  SS]],Tb_DISTR.FIN[Nº  SS],Tb_DISTR.FIN[OUT.25],"",0,1),"")</f>
        <v>0.23189999999999994</v>
      </c>
      <c r="AE10" s="97">
        <v>198842.6862</v>
      </c>
      <c r="AF10" s="126">
        <f>IFERROR(_xlfn.XLOOKUP(Tb_ValorSS[[#This Row],[Nº  SS]],Tb_DISTR.FIN[Nº  SS],Tb_DISTR.FIN[NOV.25],"",0,1),"")</f>
        <v>0.24736</v>
      </c>
      <c r="AG10" s="97">
        <f>IFERROR(_xlfn.XLOOKUP(Tb_ValorSS[[#This Row],[Nº  SS]],Tb_DISTR.FIN[Nº  SS],Tb_DISTR.FIN[NOV.25],"",0,1)*Tb_ValorSS[[#This Row],[R$ APROVADO]],"")</f>
        <v>212101.8556742208</v>
      </c>
      <c r="AH10" s="126">
        <f>IFERROR(_xlfn.XLOOKUP(Tb_ValorSS[[#This Row],[Nº  SS]],Tb_DISTR.FIN[Nº  SS],Tb_DISTR.FIN[DEZ.25],"",0,1),"")</f>
        <v>0</v>
      </c>
      <c r="AI10" s="97">
        <f>IFERROR(_xlfn.XLOOKUP(Tb_ValorSS[[#This Row],[Nº  SS]],Tb_DISTR.FIN[Nº  SS],Tb_DISTR.FIN[DEZ.25],"",0,1)*Tb_ValorSS[[#This Row],[R$ APROVADO]],"")</f>
        <v>0</v>
      </c>
      <c r="AJ10" s="126">
        <f>IFERROR(_xlfn.XLOOKUP(Tb_ValorSS[[#This Row],[Nº  SS]],Tb_DISTR.FIN[Nº  SS],Tb_DISTR.FIN[JAN.26],"",0,1),"")</f>
        <v>0.43760943048550127</v>
      </c>
      <c r="AK10" s="97">
        <f>IFERROR(_xlfn.XLOOKUP(Tb_ValorSS[[#This Row],[Nº  SS]],Tb_DISTR.FIN[Nº  SS],Tb_DISTR.FIN[JAN.26],"",0,1)*Tb_ValorSS[[#This Row],[R$ APROVADO]],"")</f>
        <v>375233.55541119725</v>
      </c>
      <c r="AL10" s="126">
        <f>IFERROR(_xlfn.XLOOKUP(Tb_ValorSS[[#This Row],[Nº  SS]],Tb_DISTR.FIN[Nº  SS],Tb_DISTR.FIN[FEV.26],"",0,1),"")</f>
        <v>0</v>
      </c>
      <c r="AM10" s="97">
        <f>IFERROR(_xlfn.XLOOKUP(Tb_ValorSS[[#This Row],[Nº  SS]],Tb_DISTR.FIN[Nº  SS],Tb_DISTR.FIN[FEV.26],"",0,1)*Tb_ValorSS[[#This Row],[R$ APROVADO]],"")</f>
        <v>0</v>
      </c>
      <c r="AN10" s="126">
        <f>IFERROR(_xlfn.XLOOKUP(Tb_ValorSS[[#This Row],[Nº  SS]],Tb_DISTR.FIN[Nº  SS],Tb_DISTR.FIN[MAR.26],"",0,1),"")</f>
        <v>0</v>
      </c>
      <c r="AO10" s="97">
        <f>IFERROR(_xlfn.XLOOKUP(Tb_ValorSS[[#This Row],[Nº  SS]],Tb_DISTR.FIN[Nº  SS],Tb_DISTR.FIN[MAR.26],"",0,1)*Tb_ValorSS[[#This Row],[R$ APROVADO]],"")</f>
        <v>0</v>
      </c>
      <c r="AP10" s="126">
        <f>IFERROR(_xlfn.XLOOKUP(Tb_ValorSS[[#This Row],[Nº  SS]],Tb_DISTR.FIN[Nº  SS],Tb_DISTR.FIN[ABR.26],"",0,1),"")</f>
        <v>0</v>
      </c>
      <c r="AQ10" s="97">
        <f>IFERROR(_xlfn.XLOOKUP(Tb_ValorSS[[#This Row],[Nº  SS]],Tb_DISTR.FIN[Nº  SS],Tb_DISTR.FIN[ABR.26],"",0,1)*Tb_ValorSS[[#This Row],[R$ APROVADO]],"")</f>
        <v>0</v>
      </c>
      <c r="AR10" s="126">
        <f>IFERROR(_xlfn.XLOOKUP(Tb_ValorSS[[#This Row],[Nº  SS]],Tb_DISTR.FIN[Nº  SS],Tb_DISTR.FIN[MAI.26],"",0,1),"")</f>
        <v>0</v>
      </c>
      <c r="AS10" s="97">
        <f>IFERROR(_xlfn.XLOOKUP(Tb_ValorSS[[#This Row],[Nº  SS]],Tb_DISTR.FIN[Nº  SS],Tb_DISTR.FIN[MAI.26],"",0,1)*Tb_ValorSS[[#This Row],[R$ APROVADO]],"")</f>
        <v>0</v>
      </c>
      <c r="AT10" s="126">
        <f>IFERROR(_xlfn.XLOOKUP(Tb_ValorSS[[#This Row],[Nº  SS]],Tb_DISTR.FIN[Nº  SS],Tb_DISTR.FIN[JUN.26],"",0,1),"")</f>
        <v>0</v>
      </c>
      <c r="AU10" s="97">
        <f>IFERROR(_xlfn.XLOOKUP(Tb_ValorSS[[#This Row],[Nº  SS]],Tb_DISTR.FIN[Nº  SS],Tb_DISTR.FIN[JUN.26],"",0,1)*Tb_ValorSS[[#This Row],[R$ APROVADO]],"")</f>
        <v>0</v>
      </c>
      <c r="AV10" s="126">
        <f>IFERROR(_xlfn.XLOOKUP(Tb_ValorSS[[#This Row],[Nº  SS]],Tb_DISTR.FIN[Nº  SS],Tb_DISTR.FIN[JUL.26],"",0,1),"")</f>
        <v>0</v>
      </c>
      <c r="AW10" s="97">
        <f>IFERROR(_xlfn.XLOOKUP(Tb_ValorSS[[#This Row],[Nº  SS]],Tb_DISTR.FIN[Nº  SS],Tb_DISTR.FIN[JUL.26],"",0,1)*Tb_ValorSS[[#This Row],[R$ APROVADO]],"")</f>
        <v>0</v>
      </c>
      <c r="AX10" s="126">
        <f>IFERROR(_xlfn.XLOOKUP(Tb_ValorSS[[#This Row],[Nº  SS]],Tb_DISTR.FIN[Nº  SS],Tb_DISTR.FIN[AGO.26],"",0,1),"")</f>
        <v>0</v>
      </c>
      <c r="AY10" s="97">
        <f>IFERROR(_xlfn.XLOOKUP(Tb_ValorSS[[#This Row],[Nº  SS]],Tb_DISTR.FIN[Nº  SS],Tb_DISTR.FIN[AGO.26],"",0,1)*Tb_ValorSS[[#This Row],[R$ APROVADO]],"")</f>
        <v>0</v>
      </c>
      <c r="AZ10" s="126">
        <f>IFERROR(_xlfn.XLOOKUP(Tb_ValorSS[[#This Row],[Nº  SS]],Tb_DISTR.FIN[Nº  SS],Tb_DISTR.FIN[SET.26],"",0,1),"")</f>
        <v>0</v>
      </c>
      <c r="BA10" s="97">
        <f>IFERROR(_xlfn.XLOOKUP(Tb_ValorSS[[#This Row],[Nº  SS]],Tb_DISTR.FIN[Nº  SS],Tb_DISTR.FIN[SET.26],"",0,1)*Tb_ValorSS[[#This Row],[R$ APROVADO]],"")</f>
        <v>0</v>
      </c>
      <c r="BB10" s="126">
        <f>IFERROR(_xlfn.XLOOKUP(Tb_ValorSS[[#This Row],[Nº  SS]],Tb_DISTR.FIN[Nº  SS],Tb_DISTR.FIN[OUT.26],"",0,1),"")</f>
        <v>0</v>
      </c>
      <c r="BC10" s="97">
        <f>IFERROR(_xlfn.XLOOKUP(Tb_ValorSS[[#This Row],[Nº  SS]],Tb_DISTR.FIN[Nº  SS],Tb_DISTR.FIN[OUT.26],"",0,1)*Tb_ValorSS[[#This Row],[R$ APROVADO]],"")</f>
        <v>0</v>
      </c>
      <c r="BD10" s="126">
        <f>IFERROR(_xlfn.XLOOKUP(Tb_ValorSS[[#This Row],[Nº  SS]],Tb_DISTR.FIN[Nº  SS],Tb_DISTR.FIN[NOV.26],"",0,1),"")</f>
        <v>0</v>
      </c>
      <c r="BE10" s="97">
        <f>IFERROR(_xlfn.XLOOKUP(Tb_ValorSS[[#This Row],[Nº  SS]],Tb_DISTR.FIN[Nº  SS],Tb_DISTR.FIN[NOV.26],"",0,1)*Tb_ValorSS[[#This Row],[R$ APROVADO]],"")</f>
        <v>0</v>
      </c>
      <c r="BF10" s="126">
        <f>IFERROR(_xlfn.XLOOKUP(Tb_ValorSS[[#This Row],[Nº  SS]],Tb_DISTR.FIN[Nº  SS],Tb_DISTR.FIN[DEZ.26],"",0,1),"")</f>
        <v>0</v>
      </c>
      <c r="BG10" s="97">
        <f>IFERROR(_xlfn.XLOOKUP(Tb_ValorSS[[#This Row],[Nº  SS]],Tb_DISTR.FIN[Nº  SS],Tb_DISTR.FIN[DEZ.26],"",0,1)*Tb_ValorSS[[#This Row],[R$ APROVADO]],"")</f>
        <v>0</v>
      </c>
    </row>
    <row r="11" spans="1:59" hidden="1" x14ac:dyDescent="0.3">
      <c r="A11" t="s">
        <v>441</v>
      </c>
      <c r="B11" t="str">
        <f>_xlfn.XLOOKUP(Tb_ValorSS[[#This Row],[Nº  SS]],tb_Distr[SS],tb_Distr[DESCRIÇÃO],"",0,1)</f>
        <v>GALPÃO K-14</v>
      </c>
      <c r="C11" t="str">
        <f>_xlfn.XLOOKUP(Tb_ValorSS[[#This Row],[Nº  SS]],TB_CR.ACOMP[Nº  SS],TB_CR.ACOMP[TOMADOR],"",0,1)</f>
        <v>UTGC</v>
      </c>
      <c r="D11" t="str">
        <f>_xlfn.XLOOKUP(Tb_ValorSS[[#This Row],[Nº  SS]],TB_CR.ACOMP[Nº  SS],TB_CR.ACOMP[STATUS DEMANDA],"",0,1)</f>
        <v>CONCLUÍDA</v>
      </c>
      <c r="E11" s="233">
        <v>4521.2719999999999</v>
      </c>
      <c r="F11" s="94">
        <f>Tb_ValorSS[[#This Row],[UBR APROV]]*296.82</f>
        <v>1342003.9550399999</v>
      </c>
      <c r="G11" s="233">
        <f>SUM(Tb_ValorSS[[#This Row],[SET.25]:[DEZ.26]])</f>
        <v>4521.2719999999999</v>
      </c>
      <c r="H11" s="94">
        <f>Tb_ValorSS[[#This Row],[UBR MEDIDO]]*296.82</f>
        <v>1342003.9550399999</v>
      </c>
      <c r="I11" s="94">
        <f>IF(ABS(Tb_ValorSS[[#This Row],[R$ APROVADO]]-Tb_ValorSS[[#This Row],[R$ MEDIDO ]])&lt;0.01,0,Tb_ValorSS[[#This Row],[R$ APROVADO]]-Tb_ValorSS[[#This Row],[R$ MEDIDO ]])</f>
        <v>0</v>
      </c>
      <c r="J11" s="143"/>
      <c r="K11" s="164"/>
      <c r="L11" s="165">
        <v>1300.31</v>
      </c>
      <c r="M11" s="165"/>
      <c r="N11" s="165">
        <v>2768.8359999999998</v>
      </c>
      <c r="O11" s="165">
        <v>452.12599999999998</v>
      </c>
      <c r="P11" s="165"/>
      <c r="Q11" s="165"/>
      <c r="R11" s="165"/>
      <c r="S11" s="165"/>
      <c r="T11" s="165"/>
      <c r="U11" s="165"/>
      <c r="V11" s="165"/>
      <c r="W11" s="165"/>
      <c r="X11" s="165"/>
      <c r="Y11" s="165"/>
      <c r="Z11" s="165"/>
      <c r="AA11" s="138"/>
      <c r="AB11" s="126">
        <f>IFERROR(_xlfn.XLOOKUP(Tb_ValorSS[[#This Row],[Nº  SS]],Tb_DISTR.FIN[Nº  SS],Tb_DISTR.FIN[SET.25],"",0,1),"")</f>
        <v>0</v>
      </c>
      <c r="AC11" s="97">
        <f>IFERROR(_xlfn.XLOOKUP(Tb_ValorSS[[#This Row],[Nº  SS]],Tb_DISTR.FIN[Nº  SS],Tb_DISTR.FIN[SET.25],"",0,1)*Tb_ValorSS[[#This Row],[R$ APROVADO]],"")</f>
        <v>0</v>
      </c>
      <c r="AD11" s="126">
        <f>IFERROR(_xlfn.XLOOKUP(Tb_ValorSS[[#This Row],[Nº  SS]],Tb_DISTR.FIN[Nº  SS],Tb_DISTR.FIN[OUT.25],"",0,1),"")</f>
        <v>0.28759789880918751</v>
      </c>
      <c r="AE11" s="97">
        <f>IFERROR(_xlfn.XLOOKUP(Tb_ValorSS[[#This Row],[Nº  SS]],Tb_DISTR.FIN[Nº  SS],Tb_DISTR.FIN[OUT.25],"",0,1)*Tb_ValorSS[[#This Row],[R$ APROVADO]],"")</f>
        <v>385957.51766312332</v>
      </c>
      <c r="AF11" s="126">
        <f>IFERROR(_xlfn.XLOOKUP(Tb_ValorSS[[#This Row],[Nº  SS]],Tb_DISTR.FIN[Nº  SS],Tb_DISTR.FIN[NOV.25],"",0,1),"")</f>
        <v>0</v>
      </c>
      <c r="AG11" s="97">
        <f>IFERROR(_xlfn.XLOOKUP(Tb_ValorSS[[#This Row],[Nº  SS]],Tb_DISTR.FIN[Nº  SS],Tb_DISTR.FIN[NOV.25],"",0,1)*Tb_ValorSS[[#This Row],[R$ APROVADO]],"")</f>
        <v>0</v>
      </c>
      <c r="AH11" s="126">
        <f>IFERROR(_xlfn.XLOOKUP(Tb_ValorSS[[#This Row],[Nº  SS]],Tb_DISTR.FIN[Nº  SS],Tb_DISTR.FIN[DEZ.25],"",0,1),"")</f>
        <v>0.6124021011908124</v>
      </c>
      <c r="AI11" s="97">
        <f>IFERROR(_xlfn.XLOOKUP(Tb_ValorSS[[#This Row],[Nº  SS]],Tb_DISTR.FIN[Nº  SS],Tb_DISTR.FIN[DEZ.25],"",0,1)*Tb_ValorSS[[#This Row],[R$ APROVADO]],"")</f>
        <v>821846.04187287646</v>
      </c>
      <c r="AJ11" s="126">
        <f>IFERROR(_xlfn.XLOOKUP(Tb_ValorSS[[#This Row],[Nº  SS]],Tb_DISTR.FIN[Nº  SS],Tb_DISTR.FIN[JAN.26],"",0,1),"")</f>
        <v>0.1</v>
      </c>
      <c r="AK11" s="97">
        <f>IFERROR(_xlfn.XLOOKUP(Tb_ValorSS[[#This Row],[Nº  SS]],Tb_DISTR.FIN[Nº  SS],Tb_DISTR.FIN[JAN.26],"",0,1)*Tb_ValorSS[[#This Row],[R$ APROVADO]],"")</f>
        <v>134200.39550399999</v>
      </c>
      <c r="AL11" s="126">
        <f>IFERROR(_xlfn.XLOOKUP(Tb_ValorSS[[#This Row],[Nº  SS]],Tb_DISTR.FIN[Nº  SS],Tb_DISTR.FIN[FEV.26],"",0,1),"")</f>
        <v>0</v>
      </c>
      <c r="AM11" s="97">
        <f>IFERROR(_xlfn.XLOOKUP(Tb_ValorSS[[#This Row],[Nº  SS]],Tb_DISTR.FIN[Nº  SS],Tb_DISTR.FIN[FEV.26],"",0,1)*Tb_ValorSS[[#This Row],[R$ APROVADO]],"")</f>
        <v>0</v>
      </c>
      <c r="AN11" s="126">
        <f>IFERROR(_xlfn.XLOOKUP(Tb_ValorSS[[#This Row],[Nº  SS]],Tb_DISTR.FIN[Nº  SS],Tb_DISTR.FIN[MAR.26],"",0,1),"")</f>
        <v>0</v>
      </c>
      <c r="AO11" s="97">
        <f>IFERROR(_xlfn.XLOOKUP(Tb_ValorSS[[#This Row],[Nº  SS]],Tb_DISTR.FIN[Nº  SS],Tb_DISTR.FIN[MAR.26],"",0,1)*Tb_ValorSS[[#This Row],[R$ APROVADO]],"")</f>
        <v>0</v>
      </c>
      <c r="AP11" s="126">
        <f>IFERROR(_xlfn.XLOOKUP(Tb_ValorSS[[#This Row],[Nº  SS]],Tb_DISTR.FIN[Nº  SS],Tb_DISTR.FIN[ABR.26],"",0,1),"")</f>
        <v>0</v>
      </c>
      <c r="AQ11" s="97">
        <f>IFERROR(_xlfn.XLOOKUP(Tb_ValorSS[[#This Row],[Nº  SS]],Tb_DISTR.FIN[Nº  SS],Tb_DISTR.FIN[ABR.26],"",0,1)*Tb_ValorSS[[#This Row],[R$ APROVADO]],"")</f>
        <v>0</v>
      </c>
      <c r="AR11" s="126">
        <f>IFERROR(_xlfn.XLOOKUP(Tb_ValorSS[[#This Row],[Nº  SS]],Tb_DISTR.FIN[Nº  SS],Tb_DISTR.FIN[MAI.26],"",0,1),"")</f>
        <v>0</v>
      </c>
      <c r="AS11" s="97">
        <f>IFERROR(_xlfn.XLOOKUP(Tb_ValorSS[[#This Row],[Nº  SS]],Tb_DISTR.FIN[Nº  SS],Tb_DISTR.FIN[MAI.26],"",0,1)*Tb_ValorSS[[#This Row],[R$ APROVADO]],"")</f>
        <v>0</v>
      </c>
      <c r="AT11" s="126">
        <f>IFERROR(_xlfn.XLOOKUP(Tb_ValorSS[[#This Row],[Nº  SS]],Tb_DISTR.FIN[Nº  SS],Tb_DISTR.FIN[JUN.26],"",0,1),"")</f>
        <v>0</v>
      </c>
      <c r="AU11" s="97">
        <f>IFERROR(_xlfn.XLOOKUP(Tb_ValorSS[[#This Row],[Nº  SS]],Tb_DISTR.FIN[Nº  SS],Tb_DISTR.FIN[JUN.26],"",0,1)*Tb_ValorSS[[#This Row],[R$ APROVADO]],"")</f>
        <v>0</v>
      </c>
      <c r="AV11" s="126">
        <f>IFERROR(_xlfn.XLOOKUP(Tb_ValorSS[[#This Row],[Nº  SS]],Tb_DISTR.FIN[Nº  SS],Tb_DISTR.FIN[JUL.26],"",0,1),"")</f>
        <v>0</v>
      </c>
      <c r="AW11" s="97">
        <f>IFERROR(_xlfn.XLOOKUP(Tb_ValorSS[[#This Row],[Nº  SS]],Tb_DISTR.FIN[Nº  SS],Tb_DISTR.FIN[JUL.26],"",0,1)*Tb_ValorSS[[#This Row],[R$ APROVADO]],"")</f>
        <v>0</v>
      </c>
      <c r="AX11" s="126">
        <f>IFERROR(_xlfn.XLOOKUP(Tb_ValorSS[[#This Row],[Nº  SS]],Tb_DISTR.FIN[Nº  SS],Tb_DISTR.FIN[AGO.26],"",0,1),"")</f>
        <v>0</v>
      </c>
      <c r="AY11" s="97">
        <f>IFERROR(_xlfn.XLOOKUP(Tb_ValorSS[[#This Row],[Nº  SS]],Tb_DISTR.FIN[Nº  SS],Tb_DISTR.FIN[AGO.26],"",0,1)*Tb_ValorSS[[#This Row],[R$ APROVADO]],"")</f>
        <v>0</v>
      </c>
      <c r="AZ11" s="126">
        <f>IFERROR(_xlfn.XLOOKUP(Tb_ValorSS[[#This Row],[Nº  SS]],Tb_DISTR.FIN[Nº  SS],Tb_DISTR.FIN[SET.26],"",0,1),"")</f>
        <v>0</v>
      </c>
      <c r="BA11" s="97">
        <f>IFERROR(_xlfn.XLOOKUP(Tb_ValorSS[[#This Row],[Nº  SS]],Tb_DISTR.FIN[Nº  SS],Tb_DISTR.FIN[SET.26],"",0,1)*Tb_ValorSS[[#This Row],[R$ APROVADO]],"")</f>
        <v>0</v>
      </c>
      <c r="BB11" s="126">
        <f>IFERROR(_xlfn.XLOOKUP(Tb_ValorSS[[#This Row],[Nº  SS]],Tb_DISTR.FIN[Nº  SS],Tb_DISTR.FIN[OUT.26],"",0,1),"")</f>
        <v>0</v>
      </c>
      <c r="BC11" s="97">
        <f>IFERROR(_xlfn.XLOOKUP(Tb_ValorSS[[#This Row],[Nº  SS]],Tb_DISTR.FIN[Nº  SS],Tb_DISTR.FIN[OUT.26],"",0,1)*Tb_ValorSS[[#This Row],[R$ APROVADO]],"")</f>
        <v>0</v>
      </c>
      <c r="BD11" s="126">
        <f>IFERROR(_xlfn.XLOOKUP(Tb_ValorSS[[#This Row],[Nº  SS]],Tb_DISTR.FIN[Nº  SS],Tb_DISTR.FIN[NOV.26],"",0,1),"")</f>
        <v>0</v>
      </c>
      <c r="BE11" s="97">
        <f>IFERROR(_xlfn.XLOOKUP(Tb_ValorSS[[#This Row],[Nº  SS]],Tb_DISTR.FIN[Nº  SS],Tb_DISTR.FIN[NOV.26],"",0,1)*Tb_ValorSS[[#This Row],[R$ APROVADO]],"")</f>
        <v>0</v>
      </c>
      <c r="BF11" s="126">
        <f>IFERROR(_xlfn.XLOOKUP(Tb_ValorSS[[#This Row],[Nº  SS]],Tb_DISTR.FIN[Nº  SS],Tb_DISTR.FIN[DEZ.26],"",0,1),"")</f>
        <v>0</v>
      </c>
      <c r="BG11" s="97">
        <f>IFERROR(_xlfn.XLOOKUP(Tb_ValorSS[[#This Row],[Nº  SS]],Tb_DISTR.FIN[Nº  SS],Tb_DISTR.FIN[DEZ.26],"",0,1)*Tb_ValorSS[[#This Row],[R$ APROVADO]],"")</f>
        <v>0</v>
      </c>
    </row>
    <row r="12" spans="1:59" hidden="1" x14ac:dyDescent="0.3">
      <c r="A12" t="s">
        <v>442</v>
      </c>
      <c r="B12" t="str">
        <f>_xlfn.XLOOKUP(Tb_ValorSS[[#This Row],[Nº  SS]],tb_Distr[SS],tb_Distr[DESCRIÇÃO],"",0,1)</f>
        <v>GALPÃO K-15</v>
      </c>
      <c r="C12" t="str">
        <f>_xlfn.XLOOKUP(Tb_ValorSS[[#This Row],[Nº  SS]],TB_CR.ACOMP[Nº  SS],TB_CR.ACOMP[TOMADOR],"",0,1)</f>
        <v>UTGC</v>
      </c>
      <c r="D12" t="str">
        <f>_xlfn.XLOOKUP(Tb_ValorSS[[#This Row],[Nº  SS]],TB_CR.ACOMP[Nº  SS],TB_CR.ACOMP[STATUS DEMANDA],"",0,1)</f>
        <v>CONCLUÍDA</v>
      </c>
      <c r="E12" s="233">
        <v>1928.8919999999998</v>
      </c>
      <c r="F12" s="94">
        <f>Tb_ValorSS[[#This Row],[UBR APROV]]*296.82</f>
        <v>572533.72343999997</v>
      </c>
      <c r="G12" s="233">
        <f>SUM(Tb_ValorSS[[#This Row],[SET.25]:[DEZ.26]])</f>
        <v>1928.8919999999998</v>
      </c>
      <c r="H12" s="94">
        <f>Tb_ValorSS[[#This Row],[UBR MEDIDO]]*296.82</f>
        <v>572533.72343999997</v>
      </c>
      <c r="I12" s="94">
        <f>IF(ABS(Tb_ValorSS[[#This Row],[R$ APROVADO]]-Tb_ValorSS[[#This Row],[R$ MEDIDO ]])&lt;0.01,0,Tb_ValorSS[[#This Row],[R$ APROVADO]]-Tb_ValorSS[[#This Row],[R$ MEDIDO ]])</f>
        <v>0</v>
      </c>
      <c r="J12" s="143"/>
      <c r="K12" s="164"/>
      <c r="L12" s="165">
        <v>528.27</v>
      </c>
      <c r="M12" s="165">
        <v>352.18</v>
      </c>
      <c r="N12" s="165">
        <v>855.55399999999997</v>
      </c>
      <c r="O12" s="165">
        <v>192.88800000000001</v>
      </c>
      <c r="P12" s="165"/>
      <c r="Q12" s="165"/>
      <c r="R12" s="165"/>
      <c r="S12" s="165"/>
      <c r="T12" s="165"/>
      <c r="U12" s="165"/>
      <c r="V12" s="165"/>
      <c r="W12" s="165"/>
      <c r="X12" s="165"/>
      <c r="Y12" s="165"/>
      <c r="Z12" s="165"/>
      <c r="AA12" s="138"/>
      <c r="AB12" s="126">
        <f>IFERROR(_xlfn.XLOOKUP(Tb_ValorSS[[#This Row],[Nº  SS]],Tb_DISTR.FIN[Nº  SS],Tb_DISTR.FIN[SET.25],"",0,1),"")</f>
        <v>0</v>
      </c>
      <c r="AC12" s="97">
        <f>IFERROR(_xlfn.XLOOKUP(Tb_ValorSS[[#This Row],[Nº  SS]],Tb_DISTR.FIN[Nº  SS],Tb_DISTR.FIN[SET.25],"",0,1)*Tb_ValorSS[[#This Row],[R$ APROVADO]],"")</f>
        <v>0</v>
      </c>
      <c r="AD12" s="126">
        <f>IFERROR(_xlfn.XLOOKUP(Tb_ValorSS[[#This Row],[Nº  SS]],Tb_DISTR.FIN[Nº  SS],Tb_DISTR.FIN[OUT.25],"",0,1),"")</f>
        <v>0.27387204595962328</v>
      </c>
      <c r="AE12" s="97">
        <f>IFERROR(_xlfn.XLOOKUP(Tb_ValorSS[[#This Row],[Nº  SS]],Tb_DISTR.FIN[Nº  SS],Tb_DISTR.FIN[OUT.25],"",0,1)*Tb_ValorSS[[#This Row],[R$ APROVADO]],"")</f>
        <v>156800.98221939392</v>
      </c>
      <c r="AF12" s="126">
        <f>IFERROR(_xlfn.XLOOKUP(Tb_ValorSS[[#This Row],[Nº  SS]],Tb_DISTR.FIN[Nº  SS],Tb_DISTR.FIN[NOV.25],"",0,1),"")</f>
        <v>0.18258136397308219</v>
      </c>
      <c r="AG12" s="97">
        <f>IFERROR(_xlfn.XLOOKUP(Tb_ValorSS[[#This Row],[Nº  SS]],Tb_DISTR.FIN[Nº  SS],Tb_DISTR.FIN[NOV.25],"",0,1)*Tb_ValorSS[[#This Row],[R$ APROVADO]],"")</f>
        <v>104533.98814626262</v>
      </c>
      <c r="AH12" s="126">
        <f>IFERROR(_xlfn.XLOOKUP(Tb_ValorSS[[#This Row],[Nº  SS]],Tb_DISTR.FIN[Nº  SS],Tb_DISTR.FIN[DEZ.25],"",0,1),"")</f>
        <v>0.44354659006729452</v>
      </c>
      <c r="AI12" s="97">
        <f>IFERROR(_xlfn.XLOOKUP(Tb_ValorSS[[#This Row],[Nº  SS]],Tb_DISTR.FIN[Nº  SS],Tb_DISTR.FIN[DEZ.25],"",0,1)*Tb_ValorSS[[#This Row],[R$ APROVADO]],"")</f>
        <v>253945.38073034343</v>
      </c>
      <c r="AJ12" s="126">
        <f>IFERROR(_xlfn.XLOOKUP(Tb_ValorSS[[#This Row],[Nº  SS]],Tb_DISTR.FIN[Nº  SS],Tb_DISTR.FIN[JAN.26],"",0,1),"")</f>
        <v>0.1</v>
      </c>
      <c r="AK12" s="97">
        <f>IFERROR(_xlfn.XLOOKUP(Tb_ValorSS[[#This Row],[Nº  SS]],Tb_DISTR.FIN[Nº  SS],Tb_DISTR.FIN[JAN.26],"",0,1)*Tb_ValorSS[[#This Row],[R$ APROVADO]],"")</f>
        <v>57253.372344000003</v>
      </c>
      <c r="AL12" s="126">
        <f>IFERROR(_xlfn.XLOOKUP(Tb_ValorSS[[#This Row],[Nº  SS]],Tb_DISTR.FIN[Nº  SS],Tb_DISTR.FIN[FEV.26],"",0,1),"")</f>
        <v>0</v>
      </c>
      <c r="AM12" s="97">
        <f>IFERROR(_xlfn.XLOOKUP(Tb_ValorSS[[#This Row],[Nº  SS]],Tb_DISTR.FIN[Nº  SS],Tb_DISTR.FIN[FEV.26],"",0,1)*Tb_ValorSS[[#This Row],[R$ APROVADO]],"")</f>
        <v>0</v>
      </c>
      <c r="AN12" s="126">
        <f>IFERROR(_xlfn.XLOOKUP(Tb_ValorSS[[#This Row],[Nº  SS]],Tb_DISTR.FIN[Nº  SS],Tb_DISTR.FIN[MAR.26],"",0,1),"")</f>
        <v>0</v>
      </c>
      <c r="AO12" s="97">
        <f>IFERROR(_xlfn.XLOOKUP(Tb_ValorSS[[#This Row],[Nº  SS]],Tb_DISTR.FIN[Nº  SS],Tb_DISTR.FIN[MAR.26],"",0,1)*Tb_ValorSS[[#This Row],[R$ APROVADO]],"")</f>
        <v>0</v>
      </c>
      <c r="AP12" s="126">
        <f>IFERROR(_xlfn.XLOOKUP(Tb_ValorSS[[#This Row],[Nº  SS]],Tb_DISTR.FIN[Nº  SS],Tb_DISTR.FIN[ABR.26],"",0,1),"")</f>
        <v>0</v>
      </c>
      <c r="AQ12" s="97">
        <f>IFERROR(_xlfn.XLOOKUP(Tb_ValorSS[[#This Row],[Nº  SS]],Tb_DISTR.FIN[Nº  SS],Tb_DISTR.FIN[ABR.26],"",0,1)*Tb_ValorSS[[#This Row],[R$ APROVADO]],"")</f>
        <v>0</v>
      </c>
      <c r="AR12" s="126">
        <f>IFERROR(_xlfn.XLOOKUP(Tb_ValorSS[[#This Row],[Nº  SS]],Tb_DISTR.FIN[Nº  SS],Tb_DISTR.FIN[MAI.26],"",0,1),"")</f>
        <v>0</v>
      </c>
      <c r="AS12" s="97">
        <f>IFERROR(_xlfn.XLOOKUP(Tb_ValorSS[[#This Row],[Nº  SS]],Tb_DISTR.FIN[Nº  SS],Tb_DISTR.FIN[MAI.26],"",0,1)*Tb_ValorSS[[#This Row],[R$ APROVADO]],"")</f>
        <v>0</v>
      </c>
      <c r="AT12" s="126">
        <f>IFERROR(_xlfn.XLOOKUP(Tb_ValorSS[[#This Row],[Nº  SS]],Tb_DISTR.FIN[Nº  SS],Tb_DISTR.FIN[JUN.26],"",0,1),"")</f>
        <v>0</v>
      </c>
      <c r="AU12" s="97">
        <f>IFERROR(_xlfn.XLOOKUP(Tb_ValorSS[[#This Row],[Nº  SS]],Tb_DISTR.FIN[Nº  SS],Tb_DISTR.FIN[JUN.26],"",0,1)*Tb_ValorSS[[#This Row],[R$ APROVADO]],"")</f>
        <v>0</v>
      </c>
      <c r="AV12" s="126">
        <f>IFERROR(_xlfn.XLOOKUP(Tb_ValorSS[[#This Row],[Nº  SS]],Tb_DISTR.FIN[Nº  SS],Tb_DISTR.FIN[JUL.26],"",0,1),"")</f>
        <v>0</v>
      </c>
      <c r="AW12" s="97">
        <f>IFERROR(_xlfn.XLOOKUP(Tb_ValorSS[[#This Row],[Nº  SS]],Tb_DISTR.FIN[Nº  SS],Tb_DISTR.FIN[JUL.26],"",0,1)*Tb_ValorSS[[#This Row],[R$ APROVADO]],"")</f>
        <v>0</v>
      </c>
      <c r="AX12" s="126">
        <f>IFERROR(_xlfn.XLOOKUP(Tb_ValorSS[[#This Row],[Nº  SS]],Tb_DISTR.FIN[Nº  SS],Tb_DISTR.FIN[AGO.26],"",0,1),"")</f>
        <v>0</v>
      </c>
      <c r="AY12" s="97">
        <f>IFERROR(_xlfn.XLOOKUP(Tb_ValorSS[[#This Row],[Nº  SS]],Tb_DISTR.FIN[Nº  SS],Tb_DISTR.FIN[AGO.26],"",0,1)*Tb_ValorSS[[#This Row],[R$ APROVADO]],"")</f>
        <v>0</v>
      </c>
      <c r="AZ12" s="126">
        <f>IFERROR(_xlfn.XLOOKUP(Tb_ValorSS[[#This Row],[Nº  SS]],Tb_DISTR.FIN[Nº  SS],Tb_DISTR.FIN[SET.26],"",0,1),"")</f>
        <v>0</v>
      </c>
      <c r="BA12" s="97">
        <f>IFERROR(_xlfn.XLOOKUP(Tb_ValorSS[[#This Row],[Nº  SS]],Tb_DISTR.FIN[Nº  SS],Tb_DISTR.FIN[SET.26],"",0,1)*Tb_ValorSS[[#This Row],[R$ APROVADO]],"")</f>
        <v>0</v>
      </c>
      <c r="BB12" s="126">
        <f>IFERROR(_xlfn.XLOOKUP(Tb_ValorSS[[#This Row],[Nº  SS]],Tb_DISTR.FIN[Nº  SS],Tb_DISTR.FIN[OUT.26],"",0,1),"")</f>
        <v>0</v>
      </c>
      <c r="BC12" s="97">
        <f>IFERROR(_xlfn.XLOOKUP(Tb_ValorSS[[#This Row],[Nº  SS]],Tb_DISTR.FIN[Nº  SS],Tb_DISTR.FIN[OUT.26],"",0,1)*Tb_ValorSS[[#This Row],[R$ APROVADO]],"")</f>
        <v>0</v>
      </c>
      <c r="BD12" s="126">
        <f>IFERROR(_xlfn.XLOOKUP(Tb_ValorSS[[#This Row],[Nº  SS]],Tb_DISTR.FIN[Nº  SS],Tb_DISTR.FIN[NOV.26],"",0,1),"")</f>
        <v>0</v>
      </c>
      <c r="BE12" s="97">
        <f>IFERROR(_xlfn.XLOOKUP(Tb_ValorSS[[#This Row],[Nº  SS]],Tb_DISTR.FIN[Nº  SS],Tb_DISTR.FIN[NOV.26],"",0,1)*Tb_ValorSS[[#This Row],[R$ APROVADO]],"")</f>
        <v>0</v>
      </c>
      <c r="BF12" s="126">
        <f>IFERROR(_xlfn.XLOOKUP(Tb_ValorSS[[#This Row],[Nº  SS]],Tb_DISTR.FIN[Nº  SS],Tb_DISTR.FIN[DEZ.26],"",0,1),"")</f>
        <v>0</v>
      </c>
      <c r="BG12" s="97">
        <f>IFERROR(_xlfn.XLOOKUP(Tb_ValorSS[[#This Row],[Nº  SS]],Tb_DISTR.FIN[Nº  SS],Tb_DISTR.FIN[DEZ.26],"",0,1)*Tb_ValorSS[[#This Row],[R$ APROVADO]],"")</f>
        <v>0</v>
      </c>
    </row>
    <row r="13" spans="1:59" x14ac:dyDescent="0.3">
      <c r="A13" t="s">
        <v>443</v>
      </c>
      <c r="B13" t="str">
        <f>_xlfn.XLOOKUP(Tb_ValorSS[[#This Row],[Nº  SS]],tb_Distr[SS],tb_Distr[DESCRIÇÃO],"",0,1)</f>
        <v>GALPÃO K-02</v>
      </c>
      <c r="C13" t="str">
        <f>_xlfn.XLOOKUP(Tb_ValorSS[[#This Row],[Nº  SS]],TB_CR.ACOMP[Nº  SS],TB_CR.ACOMP[TOMADOR],"",0,1)</f>
        <v>UTGC</v>
      </c>
      <c r="D13" t="str">
        <f>_xlfn.XLOOKUP(Tb_ValorSS[[#This Row],[Nº  SS]],TB_CR.ACOMP[Nº  SS],TB_CR.ACOMP[STATUS DEMANDA],"",0,1)</f>
        <v>EM ANDAMENTO</v>
      </c>
      <c r="E13" s="233">
        <v>2505.1999999999998</v>
      </c>
      <c r="F13" s="94">
        <f>Tb_ValorSS[[#This Row],[UBR APROV]]*296.82</f>
        <v>743593.46399999992</v>
      </c>
      <c r="G13" s="233">
        <f>SUM(Tb_ValorSS[[#This Row],[SET.25]:[DEZ.26]])</f>
        <v>1252.6000000000001</v>
      </c>
      <c r="H13" s="94">
        <f>Tb_ValorSS[[#This Row],[UBR MEDIDO]]*296.82</f>
        <v>371796.73200000002</v>
      </c>
      <c r="I13" s="94">
        <f>IF(ABS(Tb_ValorSS[[#This Row],[R$ APROVADO]]-Tb_ValorSS[[#This Row],[R$ MEDIDO ]])&lt;0.01,0,Tb_ValorSS[[#This Row],[R$ APROVADO]]-Tb_ValorSS[[#This Row],[R$ MEDIDO ]])</f>
        <v>371796.7319999999</v>
      </c>
      <c r="J13" s="143"/>
      <c r="K13" s="164"/>
      <c r="L13" s="165">
        <v>250.52</v>
      </c>
      <c r="M13" s="165">
        <v>501.04</v>
      </c>
      <c r="N13" s="165"/>
      <c r="O13" s="165"/>
      <c r="P13" s="165">
        <v>501.04</v>
      </c>
      <c r="Q13" s="165"/>
      <c r="R13" s="165"/>
      <c r="S13" s="165"/>
      <c r="T13" s="165"/>
      <c r="U13" s="165"/>
      <c r="V13" s="165"/>
      <c r="W13" s="165"/>
      <c r="X13" s="165"/>
      <c r="Y13" s="165"/>
      <c r="Z13" s="165"/>
      <c r="AA13" s="138"/>
      <c r="AB13" s="126">
        <f>IFERROR(_xlfn.XLOOKUP(Tb_ValorSS[[#This Row],[Nº  SS]],Tb_DISTR.FIN[Nº  SS],Tb_DISTR.FIN[SET.25],"",0,1),"")</f>
        <v>0</v>
      </c>
      <c r="AC13" s="97">
        <f>IFERROR(_xlfn.XLOOKUP(Tb_ValorSS[[#This Row],[Nº  SS]],Tb_DISTR.FIN[Nº  SS],Tb_DISTR.FIN[SET.25],"",0,1)*Tb_ValorSS[[#This Row],[R$ APROVADO]],"")</f>
        <v>0</v>
      </c>
      <c r="AD13" s="126">
        <f>IFERROR(_xlfn.XLOOKUP(Tb_ValorSS[[#This Row],[Nº  SS]],Tb_DISTR.FIN[Nº  SS],Tb_DISTR.FIN[OUT.25],"",0,1),"")</f>
        <v>0.1</v>
      </c>
      <c r="AE13" s="97">
        <f>IFERROR(_xlfn.XLOOKUP(Tb_ValorSS[[#This Row],[Nº  SS]],Tb_DISTR.FIN[Nº  SS],Tb_DISTR.FIN[OUT.25],"",0,1)*Tb_ValorSS[[#This Row],[R$ APROVADO]],"")</f>
        <v>74359.346399999995</v>
      </c>
      <c r="AF13" s="126">
        <f>IFERROR(_xlfn.XLOOKUP(Tb_ValorSS[[#This Row],[Nº  SS]],Tb_DISTR.FIN[Nº  SS],Tb_DISTR.FIN[NOV.25],"",0,1),"")</f>
        <v>0.2</v>
      </c>
      <c r="AG13" s="97">
        <f>IFERROR(_xlfn.XLOOKUP(Tb_ValorSS[[#This Row],[Nº  SS]],Tb_DISTR.FIN[Nº  SS],Tb_DISTR.FIN[NOV.25],"",0,1)*Tb_ValorSS[[#This Row],[R$ APROVADO]],"")</f>
        <v>148718.69279999999</v>
      </c>
      <c r="AH13" s="126">
        <f>IFERROR(_xlfn.XLOOKUP(Tb_ValorSS[[#This Row],[Nº  SS]],Tb_DISTR.FIN[Nº  SS],Tb_DISTR.FIN[DEZ.25],"",0,1),"")</f>
        <v>0</v>
      </c>
      <c r="AI13" s="97">
        <f>IFERROR(_xlfn.XLOOKUP(Tb_ValorSS[[#This Row],[Nº  SS]],Tb_DISTR.FIN[Nº  SS],Tb_DISTR.FIN[DEZ.25],"",0,1)*Tb_ValorSS[[#This Row],[R$ APROVADO]],"")</f>
        <v>0</v>
      </c>
      <c r="AJ13" s="126">
        <f>IFERROR(_xlfn.XLOOKUP(Tb_ValorSS[[#This Row],[Nº  SS]],Tb_DISTR.FIN[Nº  SS],Tb_DISTR.FIN[JAN.26],"",0,1),"")</f>
        <v>0</v>
      </c>
      <c r="AK13" s="97">
        <f>IFERROR(_xlfn.XLOOKUP(Tb_ValorSS[[#This Row],[Nº  SS]],Tb_DISTR.FIN[Nº  SS],Tb_DISTR.FIN[JAN.26],"",0,1)*Tb_ValorSS[[#This Row],[R$ APROVADO]],"")</f>
        <v>0</v>
      </c>
      <c r="AL13" s="126">
        <f>IFERROR(_xlfn.XLOOKUP(Tb_ValorSS[[#This Row],[Nº  SS]],Tb_DISTR.FIN[Nº  SS],Tb_DISTR.FIN[FEV.26],"",0,1),"")</f>
        <v>0.2</v>
      </c>
      <c r="AM13" s="97">
        <f>IFERROR(_xlfn.XLOOKUP(Tb_ValorSS[[#This Row],[Nº  SS]],Tb_DISTR.FIN[Nº  SS],Tb_DISTR.FIN[FEV.26],"",0,1)*Tb_ValorSS[[#This Row],[R$ APROVADO]],"")</f>
        <v>148718.69279999999</v>
      </c>
      <c r="AN13" s="126">
        <f>IFERROR(_xlfn.XLOOKUP(Tb_ValorSS[[#This Row],[Nº  SS]],Tb_DISTR.FIN[Nº  SS],Tb_DISTR.FIN[MAR.26],"",0,1),"")</f>
        <v>0.4</v>
      </c>
      <c r="AO13" s="97">
        <f>IFERROR(_xlfn.XLOOKUP(Tb_ValorSS[[#This Row],[Nº  SS]],Tb_DISTR.FIN[Nº  SS],Tb_DISTR.FIN[MAR.26],"",0,1)*Tb_ValorSS[[#This Row],[R$ APROVADO]],"")</f>
        <v>297437.38559999998</v>
      </c>
      <c r="AP13" s="126">
        <f>IFERROR(_xlfn.XLOOKUP(Tb_ValorSS[[#This Row],[Nº  SS]],Tb_DISTR.FIN[Nº  SS],Tb_DISTR.FIN[ABR.26],"",0,1),"")</f>
        <v>0.1</v>
      </c>
      <c r="AQ13" s="97">
        <f>IFERROR(_xlfn.XLOOKUP(Tb_ValorSS[[#This Row],[Nº  SS]],Tb_DISTR.FIN[Nº  SS],Tb_DISTR.FIN[ABR.26],"",0,1)*Tb_ValorSS[[#This Row],[R$ APROVADO]],"")</f>
        <v>74359.346399999995</v>
      </c>
      <c r="AR13" s="126">
        <f>IFERROR(_xlfn.XLOOKUP(Tb_ValorSS[[#This Row],[Nº  SS]],Tb_DISTR.FIN[Nº  SS],Tb_DISTR.FIN[MAI.26],"",0,1),"")</f>
        <v>0</v>
      </c>
      <c r="AS13" s="97">
        <f>IFERROR(_xlfn.XLOOKUP(Tb_ValorSS[[#This Row],[Nº  SS]],Tb_DISTR.FIN[Nº  SS],Tb_DISTR.FIN[MAI.26],"",0,1)*Tb_ValorSS[[#This Row],[R$ APROVADO]],"")</f>
        <v>0</v>
      </c>
      <c r="AT13" s="126">
        <f>IFERROR(_xlfn.XLOOKUP(Tb_ValorSS[[#This Row],[Nº  SS]],Tb_DISTR.FIN[Nº  SS],Tb_DISTR.FIN[JUN.26],"",0,1),"")</f>
        <v>0</v>
      </c>
      <c r="AU13" s="97">
        <f>IFERROR(_xlfn.XLOOKUP(Tb_ValorSS[[#This Row],[Nº  SS]],Tb_DISTR.FIN[Nº  SS],Tb_DISTR.FIN[JUN.26],"",0,1)*Tb_ValorSS[[#This Row],[R$ APROVADO]],"")</f>
        <v>0</v>
      </c>
      <c r="AV13" s="126">
        <f>IFERROR(_xlfn.XLOOKUP(Tb_ValorSS[[#This Row],[Nº  SS]],Tb_DISTR.FIN[Nº  SS],Tb_DISTR.FIN[JUL.26],"",0,1),"")</f>
        <v>0</v>
      </c>
      <c r="AW13" s="97">
        <f>IFERROR(_xlfn.XLOOKUP(Tb_ValorSS[[#This Row],[Nº  SS]],Tb_DISTR.FIN[Nº  SS],Tb_DISTR.FIN[JUL.26],"",0,1)*Tb_ValorSS[[#This Row],[R$ APROVADO]],"")</f>
        <v>0</v>
      </c>
      <c r="AX13" s="126">
        <f>IFERROR(_xlfn.XLOOKUP(Tb_ValorSS[[#This Row],[Nº  SS]],Tb_DISTR.FIN[Nº  SS],Tb_DISTR.FIN[AGO.26],"",0,1),"")</f>
        <v>0</v>
      </c>
      <c r="AY13" s="97">
        <f>IFERROR(_xlfn.XLOOKUP(Tb_ValorSS[[#This Row],[Nº  SS]],Tb_DISTR.FIN[Nº  SS],Tb_DISTR.FIN[AGO.26],"",0,1)*Tb_ValorSS[[#This Row],[R$ APROVADO]],"")</f>
        <v>0</v>
      </c>
      <c r="AZ13" s="126">
        <f>IFERROR(_xlfn.XLOOKUP(Tb_ValorSS[[#This Row],[Nº  SS]],Tb_DISTR.FIN[Nº  SS],Tb_DISTR.FIN[SET.26],"",0,1),"")</f>
        <v>0</v>
      </c>
      <c r="BA13" s="97">
        <f>IFERROR(_xlfn.XLOOKUP(Tb_ValorSS[[#This Row],[Nº  SS]],Tb_DISTR.FIN[Nº  SS],Tb_DISTR.FIN[SET.26],"",0,1)*Tb_ValorSS[[#This Row],[R$ APROVADO]],"")</f>
        <v>0</v>
      </c>
      <c r="BB13" s="126">
        <f>IFERROR(_xlfn.XLOOKUP(Tb_ValorSS[[#This Row],[Nº  SS]],Tb_DISTR.FIN[Nº  SS],Tb_DISTR.FIN[OUT.26],"",0,1),"")</f>
        <v>0</v>
      </c>
      <c r="BC13" s="97">
        <f>IFERROR(_xlfn.XLOOKUP(Tb_ValorSS[[#This Row],[Nº  SS]],Tb_DISTR.FIN[Nº  SS],Tb_DISTR.FIN[OUT.26],"",0,1)*Tb_ValorSS[[#This Row],[R$ APROVADO]],"")</f>
        <v>0</v>
      </c>
      <c r="BD13" s="126">
        <f>IFERROR(_xlfn.XLOOKUP(Tb_ValorSS[[#This Row],[Nº  SS]],Tb_DISTR.FIN[Nº  SS],Tb_DISTR.FIN[NOV.26],"",0,1),"")</f>
        <v>0</v>
      </c>
      <c r="BE13" s="97">
        <f>IFERROR(_xlfn.XLOOKUP(Tb_ValorSS[[#This Row],[Nº  SS]],Tb_DISTR.FIN[Nº  SS],Tb_DISTR.FIN[NOV.26],"",0,1)*Tb_ValorSS[[#This Row],[R$ APROVADO]],"")</f>
        <v>0</v>
      </c>
      <c r="BF13" s="126">
        <f>IFERROR(_xlfn.XLOOKUP(Tb_ValorSS[[#This Row],[Nº  SS]],Tb_DISTR.FIN[Nº  SS],Tb_DISTR.FIN[DEZ.26],"",0,1),"")</f>
        <v>0</v>
      </c>
      <c r="BG13" s="97">
        <f>IFERROR(_xlfn.XLOOKUP(Tb_ValorSS[[#This Row],[Nº  SS]],Tb_DISTR.FIN[Nº  SS],Tb_DISTR.FIN[DEZ.26],"",0,1)*Tb_ValorSS[[#This Row],[R$ APROVADO]],"")</f>
        <v>0</v>
      </c>
    </row>
    <row r="14" spans="1:59" hidden="1" x14ac:dyDescent="0.3">
      <c r="A14" t="s">
        <v>444</v>
      </c>
      <c r="B14" t="str">
        <f>_xlfn.XLOOKUP(Tb_ValorSS[[#This Row],[Nº  SS]],tb_Distr[SS],tb_Distr[DESCRIÇÃO],"",0,1)</f>
        <v>GALPÃO UPGN-3</v>
      </c>
      <c r="C14" t="str">
        <f>_xlfn.XLOOKUP(Tb_ValorSS[[#This Row],[Nº  SS]],TB_CR.ACOMP[Nº  SS],TB_CR.ACOMP[TOMADOR],"",0,1)</f>
        <v>UTGC</v>
      </c>
      <c r="D14" t="str">
        <f>_xlfn.XLOOKUP(Tb_ValorSS[[#This Row],[Nº  SS]],TB_CR.ACOMP[Nº  SS],TB_CR.ACOMP[STATUS DEMANDA],"",0,1)</f>
        <v>CONCLUÍDA</v>
      </c>
      <c r="E14" s="233">
        <v>1984.15</v>
      </c>
      <c r="F14" s="94">
        <f>Tb_ValorSS[[#This Row],[UBR APROV]]*296.82</f>
        <v>588935.40300000005</v>
      </c>
      <c r="G14" s="233">
        <f>SUM(Tb_ValorSS[[#This Row],[SET.25]:[DEZ.26]])</f>
        <v>1984.15</v>
      </c>
      <c r="H14" s="94">
        <f>Tb_ValorSS[[#This Row],[UBR MEDIDO]]*296.82</f>
        <v>588935.40300000005</v>
      </c>
      <c r="I14" s="94">
        <f>IF(ABS(Tb_ValorSS[[#This Row],[R$ APROVADO]]-Tb_ValorSS[[#This Row],[R$ MEDIDO ]])&lt;0.01,0,Tb_ValorSS[[#This Row],[R$ APROVADO]]-Tb_ValorSS[[#This Row],[R$ MEDIDO ]])</f>
        <v>0</v>
      </c>
      <c r="J14" s="143"/>
      <c r="K14" s="164">
        <v>213.38</v>
      </c>
      <c r="L14" s="165">
        <v>496.04</v>
      </c>
      <c r="M14" s="165">
        <v>694.45</v>
      </c>
      <c r="N14" s="165">
        <v>396.83</v>
      </c>
      <c r="O14" s="165">
        <v>183.45</v>
      </c>
      <c r="P14" s="165"/>
      <c r="Q14" s="165"/>
      <c r="R14" s="165"/>
      <c r="S14" s="165"/>
      <c r="T14" s="165"/>
      <c r="U14" s="165"/>
      <c r="V14" s="165"/>
      <c r="W14" s="165"/>
      <c r="X14" s="165"/>
      <c r="Y14" s="165"/>
      <c r="Z14" s="165"/>
      <c r="AA14" s="138"/>
      <c r="AB14" s="126">
        <f>IFERROR(_xlfn.XLOOKUP(Tb_ValorSS[[#This Row],[Nº  SS]],Tb_DISTR.FIN[Nº  SS],Tb_DISTR.FIN[SET.25],"",0,1),"")</f>
        <v>0.10754227250963888</v>
      </c>
      <c r="AC14" s="97">
        <f>IFERROR(_xlfn.XLOOKUP(Tb_ValorSS[[#This Row],[Nº  SS]],Tb_DISTR.FIN[Nº  SS],Tb_DISTR.FIN[SET.25],"",0,1)*Tb_ValorSS[[#This Row],[R$ APROVADO]],"")</f>
        <v>63335.4516</v>
      </c>
      <c r="AD14" s="126">
        <f>IFERROR(_xlfn.XLOOKUP(Tb_ValorSS[[#This Row],[Nº  SS]],Tb_DISTR.FIN[Nº  SS],Tb_DISTR.FIN[OUT.25],"",0,1),"")</f>
        <v>0.25</v>
      </c>
      <c r="AE14" s="97">
        <v>147234.59280000001</v>
      </c>
      <c r="AF14" s="126">
        <f>IFERROR(_xlfn.XLOOKUP(Tb_ValorSS[[#This Row],[Nº  SS]],Tb_DISTR.FIN[Nº  SS],Tb_DISTR.FIN[NOV.25],"",0,1),"")</f>
        <v>0.35</v>
      </c>
      <c r="AG14" s="97">
        <f>IFERROR(_xlfn.XLOOKUP(Tb_ValorSS[[#This Row],[Nº  SS]],Tb_DISTR.FIN[Nº  SS],Tb_DISTR.FIN[NOV.25],"",0,1)*Tb_ValorSS[[#This Row],[R$ APROVADO]],"")</f>
        <v>206127.39105000001</v>
      </c>
      <c r="AH14" s="126">
        <f>IFERROR(_xlfn.XLOOKUP(Tb_ValorSS[[#This Row],[Nº  SS]],Tb_DISTR.FIN[Nº  SS],Tb_DISTR.FIN[DEZ.25],"",0,1),"")</f>
        <v>0.2</v>
      </c>
      <c r="AI14" s="97">
        <f>IFERROR(_xlfn.XLOOKUP(Tb_ValorSS[[#This Row],[Nº  SS]],Tb_DISTR.FIN[Nº  SS],Tb_DISTR.FIN[DEZ.25],"",0,1)*Tb_ValorSS[[#This Row],[R$ APROVADO]],"")</f>
        <v>117787.08060000002</v>
      </c>
      <c r="AJ14" s="126">
        <f>IFERROR(_xlfn.XLOOKUP(Tb_ValorSS[[#This Row],[Nº  SS]],Tb_DISTR.FIN[Nº  SS],Tb_DISTR.FIN[JAN.26],"",0,1),"")</f>
        <v>9.2457727490361075E-2</v>
      </c>
      <c r="AK14" s="97">
        <f>IFERROR(_xlfn.XLOOKUP(Tb_ValorSS[[#This Row],[Nº  SS]],Tb_DISTR.FIN[Nº  SS],Tb_DISTR.FIN[JAN.26],"",0,1)*Tb_ValorSS[[#This Row],[R$ APROVADO]],"")</f>
        <v>54451.628999999986</v>
      </c>
      <c r="AL14" s="126">
        <f>IFERROR(_xlfn.XLOOKUP(Tb_ValorSS[[#This Row],[Nº  SS]],Tb_DISTR.FIN[Nº  SS],Tb_DISTR.FIN[FEV.26],"",0,1),"")</f>
        <v>0</v>
      </c>
      <c r="AM14" s="97">
        <f>IFERROR(_xlfn.XLOOKUP(Tb_ValorSS[[#This Row],[Nº  SS]],Tb_DISTR.FIN[Nº  SS],Tb_DISTR.FIN[FEV.26],"",0,1)*Tb_ValorSS[[#This Row],[R$ APROVADO]],"")</f>
        <v>0</v>
      </c>
      <c r="AN14" s="126">
        <f>IFERROR(_xlfn.XLOOKUP(Tb_ValorSS[[#This Row],[Nº  SS]],Tb_DISTR.FIN[Nº  SS],Tb_DISTR.FIN[MAR.26],"",0,1),"")</f>
        <v>0</v>
      </c>
      <c r="AO14" s="97">
        <f>IFERROR(_xlfn.XLOOKUP(Tb_ValorSS[[#This Row],[Nº  SS]],Tb_DISTR.FIN[Nº  SS],Tb_DISTR.FIN[MAR.26],"",0,1)*Tb_ValorSS[[#This Row],[R$ APROVADO]],"")</f>
        <v>0</v>
      </c>
      <c r="AP14" s="126">
        <f>IFERROR(_xlfn.XLOOKUP(Tb_ValorSS[[#This Row],[Nº  SS]],Tb_DISTR.FIN[Nº  SS],Tb_DISTR.FIN[ABR.26],"",0,1),"")</f>
        <v>0</v>
      </c>
      <c r="AQ14" s="97">
        <f>IFERROR(_xlfn.XLOOKUP(Tb_ValorSS[[#This Row],[Nº  SS]],Tb_DISTR.FIN[Nº  SS],Tb_DISTR.FIN[ABR.26],"",0,1)*Tb_ValorSS[[#This Row],[R$ APROVADO]],"")</f>
        <v>0</v>
      </c>
      <c r="AR14" s="126">
        <f>IFERROR(_xlfn.XLOOKUP(Tb_ValorSS[[#This Row],[Nº  SS]],Tb_DISTR.FIN[Nº  SS],Tb_DISTR.FIN[MAI.26],"",0,1),"")</f>
        <v>0</v>
      </c>
      <c r="AS14" s="97">
        <f>IFERROR(_xlfn.XLOOKUP(Tb_ValorSS[[#This Row],[Nº  SS]],Tb_DISTR.FIN[Nº  SS],Tb_DISTR.FIN[MAI.26],"",0,1)*Tb_ValorSS[[#This Row],[R$ APROVADO]],"")</f>
        <v>0</v>
      </c>
      <c r="AT14" s="126">
        <f>IFERROR(_xlfn.XLOOKUP(Tb_ValorSS[[#This Row],[Nº  SS]],Tb_DISTR.FIN[Nº  SS],Tb_DISTR.FIN[JUN.26],"",0,1),"")</f>
        <v>0</v>
      </c>
      <c r="AU14" s="97">
        <f>IFERROR(_xlfn.XLOOKUP(Tb_ValorSS[[#This Row],[Nº  SS]],Tb_DISTR.FIN[Nº  SS],Tb_DISTR.FIN[JUN.26],"",0,1)*Tb_ValorSS[[#This Row],[R$ APROVADO]],"")</f>
        <v>0</v>
      </c>
      <c r="AV14" s="126">
        <f>IFERROR(_xlfn.XLOOKUP(Tb_ValorSS[[#This Row],[Nº  SS]],Tb_DISTR.FIN[Nº  SS],Tb_DISTR.FIN[JUL.26],"",0,1),"")</f>
        <v>0</v>
      </c>
      <c r="AW14" s="97">
        <f>IFERROR(_xlfn.XLOOKUP(Tb_ValorSS[[#This Row],[Nº  SS]],Tb_DISTR.FIN[Nº  SS],Tb_DISTR.FIN[JUL.26],"",0,1)*Tb_ValorSS[[#This Row],[R$ APROVADO]],"")</f>
        <v>0</v>
      </c>
      <c r="AX14" s="126">
        <f>IFERROR(_xlfn.XLOOKUP(Tb_ValorSS[[#This Row],[Nº  SS]],Tb_DISTR.FIN[Nº  SS],Tb_DISTR.FIN[AGO.26],"",0,1),"")</f>
        <v>0</v>
      </c>
      <c r="AY14" s="97">
        <f>IFERROR(_xlfn.XLOOKUP(Tb_ValorSS[[#This Row],[Nº  SS]],Tb_DISTR.FIN[Nº  SS],Tb_DISTR.FIN[AGO.26],"",0,1)*Tb_ValorSS[[#This Row],[R$ APROVADO]],"")</f>
        <v>0</v>
      </c>
      <c r="AZ14" s="126">
        <f>IFERROR(_xlfn.XLOOKUP(Tb_ValorSS[[#This Row],[Nº  SS]],Tb_DISTR.FIN[Nº  SS],Tb_DISTR.FIN[SET.26],"",0,1),"")</f>
        <v>0</v>
      </c>
      <c r="BA14" s="97">
        <f>IFERROR(_xlfn.XLOOKUP(Tb_ValorSS[[#This Row],[Nº  SS]],Tb_DISTR.FIN[Nº  SS],Tb_DISTR.FIN[SET.26],"",0,1)*Tb_ValorSS[[#This Row],[R$ APROVADO]],"")</f>
        <v>0</v>
      </c>
      <c r="BB14" s="126">
        <f>IFERROR(_xlfn.XLOOKUP(Tb_ValorSS[[#This Row],[Nº  SS]],Tb_DISTR.FIN[Nº  SS],Tb_DISTR.FIN[OUT.26],"",0,1),"")</f>
        <v>0</v>
      </c>
      <c r="BC14" s="97">
        <f>IFERROR(_xlfn.XLOOKUP(Tb_ValorSS[[#This Row],[Nº  SS]],Tb_DISTR.FIN[Nº  SS],Tb_DISTR.FIN[OUT.26],"",0,1)*Tb_ValorSS[[#This Row],[R$ APROVADO]],"")</f>
        <v>0</v>
      </c>
      <c r="BD14" s="126">
        <f>IFERROR(_xlfn.XLOOKUP(Tb_ValorSS[[#This Row],[Nº  SS]],Tb_DISTR.FIN[Nº  SS],Tb_DISTR.FIN[NOV.26],"",0,1),"")</f>
        <v>0</v>
      </c>
      <c r="BE14" s="97">
        <f>IFERROR(_xlfn.XLOOKUP(Tb_ValorSS[[#This Row],[Nº  SS]],Tb_DISTR.FIN[Nº  SS],Tb_DISTR.FIN[NOV.26],"",0,1)*Tb_ValorSS[[#This Row],[R$ APROVADO]],"")</f>
        <v>0</v>
      </c>
      <c r="BF14" s="126">
        <f>IFERROR(_xlfn.XLOOKUP(Tb_ValorSS[[#This Row],[Nº  SS]],Tb_DISTR.FIN[Nº  SS],Tb_DISTR.FIN[DEZ.26],"",0,1),"")</f>
        <v>0</v>
      </c>
      <c r="BG14" s="97">
        <f>IFERROR(_xlfn.XLOOKUP(Tb_ValorSS[[#This Row],[Nº  SS]],Tb_DISTR.FIN[Nº  SS],Tb_DISTR.FIN[DEZ.26],"",0,1)*Tb_ValorSS[[#This Row],[R$ APROVADO]],"")</f>
        <v>0</v>
      </c>
    </row>
    <row r="15" spans="1:59" hidden="1" x14ac:dyDescent="0.3">
      <c r="A15" t="s">
        <v>54</v>
      </c>
      <c r="B15" t="str">
        <f>_xlfn.XLOOKUP(Tb_ValorSS[[#This Row],[Nº  SS]],tb_Distr[SS],tb_Distr[DESCRIÇÃO],"",0,1)</f>
        <v>SALA K-04</v>
      </c>
      <c r="C15" t="str">
        <f>_xlfn.XLOOKUP(Tb_ValorSS[[#This Row],[Nº  SS]],TB_CR.ACOMP[Nº  SS],TB_CR.ACOMP[TOMADOR],"",0,1)</f>
        <v>UTGC</v>
      </c>
      <c r="D15" t="str">
        <f>_xlfn.XLOOKUP(Tb_ValorSS[[#This Row],[Nº  SS]],TB_CR.ACOMP[Nº  SS],TB_CR.ACOMP[STATUS DEMANDA],"",0,1)</f>
        <v>CONCLUÍDA</v>
      </c>
      <c r="E15" s="233">
        <v>1228.0920000000001</v>
      </c>
      <c r="F15" s="94">
        <f>Tb_ValorSS[[#This Row],[UBR APROV]]*296.82</f>
        <v>364522.26744000003</v>
      </c>
      <c r="G15" s="233">
        <f>SUM(Tb_ValorSS[[#This Row],[SET.25]:[DEZ.26]])</f>
        <v>1228.0920000000001</v>
      </c>
      <c r="H15" s="94">
        <f>Tb_ValorSS[[#This Row],[UBR MEDIDO]]*296.82</f>
        <v>364522.26744000003</v>
      </c>
      <c r="I15" s="94">
        <f>IF(ABS(Tb_ValorSS[[#This Row],[R$ APROVADO]]-Tb_ValorSS[[#This Row],[R$ MEDIDO ]])&lt;0.01,0,Tb_ValorSS[[#This Row],[R$ APROVADO]]-Tb_ValorSS[[#This Row],[R$ MEDIDO ]])</f>
        <v>0</v>
      </c>
      <c r="J15" s="143"/>
      <c r="K15" s="164"/>
      <c r="L15" s="165">
        <v>118.73</v>
      </c>
      <c r="M15" s="165">
        <v>296.82</v>
      </c>
      <c r="N15" s="165">
        <v>689.73400000000004</v>
      </c>
      <c r="O15" s="165">
        <v>122.80800000000001</v>
      </c>
      <c r="P15" s="165"/>
      <c r="Q15" s="165"/>
      <c r="R15" s="165"/>
      <c r="S15" s="165"/>
      <c r="T15" s="165"/>
      <c r="U15" s="165"/>
      <c r="V15" s="165"/>
      <c r="W15" s="165"/>
      <c r="X15" s="165"/>
      <c r="Y15" s="165"/>
      <c r="Z15" s="165"/>
      <c r="AA15" s="138"/>
      <c r="AB15" s="126">
        <f>IFERROR(_xlfn.XLOOKUP(Tb_ValorSS[[#This Row],[Nº  SS]],Tb_DISTR.FIN[Nº  SS],Tb_DISTR.FIN[SET.25],"",0,1),"")</f>
        <v>0</v>
      </c>
      <c r="AC15" s="97">
        <f>IFERROR(_xlfn.XLOOKUP(Tb_ValorSS[[#This Row],[Nº  SS]],Tb_DISTR.FIN[Nº  SS],Tb_DISTR.FIN[SET.25],"",0,1)*Tb_ValorSS[[#This Row],[R$ APROVADO]],"")</f>
        <v>0</v>
      </c>
      <c r="AD15" s="126">
        <f>IFERROR(_xlfn.XLOOKUP(Tb_ValorSS[[#This Row],[Nº  SS]],Tb_DISTR.FIN[Nº  SS],Tb_DISTR.FIN[OUT.25],"",0,1),"")</f>
        <v>9.6676913353549929E-2</v>
      </c>
      <c r="AE15" s="97">
        <f>IFERROR(_xlfn.XLOOKUP(Tb_ValorSS[[#This Row],[Nº  SS]],Tb_DISTR.FIN[Nº  SS],Tb_DISTR.FIN[OUT.25],"",0,1)*Tb_ValorSS[[#This Row],[R$ APROVADO]],"")</f>
        <v>35240.887664736438</v>
      </c>
      <c r="AF15" s="126">
        <f>IFERROR(_xlfn.XLOOKUP(Tb_ValorSS[[#This Row],[Nº  SS]],Tb_DISTR.FIN[Nº  SS],Tb_DISTR.FIN[NOV.25],"",0,1),"")</f>
        <v>0.24169228338387483</v>
      </c>
      <c r="AG15" s="97">
        <f>IFERROR(_xlfn.XLOOKUP(Tb_ValorSS[[#This Row],[Nº  SS]],Tb_DISTR.FIN[Nº  SS],Tb_DISTR.FIN[NOV.25],"",0,1)*Tb_ValorSS[[#This Row],[R$ APROVADO]],"")</f>
        <v>88102.219161841102</v>
      </c>
      <c r="AH15" s="126">
        <f>IFERROR(_xlfn.XLOOKUP(Tb_ValorSS[[#This Row],[Nº  SS]],Tb_DISTR.FIN[Nº  SS],Tb_DISTR.FIN[DEZ.25],"",0,1),"")</f>
        <v>0.5616308032625752</v>
      </c>
      <c r="AI15" s="97">
        <f>IFERROR(_xlfn.XLOOKUP(Tb_ValorSS[[#This Row],[Nº  SS]],Tb_DISTR.FIN[Nº  SS],Tb_DISTR.FIN[DEZ.25],"",0,1)*Tb_ValorSS[[#This Row],[R$ APROVADO]],"")</f>
        <v>204726.93386942247</v>
      </c>
      <c r="AJ15" s="126">
        <f>IFERROR(_xlfn.XLOOKUP(Tb_ValorSS[[#This Row],[Nº  SS]],Tb_DISTR.FIN[Nº  SS],Tb_DISTR.FIN[JAN.26],"",0,1),"")</f>
        <v>0.1</v>
      </c>
      <c r="AK15" s="97">
        <f>IFERROR(_xlfn.XLOOKUP(Tb_ValorSS[[#This Row],[Nº  SS]],Tb_DISTR.FIN[Nº  SS],Tb_DISTR.FIN[JAN.26],"",0,1)*Tb_ValorSS[[#This Row],[R$ APROVADO]],"")</f>
        <v>36452.226744000007</v>
      </c>
      <c r="AL15" s="126">
        <f>IFERROR(_xlfn.XLOOKUP(Tb_ValorSS[[#This Row],[Nº  SS]],Tb_DISTR.FIN[Nº  SS],Tb_DISTR.FIN[FEV.26],"",0,1),"")</f>
        <v>0</v>
      </c>
      <c r="AM15" s="97">
        <f>IFERROR(_xlfn.XLOOKUP(Tb_ValorSS[[#This Row],[Nº  SS]],Tb_DISTR.FIN[Nº  SS],Tb_DISTR.FIN[FEV.26],"",0,1)*Tb_ValorSS[[#This Row],[R$ APROVADO]],"")</f>
        <v>0</v>
      </c>
      <c r="AN15" s="126">
        <f>IFERROR(_xlfn.XLOOKUP(Tb_ValorSS[[#This Row],[Nº  SS]],Tb_DISTR.FIN[Nº  SS],Tb_DISTR.FIN[MAR.26],"",0,1),"")</f>
        <v>0</v>
      </c>
      <c r="AO15" s="97">
        <f>IFERROR(_xlfn.XLOOKUP(Tb_ValorSS[[#This Row],[Nº  SS]],Tb_DISTR.FIN[Nº  SS],Tb_DISTR.FIN[MAR.26],"",0,1)*Tb_ValorSS[[#This Row],[R$ APROVADO]],"")</f>
        <v>0</v>
      </c>
      <c r="AP15" s="126">
        <f>IFERROR(_xlfn.XLOOKUP(Tb_ValorSS[[#This Row],[Nº  SS]],Tb_DISTR.FIN[Nº  SS],Tb_DISTR.FIN[ABR.26],"",0,1),"")</f>
        <v>0</v>
      </c>
      <c r="AQ15" s="97">
        <f>IFERROR(_xlfn.XLOOKUP(Tb_ValorSS[[#This Row],[Nº  SS]],Tb_DISTR.FIN[Nº  SS],Tb_DISTR.FIN[ABR.26],"",0,1)*Tb_ValorSS[[#This Row],[R$ APROVADO]],"")</f>
        <v>0</v>
      </c>
      <c r="AR15" s="126">
        <f>IFERROR(_xlfn.XLOOKUP(Tb_ValorSS[[#This Row],[Nº  SS]],Tb_DISTR.FIN[Nº  SS],Tb_DISTR.FIN[MAI.26],"",0,1),"")</f>
        <v>0</v>
      </c>
      <c r="AS15" s="97">
        <f>IFERROR(_xlfn.XLOOKUP(Tb_ValorSS[[#This Row],[Nº  SS]],Tb_DISTR.FIN[Nº  SS],Tb_DISTR.FIN[MAI.26],"",0,1)*Tb_ValorSS[[#This Row],[R$ APROVADO]],"")</f>
        <v>0</v>
      </c>
      <c r="AT15" s="126">
        <f>IFERROR(_xlfn.XLOOKUP(Tb_ValorSS[[#This Row],[Nº  SS]],Tb_DISTR.FIN[Nº  SS],Tb_DISTR.FIN[JUN.26],"",0,1),"")</f>
        <v>0</v>
      </c>
      <c r="AU15" s="97">
        <f>IFERROR(_xlfn.XLOOKUP(Tb_ValorSS[[#This Row],[Nº  SS]],Tb_DISTR.FIN[Nº  SS],Tb_DISTR.FIN[JUN.26],"",0,1)*Tb_ValorSS[[#This Row],[R$ APROVADO]],"")</f>
        <v>0</v>
      </c>
      <c r="AV15" s="126">
        <f>IFERROR(_xlfn.XLOOKUP(Tb_ValorSS[[#This Row],[Nº  SS]],Tb_DISTR.FIN[Nº  SS],Tb_DISTR.FIN[JUL.26],"",0,1),"")</f>
        <v>0</v>
      </c>
      <c r="AW15" s="97">
        <f>IFERROR(_xlfn.XLOOKUP(Tb_ValorSS[[#This Row],[Nº  SS]],Tb_DISTR.FIN[Nº  SS],Tb_DISTR.FIN[JUL.26],"",0,1)*Tb_ValorSS[[#This Row],[R$ APROVADO]],"")</f>
        <v>0</v>
      </c>
      <c r="AX15" s="126">
        <f>IFERROR(_xlfn.XLOOKUP(Tb_ValorSS[[#This Row],[Nº  SS]],Tb_DISTR.FIN[Nº  SS],Tb_DISTR.FIN[AGO.26],"",0,1),"")</f>
        <v>0</v>
      </c>
      <c r="AY15" s="97">
        <f>IFERROR(_xlfn.XLOOKUP(Tb_ValorSS[[#This Row],[Nº  SS]],Tb_DISTR.FIN[Nº  SS],Tb_DISTR.FIN[AGO.26],"",0,1)*Tb_ValorSS[[#This Row],[R$ APROVADO]],"")</f>
        <v>0</v>
      </c>
      <c r="AZ15" s="126">
        <f>IFERROR(_xlfn.XLOOKUP(Tb_ValorSS[[#This Row],[Nº  SS]],Tb_DISTR.FIN[Nº  SS],Tb_DISTR.FIN[SET.26],"",0,1),"")</f>
        <v>0</v>
      </c>
      <c r="BA15" s="97">
        <f>IFERROR(_xlfn.XLOOKUP(Tb_ValorSS[[#This Row],[Nº  SS]],Tb_DISTR.FIN[Nº  SS],Tb_DISTR.FIN[SET.26],"",0,1)*Tb_ValorSS[[#This Row],[R$ APROVADO]],"")</f>
        <v>0</v>
      </c>
      <c r="BB15" s="126">
        <f>IFERROR(_xlfn.XLOOKUP(Tb_ValorSS[[#This Row],[Nº  SS]],Tb_DISTR.FIN[Nº  SS],Tb_DISTR.FIN[OUT.26],"",0,1),"")</f>
        <v>0</v>
      </c>
      <c r="BC15" s="97">
        <f>IFERROR(_xlfn.XLOOKUP(Tb_ValorSS[[#This Row],[Nº  SS]],Tb_DISTR.FIN[Nº  SS],Tb_DISTR.FIN[OUT.26],"",0,1)*Tb_ValorSS[[#This Row],[R$ APROVADO]],"")</f>
        <v>0</v>
      </c>
      <c r="BD15" s="126">
        <f>IFERROR(_xlfn.XLOOKUP(Tb_ValorSS[[#This Row],[Nº  SS]],Tb_DISTR.FIN[Nº  SS],Tb_DISTR.FIN[NOV.26],"",0,1),"")</f>
        <v>0</v>
      </c>
      <c r="BE15" s="97">
        <f>IFERROR(_xlfn.XLOOKUP(Tb_ValorSS[[#This Row],[Nº  SS]],Tb_DISTR.FIN[Nº  SS],Tb_DISTR.FIN[NOV.26],"",0,1)*Tb_ValorSS[[#This Row],[R$ APROVADO]],"")</f>
        <v>0</v>
      </c>
      <c r="BF15" s="126">
        <f>IFERROR(_xlfn.XLOOKUP(Tb_ValorSS[[#This Row],[Nº  SS]],Tb_DISTR.FIN[Nº  SS],Tb_DISTR.FIN[DEZ.26],"",0,1),"")</f>
        <v>0</v>
      </c>
      <c r="BG15" s="97">
        <f>IFERROR(_xlfn.XLOOKUP(Tb_ValorSS[[#This Row],[Nº  SS]],Tb_DISTR.FIN[Nº  SS],Tb_DISTR.FIN[DEZ.26],"",0,1)*Tb_ValorSS[[#This Row],[R$ APROVADO]],"")</f>
        <v>0</v>
      </c>
    </row>
    <row r="16" spans="1:59" hidden="1" x14ac:dyDescent="0.3">
      <c r="A16" t="s">
        <v>55</v>
      </c>
      <c r="B16" t="str">
        <f>_xlfn.XLOOKUP(Tb_ValorSS[[#This Row],[Nº  SS]],tb_Distr[SS],tb_Distr[DESCRIÇÃO],"",0,1)</f>
        <v>GALPÃO UPCGN-1</v>
      </c>
      <c r="C16" t="str">
        <f>_xlfn.XLOOKUP(Tb_ValorSS[[#This Row],[Nº  SS]],TB_CR.ACOMP[Nº  SS],TB_CR.ACOMP[TOMADOR],"",0,1)</f>
        <v>UTGC</v>
      </c>
      <c r="D16" t="str">
        <f>_xlfn.XLOOKUP(Tb_ValorSS[[#This Row],[Nº  SS]],TB_CR.ACOMP[Nº  SS],TB_CR.ACOMP[STATUS DEMANDA],"",0,1)</f>
        <v>CONCLUÍDA</v>
      </c>
      <c r="E16" s="233">
        <v>2422.1120000000001</v>
      </c>
      <c r="F16" s="94">
        <f>Tb_ValorSS[[#This Row],[UBR APROV]]*296.82</f>
        <v>718931.28384000005</v>
      </c>
      <c r="G16" s="233">
        <f>SUM(Tb_ValorSS[[#This Row],[SET.25]:[DEZ.26]])</f>
        <v>2422.1120000000001</v>
      </c>
      <c r="H16" s="94">
        <f>Tb_ValorSS[[#This Row],[UBR MEDIDO]]*296.82</f>
        <v>718931.28384000005</v>
      </c>
      <c r="I16" s="94">
        <f>IF(ABS(Tb_ValorSS[[#This Row],[R$ APROVADO]]-Tb_ValorSS[[#This Row],[R$ MEDIDO ]])&lt;0.01,0,Tb_ValorSS[[#This Row],[R$ APROVADO]]-Tb_ValorSS[[#This Row],[R$ MEDIDO ]])</f>
        <v>0</v>
      </c>
      <c r="J16" s="143"/>
      <c r="K16" s="164">
        <v>260.48</v>
      </c>
      <c r="L16" s="165">
        <v>1211.06</v>
      </c>
      <c r="M16" s="165">
        <v>950.572</v>
      </c>
      <c r="N16" s="165"/>
      <c r="O16" s="165"/>
      <c r="P16" s="165"/>
      <c r="Q16" s="165"/>
      <c r="R16" s="165"/>
      <c r="S16" s="165"/>
      <c r="T16" s="165"/>
      <c r="U16" s="165"/>
      <c r="V16" s="165"/>
      <c r="W16" s="165"/>
      <c r="X16" s="165"/>
      <c r="Y16" s="165"/>
      <c r="Z16" s="165"/>
      <c r="AA16" s="138"/>
      <c r="AB16" s="126">
        <f>IFERROR(_xlfn.XLOOKUP(Tb_ValorSS[[#This Row],[Nº  SS]],Tb_DISTR.FIN[Nº  SS],Tb_DISTR.FIN[SET.25],"",0,1),"")</f>
        <v>0.10754250835634356</v>
      </c>
      <c r="AC16" s="97">
        <v>77315.673600000009</v>
      </c>
      <c r="AD16" s="126">
        <f>IFERROR(_xlfn.XLOOKUP(Tb_ValorSS[[#This Row],[Nº  SS]],Tb_DISTR.FIN[Nº  SS],Tb_DISTR.FIN[OUT.25],"",0,1),"")</f>
        <v>0.5</v>
      </c>
      <c r="AE16" s="97">
        <v>359466.82919999998</v>
      </c>
      <c r="AF16" s="126">
        <f>IFERROR(_xlfn.XLOOKUP(Tb_ValorSS[[#This Row],[Nº  SS]],Tb_DISTR.FIN[Nº  SS],Tb_DISTR.FIN[NOV.25],"",0,1),"")</f>
        <v>0.39245749164365645</v>
      </c>
      <c r="AG16" s="97">
        <v>282148.78103999997</v>
      </c>
      <c r="AH16" s="126">
        <f>IFERROR(_xlfn.XLOOKUP(Tb_ValorSS[[#This Row],[Nº  SS]],Tb_DISTR.FIN[Nº  SS],Tb_DISTR.FIN[DEZ.25],"",0,1),"")</f>
        <v>0</v>
      </c>
      <c r="AI16" s="97">
        <f>IFERROR(_xlfn.XLOOKUP(Tb_ValorSS[[#This Row],[Nº  SS]],Tb_DISTR.FIN[Nº  SS],Tb_DISTR.FIN[DEZ.25],"",0,1)*Tb_ValorSS[[#This Row],[R$ APROVADO]],"")</f>
        <v>0</v>
      </c>
      <c r="AJ16" s="126">
        <f>IFERROR(_xlfn.XLOOKUP(Tb_ValorSS[[#This Row],[Nº  SS]],Tb_DISTR.FIN[Nº  SS],Tb_DISTR.FIN[JAN.26],"",0,1),"")</f>
        <v>0</v>
      </c>
      <c r="AK16" s="97">
        <f>IFERROR(_xlfn.XLOOKUP(Tb_ValorSS[[#This Row],[Nº  SS]],Tb_DISTR.FIN[Nº  SS],Tb_DISTR.FIN[JAN.26],"",0,1)*Tb_ValorSS[[#This Row],[R$ APROVADO]],"")</f>
        <v>0</v>
      </c>
      <c r="AL16" s="126">
        <f>IFERROR(_xlfn.XLOOKUP(Tb_ValorSS[[#This Row],[Nº  SS]],Tb_DISTR.FIN[Nº  SS],Tb_DISTR.FIN[FEV.26],"",0,1),"")</f>
        <v>0</v>
      </c>
      <c r="AM16" s="97">
        <f>IFERROR(_xlfn.XLOOKUP(Tb_ValorSS[[#This Row],[Nº  SS]],Tb_DISTR.FIN[Nº  SS],Tb_DISTR.FIN[FEV.26],"",0,1)*Tb_ValorSS[[#This Row],[R$ APROVADO]],"")</f>
        <v>0</v>
      </c>
      <c r="AN16" s="126">
        <f>IFERROR(_xlfn.XLOOKUP(Tb_ValorSS[[#This Row],[Nº  SS]],Tb_DISTR.FIN[Nº  SS],Tb_DISTR.FIN[MAR.26],"",0,1),"")</f>
        <v>0</v>
      </c>
      <c r="AO16" s="97">
        <f>IFERROR(_xlfn.XLOOKUP(Tb_ValorSS[[#This Row],[Nº  SS]],Tb_DISTR.FIN[Nº  SS],Tb_DISTR.FIN[MAR.26],"",0,1)*Tb_ValorSS[[#This Row],[R$ APROVADO]],"")</f>
        <v>0</v>
      </c>
      <c r="AP16" s="126">
        <f>IFERROR(_xlfn.XLOOKUP(Tb_ValorSS[[#This Row],[Nº  SS]],Tb_DISTR.FIN[Nº  SS],Tb_DISTR.FIN[ABR.26],"",0,1),"")</f>
        <v>0</v>
      </c>
      <c r="AQ16" s="97">
        <f>IFERROR(_xlfn.XLOOKUP(Tb_ValorSS[[#This Row],[Nº  SS]],Tb_DISTR.FIN[Nº  SS],Tb_DISTR.FIN[ABR.26],"",0,1)*Tb_ValorSS[[#This Row],[R$ APROVADO]],"")</f>
        <v>0</v>
      </c>
      <c r="AR16" s="126">
        <f>IFERROR(_xlfn.XLOOKUP(Tb_ValorSS[[#This Row],[Nº  SS]],Tb_DISTR.FIN[Nº  SS],Tb_DISTR.FIN[MAI.26],"",0,1),"")</f>
        <v>0</v>
      </c>
      <c r="AS16" s="97">
        <f>IFERROR(_xlfn.XLOOKUP(Tb_ValorSS[[#This Row],[Nº  SS]],Tb_DISTR.FIN[Nº  SS],Tb_DISTR.FIN[MAI.26],"",0,1)*Tb_ValorSS[[#This Row],[R$ APROVADO]],"")</f>
        <v>0</v>
      </c>
      <c r="AT16" s="126">
        <f>IFERROR(_xlfn.XLOOKUP(Tb_ValorSS[[#This Row],[Nº  SS]],Tb_DISTR.FIN[Nº  SS],Tb_DISTR.FIN[JUN.26],"",0,1),"")</f>
        <v>0</v>
      </c>
      <c r="AU16" s="97">
        <f>IFERROR(_xlfn.XLOOKUP(Tb_ValorSS[[#This Row],[Nº  SS]],Tb_DISTR.FIN[Nº  SS],Tb_DISTR.FIN[JUN.26],"",0,1)*Tb_ValorSS[[#This Row],[R$ APROVADO]],"")</f>
        <v>0</v>
      </c>
      <c r="AV16" s="126">
        <f>IFERROR(_xlfn.XLOOKUP(Tb_ValorSS[[#This Row],[Nº  SS]],Tb_DISTR.FIN[Nº  SS],Tb_DISTR.FIN[JUL.26],"",0,1),"")</f>
        <v>0</v>
      </c>
      <c r="AW16" s="97">
        <f>IFERROR(_xlfn.XLOOKUP(Tb_ValorSS[[#This Row],[Nº  SS]],Tb_DISTR.FIN[Nº  SS],Tb_DISTR.FIN[JUL.26],"",0,1)*Tb_ValorSS[[#This Row],[R$ APROVADO]],"")</f>
        <v>0</v>
      </c>
      <c r="AX16" s="126">
        <f>IFERROR(_xlfn.XLOOKUP(Tb_ValorSS[[#This Row],[Nº  SS]],Tb_DISTR.FIN[Nº  SS],Tb_DISTR.FIN[AGO.26],"",0,1),"")</f>
        <v>0</v>
      </c>
      <c r="AY16" s="97">
        <f>IFERROR(_xlfn.XLOOKUP(Tb_ValorSS[[#This Row],[Nº  SS]],Tb_DISTR.FIN[Nº  SS],Tb_DISTR.FIN[AGO.26],"",0,1)*Tb_ValorSS[[#This Row],[R$ APROVADO]],"")</f>
        <v>0</v>
      </c>
      <c r="AZ16" s="126">
        <f>IFERROR(_xlfn.XLOOKUP(Tb_ValorSS[[#This Row],[Nº  SS]],Tb_DISTR.FIN[Nº  SS],Tb_DISTR.FIN[SET.26],"",0,1),"")</f>
        <v>0</v>
      </c>
      <c r="BA16" s="97">
        <f>IFERROR(_xlfn.XLOOKUP(Tb_ValorSS[[#This Row],[Nº  SS]],Tb_DISTR.FIN[Nº  SS],Tb_DISTR.FIN[SET.26],"",0,1)*Tb_ValorSS[[#This Row],[R$ APROVADO]],"")</f>
        <v>0</v>
      </c>
      <c r="BB16" s="126">
        <f>IFERROR(_xlfn.XLOOKUP(Tb_ValorSS[[#This Row],[Nº  SS]],Tb_DISTR.FIN[Nº  SS],Tb_DISTR.FIN[OUT.26],"",0,1),"")</f>
        <v>0</v>
      </c>
      <c r="BC16" s="97">
        <f>IFERROR(_xlfn.XLOOKUP(Tb_ValorSS[[#This Row],[Nº  SS]],Tb_DISTR.FIN[Nº  SS],Tb_DISTR.FIN[OUT.26],"",0,1)*Tb_ValorSS[[#This Row],[R$ APROVADO]],"")</f>
        <v>0</v>
      </c>
      <c r="BD16" s="126">
        <f>IFERROR(_xlfn.XLOOKUP(Tb_ValorSS[[#This Row],[Nº  SS]],Tb_DISTR.FIN[Nº  SS],Tb_DISTR.FIN[NOV.26],"",0,1),"")</f>
        <v>0</v>
      </c>
      <c r="BE16" s="97">
        <f>IFERROR(_xlfn.XLOOKUP(Tb_ValorSS[[#This Row],[Nº  SS]],Tb_DISTR.FIN[Nº  SS],Tb_DISTR.FIN[NOV.26],"",0,1)*Tb_ValorSS[[#This Row],[R$ APROVADO]],"")</f>
        <v>0</v>
      </c>
      <c r="BF16" s="126">
        <f>IFERROR(_xlfn.XLOOKUP(Tb_ValorSS[[#This Row],[Nº  SS]],Tb_DISTR.FIN[Nº  SS],Tb_DISTR.FIN[DEZ.26],"",0,1),"")</f>
        <v>0</v>
      </c>
      <c r="BG16" s="97">
        <f>IFERROR(_xlfn.XLOOKUP(Tb_ValorSS[[#This Row],[Nº  SS]],Tb_DISTR.FIN[Nº  SS],Tb_DISTR.FIN[DEZ.26],"",0,1)*Tb_ValorSS[[#This Row],[R$ APROVADO]],"")</f>
        <v>0</v>
      </c>
    </row>
    <row r="17" spans="1:59" x14ac:dyDescent="0.3">
      <c r="A17" s="461" t="s">
        <v>56</v>
      </c>
      <c r="B17" s="461" t="str">
        <f>_xlfn.XLOOKUP(Tb_ValorSS[[#This Row],[Nº  SS]],tb_Distr[SS],tb_Distr[DESCRIÇÃO],"",0,1)</f>
        <v>GALPÃO ESTOQUE</v>
      </c>
      <c r="C17" s="461" t="str">
        <f>_xlfn.XLOOKUP(Tb_ValorSS[[#This Row],[Nº  SS]],TB_CR.ACOMP[Nº  SS],TB_CR.ACOMP[TOMADOR],"",0,1)</f>
        <v>UTGC</v>
      </c>
      <c r="D17" s="461" t="str">
        <f>_xlfn.XLOOKUP(Tb_ValorSS[[#This Row],[Nº  SS]],TB_CR.ACOMP[Nº  SS],TB_CR.ACOMP[STATUS DEMANDA],"",0,1)</f>
        <v>EM ANDAMENTO</v>
      </c>
      <c r="E17" s="233">
        <v>3857.114</v>
      </c>
      <c r="F17" s="94">
        <f>Tb_ValorSS[[#This Row],[UBR APROV]]*296.82</f>
        <v>1144868.57748</v>
      </c>
      <c r="G17" s="233">
        <f>SUM(Tb_ValorSS[[#This Row],[SET.25]:[DEZ.26]])</f>
        <v>1542.8409999999999</v>
      </c>
      <c r="H17" s="94">
        <f>Tb_ValorSS[[#This Row],[UBR MEDIDO]]*296.82</f>
        <v>457946.06561999995</v>
      </c>
      <c r="I17" s="94">
        <f>IF(ABS(Tb_ValorSS[[#This Row],[R$ APROVADO]]-Tb_ValorSS[[#This Row],[R$ MEDIDO ]])&lt;0.01,0,Tb_ValorSS[[#This Row],[R$ APROVADO]]-Tb_ValorSS[[#This Row],[R$ MEDIDO ]])</f>
        <v>686922.51185999997</v>
      </c>
      <c r="J17" s="143"/>
      <c r="K17" s="164"/>
      <c r="L17" s="165">
        <v>385.71</v>
      </c>
      <c r="M17" s="165">
        <v>771.42</v>
      </c>
      <c r="N17" s="165"/>
      <c r="O17" s="165">
        <v>385.71100000000001</v>
      </c>
      <c r="P17" s="165"/>
      <c r="Q17" s="165"/>
      <c r="R17" s="165"/>
      <c r="S17" s="165"/>
      <c r="T17" s="165"/>
      <c r="U17" s="165"/>
      <c r="V17" s="165"/>
      <c r="W17" s="165"/>
      <c r="X17" s="165"/>
      <c r="Y17" s="165"/>
      <c r="Z17" s="165"/>
      <c r="AA17" s="138"/>
      <c r="AB17" s="126">
        <f>IFERROR(_xlfn.XLOOKUP(Tb_ValorSS[[#This Row],[Nº  SS]],Tb_DISTR.FIN[Nº  SS],Tb_DISTR.FIN[SET.25],"",0,1),"")</f>
        <v>0</v>
      </c>
      <c r="AC17" s="97">
        <f>IFERROR(_xlfn.XLOOKUP(Tb_ValorSS[[#This Row],[Nº  SS]],Tb_DISTR.FIN[Nº  SS],Tb_DISTR.FIN[SET.25],"",0,1)*Tb_ValorSS[[#This Row],[R$ APROVADO]],"")</f>
        <v>0</v>
      </c>
      <c r="AD17" s="126">
        <f>IFERROR(_xlfn.XLOOKUP(Tb_ValorSS[[#This Row],[Nº  SS]],Tb_DISTR.FIN[Nº  SS],Tb_DISTR.FIN[OUT.25],"",0,1),"")</f>
        <v>0.1</v>
      </c>
      <c r="AE17" s="97">
        <f>IFERROR(_xlfn.XLOOKUP(Tb_ValorSS[[#This Row],[Nº  SS]],Tb_DISTR.FIN[Nº  SS],Tb_DISTR.FIN[OUT.25],"",0,1)*Tb_ValorSS[[#This Row],[R$ APROVADO]],"")</f>
        <v>114486.85774800001</v>
      </c>
      <c r="AF17" s="126">
        <f>IFERROR(_xlfn.XLOOKUP(Tb_ValorSS[[#This Row],[Nº  SS]],Tb_DISTR.FIN[Nº  SS],Tb_DISTR.FIN[NOV.25],"",0,1),"")</f>
        <v>0.2</v>
      </c>
      <c r="AG17" s="97">
        <f>IFERROR(_xlfn.XLOOKUP(Tb_ValorSS[[#This Row],[Nº  SS]],Tb_DISTR.FIN[Nº  SS],Tb_DISTR.FIN[NOV.25],"",0,1)*Tb_ValorSS[[#This Row],[R$ APROVADO]],"")</f>
        <v>228973.71549600002</v>
      </c>
      <c r="AH17" s="126">
        <f>IFERROR(_xlfn.XLOOKUP(Tb_ValorSS[[#This Row],[Nº  SS]],Tb_DISTR.FIN[Nº  SS],Tb_DISTR.FIN[DEZ.25],"",0,1),"")</f>
        <v>0</v>
      </c>
      <c r="AI17" s="97">
        <f>IFERROR(_xlfn.XLOOKUP(Tb_ValorSS[[#This Row],[Nº  SS]],Tb_DISTR.FIN[Nº  SS],Tb_DISTR.FIN[DEZ.25],"",0,1)*Tb_ValorSS[[#This Row],[R$ APROVADO]],"")</f>
        <v>0</v>
      </c>
      <c r="AJ17" s="126">
        <f>IFERROR(_xlfn.XLOOKUP(Tb_ValorSS[[#This Row],[Nº  SS]],Tb_DISTR.FIN[Nº  SS],Tb_DISTR.FIN[JAN.26],"",0,1),"")</f>
        <v>0.1</v>
      </c>
      <c r="AK17" s="97">
        <f>IFERROR(_xlfn.XLOOKUP(Tb_ValorSS[[#This Row],[Nº  SS]],Tb_DISTR.FIN[Nº  SS],Tb_DISTR.FIN[JAN.26],"",0,1)*Tb_ValorSS[[#This Row],[R$ APROVADO]],"")</f>
        <v>114486.85774800001</v>
      </c>
      <c r="AL17" s="126">
        <f>IFERROR(_xlfn.XLOOKUP(Tb_ValorSS[[#This Row],[Nº  SS]],Tb_DISTR.FIN[Nº  SS],Tb_DISTR.FIN[FEV.26],"",0,1),"")</f>
        <v>0</v>
      </c>
      <c r="AM17" s="97">
        <f>IFERROR(_xlfn.XLOOKUP(Tb_ValorSS[[#This Row],[Nº  SS]],Tb_DISTR.FIN[Nº  SS],Tb_DISTR.FIN[FEV.26],"",0,1)*Tb_ValorSS[[#This Row],[R$ APROVADO]],"")</f>
        <v>0</v>
      </c>
      <c r="AN17" s="126">
        <f>IFERROR(_xlfn.XLOOKUP(Tb_ValorSS[[#This Row],[Nº  SS]],Tb_DISTR.FIN[Nº  SS],Tb_DISTR.FIN[MAR.26],"",0,1),"")</f>
        <v>0.4</v>
      </c>
      <c r="AO17" s="97">
        <f>IFERROR(_xlfn.XLOOKUP(Tb_ValorSS[[#This Row],[Nº  SS]],Tb_DISTR.FIN[Nº  SS],Tb_DISTR.FIN[MAR.26],"",0,1)*Tb_ValorSS[[#This Row],[R$ APROVADO]],"")</f>
        <v>457947.43099200004</v>
      </c>
      <c r="AP17" s="126">
        <f>IFERROR(_xlfn.XLOOKUP(Tb_ValorSS[[#This Row],[Nº  SS]],Tb_DISTR.FIN[Nº  SS],Tb_DISTR.FIN[ABR.26],"",0,1),"")</f>
        <v>0.2</v>
      </c>
      <c r="AQ17" s="97">
        <f>IFERROR(_xlfn.XLOOKUP(Tb_ValorSS[[#This Row],[Nº  SS]],Tb_DISTR.FIN[Nº  SS],Tb_DISTR.FIN[ABR.26],"",0,1)*Tb_ValorSS[[#This Row],[R$ APROVADO]],"")</f>
        <v>228973.71549600002</v>
      </c>
      <c r="AR17" s="126">
        <f>IFERROR(_xlfn.XLOOKUP(Tb_ValorSS[[#This Row],[Nº  SS]],Tb_DISTR.FIN[Nº  SS],Tb_DISTR.FIN[MAI.26],"",0,1),"")</f>
        <v>0</v>
      </c>
      <c r="AS17" s="97">
        <f>IFERROR(_xlfn.XLOOKUP(Tb_ValorSS[[#This Row],[Nº  SS]],Tb_DISTR.FIN[Nº  SS],Tb_DISTR.FIN[MAI.26],"",0,1)*Tb_ValorSS[[#This Row],[R$ APROVADO]],"")</f>
        <v>0</v>
      </c>
      <c r="AT17" s="126">
        <f>IFERROR(_xlfn.XLOOKUP(Tb_ValorSS[[#This Row],[Nº  SS]],Tb_DISTR.FIN[Nº  SS],Tb_DISTR.FIN[JUN.26],"",0,1),"")</f>
        <v>0</v>
      </c>
      <c r="AU17" s="97">
        <f>IFERROR(_xlfn.XLOOKUP(Tb_ValorSS[[#This Row],[Nº  SS]],Tb_DISTR.FIN[Nº  SS],Tb_DISTR.FIN[JUN.26],"",0,1)*Tb_ValorSS[[#This Row],[R$ APROVADO]],"")</f>
        <v>0</v>
      </c>
      <c r="AV17" s="126">
        <f>IFERROR(_xlfn.XLOOKUP(Tb_ValorSS[[#This Row],[Nº  SS]],Tb_DISTR.FIN[Nº  SS],Tb_DISTR.FIN[JUL.26],"",0,1),"")</f>
        <v>0</v>
      </c>
      <c r="AW17" s="97">
        <f>IFERROR(_xlfn.XLOOKUP(Tb_ValorSS[[#This Row],[Nº  SS]],Tb_DISTR.FIN[Nº  SS],Tb_DISTR.FIN[JUL.26],"",0,1)*Tb_ValorSS[[#This Row],[R$ APROVADO]],"")</f>
        <v>0</v>
      </c>
      <c r="AX17" s="126">
        <f>IFERROR(_xlfn.XLOOKUP(Tb_ValorSS[[#This Row],[Nº  SS]],Tb_DISTR.FIN[Nº  SS],Tb_DISTR.FIN[AGO.26],"",0,1),"")</f>
        <v>0</v>
      </c>
      <c r="AY17" s="97">
        <f>IFERROR(_xlfn.XLOOKUP(Tb_ValorSS[[#This Row],[Nº  SS]],Tb_DISTR.FIN[Nº  SS],Tb_DISTR.FIN[AGO.26],"",0,1)*Tb_ValorSS[[#This Row],[R$ APROVADO]],"")</f>
        <v>0</v>
      </c>
      <c r="AZ17" s="126">
        <f>IFERROR(_xlfn.XLOOKUP(Tb_ValorSS[[#This Row],[Nº  SS]],Tb_DISTR.FIN[Nº  SS],Tb_DISTR.FIN[SET.26],"",0,1),"")</f>
        <v>0</v>
      </c>
      <c r="BA17" s="97">
        <f>IFERROR(_xlfn.XLOOKUP(Tb_ValorSS[[#This Row],[Nº  SS]],Tb_DISTR.FIN[Nº  SS],Tb_DISTR.FIN[SET.26],"",0,1)*Tb_ValorSS[[#This Row],[R$ APROVADO]],"")</f>
        <v>0</v>
      </c>
      <c r="BB17" s="126">
        <f>IFERROR(_xlfn.XLOOKUP(Tb_ValorSS[[#This Row],[Nº  SS]],Tb_DISTR.FIN[Nº  SS],Tb_DISTR.FIN[OUT.26],"",0,1),"")</f>
        <v>0</v>
      </c>
      <c r="BC17" s="97">
        <f>IFERROR(_xlfn.XLOOKUP(Tb_ValorSS[[#This Row],[Nº  SS]],Tb_DISTR.FIN[Nº  SS],Tb_DISTR.FIN[OUT.26],"",0,1)*Tb_ValorSS[[#This Row],[R$ APROVADO]],"")</f>
        <v>0</v>
      </c>
      <c r="BD17" s="126">
        <f>IFERROR(_xlfn.XLOOKUP(Tb_ValorSS[[#This Row],[Nº  SS]],Tb_DISTR.FIN[Nº  SS],Tb_DISTR.FIN[NOV.26],"",0,1),"")</f>
        <v>0</v>
      </c>
      <c r="BE17" s="97">
        <f>IFERROR(_xlfn.XLOOKUP(Tb_ValorSS[[#This Row],[Nº  SS]],Tb_DISTR.FIN[Nº  SS],Tb_DISTR.FIN[NOV.26],"",0,1)*Tb_ValorSS[[#This Row],[R$ APROVADO]],"")</f>
        <v>0</v>
      </c>
      <c r="BF17" s="126">
        <f>IFERROR(_xlfn.XLOOKUP(Tb_ValorSS[[#This Row],[Nº  SS]],Tb_DISTR.FIN[Nº  SS],Tb_DISTR.FIN[DEZ.26],"",0,1),"")</f>
        <v>0</v>
      </c>
      <c r="BG17" s="97">
        <f>IFERROR(_xlfn.XLOOKUP(Tb_ValorSS[[#This Row],[Nº  SS]],Tb_DISTR.FIN[Nº  SS],Tb_DISTR.FIN[DEZ.26],"",0,1)*Tb_ValorSS[[#This Row],[R$ APROVADO]],"")</f>
        <v>0</v>
      </c>
    </row>
    <row r="18" spans="1:59" s="96" customFormat="1" hidden="1" x14ac:dyDescent="0.3">
      <c r="A18" s="123" t="s">
        <v>57</v>
      </c>
      <c r="B18" s="123" t="str">
        <f>_xlfn.XLOOKUP(Tb_ValorSS[[#This Row],[Nº  SS]],tb_Distr[SS],tb_Distr[DESCRIÇÃO],"",0,1)</f>
        <v>SANITÁRIOS</v>
      </c>
      <c r="C18" s="123" t="str">
        <f>_xlfn.XLOOKUP(Tb_ValorSS[[#This Row],[Nº  SS]],TB_CR.ACOMP[Nº  SS],TB_CR.ACOMP[TOMADOR],"",0,1)</f>
        <v>EDIVIT</v>
      </c>
      <c r="D18" s="123" t="str">
        <f>_xlfn.XLOOKUP(Tb_ValorSS[[#This Row],[Nº  SS]],TB_CR.ACOMP[Nº  SS],TB_CR.ACOMP[STATUS DEMANDA],"",0,1)</f>
        <v>ON HOLD</v>
      </c>
      <c r="E18" s="234"/>
      <c r="F18" s="124">
        <f>Tb_ValorSS[[#This Row],[UBR APROV]]*296.82</f>
        <v>0</v>
      </c>
      <c r="G18" s="234">
        <f>SUM(Tb_ValorSS[[#This Row],[SET.25]:[DEZ.26]])</f>
        <v>0</v>
      </c>
      <c r="H18" s="124">
        <f>Tb_ValorSS[[#This Row],[UBR MEDIDO]]*296.82</f>
        <v>0</v>
      </c>
      <c r="I18" s="124">
        <f>IF(ABS(Tb_ValorSS[[#This Row],[R$ APROVADO]]-Tb_ValorSS[[#This Row],[R$ MEDIDO ]])&lt;0.01,0,Tb_ValorSS[[#This Row],[R$ APROVADO]]-Tb_ValorSS[[#This Row],[R$ MEDIDO ]])</f>
        <v>0</v>
      </c>
      <c r="J18" s="144"/>
      <c r="K18" s="169"/>
      <c r="L18" s="170"/>
      <c r="M18" s="170"/>
      <c r="N18" s="170"/>
      <c r="O18" s="170"/>
      <c r="P18" s="170"/>
      <c r="Q18" s="170"/>
      <c r="R18" s="170"/>
      <c r="S18" s="170"/>
      <c r="T18" s="170"/>
      <c r="U18" s="170"/>
      <c r="V18" s="170"/>
      <c r="W18" s="170"/>
      <c r="X18" s="170"/>
      <c r="Y18" s="170"/>
      <c r="Z18" s="170"/>
      <c r="AA18" s="139"/>
      <c r="AB18" s="127">
        <f>IFERROR(_xlfn.XLOOKUP(Tb_ValorSS[[#This Row],[Nº  SS]],Tb_DISTR.FIN[Nº  SS],Tb_DISTR.FIN[SET.25],"",0,1),"")</f>
        <v>0</v>
      </c>
      <c r="AC18" s="125">
        <f>IFERROR(_xlfn.XLOOKUP(Tb_ValorSS[[#This Row],[Nº  SS]],Tb_DISTR.FIN[Nº  SS],Tb_DISTR.FIN[SET.25],"",0,1)*Tb_ValorSS[[#This Row],[R$ APROVADO]],"")</f>
        <v>0</v>
      </c>
      <c r="AD18" s="127">
        <f>IFERROR(_xlfn.XLOOKUP(Tb_ValorSS[[#This Row],[Nº  SS]],Tb_DISTR.FIN[Nº  SS],Tb_DISTR.FIN[OUT.25],"",0,1),"")</f>
        <v>0</v>
      </c>
      <c r="AE18" s="125">
        <f>IFERROR(_xlfn.XLOOKUP(Tb_ValorSS[[#This Row],[Nº  SS]],Tb_DISTR.FIN[Nº  SS],Tb_DISTR.FIN[OUT.25],"",0,1)*Tb_ValorSS[[#This Row],[R$ APROVADO]],"")</f>
        <v>0</v>
      </c>
      <c r="AF18" s="127">
        <f>IFERROR(_xlfn.XLOOKUP(Tb_ValorSS[[#This Row],[Nº  SS]],Tb_DISTR.FIN[Nº  SS],Tb_DISTR.FIN[NOV.25],"",0,1),"")</f>
        <v>0</v>
      </c>
      <c r="AG18" s="125">
        <f>IFERROR(_xlfn.XLOOKUP(Tb_ValorSS[[#This Row],[Nº  SS]],Tb_DISTR.FIN[Nº  SS],Tb_DISTR.FIN[NOV.25],"",0,1)*Tb_ValorSS[[#This Row],[R$ APROVADO]],"")</f>
        <v>0</v>
      </c>
      <c r="AH18" s="127">
        <f>IFERROR(_xlfn.XLOOKUP(Tb_ValorSS[[#This Row],[Nº  SS]],Tb_DISTR.FIN[Nº  SS],Tb_DISTR.FIN[DEZ.25],"",0,1),"")</f>
        <v>0</v>
      </c>
      <c r="AI18" s="125">
        <f>IFERROR(_xlfn.XLOOKUP(Tb_ValorSS[[#This Row],[Nº  SS]],Tb_DISTR.FIN[Nº  SS],Tb_DISTR.FIN[DEZ.25],"",0,1)*Tb_ValorSS[[#This Row],[R$ APROVADO]],"")</f>
        <v>0</v>
      </c>
      <c r="AJ18" s="127">
        <f>IFERROR(_xlfn.XLOOKUP(Tb_ValorSS[[#This Row],[Nº  SS]],Tb_DISTR.FIN[Nº  SS],Tb_DISTR.FIN[JAN.26],"",0,1),"")</f>
        <v>0</v>
      </c>
      <c r="AK18" s="125">
        <f>IFERROR(_xlfn.XLOOKUP(Tb_ValorSS[[#This Row],[Nº  SS]],Tb_DISTR.FIN[Nº  SS],Tb_DISTR.FIN[JAN.26],"",0,1)*Tb_ValorSS[[#This Row],[R$ APROVADO]],"")</f>
        <v>0</v>
      </c>
      <c r="AL18" s="127">
        <f>IFERROR(_xlfn.XLOOKUP(Tb_ValorSS[[#This Row],[Nº  SS]],Tb_DISTR.FIN[Nº  SS],Tb_DISTR.FIN[FEV.26],"",0,1),"")</f>
        <v>0</v>
      </c>
      <c r="AM18" s="125">
        <f>IFERROR(_xlfn.XLOOKUP(Tb_ValorSS[[#This Row],[Nº  SS]],Tb_DISTR.FIN[Nº  SS],Tb_DISTR.FIN[FEV.26],"",0,1)*Tb_ValorSS[[#This Row],[R$ APROVADO]],"")</f>
        <v>0</v>
      </c>
      <c r="AN18" s="127">
        <f>IFERROR(_xlfn.XLOOKUP(Tb_ValorSS[[#This Row],[Nº  SS]],Tb_DISTR.FIN[Nº  SS],Tb_DISTR.FIN[MAR.26],"",0,1),"")</f>
        <v>0</v>
      </c>
      <c r="AO18" s="125">
        <f>IFERROR(_xlfn.XLOOKUP(Tb_ValorSS[[#This Row],[Nº  SS]],Tb_DISTR.FIN[Nº  SS],Tb_DISTR.FIN[MAR.26],"",0,1)*Tb_ValorSS[[#This Row],[R$ APROVADO]],"")</f>
        <v>0</v>
      </c>
      <c r="AP18" s="127">
        <f>IFERROR(_xlfn.XLOOKUP(Tb_ValorSS[[#This Row],[Nº  SS]],Tb_DISTR.FIN[Nº  SS],Tb_DISTR.FIN[ABR.26],"",0,1),"")</f>
        <v>0</v>
      </c>
      <c r="AQ18" s="125">
        <f>IFERROR(_xlfn.XLOOKUP(Tb_ValorSS[[#This Row],[Nº  SS]],Tb_DISTR.FIN[Nº  SS],Tb_DISTR.FIN[ABR.26],"",0,1)*Tb_ValorSS[[#This Row],[R$ APROVADO]],"")</f>
        <v>0</v>
      </c>
      <c r="AR18" s="127">
        <f>IFERROR(_xlfn.XLOOKUP(Tb_ValorSS[[#This Row],[Nº  SS]],Tb_DISTR.FIN[Nº  SS],Tb_DISTR.FIN[MAI.26],"",0,1),"")</f>
        <v>0</v>
      </c>
      <c r="AS18" s="125">
        <f>IFERROR(_xlfn.XLOOKUP(Tb_ValorSS[[#This Row],[Nº  SS]],Tb_DISTR.FIN[Nº  SS],Tb_DISTR.FIN[MAI.26],"",0,1)*Tb_ValorSS[[#This Row],[R$ APROVADO]],"")</f>
        <v>0</v>
      </c>
      <c r="AT18" s="127">
        <f>IFERROR(_xlfn.XLOOKUP(Tb_ValorSS[[#This Row],[Nº  SS]],Tb_DISTR.FIN[Nº  SS],Tb_DISTR.FIN[JUN.26],"",0,1),"")</f>
        <v>0</v>
      </c>
      <c r="AU18" s="125">
        <f>IFERROR(_xlfn.XLOOKUP(Tb_ValorSS[[#This Row],[Nº  SS]],Tb_DISTR.FIN[Nº  SS],Tb_DISTR.FIN[JUN.26],"",0,1)*Tb_ValorSS[[#This Row],[R$ APROVADO]],"")</f>
        <v>0</v>
      </c>
      <c r="AV18" s="127">
        <f>IFERROR(_xlfn.XLOOKUP(Tb_ValorSS[[#This Row],[Nº  SS]],Tb_DISTR.FIN[Nº  SS],Tb_DISTR.FIN[JUL.26],"",0,1),"")</f>
        <v>0</v>
      </c>
      <c r="AW18" s="125">
        <f>IFERROR(_xlfn.XLOOKUP(Tb_ValorSS[[#This Row],[Nº  SS]],Tb_DISTR.FIN[Nº  SS],Tb_DISTR.FIN[JUL.26],"",0,1)*Tb_ValorSS[[#This Row],[R$ APROVADO]],"")</f>
        <v>0</v>
      </c>
      <c r="AX18" s="127">
        <f>IFERROR(_xlfn.XLOOKUP(Tb_ValorSS[[#This Row],[Nº  SS]],Tb_DISTR.FIN[Nº  SS],Tb_DISTR.FIN[AGO.26],"",0,1),"")</f>
        <v>0</v>
      </c>
      <c r="AY18" s="125">
        <f>IFERROR(_xlfn.XLOOKUP(Tb_ValorSS[[#This Row],[Nº  SS]],Tb_DISTR.FIN[Nº  SS],Tb_DISTR.FIN[AGO.26],"",0,1)*Tb_ValorSS[[#This Row],[R$ APROVADO]],"")</f>
        <v>0</v>
      </c>
      <c r="AZ18" s="127">
        <f>IFERROR(_xlfn.XLOOKUP(Tb_ValorSS[[#This Row],[Nº  SS]],Tb_DISTR.FIN[Nº  SS],Tb_DISTR.FIN[SET.26],"",0,1),"")</f>
        <v>0</v>
      </c>
      <c r="BA18" s="125">
        <f>IFERROR(_xlfn.XLOOKUP(Tb_ValorSS[[#This Row],[Nº  SS]],Tb_DISTR.FIN[Nº  SS],Tb_DISTR.FIN[SET.26],"",0,1)*Tb_ValorSS[[#This Row],[R$ APROVADO]],"")</f>
        <v>0</v>
      </c>
      <c r="BB18" s="127">
        <f>IFERROR(_xlfn.XLOOKUP(Tb_ValorSS[[#This Row],[Nº  SS]],Tb_DISTR.FIN[Nº  SS],Tb_DISTR.FIN[OUT.26],"",0,1),"")</f>
        <v>0</v>
      </c>
      <c r="BC18" s="125">
        <f>IFERROR(_xlfn.XLOOKUP(Tb_ValorSS[[#This Row],[Nº  SS]],Tb_DISTR.FIN[Nº  SS],Tb_DISTR.FIN[OUT.26],"",0,1)*Tb_ValorSS[[#This Row],[R$ APROVADO]],"")</f>
        <v>0</v>
      </c>
      <c r="BD18" s="127">
        <f>IFERROR(_xlfn.XLOOKUP(Tb_ValorSS[[#This Row],[Nº  SS]],Tb_DISTR.FIN[Nº  SS],Tb_DISTR.FIN[NOV.26],"",0,1),"")</f>
        <v>0</v>
      </c>
      <c r="BE18" s="125">
        <f>IFERROR(_xlfn.XLOOKUP(Tb_ValorSS[[#This Row],[Nº  SS]],Tb_DISTR.FIN[Nº  SS],Tb_DISTR.FIN[NOV.26],"",0,1)*Tb_ValorSS[[#This Row],[R$ APROVADO]],"")</f>
        <v>0</v>
      </c>
      <c r="BF18" s="127">
        <f>IFERROR(_xlfn.XLOOKUP(Tb_ValorSS[[#This Row],[Nº  SS]],Tb_DISTR.FIN[Nº  SS],Tb_DISTR.FIN[DEZ.26],"",0,1),"")</f>
        <v>0</v>
      </c>
      <c r="BG18" s="125">
        <f>IFERROR(_xlfn.XLOOKUP(Tb_ValorSS[[#This Row],[Nº  SS]],Tb_DISTR.FIN[Nº  SS],Tb_DISTR.FIN[DEZ.26],"",0,1)*Tb_ValorSS[[#This Row],[R$ APROVADO]],"")</f>
        <v>0</v>
      </c>
    </row>
    <row r="19" spans="1:59" x14ac:dyDescent="0.3">
      <c r="A19" t="s">
        <v>58</v>
      </c>
      <c r="B19" t="str">
        <f>_xlfn.XLOOKUP(Tb_ValorSS[[#This Row],[Nº  SS]],tb_Distr[SS],tb_Distr[DESCRIÇÃO],"",0,1)</f>
        <v>TORRE RESFR</v>
      </c>
      <c r="C19" t="str">
        <f>_xlfn.XLOOKUP(Tb_ValorSS[[#This Row],[Nº  SS]],TB_CR.ACOMP[Nº  SS],TB_CR.ACOMP[TOMADOR],"",0,1)</f>
        <v>EDIVIT</v>
      </c>
      <c r="D19" t="str">
        <f>_xlfn.XLOOKUP(Tb_ValorSS[[#This Row],[Nº  SS]],TB_CR.ACOMP[Nº  SS],TB_CR.ACOMP[STATUS DEMANDA],"",0,1)</f>
        <v>EM ANDAMENTO</v>
      </c>
      <c r="E19" s="233">
        <v>5602.11</v>
      </c>
      <c r="F19" s="94">
        <f>Tb_ValorSS[[#This Row],[UBR APROV]]*296.82</f>
        <v>1662818.2901999999</v>
      </c>
      <c r="G19" s="233">
        <f>SUM(Tb_ValorSS[[#This Row],[SET.25]:[DEZ.26]])</f>
        <v>4033.5219999999999</v>
      </c>
      <c r="H19" s="94">
        <f>Tb_ValorSS[[#This Row],[UBR MEDIDO]]*296.82</f>
        <v>1197230.0000399998</v>
      </c>
      <c r="I19" s="94">
        <f>IF(ABS(Tb_ValorSS[[#This Row],[R$ APROVADO]]-Tb_ValorSS[[#This Row],[R$ MEDIDO ]])&lt;0.01,0,Tb_ValorSS[[#This Row],[R$ APROVADO]]-Tb_ValorSS[[#This Row],[R$ MEDIDO ]])</f>
        <v>465588.29016000009</v>
      </c>
      <c r="J19" s="143"/>
      <c r="K19" s="164"/>
      <c r="L19" s="165">
        <v>560.21100000000001</v>
      </c>
      <c r="M19" s="165">
        <v>1120.423</v>
      </c>
      <c r="N19" s="165">
        <v>1512.5709999999999</v>
      </c>
      <c r="O19" s="165">
        <v>448.16899999999998</v>
      </c>
      <c r="P19" s="165">
        <v>392.14800000000002</v>
      </c>
      <c r="Q19" s="165"/>
      <c r="R19" s="165"/>
      <c r="S19" s="165"/>
      <c r="T19" s="165"/>
      <c r="U19" s="165"/>
      <c r="V19" s="165"/>
      <c r="W19" s="165"/>
      <c r="X19" s="165"/>
      <c r="Y19" s="165"/>
      <c r="Z19" s="165"/>
      <c r="AA19" s="138"/>
      <c r="AB19" s="126">
        <f>IFERROR(_xlfn.XLOOKUP(Tb_ValorSS[[#This Row],[Nº  SS]],Tb_DISTR.FIN[Nº  SS],Tb_DISTR.FIN[SET.25],"",0,1),"")</f>
        <v>0</v>
      </c>
      <c r="AC19" s="97">
        <f>IFERROR(_xlfn.XLOOKUP(Tb_ValorSS[[#This Row],[Nº  SS]],Tb_DISTR.FIN[Nº  SS],Tb_DISTR.FIN[SET.25],"",0,1)*Tb_ValorSS[[#This Row],[R$ APROVADO]],"")</f>
        <v>0</v>
      </c>
      <c r="AD19" s="126">
        <f>IFERROR(_xlfn.XLOOKUP(Tb_ValorSS[[#This Row],[Nº  SS]],Tb_DISTR.FIN[Nº  SS],Tb_DISTR.FIN[OUT.25],"",0,1),"")</f>
        <v>0.1</v>
      </c>
      <c r="AE19" s="97">
        <f>IFERROR(_xlfn.XLOOKUP(Tb_ValorSS[[#This Row],[Nº  SS]],Tb_DISTR.FIN[Nº  SS],Tb_DISTR.FIN[OUT.25],"",0,1)*Tb_ValorSS[[#This Row],[R$ APROVADO]],"")</f>
        <v>166281.82902</v>
      </c>
      <c r="AF19" s="126">
        <f>IFERROR(_xlfn.XLOOKUP(Tb_ValorSS[[#This Row],[Nº  SS]],Tb_DISTR.FIN[Nº  SS],Tb_DISTR.FIN[NOV.25],"",0,1),"")</f>
        <v>0.2</v>
      </c>
      <c r="AG19" s="97">
        <f>IFERROR(_xlfn.XLOOKUP(Tb_ValorSS[[#This Row],[Nº  SS]],Tb_DISTR.FIN[Nº  SS],Tb_DISTR.FIN[NOV.25],"",0,1)*Tb_ValorSS[[#This Row],[R$ APROVADO]],"")</f>
        <v>332563.65804000001</v>
      </c>
      <c r="AH19" s="126">
        <f>IFERROR(_xlfn.XLOOKUP(Tb_ValorSS[[#This Row],[Nº  SS]],Tb_DISTR.FIN[Nº  SS],Tb_DISTR.FIN[DEZ.25],"",0,1),"")</f>
        <v>0.27</v>
      </c>
      <c r="AI19" s="97">
        <f>IFERROR(_xlfn.XLOOKUP(Tb_ValorSS[[#This Row],[Nº  SS]],Tb_DISTR.FIN[Nº  SS],Tb_DISTR.FIN[DEZ.25],"",0,1)*Tb_ValorSS[[#This Row],[R$ APROVADO]],"")</f>
        <v>448960.93835399998</v>
      </c>
      <c r="AJ19" s="126">
        <f>IFERROR(_xlfn.XLOOKUP(Tb_ValorSS[[#This Row],[Nº  SS]],Tb_DISTR.FIN[Nº  SS],Tb_DISTR.FIN[JAN.26],"",0,1),"")</f>
        <v>0.08</v>
      </c>
      <c r="AK19" s="97">
        <f>IFERROR(_xlfn.XLOOKUP(Tb_ValorSS[[#This Row],[Nº  SS]],Tb_DISTR.FIN[Nº  SS],Tb_DISTR.FIN[JAN.26],"",0,1)*Tb_ValorSS[[#This Row],[R$ APROVADO]],"")</f>
        <v>133025.463216</v>
      </c>
      <c r="AL19" s="126">
        <f>IFERROR(_xlfn.XLOOKUP(Tb_ValorSS[[#This Row],[Nº  SS]],Tb_DISTR.FIN[Nº  SS],Tb_DISTR.FIN[FEV.26],"",0,1),"")</f>
        <v>7.0000000000000007E-2</v>
      </c>
      <c r="AM19" s="97">
        <f>IFERROR(_xlfn.XLOOKUP(Tb_ValorSS[[#This Row],[Nº  SS]],Tb_DISTR.FIN[Nº  SS],Tb_DISTR.FIN[FEV.26],"",0,1)*Tb_ValorSS[[#This Row],[R$ APROVADO]],"")</f>
        <v>116397.280314</v>
      </c>
      <c r="AN19" s="126">
        <f>IFERROR(_xlfn.XLOOKUP(Tb_ValorSS[[#This Row],[Nº  SS]],Tb_DISTR.FIN[Nº  SS],Tb_DISTR.FIN[MAR.26],"",0,1),"")</f>
        <v>0</v>
      </c>
      <c r="AO19" s="97">
        <f>IFERROR(_xlfn.XLOOKUP(Tb_ValorSS[[#This Row],[Nº  SS]],Tb_DISTR.FIN[Nº  SS],Tb_DISTR.FIN[MAR.26],"",0,1)*Tb_ValorSS[[#This Row],[R$ APROVADO]],"")</f>
        <v>0</v>
      </c>
      <c r="AP19" s="126">
        <f>IFERROR(_xlfn.XLOOKUP(Tb_ValorSS[[#This Row],[Nº  SS]],Tb_DISTR.FIN[Nº  SS],Tb_DISTR.FIN[ABR.26],"",0,1),"")</f>
        <v>0.14000000000000001</v>
      </c>
      <c r="AQ19" s="97">
        <f>IFERROR(_xlfn.XLOOKUP(Tb_ValorSS[[#This Row],[Nº  SS]],Tb_DISTR.FIN[Nº  SS],Tb_DISTR.FIN[ABR.26],"",0,1)*Tb_ValorSS[[#This Row],[R$ APROVADO]],"")</f>
        <v>232794.56062800001</v>
      </c>
      <c r="AR19" s="126">
        <f>IFERROR(_xlfn.XLOOKUP(Tb_ValorSS[[#This Row],[Nº  SS]],Tb_DISTR.FIN[Nº  SS],Tb_DISTR.FIN[MAI.26],"",0,1),"")</f>
        <v>0.14000000000000001</v>
      </c>
      <c r="AS19" s="97">
        <f>IFERROR(_xlfn.XLOOKUP(Tb_ValorSS[[#This Row],[Nº  SS]],Tb_DISTR.FIN[Nº  SS],Tb_DISTR.FIN[MAI.26],"",0,1)*Tb_ValorSS[[#This Row],[R$ APROVADO]],"")</f>
        <v>232794.56062800001</v>
      </c>
      <c r="AT19" s="126">
        <f>IFERROR(_xlfn.XLOOKUP(Tb_ValorSS[[#This Row],[Nº  SS]],Tb_DISTR.FIN[Nº  SS],Tb_DISTR.FIN[JUN.26],"",0,1),"")</f>
        <v>0</v>
      </c>
      <c r="AU19" s="97">
        <f>IFERROR(_xlfn.XLOOKUP(Tb_ValorSS[[#This Row],[Nº  SS]],Tb_DISTR.FIN[Nº  SS],Tb_DISTR.FIN[JUN.26],"",0,1)*Tb_ValorSS[[#This Row],[R$ APROVADO]],"")</f>
        <v>0</v>
      </c>
      <c r="AV19" s="126">
        <f>IFERROR(_xlfn.XLOOKUP(Tb_ValorSS[[#This Row],[Nº  SS]],Tb_DISTR.FIN[Nº  SS],Tb_DISTR.FIN[JUL.26],"",0,1),"")</f>
        <v>0</v>
      </c>
      <c r="AW19" s="97">
        <f>IFERROR(_xlfn.XLOOKUP(Tb_ValorSS[[#This Row],[Nº  SS]],Tb_DISTR.FIN[Nº  SS],Tb_DISTR.FIN[JUL.26],"",0,1)*Tb_ValorSS[[#This Row],[R$ APROVADO]],"")</f>
        <v>0</v>
      </c>
      <c r="AX19" s="126">
        <f>IFERROR(_xlfn.XLOOKUP(Tb_ValorSS[[#This Row],[Nº  SS]],Tb_DISTR.FIN[Nº  SS],Tb_DISTR.FIN[AGO.26],"",0,1),"")</f>
        <v>0</v>
      </c>
      <c r="AY19" s="97">
        <f>IFERROR(_xlfn.XLOOKUP(Tb_ValorSS[[#This Row],[Nº  SS]],Tb_DISTR.FIN[Nº  SS],Tb_DISTR.FIN[AGO.26],"",0,1)*Tb_ValorSS[[#This Row],[R$ APROVADO]],"")</f>
        <v>0</v>
      </c>
      <c r="AZ19" s="126">
        <f>IFERROR(_xlfn.XLOOKUP(Tb_ValorSS[[#This Row],[Nº  SS]],Tb_DISTR.FIN[Nº  SS],Tb_DISTR.FIN[SET.26],"",0,1),"")</f>
        <v>0</v>
      </c>
      <c r="BA19" s="97">
        <f>IFERROR(_xlfn.XLOOKUP(Tb_ValorSS[[#This Row],[Nº  SS]],Tb_DISTR.FIN[Nº  SS],Tb_DISTR.FIN[SET.26],"",0,1)*Tb_ValorSS[[#This Row],[R$ APROVADO]],"")</f>
        <v>0</v>
      </c>
      <c r="BB19" s="126">
        <f>IFERROR(_xlfn.XLOOKUP(Tb_ValorSS[[#This Row],[Nº  SS]],Tb_DISTR.FIN[Nº  SS],Tb_DISTR.FIN[OUT.26],"",0,1),"")</f>
        <v>0</v>
      </c>
      <c r="BC19" s="97">
        <f>IFERROR(_xlfn.XLOOKUP(Tb_ValorSS[[#This Row],[Nº  SS]],Tb_DISTR.FIN[Nº  SS],Tb_DISTR.FIN[OUT.26],"",0,1)*Tb_ValorSS[[#This Row],[R$ APROVADO]],"")</f>
        <v>0</v>
      </c>
      <c r="BD19" s="126">
        <f>IFERROR(_xlfn.XLOOKUP(Tb_ValorSS[[#This Row],[Nº  SS]],Tb_DISTR.FIN[Nº  SS],Tb_DISTR.FIN[NOV.26],"",0,1),"")</f>
        <v>0</v>
      </c>
      <c r="BE19" s="97">
        <f>IFERROR(_xlfn.XLOOKUP(Tb_ValorSS[[#This Row],[Nº  SS]],Tb_DISTR.FIN[Nº  SS],Tb_DISTR.FIN[NOV.26],"",0,1)*Tb_ValorSS[[#This Row],[R$ APROVADO]],"")</f>
        <v>0</v>
      </c>
      <c r="BF19" s="126">
        <f>IFERROR(_xlfn.XLOOKUP(Tb_ValorSS[[#This Row],[Nº  SS]],Tb_DISTR.FIN[Nº  SS],Tb_DISTR.FIN[DEZ.26],"",0,1),"")</f>
        <v>0</v>
      </c>
      <c r="BG19" s="97">
        <f>IFERROR(_xlfn.XLOOKUP(Tb_ValorSS[[#This Row],[Nº  SS]],Tb_DISTR.FIN[Nº  SS],Tb_DISTR.FIN[DEZ.26],"",0,1)*Tb_ValorSS[[#This Row],[R$ APROVADO]],"")</f>
        <v>0</v>
      </c>
    </row>
    <row r="20" spans="1:59" hidden="1" x14ac:dyDescent="0.3">
      <c r="A20" t="s">
        <v>59</v>
      </c>
      <c r="B20" t="str">
        <f>_xlfn.XLOOKUP(Tb_ValorSS[[#This Row],[Nº  SS]],tb_Distr[SS],tb_Distr[DESCRIÇÃO],"",0,1)</f>
        <v>ACÚSTICO</v>
      </c>
      <c r="C20" t="str">
        <f>_xlfn.XLOOKUP(Tb_ValorSS[[#This Row],[Nº  SS]],TB_CR.ACOMP[Nº  SS],TB_CR.ACOMP[TOMADOR],"",0,1)</f>
        <v>EDIVIT</v>
      </c>
      <c r="D20" t="str">
        <f>_xlfn.XLOOKUP(Tb_ValorSS[[#This Row],[Nº  SS]],TB_CR.ACOMP[Nº  SS],TB_CR.ACOMP[STATUS DEMANDA],"",0,1)</f>
        <v>CONCLUÍDA</v>
      </c>
      <c r="E20" s="233">
        <v>769.82</v>
      </c>
      <c r="F20" s="94">
        <v>228497.33</v>
      </c>
      <c r="G20" s="233">
        <f>SUM(Tb_ValorSS[[#This Row],[SET.25]:[DEZ.26]])</f>
        <v>769.81781999999998</v>
      </c>
      <c r="H20" s="94">
        <f>Tb_ValorSS[[#This Row],[UBR MEDIDO]]*296.82</f>
        <v>228497.32533239998</v>
      </c>
      <c r="I20" s="94">
        <f>IF(ABS(Tb_ValorSS[[#This Row],[R$ APROVADO]]-Tb_ValorSS[[#This Row],[R$ MEDIDO ]])&lt;0.01,0,Tb_ValorSS[[#This Row],[R$ APROVADO]]-Tb_ValorSS[[#This Row],[R$ MEDIDO ]])</f>
        <v>0</v>
      </c>
      <c r="J20" s="143"/>
      <c r="K20" s="164"/>
      <c r="L20" s="165">
        <v>230.94499999999999</v>
      </c>
      <c r="M20" s="165">
        <v>153.964</v>
      </c>
      <c r="N20" s="165">
        <v>115.473</v>
      </c>
      <c r="O20" s="165">
        <v>269.43581999999998</v>
      </c>
      <c r="P20" s="165"/>
      <c r="Q20" s="165"/>
      <c r="R20" s="165"/>
      <c r="S20" s="165"/>
      <c r="T20" s="165"/>
      <c r="U20" s="165"/>
      <c r="V20" s="165"/>
      <c r="W20" s="165"/>
      <c r="X20" s="165"/>
      <c r="Y20" s="165"/>
      <c r="Z20" s="165"/>
      <c r="AA20" s="138"/>
      <c r="AB20" s="126">
        <f>IFERROR(_xlfn.XLOOKUP(Tb_ValorSS[[#This Row],[Nº  SS]],Tb_DISTR.FIN[Nº  SS],Tb_DISTR.FIN[SET.25],"",0,1),"")</f>
        <v>0</v>
      </c>
      <c r="AC20" s="97">
        <f>IFERROR(_xlfn.XLOOKUP(Tb_ValorSS[[#This Row],[Nº  SS]],Tb_DISTR.FIN[Nº  SS],Tb_DISTR.FIN[SET.25],"",0,1)*Tb_ValorSS[[#This Row],[R$ APROVADO]],"")</f>
        <v>0</v>
      </c>
      <c r="AD20" s="126">
        <f>IFERROR(_xlfn.XLOOKUP(Tb_ValorSS[[#This Row],[Nº  SS]],Tb_DISTR.FIN[Nº  SS],Tb_DISTR.FIN[OUT.25],"",0,1),"")</f>
        <v>0.30000000000000004</v>
      </c>
      <c r="AE20" s="97">
        <f>IFERROR(_xlfn.XLOOKUP(Tb_ValorSS[[#This Row],[Nº  SS]],Tb_DISTR.FIN[Nº  SS],Tb_DISTR.FIN[OUT.25],"",0,1)*Tb_ValorSS[[#This Row],[R$ APROVADO]],"")</f>
        <v>68549.199000000008</v>
      </c>
      <c r="AF20" s="126">
        <f>IFERROR(_xlfn.XLOOKUP(Tb_ValorSS[[#This Row],[Nº  SS]],Tb_DISTR.FIN[Nº  SS],Tb_DISTR.FIN[NOV.25],"",0,1),"")</f>
        <v>0.2</v>
      </c>
      <c r="AG20" s="97">
        <f>IFERROR(_xlfn.XLOOKUP(Tb_ValorSS[[#This Row],[Nº  SS]],Tb_DISTR.FIN[Nº  SS],Tb_DISTR.FIN[NOV.25],"",0,1)*Tb_ValorSS[[#This Row],[R$ APROVADO]],"")</f>
        <v>45699.466</v>
      </c>
      <c r="AH20" s="126">
        <f>IFERROR(_xlfn.XLOOKUP(Tb_ValorSS[[#This Row],[Nº  SS]],Tb_DISTR.FIN[Nº  SS],Tb_DISTR.FIN[DEZ.25],"",0,1),"")</f>
        <v>0.15</v>
      </c>
      <c r="AI20" s="97">
        <f>IFERROR(_xlfn.XLOOKUP(Tb_ValorSS[[#This Row],[Nº  SS]],Tb_DISTR.FIN[Nº  SS],Tb_DISTR.FIN[DEZ.25],"",0,1)*Tb_ValorSS[[#This Row],[R$ APROVADO]],"")</f>
        <v>34274.599499999997</v>
      </c>
      <c r="AJ20" s="126">
        <f>IFERROR(_xlfn.XLOOKUP(Tb_ValorSS[[#This Row],[Nº  SS]],Tb_DISTR.FIN[Nº  SS],Tb_DISTR.FIN[JAN.26],"",0,1),"")</f>
        <v>0.35</v>
      </c>
      <c r="AK20" s="97">
        <f>IFERROR(_xlfn.XLOOKUP(Tb_ValorSS[[#This Row],[Nº  SS]],Tb_DISTR.FIN[Nº  SS],Tb_DISTR.FIN[JAN.26],"",0,1)*Tb_ValorSS[[#This Row],[R$ APROVADO]],"")</f>
        <v>79974.065499999997</v>
      </c>
      <c r="AL20" s="126">
        <f>IFERROR(_xlfn.XLOOKUP(Tb_ValorSS[[#This Row],[Nº  SS]],Tb_DISTR.FIN[Nº  SS],Tb_DISTR.FIN[FEV.26],"",0,1),"")</f>
        <v>0</v>
      </c>
      <c r="AM20" s="97">
        <f>IFERROR(_xlfn.XLOOKUP(Tb_ValorSS[[#This Row],[Nº  SS]],Tb_DISTR.FIN[Nº  SS],Tb_DISTR.FIN[FEV.26],"",0,1)*Tb_ValorSS[[#This Row],[R$ APROVADO]],"")</f>
        <v>0</v>
      </c>
      <c r="AN20" s="126">
        <f>IFERROR(_xlfn.XLOOKUP(Tb_ValorSS[[#This Row],[Nº  SS]],Tb_DISTR.FIN[Nº  SS],Tb_DISTR.FIN[MAR.26],"",0,1),"")</f>
        <v>0</v>
      </c>
      <c r="AO20" s="97">
        <f>IFERROR(_xlfn.XLOOKUP(Tb_ValorSS[[#This Row],[Nº  SS]],Tb_DISTR.FIN[Nº  SS],Tb_DISTR.FIN[MAR.26],"",0,1)*Tb_ValorSS[[#This Row],[R$ APROVADO]],"")</f>
        <v>0</v>
      </c>
      <c r="AP20" s="126">
        <f>IFERROR(_xlfn.XLOOKUP(Tb_ValorSS[[#This Row],[Nº  SS]],Tb_DISTR.FIN[Nº  SS],Tb_DISTR.FIN[ABR.26],"",0,1),"")</f>
        <v>0</v>
      </c>
      <c r="AQ20" s="97">
        <f>IFERROR(_xlfn.XLOOKUP(Tb_ValorSS[[#This Row],[Nº  SS]],Tb_DISTR.FIN[Nº  SS],Tb_DISTR.FIN[ABR.26],"",0,1)*Tb_ValorSS[[#This Row],[R$ APROVADO]],"")</f>
        <v>0</v>
      </c>
      <c r="AR20" s="126">
        <f>IFERROR(_xlfn.XLOOKUP(Tb_ValorSS[[#This Row],[Nº  SS]],Tb_DISTR.FIN[Nº  SS],Tb_DISTR.FIN[MAI.26],"",0,1),"")</f>
        <v>0</v>
      </c>
      <c r="AS20" s="97">
        <f>IFERROR(_xlfn.XLOOKUP(Tb_ValorSS[[#This Row],[Nº  SS]],Tb_DISTR.FIN[Nº  SS],Tb_DISTR.FIN[MAI.26],"",0,1)*Tb_ValorSS[[#This Row],[R$ APROVADO]],"")</f>
        <v>0</v>
      </c>
      <c r="AT20" s="126">
        <f>IFERROR(_xlfn.XLOOKUP(Tb_ValorSS[[#This Row],[Nº  SS]],Tb_DISTR.FIN[Nº  SS],Tb_DISTR.FIN[JUN.26],"",0,1),"")</f>
        <v>0</v>
      </c>
      <c r="AU20" s="97">
        <f>IFERROR(_xlfn.XLOOKUP(Tb_ValorSS[[#This Row],[Nº  SS]],Tb_DISTR.FIN[Nº  SS],Tb_DISTR.FIN[JUN.26],"",0,1)*Tb_ValorSS[[#This Row],[R$ APROVADO]],"")</f>
        <v>0</v>
      </c>
      <c r="AV20" s="126">
        <f>IFERROR(_xlfn.XLOOKUP(Tb_ValorSS[[#This Row],[Nº  SS]],Tb_DISTR.FIN[Nº  SS],Tb_DISTR.FIN[JUL.26],"",0,1),"")</f>
        <v>0</v>
      </c>
      <c r="AW20" s="97">
        <f>IFERROR(_xlfn.XLOOKUP(Tb_ValorSS[[#This Row],[Nº  SS]],Tb_DISTR.FIN[Nº  SS],Tb_DISTR.FIN[JUL.26],"",0,1)*Tb_ValorSS[[#This Row],[R$ APROVADO]],"")</f>
        <v>0</v>
      </c>
      <c r="AX20" s="126">
        <f>IFERROR(_xlfn.XLOOKUP(Tb_ValorSS[[#This Row],[Nº  SS]],Tb_DISTR.FIN[Nº  SS],Tb_DISTR.FIN[AGO.26],"",0,1),"")</f>
        <v>0</v>
      </c>
      <c r="AY20" s="97">
        <f>IFERROR(_xlfn.XLOOKUP(Tb_ValorSS[[#This Row],[Nº  SS]],Tb_DISTR.FIN[Nº  SS],Tb_DISTR.FIN[AGO.26],"",0,1)*Tb_ValorSS[[#This Row],[R$ APROVADO]],"")</f>
        <v>0</v>
      </c>
      <c r="AZ20" s="126">
        <f>IFERROR(_xlfn.XLOOKUP(Tb_ValorSS[[#This Row],[Nº  SS]],Tb_DISTR.FIN[Nº  SS],Tb_DISTR.FIN[SET.26],"",0,1),"")</f>
        <v>0</v>
      </c>
      <c r="BA20" s="97">
        <f>IFERROR(_xlfn.XLOOKUP(Tb_ValorSS[[#This Row],[Nº  SS]],Tb_DISTR.FIN[Nº  SS],Tb_DISTR.FIN[SET.26],"",0,1)*Tb_ValorSS[[#This Row],[R$ APROVADO]],"")</f>
        <v>0</v>
      </c>
      <c r="BB20" s="126">
        <f>IFERROR(_xlfn.XLOOKUP(Tb_ValorSS[[#This Row],[Nº  SS]],Tb_DISTR.FIN[Nº  SS],Tb_DISTR.FIN[OUT.26],"",0,1),"")</f>
        <v>0</v>
      </c>
      <c r="BC20" s="97">
        <f>IFERROR(_xlfn.XLOOKUP(Tb_ValorSS[[#This Row],[Nº  SS]],Tb_DISTR.FIN[Nº  SS],Tb_DISTR.FIN[OUT.26],"",0,1)*Tb_ValorSS[[#This Row],[R$ APROVADO]],"")</f>
        <v>0</v>
      </c>
      <c r="BD20" s="126">
        <f>IFERROR(_xlfn.XLOOKUP(Tb_ValorSS[[#This Row],[Nº  SS]],Tb_DISTR.FIN[Nº  SS],Tb_DISTR.FIN[NOV.26],"",0,1),"")</f>
        <v>0</v>
      </c>
      <c r="BE20" s="97">
        <f>IFERROR(_xlfn.XLOOKUP(Tb_ValorSS[[#This Row],[Nº  SS]],Tb_DISTR.FIN[Nº  SS],Tb_DISTR.FIN[NOV.26],"",0,1)*Tb_ValorSS[[#This Row],[R$ APROVADO]],"")</f>
        <v>0</v>
      </c>
      <c r="BF20" s="126">
        <f>IFERROR(_xlfn.XLOOKUP(Tb_ValorSS[[#This Row],[Nº  SS]],Tb_DISTR.FIN[Nº  SS],Tb_DISTR.FIN[DEZ.26],"",0,1),"")</f>
        <v>0</v>
      </c>
      <c r="BG20" s="97">
        <f>IFERROR(_xlfn.XLOOKUP(Tb_ValorSS[[#This Row],[Nº  SS]],Tb_DISTR.FIN[Nº  SS],Tb_DISTR.FIN[DEZ.26],"",0,1)*Tb_ValorSS[[#This Row],[R$ APROVADO]],"")</f>
        <v>0</v>
      </c>
    </row>
    <row r="21" spans="1:59" x14ac:dyDescent="0.3">
      <c r="A21" t="s">
        <v>60</v>
      </c>
      <c r="B21" t="str">
        <f>_xlfn.XLOOKUP(Tb_ValorSS[[#This Row],[Nº  SS]],tb_Distr[SS],tb_Distr[DESCRIÇÃO],"",0,1)</f>
        <v>LUMINOSIDADE</v>
      </c>
      <c r="C21" t="str">
        <f>_xlfn.XLOOKUP(Tb_ValorSS[[#This Row],[Nº  SS]],TB_CR.ACOMP[Nº  SS],TB_CR.ACOMP[TOMADOR],"",0,1)</f>
        <v>EDIVIT</v>
      </c>
      <c r="D21" t="str">
        <f>_xlfn.XLOOKUP(Tb_ValorSS[[#This Row],[Nº  SS]],TB_CR.ACOMP[Nº  SS],TB_CR.ACOMP[STATUS DEMANDA],"",0,1)</f>
        <v>EM ANDAMENTO</v>
      </c>
      <c r="E21" s="233">
        <v>4157.1138063472818</v>
      </c>
      <c r="F21" s="94">
        <f>Tb_ValorSS[[#This Row],[UBR APROV]]*296.82</f>
        <v>1233914.5200000003</v>
      </c>
      <c r="G21" s="233">
        <f>SUM(Tb_ValorSS[[#This Row],[SET.25]:[DEZ.26]])</f>
        <v>2411.125</v>
      </c>
      <c r="H21" s="94">
        <f>Tb_ValorSS[[#This Row],[UBR MEDIDO]]*296.82</f>
        <v>715670.12249999994</v>
      </c>
      <c r="I21" s="94">
        <f>IF(ABS(Tb_ValorSS[[#This Row],[R$ APROVADO]]-Tb_ValorSS[[#This Row],[R$ MEDIDO ]])&lt;0.01,0,Tb_ValorSS[[#This Row],[R$ APROVADO]]-Tb_ValorSS[[#This Row],[R$ MEDIDO ]])</f>
        <v>518244.39750000031</v>
      </c>
      <c r="J21" s="143"/>
      <c r="K21" s="164"/>
      <c r="L21" s="165"/>
      <c r="M21" s="165">
        <v>1247.134</v>
      </c>
      <c r="N21" s="165">
        <f>332.569</f>
        <v>332.56900000000002</v>
      </c>
      <c r="O21" s="165">
        <v>415.71100000000001</v>
      </c>
      <c r="P21" s="165">
        <v>415.71100000000001</v>
      </c>
      <c r="Q21" s="165"/>
      <c r="R21" s="165"/>
      <c r="S21" s="165"/>
      <c r="T21" s="165"/>
      <c r="U21" s="165"/>
      <c r="V21" s="165"/>
      <c r="W21" s="165"/>
      <c r="X21" s="165"/>
      <c r="Y21" s="165"/>
      <c r="Z21" s="165"/>
      <c r="AA21" s="138"/>
      <c r="AB21" s="126">
        <f>IFERROR(_xlfn.XLOOKUP(Tb_ValorSS[[#This Row],[Nº  SS]],Tb_DISTR.FIN[Nº  SS],Tb_DISTR.FIN[SET.25],"",0,1),"")</f>
        <v>0</v>
      </c>
      <c r="AC21" s="97">
        <f>IFERROR(_xlfn.XLOOKUP(Tb_ValorSS[[#This Row],[Nº  SS]],Tb_DISTR.FIN[Nº  SS],Tb_DISTR.FIN[SET.25],"",0,1)*Tb_ValorSS[[#This Row],[R$ APROVADO]],"")</f>
        <v>0</v>
      </c>
      <c r="AD21" s="126">
        <f>IFERROR(_xlfn.XLOOKUP(Tb_ValorSS[[#This Row],[Nº  SS]],Tb_DISTR.FIN[Nº  SS],Tb_DISTR.FIN[OUT.25],"",0,1),"")</f>
        <v>0</v>
      </c>
      <c r="AE21" s="97">
        <f>IFERROR(_xlfn.XLOOKUP(Tb_ValorSS[[#This Row],[Nº  SS]],Tb_DISTR.FIN[Nº  SS],Tb_DISTR.FIN[OUT.25],"",0,1)*Tb_ValorSS[[#This Row],[R$ APROVADO]],"")</f>
        <v>0</v>
      </c>
      <c r="AF21" s="126">
        <f>IFERROR(_xlfn.XLOOKUP(Tb_ValorSS[[#This Row],[Nº  SS]],Tb_DISTR.FIN[Nº  SS],Tb_DISTR.FIN[NOV.25],"",0,1),"")</f>
        <v>0.30000000000000004</v>
      </c>
      <c r="AG21" s="97">
        <f>IFERROR(_xlfn.XLOOKUP(Tb_ValorSS[[#This Row],[Nº  SS]],Tb_DISTR.FIN[Nº  SS],Tb_DISTR.FIN[NOV.25],"",0,1)*Tb_ValorSS[[#This Row],[R$ APROVADO]],"")</f>
        <v>370174.35600000015</v>
      </c>
      <c r="AH21" s="126">
        <f>IFERROR(_xlfn.XLOOKUP(Tb_ValorSS[[#This Row],[Nº  SS]],Tb_DISTR.FIN[Nº  SS],Tb_DISTR.FIN[DEZ.25],"",0,1),"")</f>
        <v>0.08</v>
      </c>
      <c r="AI21" s="97">
        <f>IFERROR(_xlfn.XLOOKUP(Tb_ValorSS[[#This Row],[Nº  SS]],Tb_DISTR.FIN[Nº  SS],Tb_DISTR.FIN[DEZ.25],"",0,1)*Tb_ValorSS[[#This Row],[R$ APROVADO]],"")</f>
        <v>98713.161600000021</v>
      </c>
      <c r="AJ21" s="126">
        <f>IFERROR(_xlfn.XLOOKUP(Tb_ValorSS[[#This Row],[Nº  SS]],Tb_DISTR.FIN[Nº  SS],Tb_DISTR.FIN[JAN.26],"",0,1),"")</f>
        <v>0.1</v>
      </c>
      <c r="AK21" s="97">
        <f>IFERROR(_xlfn.XLOOKUP(Tb_ValorSS[[#This Row],[Nº  SS]],Tb_DISTR.FIN[Nº  SS],Tb_DISTR.FIN[JAN.26],"",0,1)*Tb_ValorSS[[#This Row],[R$ APROVADO]],"")</f>
        <v>123391.45200000003</v>
      </c>
      <c r="AL21" s="126">
        <f>IFERROR(_xlfn.XLOOKUP(Tb_ValorSS[[#This Row],[Nº  SS]],Tb_DISTR.FIN[Nº  SS],Tb_DISTR.FIN[FEV.26],"",0,1),"")</f>
        <v>0.1</v>
      </c>
      <c r="AM21" s="97">
        <f>IFERROR(_xlfn.XLOOKUP(Tb_ValorSS[[#This Row],[Nº  SS]],Tb_DISTR.FIN[Nº  SS],Tb_DISTR.FIN[FEV.26],"",0,1)*Tb_ValorSS[[#This Row],[R$ APROVADO]],"")</f>
        <v>123391.45200000003</v>
      </c>
      <c r="AN21" s="126">
        <f>IFERROR(_xlfn.XLOOKUP(Tb_ValorSS[[#This Row],[Nº  SS]],Tb_DISTR.FIN[Nº  SS],Tb_DISTR.FIN[MAR.26],"",0,1),"")</f>
        <v>0.09</v>
      </c>
      <c r="AO21" s="97">
        <f>IFERROR(_xlfn.XLOOKUP(Tb_ValorSS[[#This Row],[Nº  SS]],Tb_DISTR.FIN[Nº  SS],Tb_DISTR.FIN[MAR.26],"",0,1)*Tb_ValorSS[[#This Row],[R$ APROVADO]],"")</f>
        <v>111052.30680000002</v>
      </c>
      <c r="AP21" s="126">
        <f>IFERROR(_xlfn.XLOOKUP(Tb_ValorSS[[#This Row],[Nº  SS]],Tb_DISTR.FIN[Nº  SS],Tb_DISTR.FIN[ABR.26],"",0,1),"")</f>
        <v>0.09</v>
      </c>
      <c r="AQ21" s="97">
        <f>IFERROR(_xlfn.XLOOKUP(Tb_ValorSS[[#This Row],[Nº  SS]],Tb_DISTR.FIN[Nº  SS],Tb_DISTR.FIN[ABR.26],"",0,1)*Tb_ValorSS[[#This Row],[R$ APROVADO]],"")</f>
        <v>111052.30680000002</v>
      </c>
      <c r="AR21" s="126">
        <f>IFERROR(_xlfn.XLOOKUP(Tb_ValorSS[[#This Row],[Nº  SS]],Tb_DISTR.FIN[Nº  SS],Tb_DISTR.FIN[MAI.26],"",0,1),"")</f>
        <v>0.09</v>
      </c>
      <c r="AS21" s="97">
        <f>IFERROR(_xlfn.XLOOKUP(Tb_ValorSS[[#This Row],[Nº  SS]],Tb_DISTR.FIN[Nº  SS],Tb_DISTR.FIN[MAI.26],"",0,1)*Tb_ValorSS[[#This Row],[R$ APROVADO]],"")</f>
        <v>111052.30680000002</v>
      </c>
      <c r="AT21" s="126">
        <f>IFERROR(_xlfn.XLOOKUP(Tb_ValorSS[[#This Row],[Nº  SS]],Tb_DISTR.FIN[Nº  SS],Tb_DISTR.FIN[JUN.26],"",0,1),"")</f>
        <v>0.15000000000000002</v>
      </c>
      <c r="AU21" s="97">
        <f>IFERROR(_xlfn.XLOOKUP(Tb_ValorSS[[#This Row],[Nº  SS]],Tb_DISTR.FIN[Nº  SS],Tb_DISTR.FIN[JUN.26],"",0,1)*Tb_ValorSS[[#This Row],[R$ APROVADO]],"")</f>
        <v>185087.17800000007</v>
      </c>
      <c r="AV21" s="126">
        <f>IFERROR(_xlfn.XLOOKUP(Tb_ValorSS[[#This Row],[Nº  SS]],Tb_DISTR.FIN[Nº  SS],Tb_DISTR.FIN[JUL.26],"",0,1),"")</f>
        <v>0</v>
      </c>
      <c r="AW21" s="97">
        <f>IFERROR(_xlfn.XLOOKUP(Tb_ValorSS[[#This Row],[Nº  SS]],Tb_DISTR.FIN[Nº  SS],Tb_DISTR.FIN[JUL.26],"",0,1)*Tb_ValorSS[[#This Row],[R$ APROVADO]],"")</f>
        <v>0</v>
      </c>
      <c r="AX21" s="126">
        <f>IFERROR(_xlfn.XLOOKUP(Tb_ValorSS[[#This Row],[Nº  SS]],Tb_DISTR.FIN[Nº  SS],Tb_DISTR.FIN[AGO.26],"",0,1),"")</f>
        <v>0</v>
      </c>
      <c r="AY21" s="97">
        <f>IFERROR(_xlfn.XLOOKUP(Tb_ValorSS[[#This Row],[Nº  SS]],Tb_DISTR.FIN[Nº  SS],Tb_DISTR.FIN[AGO.26],"",0,1)*Tb_ValorSS[[#This Row],[R$ APROVADO]],"")</f>
        <v>0</v>
      </c>
      <c r="AZ21" s="126">
        <f>IFERROR(_xlfn.XLOOKUP(Tb_ValorSS[[#This Row],[Nº  SS]],Tb_DISTR.FIN[Nº  SS],Tb_DISTR.FIN[SET.26],"",0,1),"")</f>
        <v>0</v>
      </c>
      <c r="BA21" s="97">
        <f>IFERROR(_xlfn.XLOOKUP(Tb_ValorSS[[#This Row],[Nº  SS]],Tb_DISTR.FIN[Nº  SS],Tb_DISTR.FIN[SET.26],"",0,1)*Tb_ValorSS[[#This Row],[R$ APROVADO]],"")</f>
        <v>0</v>
      </c>
      <c r="BB21" s="126">
        <f>IFERROR(_xlfn.XLOOKUP(Tb_ValorSS[[#This Row],[Nº  SS]],Tb_DISTR.FIN[Nº  SS],Tb_DISTR.FIN[OUT.26],"",0,1),"")</f>
        <v>0</v>
      </c>
      <c r="BC21" s="97">
        <f>IFERROR(_xlfn.XLOOKUP(Tb_ValorSS[[#This Row],[Nº  SS]],Tb_DISTR.FIN[Nº  SS],Tb_DISTR.FIN[OUT.26],"",0,1)*Tb_ValorSS[[#This Row],[R$ APROVADO]],"")</f>
        <v>0</v>
      </c>
      <c r="BD21" s="126">
        <f>IFERROR(_xlfn.XLOOKUP(Tb_ValorSS[[#This Row],[Nº  SS]],Tb_DISTR.FIN[Nº  SS],Tb_DISTR.FIN[NOV.26],"",0,1),"")</f>
        <v>0</v>
      </c>
      <c r="BE21" s="97">
        <f>IFERROR(_xlfn.XLOOKUP(Tb_ValorSS[[#This Row],[Nº  SS]],Tb_DISTR.FIN[Nº  SS],Tb_DISTR.FIN[NOV.26],"",0,1)*Tb_ValorSS[[#This Row],[R$ APROVADO]],"")</f>
        <v>0</v>
      </c>
      <c r="BF21" s="126">
        <f>IFERROR(_xlfn.XLOOKUP(Tb_ValorSS[[#This Row],[Nº  SS]],Tb_DISTR.FIN[Nº  SS],Tb_DISTR.FIN[DEZ.26],"",0,1),"")</f>
        <v>0</v>
      </c>
      <c r="BG21" s="97">
        <f>IFERROR(_xlfn.XLOOKUP(Tb_ValorSS[[#This Row],[Nº  SS]],Tb_DISTR.FIN[Nº  SS],Tb_DISTR.FIN[DEZ.26],"",0,1)*Tb_ValorSS[[#This Row],[R$ APROVADO]],"")</f>
        <v>0</v>
      </c>
    </row>
    <row r="22" spans="1:59" hidden="1" x14ac:dyDescent="0.3">
      <c r="A22" t="s">
        <v>61</v>
      </c>
      <c r="B22" t="str">
        <f>_xlfn.XLOOKUP(Tb_ValorSS[[#This Row],[Nº  SS]],tb_Distr[SS],tb_Distr[DESCRIÇÃO],"",0,1)</f>
        <v>SALA CISC</v>
      </c>
      <c r="C22" t="str">
        <f>_xlfn.XLOOKUP(Tb_ValorSS[[#This Row],[Nº  SS]],TB_CR.ACOMP[Nº  SS],TB_CR.ACOMP[TOMADOR],"",0,1)</f>
        <v>UTGC</v>
      </c>
      <c r="D22" t="str">
        <f>_xlfn.XLOOKUP(Tb_ValorSS[[#This Row],[Nº  SS]],TB_CR.ACOMP[Nº  SS],TB_CR.ACOMP[STATUS DEMANDA],"",0,1)</f>
        <v>CONCLUÍDA</v>
      </c>
      <c r="E22" s="233">
        <v>662.39800000000002</v>
      </c>
      <c r="F22" s="94">
        <f>Tb_ValorSS[[#This Row],[UBR APROV]]*296.82</f>
        <v>196612.97435999999</v>
      </c>
      <c r="G22" s="233">
        <f>SUM(Tb_ValorSS[[#This Row],[SET.25]:[DEZ.26]])</f>
        <v>662.39800000000002</v>
      </c>
      <c r="H22" s="94">
        <f>Tb_ValorSS[[#This Row],[UBR MEDIDO]]*296.82</f>
        <v>196612.97435999999</v>
      </c>
      <c r="I22" s="94">
        <f>IF(ABS(Tb_ValorSS[[#This Row],[R$ APROVADO]]-Tb_ValorSS[[#This Row],[R$ MEDIDO ]])&lt;0.01,0,Tb_ValorSS[[#This Row],[R$ APROVADO]]-Tb_ValorSS[[#This Row],[R$ MEDIDO ]])</f>
        <v>0</v>
      </c>
      <c r="J22" s="143"/>
      <c r="K22" s="164"/>
      <c r="L22" s="165"/>
      <c r="M22" s="165">
        <v>198.72</v>
      </c>
      <c r="N22" s="165"/>
      <c r="O22" s="165"/>
      <c r="P22" s="165">
        <v>463.678</v>
      </c>
      <c r="Q22" s="165"/>
      <c r="R22" s="165"/>
      <c r="S22" s="165"/>
      <c r="T22" s="165"/>
      <c r="U22" s="165"/>
      <c r="V22" s="165"/>
      <c r="W22" s="165"/>
      <c r="X22" s="165"/>
      <c r="Y22" s="165"/>
      <c r="Z22" s="165"/>
      <c r="AA22" s="138"/>
      <c r="AB22" s="126">
        <f>IFERROR(_xlfn.XLOOKUP(Tb_ValorSS[[#This Row],[Nº  SS]],Tb_DISTR.FIN[Nº  SS],Tb_DISTR.FIN[SET.25],"",0,1),"")</f>
        <v>0</v>
      </c>
      <c r="AC22" s="97">
        <f>IFERROR(_xlfn.XLOOKUP(Tb_ValorSS[[#This Row],[Nº  SS]],Tb_DISTR.FIN[Nº  SS],Tb_DISTR.FIN[SET.25],"",0,1)*Tb_ValorSS[[#This Row],[R$ APROVADO]],"")</f>
        <v>0</v>
      </c>
      <c r="AD22" s="126">
        <f>IFERROR(_xlfn.XLOOKUP(Tb_ValorSS[[#This Row],[Nº  SS]],Tb_DISTR.FIN[Nº  SS],Tb_DISTR.FIN[OUT.25],"",0,1),"")</f>
        <v>0</v>
      </c>
      <c r="AE22" s="97">
        <f>IFERROR(_xlfn.XLOOKUP(Tb_ValorSS[[#This Row],[Nº  SS]],Tb_DISTR.FIN[Nº  SS],Tb_DISTR.FIN[OUT.25],"",0,1)*Tb_ValorSS[[#This Row],[R$ APROVADO]],"")</f>
        <v>0</v>
      </c>
      <c r="AF22" s="126">
        <f>IFERROR(_xlfn.XLOOKUP(Tb_ValorSS[[#This Row],[Nº  SS]],Tb_DISTR.FIN[Nº  SS],Tb_DISTR.FIN[NOV.25],"",0,1),"")</f>
        <v>0.30000000000000004</v>
      </c>
      <c r="AG22" s="97">
        <f>IFERROR(_xlfn.XLOOKUP(Tb_ValorSS[[#This Row],[Nº  SS]],Tb_DISTR.FIN[Nº  SS],Tb_DISTR.FIN[NOV.25],"",0,1)*Tb_ValorSS[[#This Row],[R$ APROVADO]],"")</f>
        <v>58983.89230800001</v>
      </c>
      <c r="AH22" s="126">
        <f>IFERROR(_xlfn.XLOOKUP(Tb_ValorSS[[#This Row],[Nº  SS]],Tb_DISTR.FIN[Nº  SS],Tb_DISTR.FIN[DEZ.25],"",0,1),"")</f>
        <v>0</v>
      </c>
      <c r="AI22" s="97">
        <f>IFERROR(_xlfn.XLOOKUP(Tb_ValorSS[[#This Row],[Nº  SS]],Tb_DISTR.FIN[Nº  SS],Tb_DISTR.FIN[DEZ.25],"",0,1)*Tb_ValorSS[[#This Row],[R$ APROVADO]],"")</f>
        <v>0</v>
      </c>
      <c r="AJ22" s="126">
        <f>IFERROR(_xlfn.XLOOKUP(Tb_ValorSS[[#This Row],[Nº  SS]],Tb_DISTR.FIN[Nº  SS],Tb_DISTR.FIN[JAN.26],"",0,1),"")</f>
        <v>0</v>
      </c>
      <c r="AK22" s="97">
        <f>IFERROR(_xlfn.XLOOKUP(Tb_ValorSS[[#This Row],[Nº  SS]],Tb_DISTR.FIN[Nº  SS],Tb_DISTR.FIN[JAN.26],"",0,1)*Tb_ValorSS[[#This Row],[R$ APROVADO]],"")</f>
        <v>0</v>
      </c>
      <c r="AL22" s="126">
        <f>IFERROR(_xlfn.XLOOKUP(Tb_ValorSS[[#This Row],[Nº  SS]],Tb_DISTR.FIN[Nº  SS],Tb_DISTR.FIN[FEV.26],"",0,1),"")</f>
        <v>0.7</v>
      </c>
      <c r="AM22" s="97">
        <f>IFERROR(_xlfn.XLOOKUP(Tb_ValorSS[[#This Row],[Nº  SS]],Tb_DISTR.FIN[Nº  SS],Tb_DISTR.FIN[FEV.26],"",0,1)*Tb_ValorSS[[#This Row],[R$ APROVADO]],"")</f>
        <v>137629.08205199998</v>
      </c>
      <c r="AN22" s="126">
        <f>IFERROR(_xlfn.XLOOKUP(Tb_ValorSS[[#This Row],[Nº  SS]],Tb_DISTR.FIN[Nº  SS],Tb_DISTR.FIN[MAR.26],"",0,1),"")</f>
        <v>0</v>
      </c>
      <c r="AO22" s="97">
        <f>IFERROR(_xlfn.XLOOKUP(Tb_ValorSS[[#This Row],[Nº  SS]],Tb_DISTR.FIN[Nº  SS],Tb_DISTR.FIN[MAR.26],"",0,1)*Tb_ValorSS[[#This Row],[R$ APROVADO]],"")</f>
        <v>0</v>
      </c>
      <c r="AP22" s="126">
        <f>IFERROR(_xlfn.XLOOKUP(Tb_ValorSS[[#This Row],[Nº  SS]],Tb_DISTR.FIN[Nº  SS],Tb_DISTR.FIN[ABR.26],"",0,1),"")</f>
        <v>0</v>
      </c>
      <c r="AQ22" s="97">
        <f>IFERROR(_xlfn.XLOOKUP(Tb_ValorSS[[#This Row],[Nº  SS]],Tb_DISTR.FIN[Nº  SS],Tb_DISTR.FIN[ABR.26],"",0,1)*Tb_ValorSS[[#This Row],[R$ APROVADO]],"")</f>
        <v>0</v>
      </c>
      <c r="AR22" s="126">
        <f>IFERROR(_xlfn.XLOOKUP(Tb_ValorSS[[#This Row],[Nº  SS]],Tb_DISTR.FIN[Nº  SS],Tb_DISTR.FIN[MAI.26],"",0,1),"")</f>
        <v>0</v>
      </c>
      <c r="AS22" s="97">
        <f>IFERROR(_xlfn.XLOOKUP(Tb_ValorSS[[#This Row],[Nº  SS]],Tb_DISTR.FIN[Nº  SS],Tb_DISTR.FIN[MAI.26],"",0,1)*Tb_ValorSS[[#This Row],[R$ APROVADO]],"")</f>
        <v>0</v>
      </c>
      <c r="AT22" s="126">
        <f>IFERROR(_xlfn.XLOOKUP(Tb_ValorSS[[#This Row],[Nº  SS]],Tb_DISTR.FIN[Nº  SS],Tb_DISTR.FIN[JUN.26],"",0,1),"")</f>
        <v>0</v>
      </c>
      <c r="AU22" s="97">
        <f>IFERROR(_xlfn.XLOOKUP(Tb_ValorSS[[#This Row],[Nº  SS]],Tb_DISTR.FIN[Nº  SS],Tb_DISTR.FIN[JUN.26],"",0,1)*Tb_ValorSS[[#This Row],[R$ APROVADO]],"")</f>
        <v>0</v>
      </c>
      <c r="AV22" s="126">
        <f>IFERROR(_xlfn.XLOOKUP(Tb_ValorSS[[#This Row],[Nº  SS]],Tb_DISTR.FIN[Nº  SS],Tb_DISTR.FIN[JUL.26],"",0,1),"")</f>
        <v>0</v>
      </c>
      <c r="AW22" s="97">
        <f>IFERROR(_xlfn.XLOOKUP(Tb_ValorSS[[#This Row],[Nº  SS]],Tb_DISTR.FIN[Nº  SS],Tb_DISTR.FIN[JUL.26],"",0,1)*Tb_ValorSS[[#This Row],[R$ APROVADO]],"")</f>
        <v>0</v>
      </c>
      <c r="AX22" s="126">
        <f>IFERROR(_xlfn.XLOOKUP(Tb_ValorSS[[#This Row],[Nº  SS]],Tb_DISTR.FIN[Nº  SS],Tb_DISTR.FIN[AGO.26],"",0,1),"")</f>
        <v>0</v>
      </c>
      <c r="AY22" s="97">
        <f>IFERROR(_xlfn.XLOOKUP(Tb_ValorSS[[#This Row],[Nº  SS]],Tb_DISTR.FIN[Nº  SS],Tb_DISTR.FIN[AGO.26],"",0,1)*Tb_ValorSS[[#This Row],[R$ APROVADO]],"")</f>
        <v>0</v>
      </c>
      <c r="AZ22" s="126">
        <f>IFERROR(_xlfn.XLOOKUP(Tb_ValorSS[[#This Row],[Nº  SS]],Tb_DISTR.FIN[Nº  SS],Tb_DISTR.FIN[SET.26],"",0,1),"")</f>
        <v>0</v>
      </c>
      <c r="BA22" s="97">
        <f>IFERROR(_xlfn.XLOOKUP(Tb_ValorSS[[#This Row],[Nº  SS]],Tb_DISTR.FIN[Nº  SS],Tb_DISTR.FIN[SET.26],"",0,1)*Tb_ValorSS[[#This Row],[R$ APROVADO]],"")</f>
        <v>0</v>
      </c>
      <c r="BB22" s="126">
        <f>IFERROR(_xlfn.XLOOKUP(Tb_ValorSS[[#This Row],[Nº  SS]],Tb_DISTR.FIN[Nº  SS],Tb_DISTR.FIN[OUT.26],"",0,1),"")</f>
        <v>0</v>
      </c>
      <c r="BC22" s="97">
        <f>IFERROR(_xlfn.XLOOKUP(Tb_ValorSS[[#This Row],[Nº  SS]],Tb_DISTR.FIN[Nº  SS],Tb_DISTR.FIN[OUT.26],"",0,1)*Tb_ValorSS[[#This Row],[R$ APROVADO]],"")</f>
        <v>0</v>
      </c>
      <c r="BD22" s="126">
        <f>IFERROR(_xlfn.XLOOKUP(Tb_ValorSS[[#This Row],[Nº  SS]],Tb_DISTR.FIN[Nº  SS],Tb_DISTR.FIN[NOV.26],"",0,1),"")</f>
        <v>0</v>
      </c>
      <c r="BE22" s="97">
        <f>IFERROR(_xlfn.XLOOKUP(Tb_ValorSS[[#This Row],[Nº  SS]],Tb_DISTR.FIN[Nº  SS],Tb_DISTR.FIN[NOV.26],"",0,1)*Tb_ValorSS[[#This Row],[R$ APROVADO]],"")</f>
        <v>0</v>
      </c>
      <c r="BF22" s="126">
        <f>IFERROR(_xlfn.XLOOKUP(Tb_ValorSS[[#This Row],[Nº  SS]],Tb_DISTR.FIN[Nº  SS],Tb_DISTR.FIN[DEZ.26],"",0,1),"")</f>
        <v>0</v>
      </c>
      <c r="BG22" s="97">
        <f>IFERROR(_xlfn.XLOOKUP(Tb_ValorSS[[#This Row],[Nº  SS]],Tb_DISTR.FIN[Nº  SS],Tb_DISTR.FIN[DEZ.26],"",0,1)*Tb_ValorSS[[#This Row],[R$ APROVADO]],"")</f>
        <v>0</v>
      </c>
    </row>
    <row r="23" spans="1:59" hidden="1" x14ac:dyDescent="0.3">
      <c r="A23" t="s">
        <v>62</v>
      </c>
      <c r="B23" t="str">
        <f>_xlfn.XLOOKUP(Tb_ValorSS[[#This Row],[Nº  SS]],tb_Distr[SS],tb_Distr[DESCRIÇÃO],"",0,1)</f>
        <v>SINALIZAÇÃO ESC</v>
      </c>
      <c r="C23" t="str">
        <f>_xlfn.XLOOKUP(Tb_ValorSS[[#This Row],[Nº  SS]],TB_CR.ACOMP[Nº  SS],TB_CR.ACOMP[TOMADOR],"",0,1)</f>
        <v>EDIVIT</v>
      </c>
      <c r="D23" t="str">
        <f>_xlfn.XLOOKUP(Tb_ValorSS[[#This Row],[Nº  SS]],TB_CR.ACOMP[Nº  SS],TB_CR.ACOMP[STATUS DEMANDA],"",0,1)</f>
        <v>CONCLUÍDA</v>
      </c>
      <c r="E23" s="233">
        <v>304.31876999999997</v>
      </c>
      <c r="F23" s="94">
        <f>Tb_ValorSS[[#This Row],[UBR APROV]]*296.82</f>
        <v>90327.897311399996</v>
      </c>
      <c r="G23" s="233">
        <f>SUM(Tb_ValorSS[[#This Row],[SET.25]:[DEZ.26]])</f>
        <v>304.31876999999997</v>
      </c>
      <c r="H23" s="94">
        <f>Tb_ValorSS[[#This Row],[UBR MEDIDO]]*296.82</f>
        <v>90327.897311399996</v>
      </c>
      <c r="I23" s="94">
        <f>IF(ABS(Tb_ValorSS[[#This Row],[R$ APROVADO]]-Tb_ValorSS[[#This Row],[R$ MEDIDO ]])&lt;0.01,0,Tb_ValorSS[[#This Row],[R$ APROVADO]]-Tb_ValorSS[[#This Row],[R$ MEDIDO ]])</f>
        <v>0</v>
      </c>
      <c r="J23" s="145"/>
      <c r="K23" s="166"/>
      <c r="L23" s="167"/>
      <c r="M23" s="167">
        <v>228.239</v>
      </c>
      <c r="N23" s="167">
        <v>76.079769999999996</v>
      </c>
      <c r="O23" s="167"/>
      <c r="P23" s="167"/>
      <c r="Q23" s="167"/>
      <c r="R23" s="167"/>
      <c r="S23" s="167"/>
      <c r="T23" s="167"/>
      <c r="U23" s="167"/>
      <c r="V23" s="167"/>
      <c r="W23" s="167"/>
      <c r="X23" s="167"/>
      <c r="Y23" s="167"/>
      <c r="Z23" s="167"/>
      <c r="AA23" s="138"/>
      <c r="AB23" s="126">
        <f>IFERROR(_xlfn.XLOOKUP(Tb_ValorSS[[#This Row],[Nº  SS]],Tb_DISTR.FIN[Nº  SS],Tb_DISTR.FIN[SET.25],"",0,1),"")</f>
        <v>0</v>
      </c>
      <c r="AC23" s="97">
        <f>IFERROR(_xlfn.XLOOKUP(Tb_ValorSS[[#This Row],[Nº  SS]],Tb_DISTR.FIN[Nº  SS],Tb_DISTR.FIN[SET.25],"",0,1)*Tb_ValorSS[[#This Row],[R$ APROVADO]],"")</f>
        <v>0</v>
      </c>
      <c r="AD23" s="126">
        <f>IFERROR(_xlfn.XLOOKUP(Tb_ValorSS[[#This Row],[Nº  SS]],Tb_DISTR.FIN[Nº  SS],Tb_DISTR.FIN[OUT.25],"",0,1),"")</f>
        <v>0</v>
      </c>
      <c r="AE23" s="97">
        <f>IFERROR(_xlfn.XLOOKUP(Tb_ValorSS[[#This Row],[Nº  SS]],Tb_DISTR.FIN[Nº  SS],Tb_DISTR.FIN[OUT.25],"",0,1)*Tb_ValorSS[[#This Row],[R$ APROVADO]],"")</f>
        <v>0</v>
      </c>
      <c r="AF23" s="126">
        <f>IFERROR(_xlfn.XLOOKUP(Tb_ValorSS[[#This Row],[Nº  SS]],Tb_DISTR.FIN[Nº  SS],Tb_DISTR.FIN[NOV.25],"",0,1),"")</f>
        <v>0.75000000000000011</v>
      </c>
      <c r="AG23" s="97">
        <f>IFERROR(_xlfn.XLOOKUP(Tb_ValorSS[[#This Row],[Nº  SS]],Tb_DISTR.FIN[Nº  SS],Tb_DISTR.FIN[NOV.25],"",0,1)*Tb_ValorSS[[#This Row],[R$ APROVADO]],"")</f>
        <v>67745.922983550001</v>
      </c>
      <c r="AH23" s="126">
        <f>IFERROR(_xlfn.XLOOKUP(Tb_ValorSS[[#This Row],[Nº  SS]],Tb_DISTR.FIN[Nº  SS],Tb_DISTR.FIN[DEZ.25],"",0,1),"")</f>
        <v>0.25</v>
      </c>
      <c r="AI23" s="97">
        <f>IFERROR(_xlfn.XLOOKUP(Tb_ValorSS[[#This Row],[Nº  SS]],Tb_DISTR.FIN[Nº  SS],Tb_DISTR.FIN[DEZ.25],"",0,1)*Tb_ValorSS[[#This Row],[R$ APROVADO]],"")</f>
        <v>22581.974327849999</v>
      </c>
      <c r="AJ23" s="126">
        <f>IFERROR(_xlfn.XLOOKUP(Tb_ValorSS[[#This Row],[Nº  SS]],Tb_DISTR.FIN[Nº  SS],Tb_DISTR.FIN[JAN.26],"",0,1),"")</f>
        <v>0</v>
      </c>
      <c r="AK23" s="97">
        <f>IFERROR(_xlfn.XLOOKUP(Tb_ValorSS[[#This Row],[Nº  SS]],Tb_DISTR.FIN[Nº  SS],Tb_DISTR.FIN[JAN.26],"",0,1)*Tb_ValorSS[[#This Row],[R$ APROVADO]],"")</f>
        <v>0</v>
      </c>
      <c r="AL23" s="126">
        <f>IFERROR(_xlfn.XLOOKUP(Tb_ValorSS[[#This Row],[Nº  SS]],Tb_DISTR.FIN[Nº  SS],Tb_DISTR.FIN[FEV.26],"",0,1),"")</f>
        <v>0</v>
      </c>
      <c r="AM23" s="97">
        <f>IFERROR(_xlfn.XLOOKUP(Tb_ValorSS[[#This Row],[Nº  SS]],Tb_DISTR.FIN[Nº  SS],Tb_DISTR.FIN[FEV.26],"",0,1)*Tb_ValorSS[[#This Row],[R$ APROVADO]],"")</f>
        <v>0</v>
      </c>
      <c r="AN23" s="126">
        <f>IFERROR(_xlfn.XLOOKUP(Tb_ValorSS[[#This Row],[Nº  SS]],Tb_DISTR.FIN[Nº  SS],Tb_DISTR.FIN[MAR.26],"",0,1),"")</f>
        <v>0</v>
      </c>
      <c r="AO23" s="97">
        <f>IFERROR(_xlfn.XLOOKUP(Tb_ValorSS[[#This Row],[Nº  SS]],Tb_DISTR.FIN[Nº  SS],Tb_DISTR.FIN[MAR.26],"",0,1)*Tb_ValorSS[[#This Row],[R$ APROVADO]],"")</f>
        <v>0</v>
      </c>
      <c r="AP23" s="126">
        <f>IFERROR(_xlfn.XLOOKUP(Tb_ValorSS[[#This Row],[Nº  SS]],Tb_DISTR.FIN[Nº  SS],Tb_DISTR.FIN[ABR.26],"",0,1),"")</f>
        <v>0</v>
      </c>
      <c r="AQ23" s="97">
        <f>IFERROR(_xlfn.XLOOKUP(Tb_ValorSS[[#This Row],[Nº  SS]],Tb_DISTR.FIN[Nº  SS],Tb_DISTR.FIN[ABR.26],"",0,1)*Tb_ValorSS[[#This Row],[R$ APROVADO]],"")</f>
        <v>0</v>
      </c>
      <c r="AR23" s="126">
        <f>IFERROR(_xlfn.XLOOKUP(Tb_ValorSS[[#This Row],[Nº  SS]],Tb_DISTR.FIN[Nº  SS],Tb_DISTR.FIN[MAI.26],"",0,1),"")</f>
        <v>0</v>
      </c>
      <c r="AS23" s="97">
        <f>IFERROR(_xlfn.XLOOKUP(Tb_ValorSS[[#This Row],[Nº  SS]],Tb_DISTR.FIN[Nº  SS],Tb_DISTR.FIN[MAI.26],"",0,1)*Tb_ValorSS[[#This Row],[R$ APROVADO]],"")</f>
        <v>0</v>
      </c>
      <c r="AT23" s="126">
        <f>IFERROR(_xlfn.XLOOKUP(Tb_ValorSS[[#This Row],[Nº  SS]],Tb_DISTR.FIN[Nº  SS],Tb_DISTR.FIN[JUN.26],"",0,1),"")</f>
        <v>0</v>
      </c>
      <c r="AU23" s="97">
        <f>IFERROR(_xlfn.XLOOKUP(Tb_ValorSS[[#This Row],[Nº  SS]],Tb_DISTR.FIN[Nº  SS],Tb_DISTR.FIN[JUN.26],"",0,1)*Tb_ValorSS[[#This Row],[R$ APROVADO]],"")</f>
        <v>0</v>
      </c>
      <c r="AV23" s="126">
        <f>IFERROR(_xlfn.XLOOKUP(Tb_ValorSS[[#This Row],[Nº  SS]],Tb_DISTR.FIN[Nº  SS],Tb_DISTR.FIN[JUL.26],"",0,1),"")</f>
        <v>0</v>
      </c>
      <c r="AW23" s="97">
        <f>IFERROR(_xlfn.XLOOKUP(Tb_ValorSS[[#This Row],[Nº  SS]],Tb_DISTR.FIN[Nº  SS],Tb_DISTR.FIN[JUL.26],"",0,1)*Tb_ValorSS[[#This Row],[R$ APROVADO]],"")</f>
        <v>0</v>
      </c>
      <c r="AX23" s="126">
        <f>IFERROR(_xlfn.XLOOKUP(Tb_ValorSS[[#This Row],[Nº  SS]],Tb_DISTR.FIN[Nº  SS],Tb_DISTR.FIN[AGO.26],"",0,1),"")</f>
        <v>0</v>
      </c>
      <c r="AY23" s="97">
        <f>IFERROR(_xlfn.XLOOKUP(Tb_ValorSS[[#This Row],[Nº  SS]],Tb_DISTR.FIN[Nº  SS],Tb_DISTR.FIN[AGO.26],"",0,1)*Tb_ValorSS[[#This Row],[R$ APROVADO]],"")</f>
        <v>0</v>
      </c>
      <c r="AZ23" s="126">
        <f>IFERROR(_xlfn.XLOOKUP(Tb_ValorSS[[#This Row],[Nº  SS]],Tb_DISTR.FIN[Nº  SS],Tb_DISTR.FIN[SET.26],"",0,1),"")</f>
        <v>0</v>
      </c>
      <c r="BA23" s="97">
        <f>IFERROR(_xlfn.XLOOKUP(Tb_ValorSS[[#This Row],[Nº  SS]],Tb_DISTR.FIN[Nº  SS],Tb_DISTR.FIN[SET.26],"",0,1)*Tb_ValorSS[[#This Row],[R$ APROVADO]],"")</f>
        <v>0</v>
      </c>
      <c r="BB23" s="126">
        <f>IFERROR(_xlfn.XLOOKUP(Tb_ValorSS[[#This Row],[Nº  SS]],Tb_DISTR.FIN[Nº  SS],Tb_DISTR.FIN[OUT.26],"",0,1),"")</f>
        <v>0</v>
      </c>
      <c r="BC23" s="97">
        <f>IFERROR(_xlfn.XLOOKUP(Tb_ValorSS[[#This Row],[Nº  SS]],Tb_DISTR.FIN[Nº  SS],Tb_DISTR.FIN[OUT.26],"",0,1)*Tb_ValorSS[[#This Row],[R$ APROVADO]],"")</f>
        <v>0</v>
      </c>
      <c r="BD23" s="126">
        <f>IFERROR(_xlfn.XLOOKUP(Tb_ValorSS[[#This Row],[Nº  SS]],Tb_DISTR.FIN[Nº  SS],Tb_DISTR.FIN[NOV.26],"",0,1),"")</f>
        <v>0</v>
      </c>
      <c r="BE23" s="97">
        <f>IFERROR(_xlfn.XLOOKUP(Tb_ValorSS[[#This Row],[Nº  SS]],Tb_DISTR.FIN[Nº  SS],Tb_DISTR.FIN[NOV.26],"",0,1)*Tb_ValorSS[[#This Row],[R$ APROVADO]],"")</f>
        <v>0</v>
      </c>
      <c r="BF23" s="126">
        <f>IFERROR(_xlfn.XLOOKUP(Tb_ValorSS[[#This Row],[Nº  SS]],Tb_DISTR.FIN[Nº  SS],Tb_DISTR.FIN[DEZ.26],"",0,1),"")</f>
        <v>0</v>
      </c>
      <c r="BG23" s="97">
        <f>IFERROR(_xlfn.XLOOKUP(Tb_ValorSS[[#This Row],[Nº  SS]],Tb_DISTR.FIN[Nº  SS],Tb_DISTR.FIN[DEZ.26],"",0,1)*Tb_ValorSS[[#This Row],[R$ APROVADO]],"")</f>
        <v>0</v>
      </c>
    </row>
    <row r="24" spans="1:59" hidden="1" x14ac:dyDescent="0.3">
      <c r="A24" t="s">
        <v>63</v>
      </c>
      <c r="B24" t="str">
        <f>_xlfn.XLOOKUP(Tb_ValorSS[[#This Row],[Nº  SS]],tb_Distr[SS],tb_Distr[DESCRIÇÃO],"",0,1)</f>
        <v>DISP. CONTÊINER</v>
      </c>
      <c r="C24" t="str">
        <f>_xlfn.XLOOKUP(Tb_ValorSS[[#This Row],[Nº  SS]],TB_CR.ACOMP[Nº  SS],TB_CR.ACOMP[TOMADOR],"",0,1)</f>
        <v>UTGC</v>
      </c>
      <c r="D24" t="str">
        <f>_xlfn.XLOOKUP(Tb_ValorSS[[#This Row],[Nº  SS]],TB_CR.ACOMP[Nº  SS],TB_CR.ACOMP[STATUS DEMANDA],"",0,1)</f>
        <v>CONCLUÍDA</v>
      </c>
      <c r="E24" s="233">
        <v>33.322000000000003</v>
      </c>
      <c r="F24" s="94">
        <f>Tb_ValorSS[[#This Row],[UBR APROV]]*296.82</f>
        <v>9890.6360400000012</v>
      </c>
      <c r="G24" s="233">
        <f>SUM(Tb_ValorSS[[#This Row],[SET.25]:[DEZ.26]])</f>
        <v>33.322000000000003</v>
      </c>
      <c r="H24" s="94">
        <f>Tb_ValorSS[[#This Row],[UBR MEDIDO]]*296.82</f>
        <v>9890.6360400000012</v>
      </c>
      <c r="I24" s="94">
        <f>IF(ABS(Tb_ValorSS[[#This Row],[R$ APROVADO]]-Tb_ValorSS[[#This Row],[R$ MEDIDO ]])&lt;0.01,0,Tb_ValorSS[[#This Row],[R$ APROVADO]]-Tb_ValorSS[[#This Row],[R$ MEDIDO ]])</f>
        <v>0</v>
      </c>
      <c r="J24" s="145"/>
      <c r="K24" s="168"/>
      <c r="L24" s="168"/>
      <c r="M24" s="168">
        <v>11.58</v>
      </c>
      <c r="N24" s="168">
        <v>10.871</v>
      </c>
      <c r="O24" s="168">
        <v>10.871</v>
      </c>
      <c r="P24" s="168"/>
      <c r="Q24" s="168"/>
      <c r="R24" s="168"/>
      <c r="S24" s="168"/>
      <c r="T24" s="168"/>
      <c r="U24" s="168"/>
      <c r="V24" s="168"/>
      <c r="W24" s="168"/>
      <c r="X24" s="168"/>
      <c r="Y24" s="168"/>
      <c r="Z24" s="168"/>
      <c r="AA24" s="140"/>
      <c r="AB24" s="126">
        <f>IFERROR(_xlfn.XLOOKUP(Tb_ValorSS[[#This Row],[Nº  SS]],Tb_DISTR.FIN[Nº  SS],Tb_DISTR.FIN[SET.25],"",0,1),"")</f>
        <v>0</v>
      </c>
      <c r="AC24" s="97">
        <f>IFERROR(_xlfn.XLOOKUP(Tb_ValorSS[[#This Row],[Nº  SS]],Tb_DISTR.FIN[Nº  SS],Tb_DISTR.FIN[SET.25],"",0,1)*Tb_ValorSS[[#This Row],[R$ APROVADO]],"")</f>
        <v>0</v>
      </c>
      <c r="AD24" s="126">
        <f>IFERROR(_xlfn.XLOOKUP(Tb_ValorSS[[#This Row],[Nº  SS]],Tb_DISTR.FIN[Nº  SS],Tb_DISTR.FIN[OUT.25],"",0,1),"")</f>
        <v>0</v>
      </c>
      <c r="AE24" s="97">
        <f>IFERROR(_xlfn.XLOOKUP(Tb_ValorSS[[#This Row],[Nº  SS]],Tb_DISTR.FIN[Nº  SS],Tb_DISTR.FIN[OUT.25],"",0,1)*Tb_ValorSS[[#This Row],[R$ APROVADO]],"")</f>
        <v>0</v>
      </c>
      <c r="AF24" s="126">
        <f>IFERROR(_xlfn.XLOOKUP(Tb_ValorSS[[#This Row],[Nº  SS]],Tb_DISTR.FIN[Nº  SS],Tb_DISTR.FIN[NOV.25],"",0,1),"")</f>
        <v>0.34753041641594751</v>
      </c>
      <c r="AG24" s="97">
        <f>IFERROR(_xlfn.XLOOKUP(Tb_ValorSS[[#This Row],[Nº  SS]],Tb_DISTR.FIN[Nº  SS],Tb_DISTR.FIN[NOV.25],"",0,1)*Tb_ValorSS[[#This Row],[R$ APROVADO]],"")</f>
        <v>3437.2968615997784</v>
      </c>
      <c r="AH24" s="126">
        <f>IFERROR(_xlfn.XLOOKUP(Tb_ValorSS[[#This Row],[Nº  SS]],Tb_DISTR.FIN[Nº  SS],Tb_DISTR.FIN[DEZ.25],"",0,1),"")</f>
        <v>0.32623479179202619</v>
      </c>
      <c r="AI24" s="97">
        <f>IFERROR(_xlfn.XLOOKUP(Tb_ValorSS[[#This Row],[Nº  SS]],Tb_DISTR.FIN[Nº  SS],Tb_DISTR.FIN[DEZ.25],"",0,1)*Tb_ValorSS[[#This Row],[R$ APROVADO]],"")</f>
        <v>3226.6695892001107</v>
      </c>
      <c r="AJ24" s="126">
        <f>IFERROR(_xlfn.XLOOKUP(Tb_ValorSS[[#This Row],[Nº  SS]],Tb_DISTR.FIN[Nº  SS],Tb_DISTR.FIN[JAN.26],"",0,1),"")</f>
        <v>0.32623479179202619</v>
      </c>
      <c r="AK24" s="97">
        <f>IFERROR(_xlfn.XLOOKUP(Tb_ValorSS[[#This Row],[Nº  SS]],Tb_DISTR.FIN[Nº  SS],Tb_DISTR.FIN[JAN.26],"",0,1)*Tb_ValorSS[[#This Row],[R$ APROVADO]],"")</f>
        <v>3226.6695892001107</v>
      </c>
      <c r="AL24" s="126">
        <f>IFERROR(_xlfn.XLOOKUP(Tb_ValorSS[[#This Row],[Nº  SS]],Tb_DISTR.FIN[Nº  SS],Tb_DISTR.FIN[FEV.26],"",0,1),"")</f>
        <v>0</v>
      </c>
      <c r="AM24" s="97">
        <f>IFERROR(_xlfn.XLOOKUP(Tb_ValorSS[[#This Row],[Nº  SS]],Tb_DISTR.FIN[Nº  SS],Tb_DISTR.FIN[FEV.26],"",0,1)*Tb_ValorSS[[#This Row],[R$ APROVADO]],"")</f>
        <v>0</v>
      </c>
      <c r="AN24" s="126">
        <f>IFERROR(_xlfn.XLOOKUP(Tb_ValorSS[[#This Row],[Nº  SS]],Tb_DISTR.FIN[Nº  SS],Tb_DISTR.FIN[MAR.26],"",0,1),"")</f>
        <v>0</v>
      </c>
      <c r="AO24" s="97">
        <f>IFERROR(_xlfn.XLOOKUP(Tb_ValorSS[[#This Row],[Nº  SS]],Tb_DISTR.FIN[Nº  SS],Tb_DISTR.FIN[MAR.26],"",0,1)*Tb_ValorSS[[#This Row],[R$ APROVADO]],"")</f>
        <v>0</v>
      </c>
      <c r="AP24" s="126">
        <f>IFERROR(_xlfn.XLOOKUP(Tb_ValorSS[[#This Row],[Nº  SS]],Tb_DISTR.FIN[Nº  SS],Tb_DISTR.FIN[ABR.26],"",0,1),"")</f>
        <v>0</v>
      </c>
      <c r="AQ24" s="97">
        <f>IFERROR(_xlfn.XLOOKUP(Tb_ValorSS[[#This Row],[Nº  SS]],Tb_DISTR.FIN[Nº  SS],Tb_DISTR.FIN[ABR.26],"",0,1)*Tb_ValorSS[[#This Row],[R$ APROVADO]],"")</f>
        <v>0</v>
      </c>
      <c r="AR24" s="126">
        <f>IFERROR(_xlfn.XLOOKUP(Tb_ValorSS[[#This Row],[Nº  SS]],Tb_DISTR.FIN[Nº  SS],Tb_DISTR.FIN[MAI.26],"",0,1),"")</f>
        <v>0</v>
      </c>
      <c r="AS24" s="97">
        <f>IFERROR(_xlfn.XLOOKUP(Tb_ValorSS[[#This Row],[Nº  SS]],Tb_DISTR.FIN[Nº  SS],Tb_DISTR.FIN[MAI.26],"",0,1)*Tb_ValorSS[[#This Row],[R$ APROVADO]],"")</f>
        <v>0</v>
      </c>
      <c r="AT24" s="126">
        <f>IFERROR(_xlfn.XLOOKUP(Tb_ValorSS[[#This Row],[Nº  SS]],Tb_DISTR.FIN[Nº  SS],Tb_DISTR.FIN[JUN.26],"",0,1),"")</f>
        <v>0</v>
      </c>
      <c r="AU24" s="97">
        <f>IFERROR(_xlfn.XLOOKUP(Tb_ValorSS[[#This Row],[Nº  SS]],Tb_DISTR.FIN[Nº  SS],Tb_DISTR.FIN[JUN.26],"",0,1)*Tb_ValorSS[[#This Row],[R$ APROVADO]],"")</f>
        <v>0</v>
      </c>
      <c r="AV24" s="126">
        <f>IFERROR(_xlfn.XLOOKUP(Tb_ValorSS[[#This Row],[Nº  SS]],Tb_DISTR.FIN[Nº  SS],Tb_DISTR.FIN[JUL.26],"",0,1),"")</f>
        <v>0</v>
      </c>
      <c r="AW24" s="97">
        <f>IFERROR(_xlfn.XLOOKUP(Tb_ValorSS[[#This Row],[Nº  SS]],Tb_DISTR.FIN[Nº  SS],Tb_DISTR.FIN[JUL.26],"",0,1)*Tb_ValorSS[[#This Row],[R$ APROVADO]],"")</f>
        <v>0</v>
      </c>
      <c r="AX24" s="126">
        <f>IFERROR(_xlfn.XLOOKUP(Tb_ValorSS[[#This Row],[Nº  SS]],Tb_DISTR.FIN[Nº  SS],Tb_DISTR.FIN[AGO.26],"",0,1),"")</f>
        <v>0</v>
      </c>
      <c r="AY24" s="97">
        <f>IFERROR(_xlfn.XLOOKUP(Tb_ValorSS[[#This Row],[Nº  SS]],Tb_DISTR.FIN[Nº  SS],Tb_DISTR.FIN[AGO.26],"",0,1)*Tb_ValorSS[[#This Row],[R$ APROVADO]],"")</f>
        <v>0</v>
      </c>
      <c r="AZ24" s="126">
        <f>IFERROR(_xlfn.XLOOKUP(Tb_ValorSS[[#This Row],[Nº  SS]],Tb_DISTR.FIN[Nº  SS],Tb_DISTR.FIN[SET.26],"",0,1),"")</f>
        <v>0</v>
      </c>
      <c r="BA24" s="97">
        <f>IFERROR(_xlfn.XLOOKUP(Tb_ValorSS[[#This Row],[Nº  SS]],Tb_DISTR.FIN[Nº  SS],Tb_DISTR.FIN[SET.26],"",0,1)*Tb_ValorSS[[#This Row],[R$ APROVADO]],"")</f>
        <v>0</v>
      </c>
      <c r="BB24" s="126">
        <f>IFERROR(_xlfn.XLOOKUP(Tb_ValorSS[[#This Row],[Nº  SS]],Tb_DISTR.FIN[Nº  SS],Tb_DISTR.FIN[OUT.26],"",0,1),"")</f>
        <v>0</v>
      </c>
      <c r="BC24" s="97">
        <f>IFERROR(_xlfn.XLOOKUP(Tb_ValorSS[[#This Row],[Nº  SS]],Tb_DISTR.FIN[Nº  SS],Tb_DISTR.FIN[OUT.26],"",0,1)*Tb_ValorSS[[#This Row],[R$ APROVADO]],"")</f>
        <v>0</v>
      </c>
      <c r="BD24" s="126">
        <f>IFERROR(_xlfn.XLOOKUP(Tb_ValorSS[[#This Row],[Nº  SS]],Tb_DISTR.FIN[Nº  SS],Tb_DISTR.FIN[NOV.26],"",0,1),"")</f>
        <v>0</v>
      </c>
      <c r="BE24" s="97">
        <f>IFERROR(_xlfn.XLOOKUP(Tb_ValorSS[[#This Row],[Nº  SS]],Tb_DISTR.FIN[Nº  SS],Tb_DISTR.FIN[NOV.26],"",0,1)*Tb_ValorSS[[#This Row],[R$ APROVADO]],"")</f>
        <v>0</v>
      </c>
      <c r="BF24" s="126">
        <f>IFERROR(_xlfn.XLOOKUP(Tb_ValorSS[[#This Row],[Nº  SS]],Tb_DISTR.FIN[Nº  SS],Tb_DISTR.FIN[DEZ.26],"",0,1),"")</f>
        <v>0</v>
      </c>
      <c r="BG24" s="97">
        <f>IFERROR(_xlfn.XLOOKUP(Tb_ValorSS[[#This Row],[Nº  SS]],Tb_DISTR.FIN[Nº  SS],Tb_DISTR.FIN[DEZ.26],"",0,1)*Tb_ValorSS[[#This Row],[R$ APROVADO]],"")</f>
        <v>0</v>
      </c>
    </row>
    <row r="25" spans="1:59" s="96" customFormat="1" hidden="1" x14ac:dyDescent="0.3">
      <c r="A25" s="123" t="s">
        <v>163</v>
      </c>
      <c r="B25" s="123" t="str">
        <f>_xlfn.XLOOKUP(Tb_ValorSS[[#This Row],[Nº  SS]],tb_Distr[SS],tb_Distr[DESCRIÇÃO],"",0,1)</f>
        <v>ILUM. VIÁRIA</v>
      </c>
      <c r="C25" s="123" t="str">
        <f>_xlfn.XLOOKUP(Tb_ValorSS[[#This Row],[Nº  SS]],TB_CR.ACOMP[Nº  SS],TB_CR.ACOMP[TOMADOR],"",0,1)</f>
        <v>UTGC</v>
      </c>
      <c r="D25" s="123" t="str">
        <f>_xlfn.XLOOKUP(Tb_ValorSS[[#This Row],[Nº  SS]],TB_CR.ACOMP[Nº  SS],TB_CR.ACOMP[STATUS DEMANDA],"",0,1)</f>
        <v>CANCELADA</v>
      </c>
      <c r="E25" s="234">
        <v>0</v>
      </c>
      <c r="F25" s="124">
        <f>Tb_ValorSS[[#This Row],[UBR APROV]]*296.82</f>
        <v>0</v>
      </c>
      <c r="G25" s="234">
        <f>SUM(Tb_ValorSS[[#This Row],[SET.25]:[DEZ.26]])</f>
        <v>0</v>
      </c>
      <c r="H25" s="124">
        <f>Tb_ValorSS[[#This Row],[UBR MEDIDO]]*296.82</f>
        <v>0</v>
      </c>
      <c r="I25" s="124">
        <f>IF(ABS(Tb_ValorSS[[#This Row],[R$ APROVADO]]-Tb_ValorSS[[#This Row],[R$ MEDIDO ]])&lt;0.01,0,Tb_ValorSS[[#This Row],[R$ APROVADO]]-Tb_ValorSS[[#This Row],[R$ MEDIDO ]])</f>
        <v>0</v>
      </c>
      <c r="J25" s="144"/>
      <c r="K25" s="169"/>
      <c r="L25" s="170"/>
      <c r="M25" s="170"/>
      <c r="N25" s="170"/>
      <c r="O25" s="170"/>
      <c r="P25" s="170"/>
      <c r="Q25" s="170"/>
      <c r="R25" s="170"/>
      <c r="S25" s="170"/>
      <c r="T25" s="170"/>
      <c r="U25" s="170"/>
      <c r="V25" s="170"/>
      <c r="W25" s="170"/>
      <c r="X25" s="170"/>
      <c r="Y25" s="170"/>
      <c r="Z25" s="170"/>
      <c r="AA25" s="139"/>
      <c r="AB25" s="127">
        <f>IFERROR(_xlfn.XLOOKUP(Tb_ValorSS[[#This Row],[Nº  SS]],Tb_DISTR.FIN[Nº  SS],Tb_DISTR.FIN[SET.25],"",0,1),"")</f>
        <v>0</v>
      </c>
      <c r="AC25" s="125">
        <f>IFERROR(_xlfn.XLOOKUP(Tb_ValorSS[[#This Row],[Nº  SS]],Tb_DISTR.FIN[Nº  SS],Tb_DISTR.FIN[SET.25],"",0,1)*Tb_ValorSS[[#This Row],[R$ APROVADO]],"")</f>
        <v>0</v>
      </c>
      <c r="AD25" s="127">
        <f>IFERROR(_xlfn.XLOOKUP(Tb_ValorSS[[#This Row],[Nº  SS]],Tb_DISTR.FIN[Nº  SS],Tb_DISTR.FIN[OUT.25],"",0,1),"")</f>
        <v>0</v>
      </c>
      <c r="AE25" s="125">
        <f>IFERROR(_xlfn.XLOOKUP(Tb_ValorSS[[#This Row],[Nº  SS]],Tb_DISTR.FIN[Nº  SS],Tb_DISTR.FIN[OUT.25],"",0,1)*Tb_ValorSS[[#This Row],[R$ APROVADO]],"")</f>
        <v>0</v>
      </c>
      <c r="AF25" s="127">
        <f>IFERROR(_xlfn.XLOOKUP(Tb_ValorSS[[#This Row],[Nº  SS]],Tb_DISTR.FIN[Nº  SS],Tb_DISTR.FIN[NOV.25],"",0,1),"")</f>
        <v>0</v>
      </c>
      <c r="AG25" s="125">
        <f>IFERROR(_xlfn.XLOOKUP(Tb_ValorSS[[#This Row],[Nº  SS]],Tb_DISTR.FIN[Nº  SS],Tb_DISTR.FIN[NOV.25],"",0,1)*Tb_ValorSS[[#This Row],[R$ APROVADO]],"")</f>
        <v>0</v>
      </c>
      <c r="AH25" s="127">
        <f>IFERROR(_xlfn.XLOOKUP(Tb_ValorSS[[#This Row],[Nº  SS]],Tb_DISTR.FIN[Nº  SS],Tb_DISTR.FIN[DEZ.25],"",0,1),"")</f>
        <v>0</v>
      </c>
      <c r="AI25" s="125">
        <f>IFERROR(_xlfn.XLOOKUP(Tb_ValorSS[[#This Row],[Nº  SS]],Tb_DISTR.FIN[Nº  SS],Tb_DISTR.FIN[DEZ.25],"",0,1)*Tb_ValorSS[[#This Row],[R$ APROVADO]],"")</f>
        <v>0</v>
      </c>
      <c r="AJ25" s="127">
        <f>IFERROR(_xlfn.XLOOKUP(Tb_ValorSS[[#This Row],[Nº  SS]],Tb_DISTR.FIN[Nº  SS],Tb_DISTR.FIN[JAN.26],"",0,1),"")</f>
        <v>0</v>
      </c>
      <c r="AK25" s="125">
        <f>IFERROR(_xlfn.XLOOKUP(Tb_ValorSS[[#This Row],[Nº  SS]],Tb_DISTR.FIN[Nº  SS],Tb_DISTR.FIN[JAN.26],"",0,1)*Tb_ValorSS[[#This Row],[R$ APROVADO]],"")</f>
        <v>0</v>
      </c>
      <c r="AL25" s="127">
        <f>IFERROR(_xlfn.XLOOKUP(Tb_ValorSS[[#This Row],[Nº  SS]],Tb_DISTR.FIN[Nº  SS],Tb_DISTR.FIN[FEV.26],"",0,1),"")</f>
        <v>0</v>
      </c>
      <c r="AM25" s="125">
        <f>IFERROR(_xlfn.XLOOKUP(Tb_ValorSS[[#This Row],[Nº  SS]],Tb_DISTR.FIN[Nº  SS],Tb_DISTR.FIN[FEV.26],"",0,1)*Tb_ValorSS[[#This Row],[R$ APROVADO]],"")</f>
        <v>0</v>
      </c>
      <c r="AN25" s="127">
        <f>IFERROR(_xlfn.XLOOKUP(Tb_ValorSS[[#This Row],[Nº  SS]],Tb_DISTR.FIN[Nº  SS],Tb_DISTR.FIN[MAR.26],"",0,1),"")</f>
        <v>0</v>
      </c>
      <c r="AO25" s="125">
        <f>IFERROR(_xlfn.XLOOKUP(Tb_ValorSS[[#This Row],[Nº  SS]],Tb_DISTR.FIN[Nº  SS],Tb_DISTR.FIN[MAR.26],"",0,1)*Tb_ValorSS[[#This Row],[R$ APROVADO]],"")</f>
        <v>0</v>
      </c>
      <c r="AP25" s="127">
        <f>IFERROR(_xlfn.XLOOKUP(Tb_ValorSS[[#This Row],[Nº  SS]],Tb_DISTR.FIN[Nº  SS],Tb_DISTR.FIN[ABR.26],"",0,1),"")</f>
        <v>0</v>
      </c>
      <c r="AQ25" s="125">
        <f>IFERROR(_xlfn.XLOOKUP(Tb_ValorSS[[#This Row],[Nº  SS]],Tb_DISTR.FIN[Nº  SS],Tb_DISTR.FIN[ABR.26],"",0,1)*Tb_ValorSS[[#This Row],[R$ APROVADO]],"")</f>
        <v>0</v>
      </c>
      <c r="AR25" s="127">
        <f>IFERROR(_xlfn.XLOOKUP(Tb_ValorSS[[#This Row],[Nº  SS]],Tb_DISTR.FIN[Nº  SS],Tb_DISTR.FIN[MAI.26],"",0,1),"")</f>
        <v>0</v>
      </c>
      <c r="AS25" s="125">
        <f>IFERROR(_xlfn.XLOOKUP(Tb_ValorSS[[#This Row],[Nº  SS]],Tb_DISTR.FIN[Nº  SS],Tb_DISTR.FIN[MAI.26],"",0,1)*Tb_ValorSS[[#This Row],[R$ APROVADO]],"")</f>
        <v>0</v>
      </c>
      <c r="AT25" s="127">
        <f>IFERROR(_xlfn.XLOOKUP(Tb_ValorSS[[#This Row],[Nº  SS]],Tb_DISTR.FIN[Nº  SS],Tb_DISTR.FIN[JUN.26],"",0,1),"")</f>
        <v>0</v>
      </c>
      <c r="AU25" s="125">
        <f>IFERROR(_xlfn.XLOOKUP(Tb_ValorSS[[#This Row],[Nº  SS]],Tb_DISTR.FIN[Nº  SS],Tb_DISTR.FIN[JUN.26],"",0,1)*Tb_ValorSS[[#This Row],[R$ APROVADO]],"")</f>
        <v>0</v>
      </c>
      <c r="AV25" s="127">
        <f>IFERROR(_xlfn.XLOOKUP(Tb_ValorSS[[#This Row],[Nº  SS]],Tb_DISTR.FIN[Nº  SS],Tb_DISTR.FIN[JUL.26],"",0,1),"")</f>
        <v>0</v>
      </c>
      <c r="AW25" s="125">
        <f>IFERROR(_xlfn.XLOOKUP(Tb_ValorSS[[#This Row],[Nº  SS]],Tb_DISTR.FIN[Nº  SS],Tb_DISTR.FIN[JUL.26],"",0,1)*Tb_ValorSS[[#This Row],[R$ APROVADO]],"")</f>
        <v>0</v>
      </c>
      <c r="AX25" s="127">
        <f>IFERROR(_xlfn.XLOOKUP(Tb_ValorSS[[#This Row],[Nº  SS]],Tb_DISTR.FIN[Nº  SS],Tb_DISTR.FIN[AGO.26],"",0,1),"")</f>
        <v>0</v>
      </c>
      <c r="AY25" s="125">
        <f>IFERROR(_xlfn.XLOOKUP(Tb_ValorSS[[#This Row],[Nº  SS]],Tb_DISTR.FIN[Nº  SS],Tb_DISTR.FIN[AGO.26],"",0,1)*Tb_ValorSS[[#This Row],[R$ APROVADO]],"")</f>
        <v>0</v>
      </c>
      <c r="AZ25" s="127">
        <f>IFERROR(_xlfn.XLOOKUP(Tb_ValorSS[[#This Row],[Nº  SS]],Tb_DISTR.FIN[Nº  SS],Tb_DISTR.FIN[SET.26],"",0,1),"")</f>
        <v>0</v>
      </c>
      <c r="BA25" s="125">
        <f>IFERROR(_xlfn.XLOOKUP(Tb_ValorSS[[#This Row],[Nº  SS]],Tb_DISTR.FIN[Nº  SS],Tb_DISTR.FIN[SET.26],"",0,1)*Tb_ValorSS[[#This Row],[R$ APROVADO]],"")</f>
        <v>0</v>
      </c>
      <c r="BB25" s="127">
        <f>IFERROR(_xlfn.XLOOKUP(Tb_ValorSS[[#This Row],[Nº  SS]],Tb_DISTR.FIN[Nº  SS],Tb_DISTR.FIN[OUT.26],"",0,1),"")</f>
        <v>0</v>
      </c>
      <c r="BC25" s="125">
        <f>IFERROR(_xlfn.XLOOKUP(Tb_ValorSS[[#This Row],[Nº  SS]],Tb_DISTR.FIN[Nº  SS],Tb_DISTR.FIN[OUT.26],"",0,1)*Tb_ValorSS[[#This Row],[R$ APROVADO]],"")</f>
        <v>0</v>
      </c>
      <c r="BD25" s="127">
        <f>IFERROR(_xlfn.XLOOKUP(Tb_ValorSS[[#This Row],[Nº  SS]],Tb_DISTR.FIN[Nº  SS],Tb_DISTR.FIN[NOV.26],"",0,1),"")</f>
        <v>0</v>
      </c>
      <c r="BE25" s="125">
        <f>IFERROR(_xlfn.XLOOKUP(Tb_ValorSS[[#This Row],[Nº  SS]],Tb_DISTR.FIN[Nº  SS],Tb_DISTR.FIN[NOV.26],"",0,1)*Tb_ValorSS[[#This Row],[R$ APROVADO]],"")</f>
        <v>0</v>
      </c>
      <c r="BF25" s="127">
        <f>IFERROR(_xlfn.XLOOKUP(Tb_ValorSS[[#This Row],[Nº  SS]],Tb_DISTR.FIN[Nº  SS],Tb_DISTR.FIN[DEZ.26],"",0,1),"")</f>
        <v>0</v>
      </c>
      <c r="BG25" s="125">
        <f>IFERROR(_xlfn.XLOOKUP(Tb_ValorSS[[#This Row],[Nº  SS]],Tb_DISTR.FIN[Nº  SS],Tb_DISTR.FIN[DEZ.26],"",0,1)*Tb_ValorSS[[#This Row],[R$ APROVADO]],"")</f>
        <v>0</v>
      </c>
    </row>
    <row r="26" spans="1:59" hidden="1" x14ac:dyDescent="0.3">
      <c r="A26" t="s">
        <v>164</v>
      </c>
      <c r="B26" t="str">
        <f>_xlfn.XLOOKUP(Tb_ValorSS[[#This Row],[Nº  SS]],tb_Distr[SS],tb_Distr[DESCRIÇÃO],"",0,1)</f>
        <v>SALA CISC</v>
      </c>
      <c r="C26" t="str">
        <f>_xlfn.XLOOKUP(Tb_ValorSS[[#This Row],[Nº  SS]],TB_CR.ACOMP[Nº  SS],TB_CR.ACOMP[TOMADOR],"",0,1)</f>
        <v>UTGSUL</v>
      </c>
      <c r="D26" t="str">
        <f>_xlfn.XLOOKUP(Tb_ValorSS[[#This Row],[Nº  SS]],TB_CR.ACOMP[Nº  SS],TB_CR.ACOMP[STATUS DEMANDA],"",0,1)</f>
        <v>CONCLUÍDA</v>
      </c>
      <c r="E26" s="233">
        <v>396.64299999999997</v>
      </c>
      <c r="F26" s="94">
        <f>Tb_ValorSS[[#This Row],[UBR APROV]]*296.82</f>
        <v>117731.57525999998</v>
      </c>
      <c r="G26" s="233">
        <f>SUM(Tb_ValorSS[[#This Row],[SET.25]:[DEZ.26]])</f>
        <v>396.64299999999997</v>
      </c>
      <c r="H26" s="94">
        <f>Tb_ValorSS[[#This Row],[UBR MEDIDO]]*296.82</f>
        <v>117731.57525999998</v>
      </c>
      <c r="I26" s="94">
        <f>IF(ABS(Tb_ValorSS[[#This Row],[R$ APROVADO]]-Tb_ValorSS[[#This Row],[R$ MEDIDO ]])&lt;0.01,0,Tb_ValorSS[[#This Row],[R$ APROVADO]]-Tb_ValorSS[[#This Row],[R$ MEDIDO ]])</f>
        <v>0</v>
      </c>
      <c r="J26" s="145"/>
      <c r="K26" s="166"/>
      <c r="L26" s="167"/>
      <c r="M26" s="167">
        <v>39.664000000000001</v>
      </c>
      <c r="N26" s="167">
        <v>257.81799999999998</v>
      </c>
      <c r="O26" s="167">
        <v>99.161000000000001</v>
      </c>
      <c r="P26" s="167"/>
      <c r="Q26" s="167"/>
      <c r="R26" s="167"/>
      <c r="S26" s="167"/>
      <c r="T26" s="167"/>
      <c r="U26" s="167"/>
      <c r="V26" s="167"/>
      <c r="W26" s="167"/>
      <c r="X26" s="167"/>
      <c r="Y26" s="167"/>
      <c r="Z26" s="167"/>
      <c r="AA26" s="138"/>
      <c r="AB26" s="126">
        <f>IFERROR(_xlfn.XLOOKUP(Tb_ValorSS[[#This Row],[Nº  SS]],Tb_DISTR.FIN[Nº  SS],Tb_DISTR.FIN[SET.25],"",0,1),"")</f>
        <v>0</v>
      </c>
      <c r="AC26" s="97">
        <f>IFERROR(_xlfn.XLOOKUP(Tb_ValorSS[[#This Row],[Nº  SS]],Tb_DISTR.FIN[Nº  SS],Tb_DISTR.FIN[SET.25],"",0,1)*Tb_ValorSS[[#This Row],[R$ APROVADO]],"")</f>
        <v>0</v>
      </c>
      <c r="AD26" s="126">
        <f>IFERROR(_xlfn.XLOOKUP(Tb_ValorSS[[#This Row],[Nº  SS]],Tb_DISTR.FIN[Nº  SS],Tb_DISTR.FIN[OUT.25],"",0,1),"")</f>
        <v>0</v>
      </c>
      <c r="AE26" s="97">
        <f>IFERROR(_xlfn.XLOOKUP(Tb_ValorSS[[#This Row],[Nº  SS]],Tb_DISTR.FIN[Nº  SS],Tb_DISTR.FIN[OUT.25],"",0,1)*Tb_ValorSS[[#This Row],[R$ APROVADO]],"")</f>
        <v>0</v>
      </c>
      <c r="AF26" s="126">
        <f>IFERROR(_xlfn.XLOOKUP(Tb_ValorSS[[#This Row],[Nº  SS]],Tb_DISTR.FIN[Nº  SS],Tb_DISTR.FIN[NOV.25],"",0,1),"")</f>
        <v>0.1</v>
      </c>
      <c r="AG26" s="97">
        <f>IFERROR(_xlfn.XLOOKUP(Tb_ValorSS[[#This Row],[Nº  SS]],Tb_DISTR.FIN[Nº  SS],Tb_DISTR.FIN[NOV.25],"",0,1)*Tb_ValorSS[[#This Row],[R$ APROVADO]],"")</f>
        <v>11773.157525999999</v>
      </c>
      <c r="AH26" s="126">
        <f>IFERROR(_xlfn.XLOOKUP(Tb_ValorSS[[#This Row],[Nº  SS]],Tb_DISTR.FIN[Nº  SS],Tb_DISTR.FIN[DEZ.25],"",0,1),"")</f>
        <v>0.65</v>
      </c>
      <c r="AI26" s="97">
        <f>IFERROR(_xlfn.XLOOKUP(Tb_ValorSS[[#This Row],[Nº  SS]],Tb_DISTR.FIN[Nº  SS],Tb_DISTR.FIN[DEZ.25],"",0,1)*Tb_ValorSS[[#This Row],[R$ APROVADO]],"")</f>
        <v>76525.523918999985</v>
      </c>
      <c r="AJ26" s="126">
        <f>IFERROR(_xlfn.XLOOKUP(Tb_ValorSS[[#This Row],[Nº  SS]],Tb_DISTR.FIN[Nº  SS],Tb_DISTR.FIN[JAN.26],"",0,1),"")</f>
        <v>0.25</v>
      </c>
      <c r="AK26" s="97">
        <f>IFERROR(_xlfn.XLOOKUP(Tb_ValorSS[[#This Row],[Nº  SS]],Tb_DISTR.FIN[Nº  SS],Tb_DISTR.FIN[JAN.26],"",0,1)*Tb_ValorSS[[#This Row],[R$ APROVADO]],"")</f>
        <v>29432.893814999996</v>
      </c>
      <c r="AL26" s="126">
        <f>IFERROR(_xlfn.XLOOKUP(Tb_ValorSS[[#This Row],[Nº  SS]],Tb_DISTR.FIN[Nº  SS],Tb_DISTR.FIN[FEV.26],"",0,1),"")</f>
        <v>0</v>
      </c>
      <c r="AM26" s="97">
        <f>IFERROR(_xlfn.XLOOKUP(Tb_ValorSS[[#This Row],[Nº  SS]],Tb_DISTR.FIN[Nº  SS],Tb_DISTR.FIN[FEV.26],"",0,1)*Tb_ValorSS[[#This Row],[R$ APROVADO]],"")</f>
        <v>0</v>
      </c>
      <c r="AN26" s="126">
        <f>IFERROR(_xlfn.XLOOKUP(Tb_ValorSS[[#This Row],[Nº  SS]],Tb_DISTR.FIN[Nº  SS],Tb_DISTR.FIN[MAR.26],"",0,1),"")</f>
        <v>0</v>
      </c>
      <c r="AO26" s="97">
        <f>IFERROR(_xlfn.XLOOKUP(Tb_ValorSS[[#This Row],[Nº  SS]],Tb_DISTR.FIN[Nº  SS],Tb_DISTR.FIN[MAR.26],"",0,1)*Tb_ValorSS[[#This Row],[R$ APROVADO]],"")</f>
        <v>0</v>
      </c>
      <c r="AP26" s="126">
        <f>IFERROR(_xlfn.XLOOKUP(Tb_ValorSS[[#This Row],[Nº  SS]],Tb_DISTR.FIN[Nº  SS],Tb_DISTR.FIN[ABR.26],"",0,1),"")</f>
        <v>0</v>
      </c>
      <c r="AQ26" s="97">
        <f>IFERROR(_xlfn.XLOOKUP(Tb_ValorSS[[#This Row],[Nº  SS]],Tb_DISTR.FIN[Nº  SS],Tb_DISTR.FIN[ABR.26],"",0,1)*Tb_ValorSS[[#This Row],[R$ APROVADO]],"")</f>
        <v>0</v>
      </c>
      <c r="AR26" s="126">
        <f>IFERROR(_xlfn.XLOOKUP(Tb_ValorSS[[#This Row],[Nº  SS]],Tb_DISTR.FIN[Nº  SS],Tb_DISTR.FIN[MAI.26],"",0,1),"")</f>
        <v>0</v>
      </c>
      <c r="AS26" s="97">
        <f>IFERROR(_xlfn.XLOOKUP(Tb_ValorSS[[#This Row],[Nº  SS]],Tb_DISTR.FIN[Nº  SS],Tb_DISTR.FIN[MAI.26],"",0,1)*Tb_ValorSS[[#This Row],[R$ APROVADO]],"")</f>
        <v>0</v>
      </c>
      <c r="AT26" s="126">
        <f>IFERROR(_xlfn.XLOOKUP(Tb_ValorSS[[#This Row],[Nº  SS]],Tb_DISTR.FIN[Nº  SS],Tb_DISTR.FIN[JUN.26],"",0,1),"")</f>
        <v>0</v>
      </c>
      <c r="AU26" s="97">
        <f>IFERROR(_xlfn.XLOOKUP(Tb_ValorSS[[#This Row],[Nº  SS]],Tb_DISTR.FIN[Nº  SS],Tb_DISTR.FIN[JUN.26],"",0,1)*Tb_ValorSS[[#This Row],[R$ APROVADO]],"")</f>
        <v>0</v>
      </c>
      <c r="AV26" s="126">
        <f>IFERROR(_xlfn.XLOOKUP(Tb_ValorSS[[#This Row],[Nº  SS]],Tb_DISTR.FIN[Nº  SS],Tb_DISTR.FIN[JUL.26],"",0,1),"")</f>
        <v>0</v>
      </c>
      <c r="AW26" s="97">
        <f>IFERROR(_xlfn.XLOOKUP(Tb_ValorSS[[#This Row],[Nº  SS]],Tb_DISTR.FIN[Nº  SS],Tb_DISTR.FIN[JUL.26],"",0,1)*Tb_ValorSS[[#This Row],[R$ APROVADO]],"")</f>
        <v>0</v>
      </c>
      <c r="AX26" s="126">
        <f>IFERROR(_xlfn.XLOOKUP(Tb_ValorSS[[#This Row],[Nº  SS]],Tb_DISTR.FIN[Nº  SS],Tb_DISTR.FIN[AGO.26],"",0,1),"")</f>
        <v>0</v>
      </c>
      <c r="AY26" s="97">
        <f>IFERROR(_xlfn.XLOOKUP(Tb_ValorSS[[#This Row],[Nº  SS]],Tb_DISTR.FIN[Nº  SS],Tb_DISTR.FIN[AGO.26],"",0,1)*Tb_ValorSS[[#This Row],[R$ APROVADO]],"")</f>
        <v>0</v>
      </c>
      <c r="AZ26" s="126">
        <f>IFERROR(_xlfn.XLOOKUP(Tb_ValorSS[[#This Row],[Nº  SS]],Tb_DISTR.FIN[Nº  SS],Tb_DISTR.FIN[SET.26],"",0,1),"")</f>
        <v>0</v>
      </c>
      <c r="BA26" s="97">
        <f>IFERROR(_xlfn.XLOOKUP(Tb_ValorSS[[#This Row],[Nº  SS]],Tb_DISTR.FIN[Nº  SS],Tb_DISTR.FIN[SET.26],"",0,1)*Tb_ValorSS[[#This Row],[R$ APROVADO]],"")</f>
        <v>0</v>
      </c>
      <c r="BB26" s="126">
        <f>IFERROR(_xlfn.XLOOKUP(Tb_ValorSS[[#This Row],[Nº  SS]],Tb_DISTR.FIN[Nº  SS],Tb_DISTR.FIN[OUT.26],"",0,1),"")</f>
        <v>0</v>
      </c>
      <c r="BC26" s="97">
        <f>IFERROR(_xlfn.XLOOKUP(Tb_ValorSS[[#This Row],[Nº  SS]],Tb_DISTR.FIN[Nº  SS],Tb_DISTR.FIN[OUT.26],"",0,1)*Tb_ValorSS[[#This Row],[R$ APROVADO]],"")</f>
        <v>0</v>
      </c>
      <c r="BD26" s="126">
        <f>IFERROR(_xlfn.XLOOKUP(Tb_ValorSS[[#This Row],[Nº  SS]],Tb_DISTR.FIN[Nº  SS],Tb_DISTR.FIN[NOV.26],"",0,1),"")</f>
        <v>0</v>
      </c>
      <c r="BE26" s="97">
        <f>IFERROR(_xlfn.XLOOKUP(Tb_ValorSS[[#This Row],[Nº  SS]],Tb_DISTR.FIN[Nº  SS],Tb_DISTR.FIN[NOV.26],"",0,1)*Tb_ValorSS[[#This Row],[R$ APROVADO]],"")</f>
        <v>0</v>
      </c>
      <c r="BF26" s="126">
        <f>IFERROR(_xlfn.XLOOKUP(Tb_ValorSS[[#This Row],[Nº  SS]],Tb_DISTR.FIN[Nº  SS],Tb_DISTR.FIN[DEZ.26],"",0,1),"")</f>
        <v>0</v>
      </c>
      <c r="BG26" s="97">
        <f>IFERROR(_xlfn.XLOOKUP(Tb_ValorSS[[#This Row],[Nº  SS]],Tb_DISTR.FIN[Nº  SS],Tb_DISTR.FIN[DEZ.26],"",0,1)*Tb_ValorSS[[#This Row],[R$ APROVADO]],"")</f>
        <v>0</v>
      </c>
    </row>
    <row r="27" spans="1:59" hidden="1" x14ac:dyDescent="0.3">
      <c r="A27" t="s">
        <v>165</v>
      </c>
      <c r="B27" t="str">
        <f>_xlfn.XLOOKUP(Tb_ValorSS[[#This Row],[Nº  SS]],tb_Distr[SS],tb_Distr[DESCRIÇÃO],"",0,1)</f>
        <v>RMV. TELHAS</v>
      </c>
      <c r="C27" t="str">
        <f>_xlfn.XLOOKUP(Tb_ValorSS[[#This Row],[Nº  SS]],TB_CR.ACOMP[Nº  SS],TB_CR.ACOMP[TOMADOR],"",0,1)</f>
        <v>UTGC</v>
      </c>
      <c r="D27" t="str">
        <f>_xlfn.XLOOKUP(Tb_ValorSS[[#This Row],[Nº  SS]],TB_CR.ACOMP[Nº  SS],TB_CR.ACOMP[STATUS DEMANDA],"",0,1)</f>
        <v>CONCLUÍDA</v>
      </c>
      <c r="E27" s="233">
        <v>31.654</v>
      </c>
      <c r="F27" s="94">
        <f>Tb_ValorSS[[#This Row],[UBR APROV]]*296.82</f>
        <v>9395.5402799999993</v>
      </c>
      <c r="G27" s="233">
        <f>SUM(Tb_ValorSS[[#This Row],[SET.25]:[DEZ.26]])</f>
        <v>31.654</v>
      </c>
      <c r="H27" s="94">
        <f>Tb_ValorSS[[#This Row],[UBR MEDIDO]]*296.82</f>
        <v>9395.5402799999993</v>
      </c>
      <c r="I27" s="94">
        <f>IF(ABS(Tb_ValorSS[[#This Row],[R$ APROVADO]]-Tb_ValorSS[[#This Row],[R$ MEDIDO ]])&lt;0.01,0,Tb_ValorSS[[#This Row],[R$ APROVADO]]-Tb_ValorSS[[#This Row],[R$ MEDIDO ]])</f>
        <v>0</v>
      </c>
      <c r="J27" s="145"/>
      <c r="K27" s="166"/>
      <c r="L27" s="167"/>
      <c r="M27" s="167">
        <v>3.165</v>
      </c>
      <c r="N27" s="167">
        <v>28.489000000000001</v>
      </c>
      <c r="O27" s="167"/>
      <c r="P27" s="167"/>
      <c r="Q27" s="167"/>
      <c r="R27" s="167"/>
      <c r="S27" s="167"/>
      <c r="T27" s="167"/>
      <c r="U27" s="167"/>
      <c r="V27" s="167"/>
      <c r="W27" s="167"/>
      <c r="X27" s="167"/>
      <c r="Y27" s="167"/>
      <c r="Z27" s="167"/>
      <c r="AA27" s="138"/>
      <c r="AB27" s="126">
        <f>IFERROR(_xlfn.XLOOKUP(Tb_ValorSS[[#This Row],[Nº  SS]],Tb_DISTR.FIN[Nº  SS],Tb_DISTR.FIN[SET.25],"",0,1),"")</f>
        <v>0</v>
      </c>
      <c r="AC27" s="97">
        <f>IFERROR(_xlfn.XLOOKUP(Tb_ValorSS[[#This Row],[Nº  SS]],Tb_DISTR.FIN[Nº  SS],Tb_DISTR.FIN[SET.25],"",0,1)*Tb_ValorSS[[#This Row],[R$ APROVADO]],"")</f>
        <v>0</v>
      </c>
      <c r="AD27" s="126">
        <f>IFERROR(_xlfn.XLOOKUP(Tb_ValorSS[[#This Row],[Nº  SS]],Tb_DISTR.FIN[Nº  SS],Tb_DISTR.FIN[OUT.25],"",0,1),"")</f>
        <v>0</v>
      </c>
      <c r="AE27" s="97">
        <f>IFERROR(_xlfn.XLOOKUP(Tb_ValorSS[[#This Row],[Nº  SS]],Tb_DISTR.FIN[Nº  SS],Tb_DISTR.FIN[OUT.25],"",0,1)*Tb_ValorSS[[#This Row],[R$ APROVADO]],"")</f>
        <v>0</v>
      </c>
      <c r="AF27" s="126">
        <f>IFERROR(_xlfn.XLOOKUP(Tb_ValorSS[[#This Row],[Nº  SS]],Tb_DISTR.FIN[Nº  SS],Tb_DISTR.FIN[NOV.25],"",0,1),"")</f>
        <v>0.1</v>
      </c>
      <c r="AG27" s="97">
        <f>IFERROR(_xlfn.XLOOKUP(Tb_ValorSS[[#This Row],[Nº  SS]],Tb_DISTR.FIN[Nº  SS],Tb_DISTR.FIN[NOV.25],"",0,1)*Tb_ValorSS[[#This Row],[R$ APROVADO]],"")</f>
        <v>939.55402800000002</v>
      </c>
      <c r="AH27" s="126">
        <f>IFERROR(_xlfn.XLOOKUP(Tb_ValorSS[[#This Row],[Nº  SS]],Tb_DISTR.FIN[Nº  SS],Tb_DISTR.FIN[DEZ.25],"",0,1),"")</f>
        <v>0.9</v>
      </c>
      <c r="AI27" s="97">
        <f>IFERROR(_xlfn.XLOOKUP(Tb_ValorSS[[#This Row],[Nº  SS]],Tb_DISTR.FIN[Nº  SS],Tb_DISTR.FIN[DEZ.25],"",0,1)*Tb_ValorSS[[#This Row],[R$ APROVADO]],"")</f>
        <v>8455.9862519999988</v>
      </c>
      <c r="AJ27" s="126">
        <f>IFERROR(_xlfn.XLOOKUP(Tb_ValorSS[[#This Row],[Nº  SS]],Tb_DISTR.FIN[Nº  SS],Tb_DISTR.FIN[JAN.26],"",0,1),"")</f>
        <v>0</v>
      </c>
      <c r="AK27" s="97">
        <f>IFERROR(_xlfn.XLOOKUP(Tb_ValorSS[[#This Row],[Nº  SS]],Tb_DISTR.FIN[Nº  SS],Tb_DISTR.FIN[JAN.26],"",0,1)*Tb_ValorSS[[#This Row],[R$ APROVADO]],"")</f>
        <v>0</v>
      </c>
      <c r="AL27" s="126">
        <f>IFERROR(_xlfn.XLOOKUP(Tb_ValorSS[[#This Row],[Nº  SS]],Tb_DISTR.FIN[Nº  SS],Tb_DISTR.FIN[FEV.26],"",0,1),"")</f>
        <v>0</v>
      </c>
      <c r="AM27" s="97">
        <f>IFERROR(_xlfn.XLOOKUP(Tb_ValorSS[[#This Row],[Nº  SS]],Tb_DISTR.FIN[Nº  SS],Tb_DISTR.FIN[FEV.26],"",0,1)*Tb_ValorSS[[#This Row],[R$ APROVADO]],"")</f>
        <v>0</v>
      </c>
      <c r="AN27" s="126">
        <f>IFERROR(_xlfn.XLOOKUP(Tb_ValorSS[[#This Row],[Nº  SS]],Tb_DISTR.FIN[Nº  SS],Tb_DISTR.FIN[MAR.26],"",0,1),"")</f>
        <v>0</v>
      </c>
      <c r="AO27" s="97">
        <f>IFERROR(_xlfn.XLOOKUP(Tb_ValorSS[[#This Row],[Nº  SS]],Tb_DISTR.FIN[Nº  SS],Tb_DISTR.FIN[MAR.26],"",0,1)*Tb_ValorSS[[#This Row],[R$ APROVADO]],"")</f>
        <v>0</v>
      </c>
      <c r="AP27" s="126">
        <f>IFERROR(_xlfn.XLOOKUP(Tb_ValorSS[[#This Row],[Nº  SS]],Tb_DISTR.FIN[Nº  SS],Tb_DISTR.FIN[ABR.26],"",0,1),"")</f>
        <v>0</v>
      </c>
      <c r="AQ27" s="97">
        <f>IFERROR(_xlfn.XLOOKUP(Tb_ValorSS[[#This Row],[Nº  SS]],Tb_DISTR.FIN[Nº  SS],Tb_DISTR.FIN[ABR.26],"",0,1)*Tb_ValorSS[[#This Row],[R$ APROVADO]],"")</f>
        <v>0</v>
      </c>
      <c r="AR27" s="126">
        <f>IFERROR(_xlfn.XLOOKUP(Tb_ValorSS[[#This Row],[Nº  SS]],Tb_DISTR.FIN[Nº  SS],Tb_DISTR.FIN[MAI.26],"",0,1),"")</f>
        <v>0</v>
      </c>
      <c r="AS27" s="97">
        <f>IFERROR(_xlfn.XLOOKUP(Tb_ValorSS[[#This Row],[Nº  SS]],Tb_DISTR.FIN[Nº  SS],Tb_DISTR.FIN[MAI.26],"",0,1)*Tb_ValorSS[[#This Row],[R$ APROVADO]],"")</f>
        <v>0</v>
      </c>
      <c r="AT27" s="126">
        <f>IFERROR(_xlfn.XLOOKUP(Tb_ValorSS[[#This Row],[Nº  SS]],Tb_DISTR.FIN[Nº  SS],Tb_DISTR.FIN[JUN.26],"",0,1),"")</f>
        <v>0</v>
      </c>
      <c r="AU27" s="97">
        <f>IFERROR(_xlfn.XLOOKUP(Tb_ValorSS[[#This Row],[Nº  SS]],Tb_DISTR.FIN[Nº  SS],Tb_DISTR.FIN[JUN.26],"",0,1)*Tb_ValorSS[[#This Row],[R$ APROVADO]],"")</f>
        <v>0</v>
      </c>
      <c r="AV27" s="126">
        <f>IFERROR(_xlfn.XLOOKUP(Tb_ValorSS[[#This Row],[Nº  SS]],Tb_DISTR.FIN[Nº  SS],Tb_DISTR.FIN[JUL.26],"",0,1),"")</f>
        <v>0</v>
      </c>
      <c r="AW27" s="97">
        <f>IFERROR(_xlfn.XLOOKUP(Tb_ValorSS[[#This Row],[Nº  SS]],Tb_DISTR.FIN[Nº  SS],Tb_DISTR.FIN[JUL.26],"",0,1)*Tb_ValorSS[[#This Row],[R$ APROVADO]],"")</f>
        <v>0</v>
      </c>
      <c r="AX27" s="126">
        <f>IFERROR(_xlfn.XLOOKUP(Tb_ValorSS[[#This Row],[Nº  SS]],Tb_DISTR.FIN[Nº  SS],Tb_DISTR.FIN[AGO.26],"",0,1),"")</f>
        <v>0</v>
      </c>
      <c r="AY27" s="97">
        <f>IFERROR(_xlfn.XLOOKUP(Tb_ValorSS[[#This Row],[Nº  SS]],Tb_DISTR.FIN[Nº  SS],Tb_DISTR.FIN[AGO.26],"",0,1)*Tb_ValorSS[[#This Row],[R$ APROVADO]],"")</f>
        <v>0</v>
      </c>
      <c r="AZ27" s="126">
        <f>IFERROR(_xlfn.XLOOKUP(Tb_ValorSS[[#This Row],[Nº  SS]],Tb_DISTR.FIN[Nº  SS],Tb_DISTR.FIN[SET.26],"",0,1),"")</f>
        <v>0</v>
      </c>
      <c r="BA27" s="97">
        <f>IFERROR(_xlfn.XLOOKUP(Tb_ValorSS[[#This Row],[Nº  SS]],Tb_DISTR.FIN[Nº  SS],Tb_DISTR.FIN[SET.26],"",0,1)*Tb_ValorSS[[#This Row],[R$ APROVADO]],"")</f>
        <v>0</v>
      </c>
      <c r="BB27" s="126">
        <f>IFERROR(_xlfn.XLOOKUP(Tb_ValorSS[[#This Row],[Nº  SS]],Tb_DISTR.FIN[Nº  SS],Tb_DISTR.FIN[OUT.26],"",0,1),"")</f>
        <v>0</v>
      </c>
      <c r="BC27" s="97">
        <f>IFERROR(_xlfn.XLOOKUP(Tb_ValorSS[[#This Row],[Nº  SS]],Tb_DISTR.FIN[Nº  SS],Tb_DISTR.FIN[OUT.26],"",0,1)*Tb_ValorSS[[#This Row],[R$ APROVADO]],"")</f>
        <v>0</v>
      </c>
      <c r="BD27" s="126">
        <f>IFERROR(_xlfn.XLOOKUP(Tb_ValorSS[[#This Row],[Nº  SS]],Tb_DISTR.FIN[Nº  SS],Tb_DISTR.FIN[NOV.26],"",0,1),"")</f>
        <v>0</v>
      </c>
      <c r="BE27" s="97">
        <f>IFERROR(_xlfn.XLOOKUP(Tb_ValorSS[[#This Row],[Nº  SS]],Tb_DISTR.FIN[Nº  SS],Tb_DISTR.FIN[NOV.26],"",0,1)*Tb_ValorSS[[#This Row],[R$ APROVADO]],"")</f>
        <v>0</v>
      </c>
      <c r="BF27" s="126">
        <f>IFERROR(_xlfn.XLOOKUP(Tb_ValorSS[[#This Row],[Nº  SS]],Tb_DISTR.FIN[Nº  SS],Tb_DISTR.FIN[DEZ.26],"",0,1),"")</f>
        <v>0</v>
      </c>
      <c r="BG27" s="97">
        <f>IFERROR(_xlfn.XLOOKUP(Tb_ValorSS[[#This Row],[Nº  SS]],Tb_DISTR.FIN[Nº  SS],Tb_DISTR.FIN[DEZ.26],"",0,1)*Tb_ValorSS[[#This Row],[R$ APROVADO]],"")</f>
        <v>0</v>
      </c>
    </row>
    <row r="28" spans="1:59" s="96" customFormat="1" x14ac:dyDescent="0.3">
      <c r="A28" s="122" t="s">
        <v>166</v>
      </c>
      <c r="B28" s="122" t="str">
        <f>_xlfn.XLOOKUP(Tb_ValorSS[[#This Row],[Nº  SS]],tb_Distr[SS],tb_Distr[DESCRIÇÃO],"",0,1)</f>
        <v>RUÍDOS TORRE RESF</v>
      </c>
      <c r="C28" s="122" t="str">
        <f>_xlfn.XLOOKUP(Tb_ValorSS[[#This Row],[Nº  SS]],TB_CR.ACOMP[Nº  SS],TB_CR.ACOMP[TOMADOR],"",0,1)</f>
        <v>EDIVIT</v>
      </c>
      <c r="D28" s="122" t="str">
        <f>_xlfn.XLOOKUP(Tb_ValorSS[[#This Row],[Nº  SS]],TB_CR.ACOMP[Nº  SS],TB_CR.ACOMP[STATUS DEMANDA],"",0,1)</f>
        <v>EM ANDAMENTO</v>
      </c>
      <c r="E28" s="235">
        <v>834.2</v>
      </c>
      <c r="F28" s="155">
        <v>403913.19</v>
      </c>
      <c r="G28" s="235">
        <f>SUM(Tb_ValorSS[[#This Row],[SET.25]:[DEZ.26]])</f>
        <v>852.92399999999998</v>
      </c>
      <c r="H28" s="155">
        <f>Tb_ValorSS[[#This Row],[UBR MEDIDO]]*296.82</f>
        <v>253164.90167999998</v>
      </c>
      <c r="I28" s="155">
        <f>IF(ABS(Tb_ValorSS[[#This Row],[R$ APROVADO]]-Tb_ValorSS[[#This Row],[R$ MEDIDO ]])&lt;0.01,0,Tb_ValorSS[[#This Row],[R$ APROVADO]]-Tb_ValorSS[[#This Row],[R$ MEDIDO ]])</f>
        <v>150748.28832000002</v>
      </c>
      <c r="J28" s="145"/>
      <c r="K28" s="171"/>
      <c r="L28" s="172"/>
      <c r="M28" s="172">
        <v>83.42</v>
      </c>
      <c r="N28" s="172">
        <v>166.84</v>
      </c>
      <c r="O28" s="172">
        <v>200.208</v>
      </c>
      <c r="P28" s="172">
        <v>402.45600000000002</v>
      </c>
      <c r="Q28" s="172"/>
      <c r="R28" s="172"/>
      <c r="S28" s="172"/>
      <c r="T28" s="172"/>
      <c r="U28" s="172"/>
      <c r="V28" s="172"/>
      <c r="W28" s="172"/>
      <c r="X28" s="172"/>
      <c r="Y28" s="172"/>
      <c r="Z28" s="172"/>
      <c r="AA28" s="138"/>
      <c r="AB28" s="157">
        <f>IFERROR(_xlfn.XLOOKUP(Tb_ValorSS[[#This Row],[Nº  SS]],Tb_DISTR.FIN[Nº  SS],Tb_DISTR.FIN[SET.25],"",0,1),"")</f>
        <v>0</v>
      </c>
      <c r="AC28" s="156">
        <f>IFERROR(_xlfn.XLOOKUP(Tb_ValorSS[[#This Row],[Nº  SS]],Tb_DISTR.FIN[Nº  SS],Tb_DISTR.FIN[SET.25],"",0,1)*Tb_ValorSS[[#This Row],[R$ APROVADO]],"")</f>
        <v>0</v>
      </c>
      <c r="AD28" s="157">
        <f>IFERROR(_xlfn.XLOOKUP(Tb_ValorSS[[#This Row],[Nº  SS]],Tb_DISTR.FIN[Nº  SS],Tb_DISTR.FIN[OUT.25],"",0,1),"")</f>
        <v>0</v>
      </c>
      <c r="AE28" s="156">
        <f>IFERROR(_xlfn.XLOOKUP(Tb_ValorSS[[#This Row],[Nº  SS]],Tb_DISTR.FIN[Nº  SS],Tb_DISTR.FIN[OUT.25],"",0,1)*Tb_ValorSS[[#This Row],[R$ APROVADO]],"")</f>
        <v>0</v>
      </c>
      <c r="AF28" s="157">
        <f>IFERROR(_xlfn.XLOOKUP(Tb_ValorSS[[#This Row],[Nº  SS]],Tb_DISTR.FIN[Nº  SS],Tb_DISTR.FIN[NOV.25],"",0,1),"")</f>
        <v>6.1302207041072365E-2</v>
      </c>
      <c r="AG28" s="97">
        <f>IFERROR(_xlfn.XLOOKUP(Tb_ValorSS[[#This Row],[Nº  SS]],Tb_DISTR.FIN[Nº  SS],Tb_DISTR.FIN[NOV.25],"",0,1)*Tb_ValorSS[[#This Row],[R$ APROVADO]],"")</f>
        <v>24760.77</v>
      </c>
      <c r="AH28" s="157">
        <f>IFERROR(_xlfn.XLOOKUP(Tb_ValorSS[[#This Row],[Nº  SS]],Tb_DISTR.FIN[Nº  SS],Tb_DISTR.FIN[DEZ.25],"",0,1),"")</f>
        <v>0.12260441408214473</v>
      </c>
      <c r="AI28" s="97">
        <f>IFERROR(_xlfn.XLOOKUP(Tb_ValorSS[[#This Row],[Nº  SS]],Tb_DISTR.FIN[Nº  SS],Tb_DISTR.FIN[DEZ.25],"",0,1)*Tb_ValorSS[[#This Row],[R$ APROVADO]],"")</f>
        <v>49521.54</v>
      </c>
      <c r="AJ28" s="157">
        <f>IFERROR(_xlfn.XLOOKUP(Tb_ValorSS[[#This Row],[Nº  SS]],Tb_DISTR.FIN[Nº  SS],Tb_DISTR.FIN[JAN.26],"",0,1),"")</f>
        <v>0.1471253018501327</v>
      </c>
      <c r="AK28" s="97">
        <f>IFERROR(_xlfn.XLOOKUP(Tb_ValorSS[[#This Row],[Nº  SS]],Tb_DISTR.FIN[Nº  SS],Tb_DISTR.FIN[JAN.26],"",0,1)*Tb_ValorSS[[#This Row],[R$ APROVADO]],"")</f>
        <v>59425.85</v>
      </c>
      <c r="AL28" s="157">
        <f>IFERROR(_xlfn.XLOOKUP(Tb_ValorSS[[#This Row],[Nº  SS]],Tb_DISTR.FIN[Nº  SS],Tb_DISTR.FIN[FEV.26],"",0,1),"")</f>
        <v>0.29575000000000001</v>
      </c>
      <c r="AM28" s="156">
        <f>IFERROR(_xlfn.XLOOKUP(Tb_ValorSS[[#This Row],[Nº  SS]],Tb_DISTR.FIN[Nº  SS],Tb_DISTR.FIN[FEV.26],"",0,1)*Tb_ValorSS[[#This Row],[R$ APROVADO]],"")</f>
        <v>119457.3259425</v>
      </c>
      <c r="AN28" s="157">
        <f>IFERROR(_xlfn.XLOOKUP(Tb_ValorSS[[#This Row],[Nº  SS]],Tb_DISTR.FIN[Nº  SS],Tb_DISTR.FIN[MAR.26],"",0,1),"")</f>
        <v>0</v>
      </c>
      <c r="AO28" s="156">
        <f>IFERROR(_xlfn.XLOOKUP(Tb_ValorSS[[#This Row],[Nº  SS]],Tb_DISTR.FIN[Nº  SS],Tb_DISTR.FIN[MAR.26],"",0,1)*Tb_ValorSS[[#This Row],[R$ APROVADO]],"")</f>
        <v>0</v>
      </c>
      <c r="AP28" s="157">
        <f>IFERROR(_xlfn.XLOOKUP(Tb_ValorSS[[#This Row],[Nº  SS]],Tb_DISTR.FIN[Nº  SS],Tb_DISTR.FIN[ABR.26],"",0,1),"")</f>
        <v>0.37321807702665027</v>
      </c>
      <c r="AQ28" s="156">
        <f>IFERROR(_xlfn.XLOOKUP(Tb_ValorSS[[#This Row],[Nº  SS]],Tb_DISTR.FIN[Nº  SS],Tb_DISTR.FIN[ABR.26],"",0,1)*Tb_ValorSS[[#This Row],[R$ APROVADO]],"")</f>
        <v>150747.70405750003</v>
      </c>
      <c r="AR28" s="157">
        <f>IFERROR(_xlfn.XLOOKUP(Tb_ValorSS[[#This Row],[Nº  SS]],Tb_DISTR.FIN[Nº  SS],Tb_DISTR.FIN[MAI.26],"",0,1),"")</f>
        <v>0</v>
      </c>
      <c r="AS28" s="156">
        <f>IFERROR(_xlfn.XLOOKUP(Tb_ValorSS[[#This Row],[Nº  SS]],Tb_DISTR.FIN[Nº  SS],Tb_DISTR.FIN[MAI.26],"",0,1)*Tb_ValorSS[[#This Row],[R$ APROVADO]],"")</f>
        <v>0</v>
      </c>
      <c r="AT28" s="157">
        <f>IFERROR(_xlfn.XLOOKUP(Tb_ValorSS[[#This Row],[Nº  SS]],Tb_DISTR.FIN[Nº  SS],Tb_DISTR.FIN[JUN.26],"",0,1),"")</f>
        <v>0</v>
      </c>
      <c r="AU28" s="156">
        <f>IFERROR(_xlfn.XLOOKUP(Tb_ValorSS[[#This Row],[Nº  SS]],Tb_DISTR.FIN[Nº  SS],Tb_DISTR.FIN[JUN.26],"",0,1)*Tb_ValorSS[[#This Row],[R$ APROVADO]],"")</f>
        <v>0</v>
      </c>
      <c r="AV28" s="157">
        <f>IFERROR(_xlfn.XLOOKUP(Tb_ValorSS[[#This Row],[Nº  SS]],Tb_DISTR.FIN[Nº  SS],Tb_DISTR.FIN[JUL.26],"",0,1),"")</f>
        <v>0</v>
      </c>
      <c r="AW28" s="156">
        <f>IFERROR(_xlfn.XLOOKUP(Tb_ValorSS[[#This Row],[Nº  SS]],Tb_DISTR.FIN[Nº  SS],Tb_DISTR.FIN[JUL.26],"",0,1)*Tb_ValorSS[[#This Row],[R$ APROVADO]],"")</f>
        <v>0</v>
      </c>
      <c r="AX28" s="157">
        <f>IFERROR(_xlfn.XLOOKUP(Tb_ValorSS[[#This Row],[Nº  SS]],Tb_DISTR.FIN[Nº  SS],Tb_DISTR.FIN[AGO.26],"",0,1),"")</f>
        <v>0</v>
      </c>
      <c r="AY28" s="156">
        <f>IFERROR(_xlfn.XLOOKUP(Tb_ValorSS[[#This Row],[Nº  SS]],Tb_DISTR.FIN[Nº  SS],Tb_DISTR.FIN[AGO.26],"",0,1)*Tb_ValorSS[[#This Row],[R$ APROVADO]],"")</f>
        <v>0</v>
      </c>
      <c r="AZ28" s="157">
        <f>IFERROR(_xlfn.XLOOKUP(Tb_ValorSS[[#This Row],[Nº  SS]],Tb_DISTR.FIN[Nº  SS],Tb_DISTR.FIN[SET.26],"",0,1),"")</f>
        <v>0</v>
      </c>
      <c r="BA28" s="156">
        <f>IFERROR(_xlfn.XLOOKUP(Tb_ValorSS[[#This Row],[Nº  SS]],Tb_DISTR.FIN[Nº  SS],Tb_DISTR.FIN[SET.26],"",0,1)*Tb_ValorSS[[#This Row],[R$ APROVADO]],"")</f>
        <v>0</v>
      </c>
      <c r="BB28" s="157">
        <f>IFERROR(_xlfn.XLOOKUP(Tb_ValorSS[[#This Row],[Nº  SS]],Tb_DISTR.FIN[Nº  SS],Tb_DISTR.FIN[OUT.26],"",0,1),"")</f>
        <v>0</v>
      </c>
      <c r="BC28" s="156">
        <f>IFERROR(_xlfn.XLOOKUP(Tb_ValorSS[[#This Row],[Nº  SS]],Tb_DISTR.FIN[Nº  SS],Tb_DISTR.FIN[OUT.26],"",0,1)*Tb_ValorSS[[#This Row],[R$ APROVADO]],"")</f>
        <v>0</v>
      </c>
      <c r="BD28" s="157">
        <f>IFERROR(_xlfn.XLOOKUP(Tb_ValorSS[[#This Row],[Nº  SS]],Tb_DISTR.FIN[Nº  SS],Tb_DISTR.FIN[NOV.26],"",0,1),"")</f>
        <v>0</v>
      </c>
      <c r="BE28" s="156">
        <f>IFERROR(_xlfn.XLOOKUP(Tb_ValorSS[[#This Row],[Nº  SS]],Tb_DISTR.FIN[Nº  SS],Tb_DISTR.FIN[NOV.26],"",0,1)*Tb_ValorSS[[#This Row],[R$ APROVADO]],"")</f>
        <v>0</v>
      </c>
      <c r="BF28" s="157">
        <f>IFERROR(_xlfn.XLOOKUP(Tb_ValorSS[[#This Row],[Nº  SS]],Tb_DISTR.FIN[Nº  SS],Tb_DISTR.FIN[DEZ.26],"",0,1),"")</f>
        <v>0</v>
      </c>
      <c r="BG28" s="156">
        <f>IFERROR(_xlfn.XLOOKUP(Tb_ValorSS[[#This Row],[Nº  SS]],Tb_DISTR.FIN[Nº  SS],Tb_DISTR.FIN[DEZ.26],"",0,1)*Tb_ValorSS[[#This Row],[R$ APROVADO]],"")</f>
        <v>0</v>
      </c>
    </row>
    <row r="29" spans="1:59" s="96" customFormat="1" hidden="1" x14ac:dyDescent="0.3">
      <c r="A29" s="123" t="s">
        <v>234</v>
      </c>
      <c r="B29" s="123" t="s">
        <v>237</v>
      </c>
      <c r="C29" s="123" t="str">
        <f>_xlfn.XLOOKUP(Tb_ValorSS[[#This Row],[Nº  SS]],TB_CR.ACOMP[Nº  SS],TB_CR.ACOMP[TOMADOR],"",0,1)</f>
        <v>UTGC</v>
      </c>
      <c r="D29" s="123" t="str">
        <f>_xlfn.XLOOKUP(Tb_ValorSS[[#This Row],[Nº  SS]],TB_CR.ACOMP[Nº  SS],TB_CR.ACOMP[STATUS DEMANDA],"",0,1)</f>
        <v>CANCELADA</v>
      </c>
      <c r="E29" s="234">
        <v>0</v>
      </c>
      <c r="F29" s="124">
        <f>Tb_ValorSS[[#This Row],[UBR APROV]]*296.82</f>
        <v>0</v>
      </c>
      <c r="G29" s="234">
        <f>SUM(Tb_ValorSS[[#This Row],[SET.25]:[DEZ.26]])</f>
        <v>0</v>
      </c>
      <c r="H29" s="124">
        <f>Tb_ValorSS[[#This Row],[UBR MEDIDO]]*296.82</f>
        <v>0</v>
      </c>
      <c r="I29" s="124">
        <f>IF(ABS(Tb_ValorSS[[#This Row],[R$ APROVADO]]-Tb_ValorSS[[#This Row],[R$ MEDIDO ]])&lt;0.01,0,Tb_ValorSS[[#This Row],[R$ APROVADO]]-Tb_ValorSS[[#This Row],[R$ MEDIDO ]])</f>
        <v>0</v>
      </c>
      <c r="J29" s="144"/>
      <c r="K29" s="169"/>
      <c r="L29" s="170"/>
      <c r="M29" s="170"/>
      <c r="N29" s="170"/>
      <c r="O29" s="170"/>
      <c r="P29" s="170"/>
      <c r="Q29" s="170"/>
      <c r="R29" s="170"/>
      <c r="S29" s="170"/>
      <c r="T29" s="170"/>
      <c r="U29" s="170"/>
      <c r="V29" s="170"/>
      <c r="W29" s="170"/>
      <c r="X29" s="170"/>
      <c r="Y29" s="170"/>
      <c r="Z29" s="170"/>
      <c r="AA29" s="139"/>
      <c r="AB29" s="127">
        <f>IFERROR(_xlfn.XLOOKUP(Tb_ValorSS[[#This Row],[Nº  SS]],Tb_DISTR.FIN[Nº  SS],Tb_DISTR.FIN[OUT.25],"",0,1),"")</f>
        <v>0</v>
      </c>
      <c r="AC29" s="125">
        <f>IFERROR(_xlfn.XLOOKUP(Tb_ValorSS[[#This Row],[Nº  SS]],Tb_DISTR.FIN[Nº  SS],Tb_DISTR.FIN[SET.25],"",0,1)*Tb_ValorSS[[#This Row],[R$ APROVADO]],"")</f>
        <v>0</v>
      </c>
      <c r="AD29" s="127">
        <f>IFERROR(_xlfn.XLOOKUP(Tb_ValorSS[[#This Row],[Nº  SS]],Tb_DISTR.FIN[Nº  SS],Tb_DISTR.FIN[OUT.25],"",0,1),"")</f>
        <v>0</v>
      </c>
      <c r="AE29" s="125">
        <f>IFERROR(_xlfn.XLOOKUP(Tb_ValorSS[[#This Row],[Nº  SS]],Tb_DISTR.FIN[Nº  SS],Tb_DISTR.FIN[OUT.25],"",0,1)*Tb_ValorSS[[#This Row],[R$ APROVADO]],"")</f>
        <v>0</v>
      </c>
      <c r="AF29" s="127">
        <f>IFERROR(_xlfn.XLOOKUP(Tb_ValorSS[[#This Row],[Nº  SS]],Tb_DISTR.FIN[Nº  SS],Tb_DISTR.FIN[NOV.25],"",0,1),"")</f>
        <v>0</v>
      </c>
      <c r="AG29" s="125">
        <f>IFERROR(_xlfn.XLOOKUP(Tb_ValorSS[[#This Row],[Nº  SS]],Tb_DISTR.FIN[Nº  SS],Tb_DISTR.FIN[NOV.25],"",0,1)*Tb_ValorSS[[#This Row],[R$ APROVADO]],"")</f>
        <v>0</v>
      </c>
      <c r="AH29" s="127">
        <f>IFERROR(_xlfn.XLOOKUP(Tb_ValorSS[[#This Row],[Nº  SS]],Tb_DISTR.FIN[Nº  SS],Tb_DISTR.FIN[DEZ.25],"",0,1),"")</f>
        <v>0</v>
      </c>
      <c r="AI29" s="125">
        <f>IFERROR(_xlfn.XLOOKUP(Tb_ValorSS[[#This Row],[Nº  SS]],Tb_DISTR.FIN[Nº  SS],Tb_DISTR.FIN[DEZ.25],"",0,1)*Tb_ValorSS[[#This Row],[R$ APROVADO]],"")</f>
        <v>0</v>
      </c>
      <c r="AJ29" s="127">
        <f>IFERROR(_xlfn.XLOOKUP(Tb_ValorSS[[#This Row],[Nº  SS]],Tb_DISTR.FIN[Nº  SS],Tb_DISTR.FIN[JAN.26],"",0,1),"")</f>
        <v>0</v>
      </c>
      <c r="AK29" s="125">
        <f>IFERROR(_xlfn.XLOOKUP(Tb_ValorSS[[#This Row],[Nº  SS]],Tb_DISTR.FIN[Nº  SS],Tb_DISTR.FIN[JAN.26],"",0,1)*Tb_ValorSS[[#This Row],[R$ APROVADO]],"")</f>
        <v>0</v>
      </c>
      <c r="AL29" s="127">
        <f>IFERROR(_xlfn.XLOOKUP(Tb_ValorSS[[#This Row],[Nº  SS]],Tb_DISTR.FIN[Nº  SS],Tb_DISTR.FIN[FEV.26],"",0,1),"")</f>
        <v>0</v>
      </c>
      <c r="AM29" s="125">
        <f>IFERROR(_xlfn.XLOOKUP(Tb_ValorSS[[#This Row],[Nº  SS]],Tb_DISTR.FIN[Nº  SS],Tb_DISTR.FIN[FEV.26],"",0,1)*Tb_ValorSS[[#This Row],[R$ APROVADO]],"")</f>
        <v>0</v>
      </c>
      <c r="AN29" s="127">
        <f>IFERROR(_xlfn.XLOOKUP(Tb_ValorSS[[#This Row],[Nº  SS]],Tb_DISTR.FIN[Nº  SS],Tb_DISTR.FIN[MAR.26],"",0,1),"")</f>
        <v>0</v>
      </c>
      <c r="AO29" s="125">
        <f>IFERROR(_xlfn.XLOOKUP(Tb_ValorSS[[#This Row],[Nº  SS]],Tb_DISTR.FIN[Nº  SS],Tb_DISTR.FIN[MAR.26],"",0,1)*Tb_ValorSS[[#This Row],[R$ APROVADO]],"")</f>
        <v>0</v>
      </c>
      <c r="AP29" s="127">
        <f>IFERROR(_xlfn.XLOOKUP(Tb_ValorSS[[#This Row],[Nº  SS]],Tb_DISTR.FIN[Nº  SS],Tb_DISTR.FIN[ABR.26],"",0,1),"")</f>
        <v>0</v>
      </c>
      <c r="AQ29" s="125">
        <f>IFERROR(_xlfn.XLOOKUP(Tb_ValorSS[[#This Row],[Nº  SS]],Tb_DISTR.FIN[Nº  SS],Tb_DISTR.FIN[ABR.26],"",0,1)*Tb_ValorSS[[#This Row],[R$ APROVADO]],"")</f>
        <v>0</v>
      </c>
      <c r="AR29" s="127">
        <f>IFERROR(_xlfn.XLOOKUP(Tb_ValorSS[[#This Row],[Nº  SS]],Tb_DISTR.FIN[Nº  SS],Tb_DISTR.FIN[MAI.26],"",0,1),"")</f>
        <v>0</v>
      </c>
      <c r="AS29" s="125">
        <f>IFERROR(_xlfn.XLOOKUP(Tb_ValorSS[[#This Row],[Nº  SS]],Tb_DISTR.FIN[Nº  SS],Tb_DISTR.FIN[MAI.26],"",0,1)*Tb_ValorSS[[#This Row],[R$ APROVADO]],"")</f>
        <v>0</v>
      </c>
      <c r="AT29" s="127">
        <f>IFERROR(_xlfn.XLOOKUP(Tb_ValorSS[[#This Row],[Nº  SS]],Tb_DISTR.FIN[Nº  SS],Tb_DISTR.FIN[JUN.26],"",0,1),"")</f>
        <v>0</v>
      </c>
      <c r="AU29" s="125">
        <f>IFERROR(_xlfn.XLOOKUP(Tb_ValorSS[[#This Row],[Nº  SS]],Tb_DISTR.FIN[Nº  SS],Tb_DISTR.FIN[JUN.26],"",0,1)*Tb_ValorSS[[#This Row],[R$ APROVADO]],"")</f>
        <v>0</v>
      </c>
      <c r="AV29" s="127">
        <f>IFERROR(_xlfn.XLOOKUP(Tb_ValorSS[[#This Row],[Nº  SS]],Tb_DISTR.FIN[Nº  SS],Tb_DISTR.FIN[JUL.26],"",0,1),"")</f>
        <v>0</v>
      </c>
      <c r="AW29" s="125">
        <f>IFERROR(_xlfn.XLOOKUP(Tb_ValorSS[[#This Row],[Nº  SS]],Tb_DISTR.FIN[Nº  SS],Tb_DISTR.FIN[JUL.26],"",0,1)*Tb_ValorSS[[#This Row],[R$ APROVADO]],"")</f>
        <v>0</v>
      </c>
      <c r="AX29" s="127">
        <f>IFERROR(_xlfn.XLOOKUP(Tb_ValorSS[[#This Row],[Nº  SS]],Tb_DISTR.FIN[Nº  SS],Tb_DISTR.FIN[AGO.26],"",0,1),"")</f>
        <v>0</v>
      </c>
      <c r="AY29" s="125">
        <f>IFERROR(_xlfn.XLOOKUP(Tb_ValorSS[[#This Row],[Nº  SS]],Tb_DISTR.FIN[Nº  SS],Tb_DISTR.FIN[AGO.26],"",0,1)*Tb_ValorSS[[#This Row],[R$ APROVADO]],"")</f>
        <v>0</v>
      </c>
      <c r="AZ29" s="127">
        <f>IFERROR(_xlfn.XLOOKUP(Tb_ValorSS[[#This Row],[Nº  SS]],Tb_DISTR.FIN[Nº  SS],Tb_DISTR.FIN[SET.26],"",0,1),"")</f>
        <v>0</v>
      </c>
      <c r="BA29" s="125">
        <f>IFERROR(_xlfn.XLOOKUP(Tb_ValorSS[[#This Row],[Nº  SS]],Tb_DISTR.FIN[Nº  SS],Tb_DISTR.FIN[SET.26],"",0,1)*Tb_ValorSS[[#This Row],[R$ APROVADO]],"")</f>
        <v>0</v>
      </c>
      <c r="BB29" s="127">
        <f>IFERROR(_xlfn.XLOOKUP(Tb_ValorSS[[#This Row],[Nº  SS]],Tb_DISTR.FIN[Nº  SS],Tb_DISTR.FIN[OUT.26],"",0,1),"")</f>
        <v>0</v>
      </c>
      <c r="BC29" s="125">
        <f>IFERROR(_xlfn.XLOOKUP(Tb_ValorSS[[#This Row],[Nº  SS]],Tb_DISTR.FIN[Nº  SS],Tb_DISTR.FIN[OUT.26],"",0,1)*Tb_ValorSS[[#This Row],[R$ APROVADO]],"")</f>
        <v>0</v>
      </c>
      <c r="BD29" s="127">
        <f>IFERROR(_xlfn.XLOOKUP(Tb_ValorSS[[#This Row],[Nº  SS]],Tb_DISTR.FIN[Nº  SS],Tb_DISTR.FIN[NOV.26],"",0,1),"")</f>
        <v>0</v>
      </c>
      <c r="BE29" s="125">
        <f>IFERROR(_xlfn.XLOOKUP(Tb_ValorSS[[#This Row],[Nº  SS]],Tb_DISTR.FIN[Nº  SS],Tb_DISTR.FIN[NOV.26],"",0,1)*Tb_ValorSS[[#This Row],[R$ APROVADO]],"")</f>
        <v>0</v>
      </c>
      <c r="BF29" s="127">
        <f>IFERROR(_xlfn.XLOOKUP(Tb_ValorSS[[#This Row],[Nº  SS]],Tb_DISTR.FIN[Nº  SS],Tb_DISTR.FIN[DEZ.26],"",0,1),"")</f>
        <v>0</v>
      </c>
      <c r="BG29" s="125">
        <f>IFERROR(_xlfn.XLOOKUP(Tb_ValorSS[[#This Row],[Nº  SS]],Tb_DISTR.FIN[Nº  SS],Tb_DISTR.FIN[DEZ.26],"",0,1)*Tb_ValorSS[[#This Row],[R$ APROVADO]],"")</f>
        <v>0</v>
      </c>
    </row>
    <row r="30" spans="1:59" s="96" customFormat="1" x14ac:dyDescent="0.3">
      <c r="A30" s="462" t="s">
        <v>240</v>
      </c>
      <c r="B30" s="462" t="str">
        <f>_xlfn.XLOOKUP(Tb_ValorSS[[#This Row],[Nº  SS]],tb_Distr[SS],tb_Distr[DESCRIÇÃO],"",0,1)</f>
        <v>GALPÃO K-23</v>
      </c>
      <c r="C30" s="462" t="str">
        <f>_xlfn.XLOOKUP(Tb_ValorSS[[#This Row],[Nº  SS]],TB_CR.ACOMP[Nº  SS],TB_CR.ACOMP[TOMADOR],"",0,1)</f>
        <v>UTGC</v>
      </c>
      <c r="D30" s="462" t="str">
        <f>_xlfn.XLOOKUP(Tb_ValorSS[[#This Row],[Nº  SS]],TB_CR.ACOMP[Nº  SS],TB_CR.ACOMP[STATUS DEMANDA],"",0,1)</f>
        <v>EM ANDAMENTO</v>
      </c>
      <c r="E30" s="235">
        <v>3793.4369999999999</v>
      </c>
      <c r="F30" s="155">
        <f>Tb_ValorSS[[#This Row],[UBR APROV]]*296.82</f>
        <v>1125967.97034</v>
      </c>
      <c r="G30" s="235">
        <f>SUM(Tb_ValorSS[[#This Row],[SET.25]:[DEZ.26]])</f>
        <v>1744.981</v>
      </c>
      <c r="H30" s="155">
        <f>Tb_ValorSS[[#This Row],[UBR MEDIDO]]*296.82</f>
        <v>517945.26042000001</v>
      </c>
      <c r="I30" s="155">
        <f>IF(ABS(Tb_ValorSS[[#This Row],[R$ APROVADO]]-Tb_ValorSS[[#This Row],[R$ MEDIDO ]])&lt;0.01,0,Tb_ValorSS[[#This Row],[R$ APROVADO]]-Tb_ValorSS[[#This Row],[R$ MEDIDO ]])</f>
        <v>608022.70992000005</v>
      </c>
      <c r="J30" s="144"/>
      <c r="K30" s="171"/>
      <c r="L30" s="172"/>
      <c r="M30" s="172"/>
      <c r="N30" s="172">
        <v>379.34399999999999</v>
      </c>
      <c r="O30" s="172">
        <v>758.68700000000001</v>
      </c>
      <c r="P30" s="172">
        <v>606.95000000000005</v>
      </c>
      <c r="Q30" s="172"/>
      <c r="R30" s="172"/>
      <c r="S30" s="172"/>
      <c r="T30" s="172"/>
      <c r="U30" s="172"/>
      <c r="V30" s="172"/>
      <c r="W30" s="172"/>
      <c r="X30" s="172"/>
      <c r="Y30" s="172"/>
      <c r="Z30" s="172"/>
      <c r="AA30" s="139"/>
      <c r="AB30" s="157">
        <f>IFERROR(_xlfn.XLOOKUP(Tb_ValorSS[[#This Row],[Nº  SS]],Tb_DISTR.FIN[Nº  SS],Tb_DISTR.FIN[OUT.25],"",0,1),"")</f>
        <v>0</v>
      </c>
      <c r="AC30" s="156">
        <f>IFERROR(_xlfn.XLOOKUP(Tb_ValorSS[[#This Row],[Nº  SS]],Tb_DISTR.FIN[Nº  SS],Tb_DISTR.FIN[SET.25],"",0,1)*Tb_ValorSS[[#This Row],[R$ APROVADO]],"")</f>
        <v>0</v>
      </c>
      <c r="AD30" s="157">
        <f>IFERROR(_xlfn.XLOOKUP(Tb_ValorSS[[#This Row],[Nº  SS]],Tb_DISTR.FIN[Nº  SS],Tb_DISTR.FIN[OUT.25],"",0,1),"")</f>
        <v>0</v>
      </c>
      <c r="AE30" s="156">
        <f>IFERROR(_xlfn.XLOOKUP(Tb_ValorSS[[#This Row],[Nº  SS]],Tb_DISTR.FIN[Nº  SS],Tb_DISTR.FIN[OUT.25],"",0,1)*Tb_ValorSS[[#This Row],[R$ APROVADO]],"")</f>
        <v>0</v>
      </c>
      <c r="AF30" s="157">
        <f>IFERROR(_xlfn.XLOOKUP(Tb_ValorSS[[#This Row],[Nº  SS]],Tb_DISTR.FIN[Nº  SS],Tb_DISTR.FIN[OUT.25],"",0,1),"")</f>
        <v>0</v>
      </c>
      <c r="AG30" s="156">
        <f>IFERROR(_xlfn.XLOOKUP(Tb_ValorSS[[#This Row],[Nº  SS]],Tb_DISTR.FIN[Nº  SS],Tb_DISTR.FIN[NOV.25],"",0,1)*Tb_ValorSS[[#This Row],[R$ APROVADO]],"")</f>
        <v>0</v>
      </c>
      <c r="AH30" s="157">
        <f>IFERROR(_xlfn.XLOOKUP(Tb_ValorSS[[#This Row],[Nº  SS]],Tb_DISTR.FIN[Nº  SS],Tb_DISTR.FIN[DEZ.25],"",0,1),"")</f>
        <v>0.1</v>
      </c>
      <c r="AI30" s="156">
        <f>IFERROR(_xlfn.XLOOKUP(Tb_ValorSS[[#This Row],[Nº  SS]],Tb_DISTR.FIN[Nº  SS],Tb_DISTR.FIN[DEZ.25],"",0,1)*Tb_ValorSS[[#This Row],[R$ APROVADO]],"")</f>
        <v>112596.797034</v>
      </c>
      <c r="AJ30" s="157">
        <f>IFERROR(_xlfn.XLOOKUP(Tb_ValorSS[[#This Row],[Nº  SS]],Tb_DISTR.FIN[Nº  SS],Tb_DISTR.FIN[JAN.26],"",0,1),"")</f>
        <v>0.2</v>
      </c>
      <c r="AK30" s="156">
        <f>IFERROR(_xlfn.XLOOKUP(Tb_ValorSS[[#This Row],[Nº  SS]],Tb_DISTR.FIN[Nº  SS],Tb_DISTR.FIN[JAN.26],"",0,1)*Tb_ValorSS[[#This Row],[R$ APROVADO]],"")</f>
        <v>225193.59406800001</v>
      </c>
      <c r="AL30" s="157">
        <f>IFERROR(_xlfn.XLOOKUP(Tb_ValorSS[[#This Row],[Nº  SS]],Tb_DISTR.FIN[Nº  SS],Tb_DISTR.FIN[FEV.26],"",0,1),"")</f>
        <v>0.16</v>
      </c>
      <c r="AM30" s="156">
        <f>IFERROR(_xlfn.XLOOKUP(Tb_ValorSS[[#This Row],[Nº  SS]],Tb_DISTR.FIN[Nº  SS],Tb_DISTR.FIN[FEV.26],"",0,1)*Tb_ValorSS[[#This Row],[R$ APROVADO]],"")</f>
        <v>180154.87525440002</v>
      </c>
      <c r="AN30" s="157">
        <f>IFERROR(_xlfn.XLOOKUP(Tb_ValorSS[[#This Row],[Nº  SS]],Tb_DISTR.FIN[Nº  SS],Tb_DISTR.FIN[MAR.26],"",0,1),"")</f>
        <v>0.12</v>
      </c>
      <c r="AO30" s="156">
        <f>IFERROR(_xlfn.XLOOKUP(Tb_ValorSS[[#This Row],[Nº  SS]],Tb_DISTR.FIN[Nº  SS],Tb_DISTR.FIN[MAR.26],"",0,1)*Tb_ValorSS[[#This Row],[R$ APROVADO]],"")</f>
        <v>135116.1564408</v>
      </c>
      <c r="AP30" s="157">
        <f>IFERROR(_xlfn.XLOOKUP(Tb_ValorSS[[#This Row],[Nº  SS]],Tb_DISTR.FIN[Nº  SS],Tb_DISTR.FIN[ABR.26],"",0,1),"")</f>
        <v>0.12</v>
      </c>
      <c r="AQ30" s="156">
        <f>IFERROR(_xlfn.XLOOKUP(Tb_ValorSS[[#This Row],[Nº  SS]],Tb_DISTR.FIN[Nº  SS],Tb_DISTR.FIN[ABR.26],"",0,1)*Tb_ValorSS[[#This Row],[R$ APROVADO]],"")</f>
        <v>135116.1564408</v>
      </c>
      <c r="AR30" s="157">
        <f>IFERROR(_xlfn.XLOOKUP(Tb_ValorSS[[#This Row],[Nº  SS]],Tb_DISTR.FIN[Nº  SS],Tb_DISTR.FIN[MAI.26],"",0,1),"")</f>
        <v>0.1</v>
      </c>
      <c r="AS30" s="156">
        <f>IFERROR(_xlfn.XLOOKUP(Tb_ValorSS[[#This Row],[Nº  SS]],Tb_DISTR.FIN[Nº  SS],Tb_DISTR.FIN[MAI.26],"",0,1)*Tb_ValorSS[[#This Row],[R$ APROVADO]],"")</f>
        <v>112596.797034</v>
      </c>
      <c r="AT30" s="157">
        <f>IFERROR(_xlfn.XLOOKUP(Tb_ValorSS[[#This Row],[Nº  SS]],Tb_DISTR.FIN[Nº  SS],Tb_DISTR.FIN[JUN.26],"",0,1),"")</f>
        <v>0.2</v>
      </c>
      <c r="AU30" s="156">
        <f>IFERROR(_xlfn.XLOOKUP(Tb_ValorSS[[#This Row],[Nº  SS]],Tb_DISTR.FIN[Nº  SS],Tb_DISTR.FIN[JUN.26],"",0,1)*Tb_ValorSS[[#This Row],[R$ APROVADO]],"")</f>
        <v>225193.59406800001</v>
      </c>
      <c r="AV30" s="157">
        <f>IFERROR(_xlfn.XLOOKUP(Tb_ValorSS[[#This Row],[Nº  SS]],Tb_DISTR.FIN[Nº  SS],Tb_DISTR.FIN[JUL.26],"",0,1),"")</f>
        <v>0</v>
      </c>
      <c r="AW30" s="156">
        <f>IFERROR(_xlfn.XLOOKUP(Tb_ValorSS[[#This Row],[Nº  SS]],Tb_DISTR.FIN[Nº  SS],Tb_DISTR.FIN[JUL.26],"",0,1)*Tb_ValorSS[[#This Row],[R$ APROVADO]],"")</f>
        <v>0</v>
      </c>
      <c r="AX30" s="157">
        <f>IFERROR(_xlfn.XLOOKUP(Tb_ValorSS[[#This Row],[Nº  SS]],Tb_DISTR.FIN[Nº  SS],Tb_DISTR.FIN[AGO.26],"",0,1),"")</f>
        <v>0</v>
      </c>
      <c r="AY30" s="156">
        <f>IFERROR(_xlfn.XLOOKUP(Tb_ValorSS[[#This Row],[Nº  SS]],Tb_DISTR.FIN[Nº  SS],Tb_DISTR.FIN[AGO.26],"",0,1)*Tb_ValorSS[[#This Row],[R$ APROVADO]],"")</f>
        <v>0</v>
      </c>
      <c r="AZ30" s="157">
        <f>IFERROR(_xlfn.XLOOKUP(Tb_ValorSS[[#This Row],[Nº  SS]],Tb_DISTR.FIN[Nº  SS],Tb_DISTR.FIN[SET.26],"",0,1),"")</f>
        <v>0</v>
      </c>
      <c r="BA30" s="156">
        <f>IFERROR(_xlfn.XLOOKUP(Tb_ValorSS[[#This Row],[Nº  SS]],Tb_DISTR.FIN[Nº  SS],Tb_DISTR.FIN[SET.26],"",0,1)*Tb_ValorSS[[#This Row],[R$ APROVADO]],"")</f>
        <v>0</v>
      </c>
      <c r="BB30" s="157">
        <f>IFERROR(_xlfn.XLOOKUP(Tb_ValorSS[[#This Row],[Nº  SS]],Tb_DISTR.FIN[Nº  SS],Tb_DISTR.FIN[OUT.26],"",0,1),"")</f>
        <v>0</v>
      </c>
      <c r="BC30" s="156">
        <f>IFERROR(_xlfn.XLOOKUP(Tb_ValorSS[[#This Row],[Nº  SS]],Tb_DISTR.FIN[Nº  SS],Tb_DISTR.FIN[OUT.26],"",0,1)*Tb_ValorSS[[#This Row],[R$ APROVADO]],"")</f>
        <v>0</v>
      </c>
      <c r="BD30" s="157">
        <f>IFERROR(_xlfn.XLOOKUP(Tb_ValorSS[[#This Row],[Nº  SS]],Tb_DISTR.FIN[Nº  SS],Tb_DISTR.FIN[NOV.26],"",0,1),"")</f>
        <v>0</v>
      </c>
      <c r="BE30" s="156">
        <f>IFERROR(_xlfn.XLOOKUP(Tb_ValorSS[[#This Row],[Nº  SS]],Tb_DISTR.FIN[Nº  SS],Tb_DISTR.FIN[NOV.26],"",0,1)*Tb_ValorSS[[#This Row],[R$ APROVADO]],"")</f>
        <v>0</v>
      </c>
      <c r="BF30" s="157">
        <f>IFERROR(_xlfn.XLOOKUP(Tb_ValorSS[[#This Row],[Nº  SS]],Tb_DISTR.FIN[Nº  SS],Tb_DISTR.FIN[DEZ.26],"",0,1),"")</f>
        <v>0</v>
      </c>
      <c r="BG30" s="156">
        <f>IFERROR(_xlfn.XLOOKUP(Tb_ValorSS[[#This Row],[Nº  SS]],Tb_DISTR.FIN[Nº  SS],Tb_DISTR.FIN[DEZ.26],"",0,1)*Tb_ValorSS[[#This Row],[R$ APROVADO]],"")</f>
        <v>0</v>
      </c>
    </row>
    <row r="31" spans="1:59" s="96" customFormat="1" x14ac:dyDescent="0.3">
      <c r="A31" s="122" t="s">
        <v>241</v>
      </c>
      <c r="B31" s="122" t="str">
        <f>_xlfn.XLOOKUP(Tb_ValorSS[[#This Row],[Nº  SS]],tb_Distr[SS],tb_Distr[DESCRIÇÃO],"",0,1)</f>
        <v>GALPÃO K-12</v>
      </c>
      <c r="C31" s="122" t="str">
        <f>_xlfn.XLOOKUP(Tb_ValorSS[[#This Row],[Nº  SS]],TB_CR.ACOMP[Nº  SS],TB_CR.ACOMP[TOMADOR],"",0,1)</f>
        <v>UTGC</v>
      </c>
      <c r="D31" s="122" t="str">
        <f>_xlfn.XLOOKUP(Tb_ValorSS[[#This Row],[Nº  SS]],TB_CR.ACOMP[Nº  SS],TB_CR.ACOMP[STATUS DEMANDA],"",0,1)</f>
        <v>EM ANDAMENTO</v>
      </c>
      <c r="E31" s="235">
        <v>1399.7449999999999</v>
      </c>
      <c r="F31" s="155">
        <f>Tb_ValorSS[[#This Row],[UBR APROV]]*296.82</f>
        <v>415472.31089999998</v>
      </c>
      <c r="G31" s="235">
        <f>SUM(Tb_ValorSS[[#This Row],[SET.25]:[DEZ.26]])</f>
        <v>979.82100000000003</v>
      </c>
      <c r="H31" s="155">
        <f>Tb_ValorSS[[#This Row],[UBR MEDIDO]]*296.82</f>
        <v>290830.46922000003</v>
      </c>
      <c r="I31" s="155">
        <f>IF(ABS(Tb_ValorSS[[#This Row],[R$ APROVADO]]-Tb_ValorSS[[#This Row],[R$ MEDIDO ]])&lt;0.01,0,Tb_ValorSS[[#This Row],[R$ APROVADO]]-Tb_ValorSS[[#This Row],[R$ MEDIDO ]])</f>
        <v>124641.84167999995</v>
      </c>
      <c r="J31" s="144"/>
      <c r="K31" s="171"/>
      <c r="L31" s="172"/>
      <c r="M31" s="172"/>
      <c r="N31" s="172">
        <v>139.97399999999999</v>
      </c>
      <c r="O31" s="172">
        <v>279.94900000000001</v>
      </c>
      <c r="P31" s="172">
        <v>559.89800000000002</v>
      </c>
      <c r="Q31" s="172"/>
      <c r="R31" s="172"/>
      <c r="S31" s="172"/>
      <c r="T31" s="172"/>
      <c r="U31" s="172"/>
      <c r="V31" s="172"/>
      <c r="W31" s="172"/>
      <c r="X31" s="172"/>
      <c r="Y31" s="172"/>
      <c r="Z31" s="172"/>
      <c r="AA31" s="139"/>
      <c r="AB31" s="157">
        <f>IFERROR(_xlfn.XLOOKUP(Tb_ValorSS[[#This Row],[Nº  SS]],Tb_DISTR.FIN[Nº  SS],Tb_DISTR.FIN[OUT.25],"",0,1),"")</f>
        <v>0</v>
      </c>
      <c r="AC31" s="156">
        <f>IFERROR(_xlfn.XLOOKUP(Tb_ValorSS[[#This Row],[Nº  SS]],Tb_DISTR.FIN[Nº  SS],Tb_DISTR.FIN[SET.25],"",0,1)*Tb_ValorSS[[#This Row],[R$ APROVADO]],"")</f>
        <v>0</v>
      </c>
      <c r="AD31" s="157">
        <f>IFERROR(_xlfn.XLOOKUP(Tb_ValorSS[[#This Row],[Nº  SS]],Tb_DISTR.FIN[Nº  SS],Tb_DISTR.FIN[OUT.25],"",0,1),"")</f>
        <v>0</v>
      </c>
      <c r="AE31" s="156">
        <f>IFERROR(_xlfn.XLOOKUP(Tb_ValorSS[[#This Row],[Nº  SS]],Tb_DISTR.FIN[Nº  SS],Tb_DISTR.FIN[OUT.25],"",0,1)*Tb_ValorSS[[#This Row],[R$ APROVADO]],"")</f>
        <v>0</v>
      </c>
      <c r="AF31" s="157">
        <f>IFERROR(_xlfn.XLOOKUP(Tb_ValorSS[[#This Row],[Nº  SS]],Tb_DISTR.FIN[Nº  SS],Tb_DISTR.FIN[OUT.25],"",0,1),"")</f>
        <v>0</v>
      </c>
      <c r="AG31" s="156">
        <f>IFERROR(_xlfn.XLOOKUP(Tb_ValorSS[[#This Row],[Nº  SS]],Tb_DISTR.FIN[Nº  SS],Tb_DISTR.FIN[NOV.25],"",0,1)*Tb_ValorSS[[#This Row],[R$ APROVADO]],"")</f>
        <v>0</v>
      </c>
      <c r="AH31" s="157">
        <f>IFERROR(_xlfn.XLOOKUP(Tb_ValorSS[[#This Row],[Nº  SS]],Tb_DISTR.FIN[Nº  SS],Tb_DISTR.FIN[DEZ.25],"",0,1),"")</f>
        <v>0.1</v>
      </c>
      <c r="AI31" s="156">
        <f>IFERROR(_xlfn.XLOOKUP(Tb_ValorSS[[#This Row],[Nº  SS]],Tb_DISTR.FIN[Nº  SS],Tb_DISTR.FIN[DEZ.25],"",0,1)*Tb_ValorSS[[#This Row],[R$ APROVADO]],"")</f>
        <v>41547.231090000001</v>
      </c>
      <c r="AJ31" s="157">
        <f>IFERROR(_xlfn.XLOOKUP(Tb_ValorSS[[#This Row],[Nº  SS]],Tb_DISTR.FIN[Nº  SS],Tb_DISTR.FIN[JAN.26],"",0,1),"")</f>
        <v>0.2</v>
      </c>
      <c r="AK31" s="156">
        <f>IFERROR(_xlfn.XLOOKUP(Tb_ValorSS[[#This Row],[Nº  SS]],Tb_DISTR.FIN[Nº  SS],Tb_DISTR.FIN[JAN.26],"",0,1)*Tb_ValorSS[[#This Row],[R$ APROVADO]],"")</f>
        <v>83094.462180000002</v>
      </c>
      <c r="AL31" s="157">
        <f>IFERROR(_xlfn.XLOOKUP(Tb_ValorSS[[#This Row],[Nº  SS]],Tb_DISTR.FIN[Nº  SS],Tb_DISTR.FIN[FEV.26],"",0,1),"")</f>
        <v>0.4</v>
      </c>
      <c r="AM31" s="156">
        <f>IFERROR(_xlfn.XLOOKUP(Tb_ValorSS[[#This Row],[Nº  SS]],Tb_DISTR.FIN[Nº  SS],Tb_DISTR.FIN[FEV.26],"",0,1)*Tb_ValorSS[[#This Row],[R$ APROVADO]],"")</f>
        <v>166188.92436</v>
      </c>
      <c r="AN31" s="157">
        <f>IFERROR(_xlfn.XLOOKUP(Tb_ValorSS[[#This Row],[Nº  SS]],Tb_DISTR.FIN[Nº  SS],Tb_DISTR.FIN[MAR.26],"",0,1),"")</f>
        <v>0</v>
      </c>
      <c r="AO31" s="156">
        <f>IFERROR(_xlfn.XLOOKUP(Tb_ValorSS[[#This Row],[Nº  SS]],Tb_DISTR.FIN[Nº  SS],Tb_DISTR.FIN[MAR.26],"",0,1)*Tb_ValorSS[[#This Row],[R$ APROVADO]],"")</f>
        <v>0</v>
      </c>
      <c r="AP31" s="157">
        <f>IFERROR(_xlfn.XLOOKUP(Tb_ValorSS[[#This Row],[Nº  SS]],Tb_DISTR.FIN[Nº  SS],Tb_DISTR.FIN[ABR.26],"",0,1),"")</f>
        <v>0.30000000000000004</v>
      </c>
      <c r="AQ31" s="156">
        <f>IFERROR(_xlfn.XLOOKUP(Tb_ValorSS[[#This Row],[Nº  SS]],Tb_DISTR.FIN[Nº  SS],Tb_DISTR.FIN[ABR.26],"",0,1)*Tb_ValorSS[[#This Row],[R$ APROVADO]],"")</f>
        <v>124641.69327000002</v>
      </c>
      <c r="AR31" s="157">
        <f>IFERROR(_xlfn.XLOOKUP(Tb_ValorSS[[#This Row],[Nº  SS]],Tb_DISTR.FIN[Nº  SS],Tb_DISTR.FIN[MAI.26],"",0,1),"")</f>
        <v>0</v>
      </c>
      <c r="AS31" s="156">
        <f>IFERROR(_xlfn.XLOOKUP(Tb_ValorSS[[#This Row],[Nº  SS]],Tb_DISTR.FIN[Nº  SS],Tb_DISTR.FIN[MAI.26],"",0,1)*Tb_ValorSS[[#This Row],[R$ APROVADO]],"")</f>
        <v>0</v>
      </c>
      <c r="AT31" s="157">
        <f>IFERROR(_xlfn.XLOOKUP(Tb_ValorSS[[#This Row],[Nº  SS]],Tb_DISTR.FIN[Nº  SS],Tb_DISTR.FIN[JUN.26],"",0,1),"")</f>
        <v>0</v>
      </c>
      <c r="AU31" s="156">
        <f>IFERROR(_xlfn.XLOOKUP(Tb_ValorSS[[#This Row],[Nº  SS]],Tb_DISTR.FIN[Nº  SS],Tb_DISTR.FIN[JUN.26],"",0,1)*Tb_ValorSS[[#This Row],[R$ APROVADO]],"")</f>
        <v>0</v>
      </c>
      <c r="AV31" s="157">
        <f>IFERROR(_xlfn.XLOOKUP(Tb_ValorSS[[#This Row],[Nº  SS]],Tb_DISTR.FIN[Nº  SS],Tb_DISTR.FIN[JUL.26],"",0,1),"")</f>
        <v>0</v>
      </c>
      <c r="AW31" s="156">
        <f>IFERROR(_xlfn.XLOOKUP(Tb_ValorSS[[#This Row],[Nº  SS]],Tb_DISTR.FIN[Nº  SS],Tb_DISTR.FIN[JUL.26],"",0,1)*Tb_ValorSS[[#This Row],[R$ APROVADO]],"")</f>
        <v>0</v>
      </c>
      <c r="AX31" s="157">
        <f>IFERROR(_xlfn.XLOOKUP(Tb_ValorSS[[#This Row],[Nº  SS]],Tb_DISTR.FIN[Nº  SS],Tb_DISTR.FIN[AGO.26],"",0,1),"")</f>
        <v>0</v>
      </c>
      <c r="AY31" s="156">
        <f>IFERROR(_xlfn.XLOOKUP(Tb_ValorSS[[#This Row],[Nº  SS]],Tb_DISTR.FIN[Nº  SS],Tb_DISTR.FIN[AGO.26],"",0,1)*Tb_ValorSS[[#This Row],[R$ APROVADO]],"")</f>
        <v>0</v>
      </c>
      <c r="AZ31" s="157">
        <f>IFERROR(_xlfn.XLOOKUP(Tb_ValorSS[[#This Row],[Nº  SS]],Tb_DISTR.FIN[Nº  SS],Tb_DISTR.FIN[SET.26],"",0,1),"")</f>
        <v>0</v>
      </c>
      <c r="BA31" s="156">
        <f>IFERROR(_xlfn.XLOOKUP(Tb_ValorSS[[#This Row],[Nº  SS]],Tb_DISTR.FIN[Nº  SS],Tb_DISTR.FIN[SET.26],"",0,1)*Tb_ValorSS[[#This Row],[R$ APROVADO]],"")</f>
        <v>0</v>
      </c>
      <c r="BB31" s="157">
        <f>IFERROR(_xlfn.XLOOKUP(Tb_ValorSS[[#This Row],[Nº  SS]],Tb_DISTR.FIN[Nº  SS],Tb_DISTR.FIN[OUT.26],"",0,1),"")</f>
        <v>0</v>
      </c>
      <c r="BC31" s="156">
        <f>IFERROR(_xlfn.XLOOKUP(Tb_ValorSS[[#This Row],[Nº  SS]],Tb_DISTR.FIN[Nº  SS],Tb_DISTR.FIN[OUT.26],"",0,1)*Tb_ValorSS[[#This Row],[R$ APROVADO]],"")</f>
        <v>0</v>
      </c>
      <c r="BD31" s="157">
        <f>IFERROR(_xlfn.XLOOKUP(Tb_ValorSS[[#This Row],[Nº  SS]],Tb_DISTR.FIN[Nº  SS],Tb_DISTR.FIN[NOV.26],"",0,1),"")</f>
        <v>0</v>
      </c>
      <c r="BE31" s="156">
        <f>IFERROR(_xlfn.XLOOKUP(Tb_ValorSS[[#This Row],[Nº  SS]],Tb_DISTR.FIN[Nº  SS],Tb_DISTR.FIN[NOV.26],"",0,1)*Tb_ValorSS[[#This Row],[R$ APROVADO]],"")</f>
        <v>0</v>
      </c>
      <c r="BF31" s="157">
        <f>IFERROR(_xlfn.XLOOKUP(Tb_ValorSS[[#This Row],[Nº  SS]],Tb_DISTR.FIN[Nº  SS],Tb_DISTR.FIN[DEZ.26],"",0,1),"")</f>
        <v>0</v>
      </c>
      <c r="BG31" s="156">
        <f>IFERROR(_xlfn.XLOOKUP(Tb_ValorSS[[#This Row],[Nº  SS]],Tb_DISTR.FIN[Nº  SS],Tb_DISTR.FIN[DEZ.26],"",0,1)*Tb_ValorSS[[#This Row],[R$ APROVADO]],"")</f>
        <v>0</v>
      </c>
    </row>
    <row r="32" spans="1:59" s="96" customFormat="1" x14ac:dyDescent="0.3">
      <c r="A32" s="122" t="s">
        <v>242</v>
      </c>
      <c r="B32" s="122" t="str">
        <f>_xlfn.XLOOKUP(Tb_ValorSS[[#This Row],[Nº  SS]],tb_Distr[SS],tb_Distr[DESCRIÇÃO],"",0,1)</f>
        <v>GALPÃO K-48</v>
      </c>
      <c r="C32" s="122" t="str">
        <f>_xlfn.XLOOKUP(Tb_ValorSS[[#This Row],[Nº  SS]],TB_CR.ACOMP[Nº  SS],TB_CR.ACOMP[TOMADOR],"",0,1)</f>
        <v>UTGC</v>
      </c>
      <c r="D32" s="122" t="str">
        <f>_xlfn.XLOOKUP(Tb_ValorSS[[#This Row],[Nº  SS]],TB_CR.ACOMP[Nº  SS],TB_CR.ACOMP[STATUS DEMANDA],"",0,1)</f>
        <v>EM ANDAMENTO</v>
      </c>
      <c r="E32" s="235">
        <v>4109.8850000000002</v>
      </c>
      <c r="F32" s="155">
        <f>Tb_ValorSS[[#This Row],[UBR APROV]]*296.82</f>
        <v>1219896.0657000002</v>
      </c>
      <c r="G32" s="235">
        <f>SUM(Tb_ValorSS[[#This Row],[SET.25]:[DEZ.26]])</f>
        <v>1808.35</v>
      </c>
      <c r="H32" s="155">
        <f>Tb_ValorSS[[#This Row],[UBR MEDIDO]]*296.82</f>
        <v>536754.44699999993</v>
      </c>
      <c r="I32" s="155">
        <f>IF(ABS(Tb_ValorSS[[#This Row],[R$ APROVADO]]-Tb_ValorSS[[#This Row],[R$ MEDIDO ]])&lt;0.01,0,Tb_ValorSS[[#This Row],[R$ APROVADO]]-Tb_ValorSS[[#This Row],[R$ MEDIDO ]])</f>
        <v>683141.61870000022</v>
      </c>
      <c r="J32" s="144"/>
      <c r="K32" s="171"/>
      <c r="L32" s="172"/>
      <c r="M32" s="172"/>
      <c r="N32" s="172">
        <v>410.98899999999998</v>
      </c>
      <c r="O32" s="172">
        <f>821.977+205.494</f>
        <v>1027.471</v>
      </c>
      <c r="P32" s="172">
        <v>369.89</v>
      </c>
      <c r="Q32" s="172"/>
      <c r="R32" s="172"/>
      <c r="S32" s="172"/>
      <c r="T32" s="172"/>
      <c r="U32" s="172"/>
      <c r="V32" s="172"/>
      <c r="W32" s="172"/>
      <c r="X32" s="172"/>
      <c r="Y32" s="172"/>
      <c r="Z32" s="172"/>
      <c r="AA32" s="139"/>
      <c r="AB32" s="157">
        <f>IFERROR(_xlfn.XLOOKUP(Tb_ValorSS[[#This Row],[Nº  SS]],Tb_DISTR.FIN[Nº  SS],Tb_DISTR.FIN[OUT.25],"",0,1),"")</f>
        <v>0</v>
      </c>
      <c r="AC32" s="156">
        <f>IFERROR(_xlfn.XLOOKUP(Tb_ValorSS[[#This Row],[Nº  SS]],Tb_DISTR.FIN[Nº  SS],Tb_DISTR.FIN[SET.25],"",0,1)*Tb_ValorSS[[#This Row],[R$ APROVADO]],"")</f>
        <v>0</v>
      </c>
      <c r="AD32" s="157">
        <f>IFERROR(_xlfn.XLOOKUP(Tb_ValorSS[[#This Row],[Nº  SS]],Tb_DISTR.FIN[Nº  SS],Tb_DISTR.FIN[OUT.25],"",0,1),"")</f>
        <v>0</v>
      </c>
      <c r="AE32" s="156">
        <f>IFERROR(_xlfn.XLOOKUP(Tb_ValorSS[[#This Row],[Nº  SS]],Tb_DISTR.FIN[Nº  SS],Tb_DISTR.FIN[OUT.25],"",0,1)*Tb_ValorSS[[#This Row],[R$ APROVADO]],"")</f>
        <v>0</v>
      </c>
      <c r="AF32" s="157">
        <f>IFERROR(_xlfn.XLOOKUP(Tb_ValorSS[[#This Row],[Nº  SS]],Tb_DISTR.FIN[Nº  SS],Tb_DISTR.FIN[OUT.25],"",0,1),"")</f>
        <v>0</v>
      </c>
      <c r="AG32" s="156">
        <f>IFERROR(_xlfn.XLOOKUP(Tb_ValorSS[[#This Row],[Nº  SS]],Tb_DISTR.FIN[Nº  SS],Tb_DISTR.FIN[NOV.25],"",0,1)*Tb_ValorSS[[#This Row],[R$ APROVADO]],"")</f>
        <v>0</v>
      </c>
      <c r="AH32" s="157">
        <f>IFERROR(_xlfn.XLOOKUP(Tb_ValorSS[[#This Row],[Nº  SS]],Tb_DISTR.FIN[Nº  SS],Tb_DISTR.FIN[DEZ.25],"",0,1),"")</f>
        <v>0.1</v>
      </c>
      <c r="AI32" s="156">
        <f>IFERROR(_xlfn.XLOOKUP(Tb_ValorSS[[#This Row],[Nº  SS]],Tb_DISTR.FIN[Nº  SS],Tb_DISTR.FIN[DEZ.25],"",0,1)*Tb_ValorSS[[#This Row],[R$ APROVADO]],"")</f>
        <v>121989.60657000002</v>
      </c>
      <c r="AJ32" s="157">
        <f>IFERROR(_xlfn.XLOOKUP(Tb_ValorSS[[#This Row],[Nº  SS]],Tb_DISTR.FIN[Nº  SS],Tb_DISTR.FIN[JAN.26],"",0,1),"")</f>
        <v>0.25</v>
      </c>
      <c r="AK32" s="156">
        <f>IFERROR(_xlfn.XLOOKUP(Tb_ValorSS[[#This Row],[Nº  SS]],Tb_DISTR.FIN[Nº  SS],Tb_DISTR.FIN[JAN.26],"",0,1)*Tb_ValorSS[[#This Row],[R$ APROVADO]],"")</f>
        <v>304974.01642500004</v>
      </c>
      <c r="AL32" s="157">
        <f>IFERROR(_xlfn.XLOOKUP(Tb_ValorSS[[#This Row],[Nº  SS]],Tb_DISTR.FIN[Nº  SS],Tb_DISTR.FIN[FEV.26],"",0,1),"")</f>
        <v>0.09</v>
      </c>
      <c r="AM32" s="156">
        <f>IFERROR(_xlfn.XLOOKUP(Tb_ValorSS[[#This Row],[Nº  SS]],Tb_DISTR.FIN[Nº  SS],Tb_DISTR.FIN[FEV.26],"",0,1)*Tb_ValorSS[[#This Row],[R$ APROVADO]],"")</f>
        <v>109790.64591300001</v>
      </c>
      <c r="AN32" s="157">
        <f>IFERROR(_xlfn.XLOOKUP(Tb_ValorSS[[#This Row],[Nº  SS]],Tb_DISTR.FIN[Nº  SS],Tb_DISTR.FIN[MAR.26],"",0,1),"")</f>
        <v>0.1</v>
      </c>
      <c r="AO32" s="156">
        <f>IFERROR(_xlfn.XLOOKUP(Tb_ValorSS[[#This Row],[Nº  SS]],Tb_DISTR.FIN[Nº  SS],Tb_DISTR.FIN[MAR.26],"",0,1)*Tb_ValorSS[[#This Row],[R$ APROVADO]],"")</f>
        <v>121989.60657000002</v>
      </c>
      <c r="AP32" s="157">
        <f>IFERROR(_xlfn.XLOOKUP(Tb_ValorSS[[#This Row],[Nº  SS]],Tb_DISTR.FIN[Nº  SS],Tb_DISTR.FIN[ABR.26],"",0,1),"")</f>
        <v>0.12</v>
      </c>
      <c r="AQ32" s="156">
        <f>IFERROR(_xlfn.XLOOKUP(Tb_ValorSS[[#This Row],[Nº  SS]],Tb_DISTR.FIN[Nº  SS],Tb_DISTR.FIN[ABR.26],"",0,1)*Tb_ValorSS[[#This Row],[R$ APROVADO]],"")</f>
        <v>146387.52788400001</v>
      </c>
      <c r="AR32" s="157">
        <f>IFERROR(_xlfn.XLOOKUP(Tb_ValorSS[[#This Row],[Nº  SS]],Tb_DISTR.FIN[Nº  SS],Tb_DISTR.FIN[MAI.26],"",0,1),"")</f>
        <v>0.12</v>
      </c>
      <c r="AS32" s="156">
        <f>IFERROR(_xlfn.XLOOKUP(Tb_ValorSS[[#This Row],[Nº  SS]],Tb_DISTR.FIN[Nº  SS],Tb_DISTR.FIN[MAI.26],"",0,1)*Tb_ValorSS[[#This Row],[R$ APROVADO]],"")</f>
        <v>146387.52788400001</v>
      </c>
      <c r="AT32" s="157">
        <f>IFERROR(_xlfn.XLOOKUP(Tb_ValorSS[[#This Row],[Nº  SS]],Tb_DISTR.FIN[Nº  SS],Tb_DISTR.FIN[JUN.26],"",0,1),"")</f>
        <v>0.22</v>
      </c>
      <c r="AU32" s="156">
        <f>IFERROR(_xlfn.XLOOKUP(Tb_ValorSS[[#This Row],[Nº  SS]],Tb_DISTR.FIN[Nº  SS],Tb_DISTR.FIN[JUN.26],"",0,1)*Tb_ValorSS[[#This Row],[R$ APROVADO]],"")</f>
        <v>268377.13445400004</v>
      </c>
      <c r="AV32" s="157">
        <f>IFERROR(_xlfn.XLOOKUP(Tb_ValorSS[[#This Row],[Nº  SS]],Tb_DISTR.FIN[Nº  SS],Tb_DISTR.FIN[JUL.26],"",0,1),"")</f>
        <v>0</v>
      </c>
      <c r="AW32" s="156">
        <f>IFERROR(_xlfn.XLOOKUP(Tb_ValorSS[[#This Row],[Nº  SS]],Tb_DISTR.FIN[Nº  SS],Tb_DISTR.FIN[JUL.26],"",0,1)*Tb_ValorSS[[#This Row],[R$ APROVADO]],"")</f>
        <v>0</v>
      </c>
      <c r="AX32" s="157">
        <f>IFERROR(_xlfn.XLOOKUP(Tb_ValorSS[[#This Row],[Nº  SS]],Tb_DISTR.FIN[Nº  SS],Tb_DISTR.FIN[AGO.26],"",0,1),"")</f>
        <v>0</v>
      </c>
      <c r="AY32" s="156">
        <f>IFERROR(_xlfn.XLOOKUP(Tb_ValorSS[[#This Row],[Nº  SS]],Tb_DISTR.FIN[Nº  SS],Tb_DISTR.FIN[AGO.26],"",0,1)*Tb_ValorSS[[#This Row],[R$ APROVADO]],"")</f>
        <v>0</v>
      </c>
      <c r="AZ32" s="157">
        <f>IFERROR(_xlfn.XLOOKUP(Tb_ValorSS[[#This Row],[Nº  SS]],Tb_DISTR.FIN[Nº  SS],Tb_DISTR.FIN[SET.26],"",0,1),"")</f>
        <v>0</v>
      </c>
      <c r="BA32" s="156">
        <f>IFERROR(_xlfn.XLOOKUP(Tb_ValorSS[[#This Row],[Nº  SS]],Tb_DISTR.FIN[Nº  SS],Tb_DISTR.FIN[SET.26],"",0,1)*Tb_ValorSS[[#This Row],[R$ APROVADO]],"")</f>
        <v>0</v>
      </c>
      <c r="BB32" s="157">
        <f>IFERROR(_xlfn.XLOOKUP(Tb_ValorSS[[#This Row],[Nº  SS]],Tb_DISTR.FIN[Nº  SS],Tb_DISTR.FIN[OUT.26],"",0,1),"")</f>
        <v>0</v>
      </c>
      <c r="BC32" s="156">
        <f>IFERROR(_xlfn.XLOOKUP(Tb_ValorSS[[#This Row],[Nº  SS]],Tb_DISTR.FIN[Nº  SS],Tb_DISTR.FIN[OUT.26],"",0,1)*Tb_ValorSS[[#This Row],[R$ APROVADO]],"")</f>
        <v>0</v>
      </c>
      <c r="BD32" s="157">
        <f>IFERROR(_xlfn.XLOOKUP(Tb_ValorSS[[#This Row],[Nº  SS]],Tb_DISTR.FIN[Nº  SS],Tb_DISTR.FIN[NOV.26],"",0,1),"")</f>
        <v>0</v>
      </c>
      <c r="BE32" s="156">
        <f>IFERROR(_xlfn.XLOOKUP(Tb_ValorSS[[#This Row],[Nº  SS]],Tb_DISTR.FIN[Nº  SS],Tb_DISTR.FIN[NOV.26],"",0,1)*Tb_ValorSS[[#This Row],[R$ APROVADO]],"")</f>
        <v>0</v>
      </c>
      <c r="BF32" s="157">
        <f>IFERROR(_xlfn.XLOOKUP(Tb_ValorSS[[#This Row],[Nº  SS]],Tb_DISTR.FIN[Nº  SS],Tb_DISTR.FIN[DEZ.26],"",0,1),"")</f>
        <v>0</v>
      </c>
      <c r="BG32" s="156">
        <f>IFERROR(_xlfn.XLOOKUP(Tb_ValorSS[[#This Row],[Nº  SS]],Tb_DISTR.FIN[Nº  SS],Tb_DISTR.FIN[DEZ.26],"",0,1)*Tb_ValorSS[[#This Row],[R$ APROVADO]],"")</f>
        <v>0</v>
      </c>
    </row>
    <row r="33" spans="1:59" s="96" customFormat="1" x14ac:dyDescent="0.3">
      <c r="A33" s="122" t="s">
        <v>243</v>
      </c>
      <c r="B33" s="122" t="str">
        <f>_xlfn.XLOOKUP(Tb_ValorSS[[#This Row],[Nº  SS]],tb_Distr[SS],tb_Distr[DESCRIÇÃO],"",0,1)</f>
        <v>COBERTURA K-32</v>
      </c>
      <c r="C33" s="122" t="str">
        <f>_xlfn.XLOOKUP(Tb_ValorSS[[#This Row],[Nº  SS]],TB_CR.ACOMP[Nº  SS],TB_CR.ACOMP[TOMADOR],"",0,1)</f>
        <v>UTGC</v>
      </c>
      <c r="D33" s="122" t="str">
        <f>_xlfn.XLOOKUP(Tb_ValorSS[[#This Row],[Nº  SS]],TB_CR.ACOMP[Nº  SS],TB_CR.ACOMP[STATUS DEMANDA],"",0,1)</f>
        <v>EM ANDAMENTO</v>
      </c>
      <c r="E33" s="235">
        <v>471.64299999999997</v>
      </c>
      <c r="F33" s="155">
        <f>Tb_ValorSS[[#This Row],[UBR APROV]]*296.82</f>
        <v>139993.07525999998</v>
      </c>
      <c r="G33" s="235">
        <f>SUM(Tb_ValorSS[[#This Row],[SET.25]:[DEZ.26]])</f>
        <v>141.49299999999999</v>
      </c>
      <c r="H33" s="155">
        <f>Tb_ValorSS[[#This Row],[UBR MEDIDO]]*296.82</f>
        <v>41997.952259999998</v>
      </c>
      <c r="I33" s="155">
        <f>IF(ABS(Tb_ValorSS[[#This Row],[R$ APROVADO]]-Tb_ValorSS[[#This Row],[R$ MEDIDO ]])&lt;0.01,0,Tb_ValorSS[[#This Row],[R$ APROVADO]]-Tb_ValorSS[[#This Row],[R$ MEDIDO ]])</f>
        <v>97995.122999999992</v>
      </c>
      <c r="J33" s="144"/>
      <c r="K33" s="171"/>
      <c r="L33" s="172"/>
      <c r="M33" s="172"/>
      <c r="N33" s="172">
        <v>47.164000000000001</v>
      </c>
      <c r="O33" s="172">
        <v>94.328999999999994</v>
      </c>
      <c r="P33" s="172"/>
      <c r="Q33" s="172"/>
      <c r="R33" s="172"/>
      <c r="S33" s="172"/>
      <c r="T33" s="172"/>
      <c r="U33" s="172"/>
      <c r="V33" s="172"/>
      <c r="W33" s="172"/>
      <c r="X33" s="172"/>
      <c r="Y33" s="172"/>
      <c r="Z33" s="172"/>
      <c r="AA33" s="139"/>
      <c r="AB33" s="157">
        <f>IFERROR(_xlfn.XLOOKUP(Tb_ValorSS[[#This Row],[Nº  SS]],Tb_DISTR.FIN[Nº  SS],Tb_DISTR.FIN[OUT.25],"",0,1),"")</f>
        <v>0</v>
      </c>
      <c r="AC33" s="156">
        <f>IFERROR(_xlfn.XLOOKUP(Tb_ValorSS[[#This Row],[Nº  SS]],Tb_DISTR.FIN[Nº  SS],Tb_DISTR.FIN[SET.25],"",0,1)*Tb_ValorSS[[#This Row],[R$ APROVADO]],"")</f>
        <v>0</v>
      </c>
      <c r="AD33" s="157">
        <f>IFERROR(_xlfn.XLOOKUP(Tb_ValorSS[[#This Row],[Nº  SS]],Tb_DISTR.FIN[Nº  SS],Tb_DISTR.FIN[OUT.25],"",0,1),"")</f>
        <v>0</v>
      </c>
      <c r="AE33" s="156">
        <f>IFERROR(_xlfn.XLOOKUP(Tb_ValorSS[[#This Row],[Nº  SS]],Tb_DISTR.FIN[Nº  SS],Tb_DISTR.FIN[OUT.25],"",0,1)*Tb_ValorSS[[#This Row],[R$ APROVADO]],"")</f>
        <v>0</v>
      </c>
      <c r="AF33" s="157">
        <f>IFERROR(_xlfn.XLOOKUP(Tb_ValorSS[[#This Row],[Nº  SS]],Tb_DISTR.FIN[Nº  SS],Tb_DISTR.FIN[OUT.25],"",0,1),"")</f>
        <v>0</v>
      </c>
      <c r="AG33" s="156">
        <f>IFERROR(_xlfn.XLOOKUP(Tb_ValorSS[[#This Row],[Nº  SS]],Tb_DISTR.FIN[Nº  SS],Tb_DISTR.FIN[NOV.25],"",0,1)*Tb_ValorSS[[#This Row],[R$ APROVADO]],"")</f>
        <v>0</v>
      </c>
      <c r="AH33" s="157">
        <f>IFERROR(_xlfn.XLOOKUP(Tb_ValorSS[[#This Row],[Nº  SS]],Tb_DISTR.FIN[Nº  SS],Tb_DISTR.FIN[DEZ.25],"",0,1),"")</f>
        <v>0.1</v>
      </c>
      <c r="AI33" s="156">
        <f>IFERROR(_xlfn.XLOOKUP(Tb_ValorSS[[#This Row],[Nº  SS]],Tb_DISTR.FIN[Nº  SS],Tb_DISTR.FIN[DEZ.25],"",0,1)*Tb_ValorSS[[#This Row],[R$ APROVADO]],"")</f>
        <v>13999.307525999999</v>
      </c>
      <c r="AJ33" s="157">
        <f>IFERROR(_xlfn.XLOOKUP(Tb_ValorSS[[#This Row],[Nº  SS]],Tb_DISTR.FIN[Nº  SS],Tb_DISTR.FIN[JAN.26],"",0,1),"")</f>
        <v>0.2</v>
      </c>
      <c r="AK33" s="156">
        <f>IFERROR(_xlfn.XLOOKUP(Tb_ValorSS[[#This Row],[Nº  SS]],Tb_DISTR.FIN[Nº  SS],Tb_DISTR.FIN[JAN.26],"",0,1)*Tb_ValorSS[[#This Row],[R$ APROVADO]],"")</f>
        <v>27998.615051999997</v>
      </c>
      <c r="AL33" s="157">
        <f>IFERROR(_xlfn.XLOOKUP(Tb_ValorSS[[#This Row],[Nº  SS]],Tb_DISTR.FIN[Nº  SS],Tb_DISTR.FIN[FEV.26],"",0,1),"")</f>
        <v>0</v>
      </c>
      <c r="AM33" s="156">
        <f>IFERROR(_xlfn.XLOOKUP(Tb_ValorSS[[#This Row],[Nº  SS]],Tb_DISTR.FIN[Nº  SS],Tb_DISTR.FIN[FEV.26],"",0,1)*Tb_ValorSS[[#This Row],[R$ APROVADO]],"")</f>
        <v>0</v>
      </c>
      <c r="AN33" s="157">
        <f>IFERROR(_xlfn.XLOOKUP(Tb_ValorSS[[#This Row],[Nº  SS]],Tb_DISTR.FIN[Nº  SS],Tb_DISTR.FIN[MAR.26],"",0,1),"")</f>
        <v>0.15</v>
      </c>
      <c r="AO33" s="156">
        <f>IFERROR(_xlfn.XLOOKUP(Tb_ValorSS[[#This Row],[Nº  SS]],Tb_DISTR.FIN[Nº  SS],Tb_DISTR.FIN[MAR.26],"",0,1)*Tb_ValorSS[[#This Row],[R$ APROVADO]],"")</f>
        <v>20998.961288999995</v>
      </c>
      <c r="AP33" s="157">
        <f>IFERROR(_xlfn.XLOOKUP(Tb_ValorSS[[#This Row],[Nº  SS]],Tb_DISTR.FIN[Nº  SS],Tb_DISTR.FIN[ABR.26],"",0,1),"")</f>
        <v>0.3</v>
      </c>
      <c r="AQ33" s="156">
        <f>IFERROR(_xlfn.XLOOKUP(Tb_ValorSS[[#This Row],[Nº  SS]],Tb_DISTR.FIN[Nº  SS],Tb_DISTR.FIN[ABR.26],"",0,1)*Tb_ValorSS[[#This Row],[R$ APROVADO]],"")</f>
        <v>41997.922577999991</v>
      </c>
      <c r="AR33" s="157">
        <f>IFERROR(_xlfn.XLOOKUP(Tb_ValorSS[[#This Row],[Nº  SS]],Tb_DISTR.FIN[Nº  SS],Tb_DISTR.FIN[MAI.26],"",0,1),"")</f>
        <v>0.25</v>
      </c>
      <c r="AS33" s="156">
        <f>IFERROR(_xlfn.XLOOKUP(Tb_ValorSS[[#This Row],[Nº  SS]],Tb_DISTR.FIN[Nº  SS],Tb_DISTR.FIN[MAI.26],"",0,1)*Tb_ValorSS[[#This Row],[R$ APROVADO]],"")</f>
        <v>34998.268814999996</v>
      </c>
      <c r="AT33" s="157">
        <f>IFERROR(_xlfn.XLOOKUP(Tb_ValorSS[[#This Row],[Nº  SS]],Tb_DISTR.FIN[Nº  SS],Tb_DISTR.FIN[JUN.26],"",0,1),"")</f>
        <v>0</v>
      </c>
      <c r="AU33" s="156">
        <f>IFERROR(_xlfn.XLOOKUP(Tb_ValorSS[[#This Row],[Nº  SS]],Tb_DISTR.FIN[Nº  SS],Tb_DISTR.FIN[JUN.26],"",0,1)*Tb_ValorSS[[#This Row],[R$ APROVADO]],"")</f>
        <v>0</v>
      </c>
      <c r="AV33" s="157">
        <f>IFERROR(_xlfn.XLOOKUP(Tb_ValorSS[[#This Row],[Nº  SS]],Tb_DISTR.FIN[Nº  SS],Tb_DISTR.FIN[JUL.26],"",0,1),"")</f>
        <v>0</v>
      </c>
      <c r="AW33" s="156">
        <f>IFERROR(_xlfn.XLOOKUP(Tb_ValorSS[[#This Row],[Nº  SS]],Tb_DISTR.FIN[Nº  SS],Tb_DISTR.FIN[JUL.26],"",0,1)*Tb_ValorSS[[#This Row],[R$ APROVADO]],"")</f>
        <v>0</v>
      </c>
      <c r="AX33" s="157">
        <f>IFERROR(_xlfn.XLOOKUP(Tb_ValorSS[[#This Row],[Nº  SS]],Tb_DISTR.FIN[Nº  SS],Tb_DISTR.FIN[AGO.26],"",0,1),"")</f>
        <v>0</v>
      </c>
      <c r="AY33" s="156">
        <f>IFERROR(_xlfn.XLOOKUP(Tb_ValorSS[[#This Row],[Nº  SS]],Tb_DISTR.FIN[Nº  SS],Tb_DISTR.FIN[AGO.26],"",0,1)*Tb_ValorSS[[#This Row],[R$ APROVADO]],"")</f>
        <v>0</v>
      </c>
      <c r="AZ33" s="157">
        <f>IFERROR(_xlfn.XLOOKUP(Tb_ValorSS[[#This Row],[Nº  SS]],Tb_DISTR.FIN[Nº  SS],Tb_DISTR.FIN[SET.26],"",0,1),"")</f>
        <v>0</v>
      </c>
      <c r="BA33" s="156">
        <f>IFERROR(_xlfn.XLOOKUP(Tb_ValorSS[[#This Row],[Nº  SS]],Tb_DISTR.FIN[Nº  SS],Tb_DISTR.FIN[SET.26],"",0,1)*Tb_ValorSS[[#This Row],[R$ APROVADO]],"")</f>
        <v>0</v>
      </c>
      <c r="BB33" s="157">
        <f>IFERROR(_xlfn.XLOOKUP(Tb_ValorSS[[#This Row],[Nº  SS]],Tb_DISTR.FIN[Nº  SS],Tb_DISTR.FIN[OUT.26],"",0,1),"")</f>
        <v>0</v>
      </c>
      <c r="BC33" s="156">
        <f>IFERROR(_xlfn.XLOOKUP(Tb_ValorSS[[#This Row],[Nº  SS]],Tb_DISTR.FIN[Nº  SS],Tb_DISTR.FIN[OUT.26],"",0,1)*Tb_ValorSS[[#This Row],[R$ APROVADO]],"")</f>
        <v>0</v>
      </c>
      <c r="BD33" s="157">
        <f>IFERROR(_xlfn.XLOOKUP(Tb_ValorSS[[#This Row],[Nº  SS]],Tb_DISTR.FIN[Nº  SS],Tb_DISTR.FIN[NOV.26],"",0,1),"")</f>
        <v>0</v>
      </c>
      <c r="BE33" s="156">
        <f>IFERROR(_xlfn.XLOOKUP(Tb_ValorSS[[#This Row],[Nº  SS]],Tb_DISTR.FIN[Nº  SS],Tb_DISTR.FIN[NOV.26],"",0,1)*Tb_ValorSS[[#This Row],[R$ APROVADO]],"")</f>
        <v>0</v>
      </c>
      <c r="BF33" s="157">
        <f>IFERROR(_xlfn.XLOOKUP(Tb_ValorSS[[#This Row],[Nº  SS]],Tb_DISTR.FIN[Nº  SS],Tb_DISTR.FIN[DEZ.26],"",0,1),"")</f>
        <v>0</v>
      </c>
      <c r="BG33" s="156">
        <f>IFERROR(_xlfn.XLOOKUP(Tb_ValorSS[[#This Row],[Nº  SS]],Tb_DISTR.FIN[Nº  SS],Tb_DISTR.FIN[DEZ.26],"",0,1)*Tb_ValorSS[[#This Row],[R$ APROVADO]],"")</f>
        <v>0</v>
      </c>
    </row>
    <row r="34" spans="1:59" s="96" customFormat="1" x14ac:dyDescent="0.3">
      <c r="A34" s="122" t="s">
        <v>244</v>
      </c>
      <c r="B34" s="122" t="str">
        <f>_xlfn.XLOOKUP(Tb_ValorSS[[#This Row],[Nº  SS]],tb_Distr[SS],tb_Distr[DESCRIÇÃO],"",0,1)</f>
        <v>PISO ELEVADO</v>
      </c>
      <c r="C34" s="122" t="str">
        <f>_xlfn.XLOOKUP(Tb_ValorSS[[#This Row],[Nº  SS]],TB_CR.ACOMP[Nº  SS],TB_CR.ACOMP[TOMADOR],"",0,1)</f>
        <v>EDIVIT</v>
      </c>
      <c r="D34" s="122" t="str">
        <f>_xlfn.XLOOKUP(Tb_ValorSS[[#This Row],[Nº  SS]],TB_CR.ACOMP[Nº  SS],TB_CR.ACOMP[STATUS DEMANDA],"",0,1)</f>
        <v>EM ANDAMENTO</v>
      </c>
      <c r="E34" s="235">
        <v>139.38</v>
      </c>
      <c r="F34" s="155">
        <v>41370.68</v>
      </c>
      <c r="G34" s="235">
        <f>SUM(Tb_ValorSS[[#This Row],[SET.25]:[DEZ.26]])</f>
        <v>13.938000000000001</v>
      </c>
      <c r="H34" s="155">
        <f>Tb_ValorSS[[#This Row],[UBR MEDIDO]]*296.82</f>
        <v>4137.0771599999998</v>
      </c>
      <c r="I34" s="155">
        <f>IF(ABS(Tb_ValorSS[[#This Row],[R$ APROVADO]]-Tb_ValorSS[[#This Row],[R$ MEDIDO ]])&lt;0.01,0,Tb_ValorSS[[#This Row],[R$ APROVADO]]-Tb_ValorSS[[#This Row],[R$ MEDIDO ]])</f>
        <v>37233.60284</v>
      </c>
      <c r="J34" s="144"/>
      <c r="K34" s="171"/>
      <c r="L34" s="172"/>
      <c r="M34" s="172"/>
      <c r="N34" s="172"/>
      <c r="O34" s="172"/>
      <c r="P34" s="172">
        <v>13.938000000000001</v>
      </c>
      <c r="Q34" s="172"/>
      <c r="R34" s="172"/>
      <c r="S34" s="172"/>
      <c r="T34" s="172"/>
      <c r="U34" s="172"/>
      <c r="V34" s="172"/>
      <c r="W34" s="172"/>
      <c r="X34" s="172"/>
      <c r="Y34" s="172"/>
      <c r="Z34" s="172"/>
      <c r="AA34" s="139"/>
      <c r="AB34" s="157">
        <f>IFERROR(_xlfn.XLOOKUP(Tb_ValorSS[[#This Row],[Nº  SS]],Tb_DISTR.FIN[Nº  SS],Tb_DISTR.FIN[OUT.25],"",0,1),"")</f>
        <v>0</v>
      </c>
      <c r="AC34" s="156">
        <f>IFERROR(_xlfn.XLOOKUP(Tb_ValorSS[[#This Row],[Nº  SS]],Tb_DISTR.FIN[Nº  SS],Tb_DISTR.FIN[SET.25],"",0,1)*Tb_ValorSS[[#This Row],[R$ APROVADO]],"")</f>
        <v>0</v>
      </c>
      <c r="AD34" s="157">
        <f>IFERROR(_xlfn.XLOOKUP(Tb_ValorSS[[#This Row],[Nº  SS]],Tb_DISTR.FIN[Nº  SS],Tb_DISTR.FIN[OUT.25],"",0,1),"")</f>
        <v>0</v>
      </c>
      <c r="AE34" s="156">
        <f>IFERROR(_xlfn.XLOOKUP(Tb_ValorSS[[#This Row],[Nº  SS]],Tb_DISTR.FIN[Nº  SS],Tb_DISTR.FIN[OUT.25],"",0,1)*Tb_ValorSS[[#This Row],[R$ APROVADO]],"")</f>
        <v>0</v>
      </c>
      <c r="AF34" s="157">
        <f>IFERROR(_xlfn.XLOOKUP(Tb_ValorSS[[#This Row],[Nº  SS]],Tb_DISTR.FIN[Nº  SS],Tb_DISTR.FIN[OUT.25],"",0,1),"")</f>
        <v>0</v>
      </c>
      <c r="AG34" s="156">
        <f>IFERROR(_xlfn.XLOOKUP(Tb_ValorSS[[#This Row],[Nº  SS]],Tb_DISTR.FIN[Nº  SS],Tb_DISTR.FIN[NOV.25],"",0,1)*Tb_ValorSS[[#This Row],[R$ APROVADO]],"")</f>
        <v>0</v>
      </c>
      <c r="AH34" s="157">
        <f>IFERROR(_xlfn.XLOOKUP(Tb_ValorSS[[#This Row],[Nº  SS]],Tb_DISTR.FIN[Nº  SS],Tb_DISTR.FIN[OUT.25],"",0,1),"")</f>
        <v>0</v>
      </c>
      <c r="AI34" s="156">
        <f>IFERROR(_xlfn.XLOOKUP(Tb_ValorSS[[#This Row],[Nº  SS]],Tb_DISTR.FIN[Nº  SS],Tb_DISTR.FIN[DEZ.25],"",0,1)*Tb_ValorSS[[#This Row],[R$ APROVADO]],"")</f>
        <v>0</v>
      </c>
      <c r="AJ34" s="157">
        <f>IFERROR(_xlfn.XLOOKUP(Tb_ValorSS[[#This Row],[Nº  SS]],Tb_DISTR.FIN[Nº  SS],Tb_DISTR.FIN[JAN.26],"",0,1),"")</f>
        <v>0</v>
      </c>
      <c r="AK34" s="156">
        <f>IFERROR(_xlfn.XLOOKUP(Tb_ValorSS[[#This Row],[Nº  SS]],Tb_DISTR.FIN[Nº  SS],Tb_DISTR.FIN[JAN.26],"",0,1)*Tb_ValorSS[[#This Row],[R$ APROVADO]],"")</f>
        <v>0</v>
      </c>
      <c r="AL34" s="157">
        <f>IFERROR(_xlfn.XLOOKUP(Tb_ValorSS[[#This Row],[Nº  SS]],Tb_DISTR.FIN[Nº  SS],Tb_DISTR.FIN[FEV.26],"",0,1),"")</f>
        <v>0.1</v>
      </c>
      <c r="AM34" s="156">
        <f>IFERROR(_xlfn.XLOOKUP(Tb_ValorSS[[#This Row],[Nº  SS]],Tb_DISTR.FIN[Nº  SS],Tb_DISTR.FIN[FEV.26],"",0,1)*Tb_ValorSS[[#This Row],[R$ APROVADO]],"")</f>
        <v>4137.0680000000002</v>
      </c>
      <c r="AN34" s="157">
        <f>IFERROR(_xlfn.XLOOKUP(Tb_ValorSS[[#This Row],[Nº  SS]],Tb_DISTR.FIN[Nº  SS],Tb_DISTR.FIN[MAR.26],"",0,1),"")</f>
        <v>0.35</v>
      </c>
      <c r="AO34" s="156">
        <f>IFERROR(_xlfn.XLOOKUP(Tb_ValorSS[[#This Row],[Nº  SS]],Tb_DISTR.FIN[Nº  SS],Tb_DISTR.FIN[MAR.26],"",0,1)*Tb_ValorSS[[#This Row],[R$ APROVADO]],"")</f>
        <v>14479.737999999999</v>
      </c>
      <c r="AP34" s="157">
        <f>IFERROR(_xlfn.XLOOKUP(Tb_ValorSS[[#This Row],[Nº  SS]],Tb_DISTR.FIN[Nº  SS],Tb_DISTR.FIN[ABR.26],"",0,1),"")</f>
        <v>0.55000000000000004</v>
      </c>
      <c r="AQ34" s="156">
        <f>IFERROR(_xlfn.XLOOKUP(Tb_ValorSS[[#This Row],[Nº  SS]],Tb_DISTR.FIN[Nº  SS],Tb_DISTR.FIN[ABR.26],"",0,1)*Tb_ValorSS[[#This Row],[R$ APROVADO]],"")</f>
        <v>22753.874000000003</v>
      </c>
      <c r="AR34" s="157">
        <f>IFERROR(_xlfn.XLOOKUP(Tb_ValorSS[[#This Row],[Nº  SS]],Tb_DISTR.FIN[Nº  SS],Tb_DISTR.FIN[MAI.26],"",0,1),"")</f>
        <v>0</v>
      </c>
      <c r="AS34" s="156">
        <f>IFERROR(_xlfn.XLOOKUP(Tb_ValorSS[[#This Row],[Nº  SS]],Tb_DISTR.FIN[Nº  SS],Tb_DISTR.FIN[MAI.26],"",0,1)*Tb_ValorSS[[#This Row],[R$ APROVADO]],"")</f>
        <v>0</v>
      </c>
      <c r="AT34" s="157">
        <f>IFERROR(_xlfn.XLOOKUP(Tb_ValorSS[[#This Row],[Nº  SS]],Tb_DISTR.FIN[Nº  SS],Tb_DISTR.FIN[JUN.26],"",0,1),"")</f>
        <v>0</v>
      </c>
      <c r="AU34" s="156">
        <f>IFERROR(_xlfn.XLOOKUP(Tb_ValorSS[[#This Row],[Nº  SS]],Tb_DISTR.FIN[Nº  SS],Tb_DISTR.FIN[JUN.26],"",0,1)*Tb_ValorSS[[#This Row],[R$ APROVADO]],"")</f>
        <v>0</v>
      </c>
      <c r="AV34" s="157">
        <f>IFERROR(_xlfn.XLOOKUP(Tb_ValorSS[[#This Row],[Nº  SS]],Tb_DISTR.FIN[Nº  SS],Tb_DISTR.FIN[JUL.26],"",0,1),"")</f>
        <v>0</v>
      </c>
      <c r="AW34" s="156">
        <f>IFERROR(_xlfn.XLOOKUP(Tb_ValorSS[[#This Row],[Nº  SS]],Tb_DISTR.FIN[Nº  SS],Tb_DISTR.FIN[JUL.26],"",0,1)*Tb_ValorSS[[#This Row],[R$ APROVADO]],"")</f>
        <v>0</v>
      </c>
      <c r="AX34" s="157">
        <f>IFERROR(_xlfn.XLOOKUP(Tb_ValorSS[[#This Row],[Nº  SS]],Tb_DISTR.FIN[Nº  SS],Tb_DISTR.FIN[AGO.26],"",0,1),"")</f>
        <v>0</v>
      </c>
      <c r="AY34" s="156">
        <f>IFERROR(_xlfn.XLOOKUP(Tb_ValorSS[[#This Row],[Nº  SS]],Tb_DISTR.FIN[Nº  SS],Tb_DISTR.FIN[AGO.26],"",0,1)*Tb_ValorSS[[#This Row],[R$ APROVADO]],"")</f>
        <v>0</v>
      </c>
      <c r="AZ34" s="157">
        <f>IFERROR(_xlfn.XLOOKUP(Tb_ValorSS[[#This Row],[Nº  SS]],Tb_DISTR.FIN[Nº  SS],Tb_DISTR.FIN[SET.26],"",0,1),"")</f>
        <v>0</v>
      </c>
      <c r="BA34" s="156">
        <f>IFERROR(_xlfn.XLOOKUP(Tb_ValorSS[[#This Row],[Nº  SS]],Tb_DISTR.FIN[Nº  SS],Tb_DISTR.FIN[SET.26],"",0,1)*Tb_ValorSS[[#This Row],[R$ APROVADO]],"")</f>
        <v>0</v>
      </c>
      <c r="BB34" s="157">
        <f>IFERROR(_xlfn.XLOOKUP(Tb_ValorSS[[#This Row],[Nº  SS]],Tb_DISTR.FIN[Nº  SS],Tb_DISTR.FIN[OUT.26],"",0,1),"")</f>
        <v>0</v>
      </c>
      <c r="BC34" s="156">
        <f>IFERROR(_xlfn.XLOOKUP(Tb_ValorSS[[#This Row],[Nº  SS]],Tb_DISTR.FIN[Nº  SS],Tb_DISTR.FIN[OUT.26],"",0,1)*Tb_ValorSS[[#This Row],[R$ APROVADO]],"")</f>
        <v>0</v>
      </c>
      <c r="BD34" s="157">
        <f>IFERROR(_xlfn.XLOOKUP(Tb_ValorSS[[#This Row],[Nº  SS]],Tb_DISTR.FIN[Nº  SS],Tb_DISTR.FIN[NOV.26],"",0,1),"")</f>
        <v>0</v>
      </c>
      <c r="BE34" s="156">
        <f>IFERROR(_xlfn.XLOOKUP(Tb_ValorSS[[#This Row],[Nº  SS]],Tb_DISTR.FIN[Nº  SS],Tb_DISTR.FIN[NOV.26],"",0,1)*Tb_ValorSS[[#This Row],[R$ APROVADO]],"")</f>
        <v>0</v>
      </c>
      <c r="BF34" s="157">
        <f>IFERROR(_xlfn.XLOOKUP(Tb_ValorSS[[#This Row],[Nº  SS]],Tb_DISTR.FIN[Nº  SS],Tb_DISTR.FIN[DEZ.26],"",0,1),"")</f>
        <v>0</v>
      </c>
      <c r="BG34" s="156">
        <f>IFERROR(_xlfn.XLOOKUP(Tb_ValorSS[[#This Row],[Nº  SS]],Tb_DISTR.FIN[Nº  SS],Tb_DISTR.FIN[DEZ.26],"",0,1)*Tb_ValorSS[[#This Row],[R$ APROVADO]],"")</f>
        <v>0</v>
      </c>
    </row>
    <row r="35" spans="1:59" s="96" customFormat="1" hidden="1" x14ac:dyDescent="0.3">
      <c r="A35" s="122" t="s">
        <v>250</v>
      </c>
      <c r="B35" s="122" t="str">
        <f>_xlfn.XLOOKUP(Tb_ValorSS[[#This Row],[Nº  SS]],tb_Distr[SS],tb_Distr[DESCRIÇÃO],"",0,1)</f>
        <v>ADEQUAÇÃO PORTARIA</v>
      </c>
      <c r="C35" s="122" t="str">
        <f>_xlfn.XLOOKUP(Tb_ValorSS[[#This Row],[Nº  SS]],TB_CR.ACOMP[Nº  SS],TB_CR.ACOMP[TOMADOR],"",0,1)</f>
        <v>UTGC</v>
      </c>
      <c r="D35" s="122" t="str">
        <f>_xlfn.XLOOKUP(Tb_ValorSS[[#This Row],[Nº  SS]],TB_CR.ACOMP[Nº  SS],TB_CR.ACOMP[STATUS DEMANDA],"",0,1)</f>
        <v>CONCLUÍDA</v>
      </c>
      <c r="E35" s="235">
        <v>277.18200000000002</v>
      </c>
      <c r="F35" s="94">
        <f>Tb_ValorSS[[#This Row],[UBR APROV]]*296.82</f>
        <v>82273.161240000001</v>
      </c>
      <c r="G35" s="235">
        <f>SUM(Tb_ValorSS[[#This Row],[SET.25]:[DEZ.26]])</f>
        <v>277.18200000000002</v>
      </c>
      <c r="H35" s="155">
        <f>Tb_ValorSS[[#This Row],[UBR MEDIDO]]*296.82</f>
        <v>82273.161240000001</v>
      </c>
      <c r="I35" s="155">
        <f>IF(ABS(Tb_ValorSS[[#This Row],[R$ APROVADO]]-Tb_ValorSS[[#This Row],[R$ MEDIDO ]])&lt;0.01,0,Tb_ValorSS[[#This Row],[R$ APROVADO]]-Tb_ValorSS[[#This Row],[R$ MEDIDO ]])</f>
        <v>0</v>
      </c>
      <c r="J35" s="144"/>
      <c r="K35" s="171"/>
      <c r="L35" s="172"/>
      <c r="M35" s="172"/>
      <c r="N35" s="172">
        <v>277.18200000000002</v>
      </c>
      <c r="O35" s="172"/>
      <c r="P35" s="172"/>
      <c r="Q35" s="172"/>
      <c r="R35" s="172"/>
      <c r="S35" s="172"/>
      <c r="T35" s="172"/>
      <c r="U35" s="172"/>
      <c r="V35" s="172"/>
      <c r="W35" s="172"/>
      <c r="X35" s="172"/>
      <c r="Y35" s="172"/>
      <c r="Z35" s="172"/>
      <c r="AA35" s="139"/>
      <c r="AB35" s="157">
        <f>IFERROR(_xlfn.XLOOKUP(Tb_ValorSS[[#This Row],[Nº  SS]],Tb_DISTR.FIN[Nº  SS],Tb_DISTR.FIN[OUT.25],"",0,1),"")</f>
        <v>0</v>
      </c>
      <c r="AC35" s="156">
        <f>IFERROR(_xlfn.XLOOKUP(Tb_ValorSS[[#This Row],[Nº  SS]],Tb_DISTR.FIN[Nº  SS],Tb_DISTR.FIN[SET.25],"",0,1)*Tb_ValorSS[[#This Row],[R$ APROVADO]],"")</f>
        <v>0</v>
      </c>
      <c r="AD35" s="157">
        <f>IFERROR(_xlfn.XLOOKUP(Tb_ValorSS[[#This Row],[Nº  SS]],Tb_DISTR.FIN[Nº  SS],Tb_DISTR.FIN[OUT.25],"",0,1),"")</f>
        <v>0</v>
      </c>
      <c r="AE35" s="156">
        <f>IFERROR(_xlfn.XLOOKUP(Tb_ValorSS[[#This Row],[Nº  SS]],Tb_DISTR.FIN[Nº  SS],Tb_DISTR.FIN[OUT.25],"",0,1)*Tb_ValorSS[[#This Row],[R$ APROVADO]],"")</f>
        <v>0</v>
      </c>
      <c r="AF35" s="157">
        <f>IFERROR(_xlfn.XLOOKUP(Tb_ValorSS[[#This Row],[Nº  SS]],Tb_DISTR.FIN[Nº  SS],Tb_DISTR.FIN[OUT.25],"",0,1),"")</f>
        <v>0</v>
      </c>
      <c r="AG35" s="156">
        <f>IFERROR(_xlfn.XLOOKUP(Tb_ValorSS[[#This Row],[Nº  SS]],Tb_DISTR.FIN[Nº  SS],Tb_DISTR.FIN[NOV.25],"",0,1)*Tb_ValorSS[[#This Row],[R$ APROVADO]],"")</f>
        <v>0</v>
      </c>
      <c r="AH35" s="157">
        <f>IFERROR(_xlfn.XLOOKUP(Tb_ValorSS[[#This Row],[Nº  SS]],Tb_DISTR.FIN[Nº  SS],Tb_DISTR.FIN[DEZ.25],"",0,1),"")</f>
        <v>1</v>
      </c>
      <c r="AI35" s="156">
        <f>IFERROR(_xlfn.XLOOKUP(Tb_ValorSS[[#This Row],[Nº  SS]],Tb_DISTR.FIN[Nº  SS],Tb_DISTR.FIN[DEZ.25],"",0,1)*Tb_ValorSS[[#This Row],[R$ APROVADO]],"")</f>
        <v>82273.161240000001</v>
      </c>
      <c r="AJ35" s="157">
        <f>IFERROR(_xlfn.XLOOKUP(Tb_ValorSS[[#This Row],[Nº  SS]],Tb_DISTR.FIN[Nº  SS],Tb_DISTR.FIN[JAN.26],"",0,1),"")</f>
        <v>0</v>
      </c>
      <c r="AK35" s="156">
        <f>IFERROR(_xlfn.XLOOKUP(Tb_ValorSS[[#This Row],[Nº  SS]],Tb_DISTR.FIN[Nº  SS],Tb_DISTR.FIN[JAN.26],"",0,1)*Tb_ValorSS[[#This Row],[R$ APROVADO]],"")</f>
        <v>0</v>
      </c>
      <c r="AL35" s="157">
        <f>IFERROR(_xlfn.XLOOKUP(Tb_ValorSS[[#This Row],[Nº  SS]],Tb_DISTR.FIN[Nº  SS],Tb_DISTR.FIN[FEV.26],"",0,1),"")</f>
        <v>0</v>
      </c>
      <c r="AM35" s="156">
        <f>IFERROR(_xlfn.XLOOKUP(Tb_ValorSS[[#This Row],[Nº  SS]],Tb_DISTR.FIN[Nº  SS],Tb_DISTR.FIN[FEV.26],"",0,1)*Tb_ValorSS[[#This Row],[R$ APROVADO]],"")</f>
        <v>0</v>
      </c>
      <c r="AN35" s="157">
        <f>IFERROR(_xlfn.XLOOKUP(Tb_ValorSS[[#This Row],[Nº  SS]],Tb_DISTR.FIN[Nº  SS],Tb_DISTR.FIN[MAR.26],"",0,1),"")</f>
        <v>0</v>
      </c>
      <c r="AO35" s="156">
        <f>IFERROR(_xlfn.XLOOKUP(Tb_ValorSS[[#This Row],[Nº  SS]],Tb_DISTR.FIN[Nº  SS],Tb_DISTR.FIN[MAR.26],"",0,1)*Tb_ValorSS[[#This Row],[R$ APROVADO]],"")</f>
        <v>0</v>
      </c>
      <c r="AP35" s="157">
        <f>IFERROR(_xlfn.XLOOKUP(Tb_ValorSS[[#This Row],[Nº  SS]],Tb_DISTR.FIN[Nº  SS],Tb_DISTR.FIN[ABR.26],"",0,1),"")</f>
        <v>0</v>
      </c>
      <c r="AQ35" s="156">
        <f>IFERROR(_xlfn.XLOOKUP(Tb_ValorSS[[#This Row],[Nº  SS]],Tb_DISTR.FIN[Nº  SS],Tb_DISTR.FIN[ABR.26],"",0,1)*Tb_ValorSS[[#This Row],[R$ APROVADO]],"")</f>
        <v>0</v>
      </c>
      <c r="AR35" s="157">
        <f>IFERROR(_xlfn.XLOOKUP(Tb_ValorSS[[#This Row],[Nº  SS]],Tb_DISTR.FIN[Nº  SS],Tb_DISTR.FIN[MAI.26],"",0,1),"")</f>
        <v>0</v>
      </c>
      <c r="AS35" s="156">
        <f>IFERROR(_xlfn.XLOOKUP(Tb_ValorSS[[#This Row],[Nº  SS]],Tb_DISTR.FIN[Nº  SS],Tb_DISTR.FIN[MAI.26],"",0,1)*Tb_ValorSS[[#This Row],[R$ APROVADO]],"")</f>
        <v>0</v>
      </c>
      <c r="AT35" s="157">
        <f>IFERROR(_xlfn.XLOOKUP(Tb_ValorSS[[#This Row],[Nº  SS]],Tb_DISTR.FIN[Nº  SS],Tb_DISTR.FIN[JUN.26],"",0,1),"")</f>
        <v>0</v>
      </c>
      <c r="AU35" s="156">
        <f>IFERROR(_xlfn.XLOOKUP(Tb_ValorSS[[#This Row],[Nº  SS]],Tb_DISTR.FIN[Nº  SS],Tb_DISTR.FIN[JUN.26],"",0,1)*Tb_ValorSS[[#This Row],[R$ APROVADO]],"")</f>
        <v>0</v>
      </c>
      <c r="AV35" s="157">
        <f>IFERROR(_xlfn.XLOOKUP(Tb_ValorSS[[#This Row],[Nº  SS]],Tb_DISTR.FIN[Nº  SS],Tb_DISTR.FIN[JUL.26],"",0,1),"")</f>
        <v>0</v>
      </c>
      <c r="AW35" s="156">
        <f>IFERROR(_xlfn.XLOOKUP(Tb_ValorSS[[#This Row],[Nº  SS]],Tb_DISTR.FIN[Nº  SS],Tb_DISTR.FIN[JUL.26],"",0,1)*Tb_ValorSS[[#This Row],[R$ APROVADO]],"")</f>
        <v>0</v>
      </c>
      <c r="AX35" s="157">
        <f>IFERROR(_xlfn.XLOOKUP(Tb_ValorSS[[#This Row],[Nº  SS]],Tb_DISTR.FIN[Nº  SS],Tb_DISTR.FIN[AGO.26],"",0,1),"")</f>
        <v>0</v>
      </c>
      <c r="AY35" s="156">
        <f>IFERROR(_xlfn.XLOOKUP(Tb_ValorSS[[#This Row],[Nº  SS]],Tb_DISTR.FIN[Nº  SS],Tb_DISTR.FIN[AGO.26],"",0,1)*Tb_ValorSS[[#This Row],[R$ APROVADO]],"")</f>
        <v>0</v>
      </c>
      <c r="AZ35" s="157">
        <f>IFERROR(_xlfn.XLOOKUP(Tb_ValorSS[[#This Row],[Nº  SS]],Tb_DISTR.FIN[Nº  SS],Tb_DISTR.FIN[SET.26],"",0,1),"")</f>
        <v>0</v>
      </c>
      <c r="BA35" s="156">
        <f>IFERROR(_xlfn.XLOOKUP(Tb_ValorSS[[#This Row],[Nº  SS]],Tb_DISTR.FIN[Nº  SS],Tb_DISTR.FIN[SET.26],"",0,1)*Tb_ValorSS[[#This Row],[R$ APROVADO]],"")</f>
        <v>0</v>
      </c>
      <c r="BB35" s="157">
        <f>IFERROR(_xlfn.XLOOKUP(Tb_ValorSS[[#This Row],[Nº  SS]],Tb_DISTR.FIN[Nº  SS],Tb_DISTR.FIN[OUT.26],"",0,1),"")</f>
        <v>0</v>
      </c>
      <c r="BC35" s="156">
        <f>IFERROR(_xlfn.XLOOKUP(Tb_ValorSS[[#This Row],[Nº  SS]],Tb_DISTR.FIN[Nº  SS],Tb_DISTR.FIN[OUT.26],"",0,1)*Tb_ValorSS[[#This Row],[R$ APROVADO]],"")</f>
        <v>0</v>
      </c>
      <c r="BD35" s="157">
        <f>IFERROR(_xlfn.XLOOKUP(Tb_ValorSS[[#This Row],[Nº  SS]],Tb_DISTR.FIN[Nº  SS],Tb_DISTR.FIN[NOV.26],"",0,1),"")</f>
        <v>0</v>
      </c>
      <c r="BE35" s="156">
        <f>IFERROR(_xlfn.XLOOKUP(Tb_ValorSS[[#This Row],[Nº  SS]],Tb_DISTR.FIN[Nº  SS],Tb_DISTR.FIN[NOV.26],"",0,1)*Tb_ValorSS[[#This Row],[R$ APROVADO]],"")</f>
        <v>0</v>
      </c>
      <c r="BF35" s="157">
        <f>IFERROR(_xlfn.XLOOKUP(Tb_ValorSS[[#This Row],[Nº  SS]],Tb_DISTR.FIN[Nº  SS],Tb_DISTR.FIN[DEZ.26],"",0,1),"")</f>
        <v>0</v>
      </c>
      <c r="BG35" s="156">
        <f>IFERROR(_xlfn.XLOOKUP(Tb_ValorSS[[#This Row],[Nº  SS]],Tb_DISTR.FIN[Nº  SS],Tb_DISTR.FIN[DEZ.26],"",0,1)*Tb_ValorSS[[#This Row],[R$ APROVADO]],"")</f>
        <v>0</v>
      </c>
    </row>
    <row r="36" spans="1:59" s="96" customFormat="1" hidden="1" x14ac:dyDescent="0.3">
      <c r="A36" s="122" t="s">
        <v>417</v>
      </c>
      <c r="B36" s="122" t="str">
        <f>_xlfn.XLOOKUP(Tb_ValorSS[[#This Row],[Nº  SS]],tb_Distr[SS],tb_Distr[DESCRIÇÃO],"",0,1)</f>
        <v>GALPÃO UPCGN-2</v>
      </c>
      <c r="C36" s="122" t="str">
        <f>_xlfn.XLOOKUP(Tb_ValorSS[[#This Row],[Nº  SS]],TB_CR.ACOMP[Nº  SS],TB_CR.ACOMP[TOMADOR],"",0,1)</f>
        <v>UTGC</v>
      </c>
      <c r="D36" s="122" t="str">
        <f>_xlfn.XLOOKUP(Tb_ValorSS[[#This Row],[Nº  SS]],TB_CR.ACOMP[Nº  SS],TB_CR.ACOMP[STATUS DEMANDA],"",0,1)</f>
        <v>CONCLUÍDA</v>
      </c>
      <c r="E36" s="235">
        <v>433.29</v>
      </c>
      <c r="F36" s="94">
        <f>Tb_ValorSS[[#This Row],[UBR APROV]]*296.82</f>
        <v>128609.1378</v>
      </c>
      <c r="G36" s="235">
        <f>SUM(Tb_ValorSS[[#This Row],[SET.25]:[DEZ.26]])</f>
        <v>433.29</v>
      </c>
      <c r="H36" s="155">
        <f>Tb_ValorSS[[#This Row],[UBR MEDIDO]]*296.82</f>
        <v>128609.1378</v>
      </c>
      <c r="I36" s="155">
        <f>IF(ABS(Tb_ValorSS[[#This Row],[R$ APROVADO]]-Tb_ValorSS[[#This Row],[R$ MEDIDO ]])&lt;0.01,0,Tb_ValorSS[[#This Row],[R$ APROVADO]]-Tb_ValorSS[[#This Row],[R$ MEDIDO ]])</f>
        <v>0</v>
      </c>
      <c r="J36" s="144"/>
      <c r="K36" s="171"/>
      <c r="L36" s="172"/>
      <c r="M36" s="172"/>
      <c r="N36" s="172"/>
      <c r="O36" s="172"/>
      <c r="P36" s="172">
        <v>433.29</v>
      </c>
      <c r="Q36" s="172"/>
      <c r="R36" s="172"/>
      <c r="S36" s="172"/>
      <c r="T36" s="172"/>
      <c r="U36" s="172"/>
      <c r="V36" s="172"/>
      <c r="W36" s="172"/>
      <c r="X36" s="172"/>
      <c r="Y36" s="172"/>
      <c r="Z36" s="172"/>
      <c r="AA36" s="139"/>
      <c r="AB36" s="157">
        <f>IFERROR(_xlfn.XLOOKUP(Tb_ValorSS[[#This Row],[Nº  SS]],Tb_DISTR.FIN[Nº  SS],Tb_DISTR.FIN[OUT.25],"",0,1),"")</f>
        <v>0</v>
      </c>
      <c r="AC36" s="156">
        <f>IFERROR(_xlfn.XLOOKUP(Tb_ValorSS[[#This Row],[Nº  SS]],Tb_DISTR.FIN[Nº  SS],Tb_DISTR.FIN[SET.25],"",0,1)*Tb_ValorSS[[#This Row],[R$ APROVADO]],"")</f>
        <v>0</v>
      </c>
      <c r="AD36" s="157">
        <f>IFERROR(_xlfn.XLOOKUP(Tb_ValorSS[[#This Row],[Nº  SS]],Tb_DISTR.FIN[Nº  SS],Tb_DISTR.FIN[OUT.25],"",0,1),"")</f>
        <v>0</v>
      </c>
      <c r="AE36" s="156">
        <f>IFERROR(_xlfn.XLOOKUP(Tb_ValorSS[[#This Row],[Nº  SS]],Tb_DISTR.FIN[Nº  SS],Tb_DISTR.FIN[OUT.25],"",0,1)*Tb_ValorSS[[#This Row],[R$ APROVADO]],"")</f>
        <v>0</v>
      </c>
      <c r="AF36" s="157">
        <f>IFERROR(_xlfn.XLOOKUP(Tb_ValorSS[[#This Row],[Nº  SS]],Tb_DISTR.FIN[Nº  SS],Tb_DISTR.FIN[OUT.25],"",0,1),"")</f>
        <v>0</v>
      </c>
      <c r="AG36" s="156">
        <f>IFERROR(_xlfn.XLOOKUP(Tb_ValorSS[[#This Row],[Nº  SS]],Tb_DISTR.FIN[Nº  SS],Tb_DISTR.FIN[NOV.25],"",0,1)*Tb_ValorSS[[#This Row],[R$ APROVADO]],"")</f>
        <v>0</v>
      </c>
      <c r="AH36" s="157">
        <f>IFERROR(_xlfn.XLOOKUP(Tb_ValorSS[[#This Row],[Nº  SS]],Tb_DISTR.FIN[Nº  SS],Tb_DISTR.FIN[DEZ.25],"",0,1),"")</f>
        <v>0</v>
      </c>
      <c r="AI36" s="156">
        <f>IFERROR(_xlfn.XLOOKUP(Tb_ValorSS[[#This Row],[Nº  SS]],Tb_DISTR.FIN[Nº  SS],Tb_DISTR.FIN[DEZ.25],"",0,1)*Tb_ValorSS[[#This Row],[R$ APROVADO]],"")</f>
        <v>0</v>
      </c>
      <c r="AJ36" s="157">
        <f>IFERROR(_xlfn.XLOOKUP(Tb_ValorSS[[#This Row],[Nº  SS]],Tb_DISTR.FIN[Nº  SS],Tb_DISTR.FIN[JAN.26],"",0,1),"")</f>
        <v>0</v>
      </c>
      <c r="AK36" s="156">
        <f>IFERROR(_xlfn.XLOOKUP(Tb_ValorSS[[#This Row],[Nº  SS]],Tb_DISTR.FIN[Nº  SS],Tb_DISTR.FIN[JAN.26],"",0,1)*Tb_ValorSS[[#This Row],[R$ APROVADO]],"")</f>
        <v>0</v>
      </c>
      <c r="AL36" s="157">
        <f>IFERROR(_xlfn.XLOOKUP(Tb_ValorSS[[#This Row],[Nº  SS]],Tb_DISTR.FIN[Nº  SS],Tb_DISTR.FIN[FEV.26],"",0,1),"")</f>
        <v>1</v>
      </c>
      <c r="AM36" s="156">
        <f>IFERROR(_xlfn.XLOOKUP(Tb_ValorSS[[#This Row],[Nº  SS]],Tb_DISTR.FIN[Nº  SS],Tb_DISTR.FIN[FEV.26],"",0,1)*Tb_ValorSS[[#This Row],[R$ APROVADO]],"")</f>
        <v>128609.1378</v>
      </c>
      <c r="AN36" s="157">
        <f>IFERROR(_xlfn.XLOOKUP(Tb_ValorSS[[#This Row],[Nº  SS]],Tb_DISTR.FIN[Nº  SS],Tb_DISTR.FIN[MAR.26],"",0,1),"")</f>
        <v>0</v>
      </c>
      <c r="AO36" s="156">
        <f>IFERROR(_xlfn.XLOOKUP(Tb_ValorSS[[#This Row],[Nº  SS]],Tb_DISTR.FIN[Nº  SS],Tb_DISTR.FIN[MAR.26],"",0,1)*Tb_ValorSS[[#This Row],[R$ APROVADO]],"")</f>
        <v>0</v>
      </c>
      <c r="AP36" s="157">
        <f>IFERROR(_xlfn.XLOOKUP(Tb_ValorSS[[#This Row],[Nº  SS]],Tb_DISTR.FIN[Nº  SS],Tb_DISTR.FIN[ABR.26],"",0,1),"")</f>
        <v>0</v>
      </c>
      <c r="AQ36" s="156">
        <f>IFERROR(_xlfn.XLOOKUP(Tb_ValorSS[[#This Row],[Nº  SS]],Tb_DISTR.FIN[Nº  SS],Tb_DISTR.FIN[ABR.26],"",0,1)*Tb_ValorSS[[#This Row],[R$ APROVADO]],"")</f>
        <v>0</v>
      </c>
      <c r="AR36" s="157">
        <f>IFERROR(_xlfn.XLOOKUP(Tb_ValorSS[[#This Row],[Nº  SS]],Tb_DISTR.FIN[Nº  SS],Tb_DISTR.FIN[MAI.26],"",0,1),"")</f>
        <v>0</v>
      </c>
      <c r="AS36" s="156">
        <f>IFERROR(_xlfn.XLOOKUP(Tb_ValorSS[[#This Row],[Nº  SS]],Tb_DISTR.FIN[Nº  SS],Tb_DISTR.FIN[MAI.26],"",0,1)*Tb_ValorSS[[#This Row],[R$ APROVADO]],"")</f>
        <v>0</v>
      </c>
      <c r="AT36" s="157">
        <f>IFERROR(_xlfn.XLOOKUP(Tb_ValorSS[[#This Row],[Nº  SS]],Tb_DISTR.FIN[Nº  SS],Tb_DISTR.FIN[JUN.26],"",0,1),"")</f>
        <v>0</v>
      </c>
      <c r="AU36" s="156">
        <f>IFERROR(_xlfn.XLOOKUP(Tb_ValorSS[[#This Row],[Nº  SS]],Tb_DISTR.FIN[Nº  SS],Tb_DISTR.FIN[JUN.26],"",0,1)*Tb_ValorSS[[#This Row],[R$ APROVADO]],"")</f>
        <v>0</v>
      </c>
      <c r="AV36" s="157">
        <f>IFERROR(_xlfn.XLOOKUP(Tb_ValorSS[[#This Row],[Nº  SS]],Tb_DISTR.FIN[Nº  SS],Tb_DISTR.FIN[JUL.26],"",0,1),"")</f>
        <v>0</v>
      </c>
      <c r="AW36" s="156">
        <f>IFERROR(_xlfn.XLOOKUP(Tb_ValorSS[[#This Row],[Nº  SS]],Tb_DISTR.FIN[Nº  SS],Tb_DISTR.FIN[JUL.26],"",0,1)*Tb_ValorSS[[#This Row],[R$ APROVADO]],"")</f>
        <v>0</v>
      </c>
      <c r="AX36" s="157">
        <f>IFERROR(_xlfn.XLOOKUP(Tb_ValorSS[[#This Row],[Nº  SS]],Tb_DISTR.FIN[Nº  SS],Tb_DISTR.FIN[AGO.26],"",0,1),"")</f>
        <v>0</v>
      </c>
      <c r="AY36" s="156">
        <f>IFERROR(_xlfn.XLOOKUP(Tb_ValorSS[[#This Row],[Nº  SS]],Tb_DISTR.FIN[Nº  SS],Tb_DISTR.FIN[AGO.26],"",0,1)*Tb_ValorSS[[#This Row],[R$ APROVADO]],"")</f>
        <v>0</v>
      </c>
      <c r="AZ36" s="157">
        <f>IFERROR(_xlfn.XLOOKUP(Tb_ValorSS[[#This Row],[Nº  SS]],Tb_DISTR.FIN[Nº  SS],Tb_DISTR.FIN[SET.26],"",0,1),"")</f>
        <v>0</v>
      </c>
      <c r="BA36" s="156">
        <f>IFERROR(_xlfn.XLOOKUP(Tb_ValorSS[[#This Row],[Nº  SS]],Tb_DISTR.FIN[Nº  SS],Tb_DISTR.FIN[SET.26],"",0,1)*Tb_ValorSS[[#This Row],[R$ APROVADO]],"")</f>
        <v>0</v>
      </c>
      <c r="BB36" s="157">
        <f>IFERROR(_xlfn.XLOOKUP(Tb_ValorSS[[#This Row],[Nº  SS]],Tb_DISTR.FIN[Nº  SS],Tb_DISTR.FIN[OUT.26],"",0,1),"")</f>
        <v>0</v>
      </c>
      <c r="BC36" s="156">
        <f>IFERROR(_xlfn.XLOOKUP(Tb_ValorSS[[#This Row],[Nº  SS]],Tb_DISTR.FIN[Nº  SS],Tb_DISTR.FIN[OUT.26],"",0,1)*Tb_ValorSS[[#This Row],[R$ APROVADO]],"")</f>
        <v>0</v>
      </c>
      <c r="BD36" s="157">
        <f>IFERROR(_xlfn.XLOOKUP(Tb_ValorSS[[#This Row],[Nº  SS]],Tb_DISTR.FIN[Nº  SS],Tb_DISTR.FIN[NOV.26],"",0,1),"")</f>
        <v>0</v>
      </c>
      <c r="BE36" s="156">
        <f>IFERROR(_xlfn.XLOOKUP(Tb_ValorSS[[#This Row],[Nº  SS]],Tb_DISTR.FIN[Nº  SS],Tb_DISTR.FIN[NOV.26],"",0,1)*Tb_ValorSS[[#This Row],[R$ APROVADO]],"")</f>
        <v>0</v>
      </c>
      <c r="BF36" s="157">
        <f>IFERROR(_xlfn.XLOOKUP(Tb_ValorSS[[#This Row],[Nº  SS]],Tb_DISTR.FIN[Nº  SS],Tb_DISTR.FIN[DEZ.26],"",0,1),"")</f>
        <v>0</v>
      </c>
      <c r="BG36" s="156">
        <f>IFERROR(_xlfn.XLOOKUP(Tb_ValorSS[[#This Row],[Nº  SS]],Tb_DISTR.FIN[Nº  SS],Tb_DISTR.FIN[DEZ.26],"",0,1)*Tb_ValorSS[[#This Row],[R$ APROVADO]],"")</f>
        <v>0</v>
      </c>
    </row>
    <row r="37" spans="1:59" s="96" customFormat="1" x14ac:dyDescent="0.3">
      <c r="A37" s="122" t="s">
        <v>416</v>
      </c>
      <c r="B37" s="122" t="str">
        <f>_xlfn.XLOOKUP(Tb_ValorSS[[#This Row],[Nº  SS]],tb_Distr[SS],tb_Distr[DESCRIÇÃO],"",0,1)</f>
        <v>PISO ELEVADO - PORTARIA</v>
      </c>
      <c r="C37" s="122" t="str">
        <f>_xlfn.XLOOKUP(Tb_ValorSS[[#This Row],[Nº  SS]],TB_CR.ACOMP[Nº  SS],TB_CR.ACOMP[TOMADOR],"",0,1)</f>
        <v>EDIVIT</v>
      </c>
      <c r="D37" s="122" t="str">
        <f>_xlfn.XLOOKUP(Tb_ValorSS[[#This Row],[Nº  SS]],TB_CR.ACOMP[Nº  SS],TB_CR.ACOMP[STATUS DEMANDA],"",0,1)</f>
        <v>EM ANDAMENTO</v>
      </c>
      <c r="E37" s="235">
        <v>3755.29</v>
      </c>
      <c r="F37" s="155">
        <f>Tb_ValorSS[[#This Row],[UBR APROV]]*296.82</f>
        <v>1114645.1777999999</v>
      </c>
      <c r="G37" s="235">
        <f>SUM(Tb_ValorSS[[#This Row],[SET.25]:[DEZ.26]])</f>
        <v>375.529</v>
      </c>
      <c r="H37" s="155">
        <f>Tb_ValorSS[[#This Row],[UBR MEDIDO]]*296.82</f>
        <v>111464.51777999999</v>
      </c>
      <c r="I37" s="155">
        <f>IF(ABS(Tb_ValorSS[[#This Row],[R$ APROVADO]]-Tb_ValorSS[[#This Row],[R$ MEDIDO ]])&lt;0.01,0,Tb_ValorSS[[#This Row],[R$ APROVADO]]-Tb_ValorSS[[#This Row],[R$ MEDIDO ]])</f>
        <v>1003180.66002</v>
      </c>
      <c r="J37" s="144"/>
      <c r="K37" s="171"/>
      <c r="L37" s="172"/>
      <c r="M37" s="172"/>
      <c r="N37" s="172"/>
      <c r="O37" s="172"/>
      <c r="P37" s="172">
        <v>375.529</v>
      </c>
      <c r="Q37" s="172"/>
      <c r="R37" s="172"/>
      <c r="S37" s="172"/>
      <c r="T37" s="172"/>
      <c r="U37" s="172"/>
      <c r="V37" s="172"/>
      <c r="W37" s="172"/>
      <c r="X37" s="172"/>
      <c r="Y37" s="172"/>
      <c r="Z37" s="172"/>
      <c r="AA37" s="139"/>
      <c r="AB37" s="157">
        <f>IFERROR(_xlfn.XLOOKUP(Tb_ValorSS[[#This Row],[Nº  SS]],Tb_DISTR.FIN[Nº  SS],Tb_DISTR.FIN[OUT.25],"",0,1),"")</f>
        <v>0</v>
      </c>
      <c r="AC37" s="156">
        <f>IFERROR(_xlfn.XLOOKUP(Tb_ValorSS[[#This Row],[Nº  SS]],Tb_DISTR.FIN[Nº  SS],Tb_DISTR.FIN[SET.25],"",0,1)*Tb_ValorSS[[#This Row],[R$ APROVADO]],"")</f>
        <v>0</v>
      </c>
      <c r="AD37" s="157">
        <f>IFERROR(_xlfn.XLOOKUP(Tb_ValorSS[[#This Row],[Nº  SS]],Tb_DISTR.FIN[Nº  SS],Tb_DISTR.FIN[OUT.25],"",0,1),"")</f>
        <v>0</v>
      </c>
      <c r="AE37" s="156">
        <f>IFERROR(_xlfn.XLOOKUP(Tb_ValorSS[[#This Row],[Nº  SS]],Tb_DISTR.FIN[Nº  SS],Tb_DISTR.FIN[OUT.25],"",0,1)*Tb_ValorSS[[#This Row],[R$ APROVADO]],"")</f>
        <v>0</v>
      </c>
      <c r="AF37" s="157">
        <f>IFERROR(_xlfn.XLOOKUP(Tb_ValorSS[[#This Row],[Nº  SS]],Tb_DISTR.FIN[Nº  SS],Tb_DISTR.FIN[OUT.25],"",0,1),"")</f>
        <v>0</v>
      </c>
      <c r="AG37" s="156">
        <f>IFERROR(_xlfn.XLOOKUP(Tb_ValorSS[[#This Row],[Nº  SS]],Tb_DISTR.FIN[Nº  SS],Tb_DISTR.FIN[NOV.25],"",0,1)*Tb_ValorSS[[#This Row],[R$ APROVADO]],"")</f>
        <v>0</v>
      </c>
      <c r="AH37" s="157">
        <f>IFERROR(_xlfn.XLOOKUP(Tb_ValorSS[[#This Row],[Nº  SS]],Tb_DISTR.FIN[Nº  SS],Tb_DISTR.FIN[DEZ.25],"",0,1),"")</f>
        <v>0</v>
      </c>
      <c r="AI37" s="156">
        <f>IFERROR(_xlfn.XLOOKUP(Tb_ValorSS[[#This Row],[Nº  SS]],Tb_DISTR.FIN[Nº  SS],Tb_DISTR.FIN[DEZ.25],"",0,1)*Tb_ValorSS[[#This Row],[R$ APROVADO]],"")</f>
        <v>0</v>
      </c>
      <c r="AJ37" s="157">
        <f>IFERROR(_xlfn.XLOOKUP(Tb_ValorSS[[#This Row],[Nº  SS]],Tb_DISTR.FIN[Nº  SS],Tb_DISTR.FIN[JAN.26],"",0,1),"")</f>
        <v>0</v>
      </c>
      <c r="AK37" s="156">
        <f>IFERROR(_xlfn.XLOOKUP(Tb_ValorSS[[#This Row],[Nº  SS]],Tb_DISTR.FIN[Nº  SS],Tb_DISTR.FIN[JAN.26],"",0,1)*Tb_ValorSS[[#This Row],[R$ APROVADO]],"")</f>
        <v>0</v>
      </c>
      <c r="AL37" s="157">
        <f>IFERROR(_xlfn.XLOOKUP(Tb_ValorSS[[#This Row],[Nº  SS]],Tb_DISTR.FIN[Nº  SS],Tb_DISTR.FIN[FEV.26],"",0,1),"")</f>
        <v>0.1</v>
      </c>
      <c r="AM37" s="156">
        <f>IFERROR(_xlfn.XLOOKUP(Tb_ValorSS[[#This Row],[Nº  SS]],Tb_DISTR.FIN[Nº  SS],Tb_DISTR.FIN[FEV.26],"",0,1)*Tb_ValorSS[[#This Row],[R$ APROVADO]],"")</f>
        <v>111464.51777999999</v>
      </c>
      <c r="AN37" s="157">
        <f>IFERROR(_xlfn.XLOOKUP(Tb_ValorSS[[#This Row],[Nº  SS]],Tb_DISTR.FIN[Nº  SS],Tb_DISTR.FIN[MAR.26],"",0,1),"")</f>
        <v>0.2</v>
      </c>
      <c r="AO37" s="156">
        <f>IFERROR(_xlfn.XLOOKUP(Tb_ValorSS[[#This Row],[Nº  SS]],Tb_DISTR.FIN[Nº  SS],Tb_DISTR.FIN[MAR.26],"",0,1)*Tb_ValorSS[[#This Row],[R$ APROVADO]],"")</f>
        <v>222929.03555999999</v>
      </c>
      <c r="AP37" s="157">
        <f>IFERROR(_xlfn.XLOOKUP(Tb_ValorSS[[#This Row],[Nº  SS]],Tb_DISTR.FIN[Nº  SS],Tb_DISTR.FIN[ABR.26],"",0,1),"")</f>
        <v>0.08</v>
      </c>
      <c r="AQ37" s="156">
        <f>IFERROR(_xlfn.XLOOKUP(Tb_ValorSS[[#This Row],[Nº  SS]],Tb_DISTR.FIN[Nº  SS],Tb_DISTR.FIN[ABR.26],"",0,1)*Tb_ValorSS[[#This Row],[R$ APROVADO]],"")</f>
        <v>89171.614224000004</v>
      </c>
      <c r="AR37" s="157">
        <f>IFERROR(_xlfn.XLOOKUP(Tb_ValorSS[[#This Row],[Nº  SS]],Tb_DISTR.FIN[Nº  SS],Tb_DISTR.FIN[MAI.26],"",0,1),"")</f>
        <v>0.09</v>
      </c>
      <c r="AS37" s="156">
        <f>IFERROR(_xlfn.XLOOKUP(Tb_ValorSS[[#This Row],[Nº  SS]],Tb_DISTR.FIN[Nº  SS],Tb_DISTR.FIN[MAI.26],"",0,1)*Tb_ValorSS[[#This Row],[R$ APROVADO]],"")</f>
        <v>100318.06600199999</v>
      </c>
      <c r="AT37" s="157">
        <f>IFERROR(_xlfn.XLOOKUP(Tb_ValorSS[[#This Row],[Nº  SS]],Tb_DISTR.FIN[Nº  SS],Tb_DISTR.FIN[JUN.26],"",0,1),"")</f>
        <v>0.09</v>
      </c>
      <c r="AU37" s="156">
        <f>IFERROR(_xlfn.XLOOKUP(Tb_ValorSS[[#This Row],[Nº  SS]],Tb_DISTR.FIN[Nº  SS],Tb_DISTR.FIN[JUN.26],"",0,1)*Tb_ValorSS[[#This Row],[R$ APROVADO]],"")</f>
        <v>100318.06600199999</v>
      </c>
      <c r="AV37" s="157">
        <f>IFERROR(_xlfn.XLOOKUP(Tb_ValorSS[[#This Row],[Nº  SS]],Tb_DISTR.FIN[Nº  SS],Tb_DISTR.FIN[JUL.26],"",0,1),"")</f>
        <v>0.09</v>
      </c>
      <c r="AW37" s="156">
        <f>IFERROR(_xlfn.XLOOKUP(Tb_ValorSS[[#This Row],[Nº  SS]],Tb_DISTR.FIN[Nº  SS],Tb_DISTR.FIN[JUL.26],"",0,1)*Tb_ValorSS[[#This Row],[R$ APROVADO]],"")</f>
        <v>100318.06600199999</v>
      </c>
      <c r="AX37" s="157">
        <f>IFERROR(_xlfn.XLOOKUP(Tb_ValorSS[[#This Row],[Nº  SS]],Tb_DISTR.FIN[Nº  SS],Tb_DISTR.FIN[AGO.26],"",0,1),"")</f>
        <v>0.09</v>
      </c>
      <c r="AY37" s="156">
        <f>IFERROR(_xlfn.XLOOKUP(Tb_ValorSS[[#This Row],[Nº  SS]],Tb_DISTR.FIN[Nº  SS],Tb_DISTR.FIN[AGO.26],"",0,1)*Tb_ValorSS[[#This Row],[R$ APROVADO]],"")</f>
        <v>100318.06600199999</v>
      </c>
      <c r="AZ37" s="157">
        <f>IFERROR(_xlfn.XLOOKUP(Tb_ValorSS[[#This Row],[Nº  SS]],Tb_DISTR.FIN[Nº  SS],Tb_DISTR.FIN[SET.26],"",0,1),"")</f>
        <v>0.08</v>
      </c>
      <c r="BA37" s="156">
        <f>IFERROR(_xlfn.XLOOKUP(Tb_ValorSS[[#This Row],[Nº  SS]],Tb_DISTR.FIN[Nº  SS],Tb_DISTR.FIN[SET.26],"",0,1)*Tb_ValorSS[[#This Row],[R$ APROVADO]],"")</f>
        <v>89171.614224000004</v>
      </c>
      <c r="BB37" s="157">
        <f>IFERROR(_xlfn.XLOOKUP(Tb_ValorSS[[#This Row],[Nº  SS]],Tb_DISTR.FIN[Nº  SS],Tb_DISTR.FIN[OUT.26],"",0,1),"")</f>
        <v>0.18</v>
      </c>
      <c r="BC37" s="156">
        <f>IFERROR(_xlfn.XLOOKUP(Tb_ValorSS[[#This Row],[Nº  SS]],Tb_DISTR.FIN[Nº  SS],Tb_DISTR.FIN[OUT.26],"",0,1)*Tb_ValorSS[[#This Row],[R$ APROVADO]],"")</f>
        <v>200636.13200399998</v>
      </c>
      <c r="BD37" s="157">
        <f>IFERROR(_xlfn.XLOOKUP(Tb_ValorSS[[#This Row],[Nº  SS]],Tb_DISTR.FIN[Nº  SS],Tb_DISTR.FIN[NOV.26],"",0,1),"")</f>
        <v>0</v>
      </c>
      <c r="BE37" s="156">
        <f>IFERROR(_xlfn.XLOOKUP(Tb_ValorSS[[#This Row],[Nº  SS]],Tb_DISTR.FIN[Nº  SS],Tb_DISTR.FIN[NOV.26],"",0,1)*Tb_ValorSS[[#This Row],[R$ APROVADO]],"")</f>
        <v>0</v>
      </c>
      <c r="BF37" s="157">
        <f>IFERROR(_xlfn.XLOOKUP(Tb_ValorSS[[#This Row],[Nº  SS]],Tb_DISTR.FIN[Nº  SS],Tb_DISTR.FIN[DEZ.26],"",0,1),"")</f>
        <v>0</v>
      </c>
      <c r="BG37" s="156">
        <f>IFERROR(_xlfn.XLOOKUP(Tb_ValorSS[[#This Row],[Nº  SS]],Tb_DISTR.FIN[Nº  SS],Tb_DISTR.FIN[DEZ.26],"",0,1)*Tb_ValorSS[[#This Row],[R$ APROVADO]],"")</f>
        <v>0</v>
      </c>
    </row>
    <row r="38" spans="1:59" s="96" customFormat="1" x14ac:dyDescent="0.3">
      <c r="A38" s="122" t="s">
        <v>445</v>
      </c>
      <c r="B38" s="122" t="str">
        <f>_xlfn.XLOOKUP(Tb_ValorSS[[#This Row],[Nº  SS]],tb_Distr[SS],tb_Distr[DESCRIÇÃO],"",0,1)</f>
        <v>CANTEIRO DA INOVA</v>
      </c>
      <c r="C38" s="122" t="str">
        <f>_xlfn.XLOOKUP(Tb_ValorSS[[#This Row],[Nº  SS]],TB_CR.ACOMP[Nº  SS],TB_CR.ACOMP[TOMADOR],"",0,1)</f>
        <v>UTGC</v>
      </c>
      <c r="D38" s="122" t="str">
        <f>_xlfn.XLOOKUP(Tb_ValorSS[[#This Row],[Nº  SS]],TB_CR.ACOMP[Nº  SS],TB_CR.ACOMP[STATUS DEMANDA],"",0,1)</f>
        <v>EM ANDAMENTO</v>
      </c>
      <c r="E38" s="235">
        <v>308.7</v>
      </c>
      <c r="F38" s="155">
        <f>Tb_ValorSS[[#This Row],[UBR APROV]]*296.82</f>
        <v>91628.333999999988</v>
      </c>
      <c r="G38" s="235">
        <f>SUM(Tb_ValorSS[[#This Row],[SET.25]:[DEZ.26]])</f>
        <v>114.217</v>
      </c>
      <c r="H38" s="155">
        <f>Tb_ValorSS[[#This Row],[UBR MEDIDO]]*296.82</f>
        <v>33901.889940000001</v>
      </c>
      <c r="I38" s="155">
        <f>IF(ABS(Tb_ValorSS[[#This Row],[R$ APROVADO]]-Tb_ValorSS[[#This Row],[R$ MEDIDO ]])&lt;0.01,0,Tb_ValorSS[[#This Row],[R$ APROVADO]]-Tb_ValorSS[[#This Row],[R$ MEDIDO ]])</f>
        <v>57726.444059999987</v>
      </c>
      <c r="J38" s="144"/>
      <c r="K38" s="171"/>
      <c r="L38" s="172"/>
      <c r="M38" s="172"/>
      <c r="N38" s="172"/>
      <c r="O38" s="172"/>
      <c r="P38" s="172">
        <v>114.217</v>
      </c>
      <c r="Q38" s="172"/>
      <c r="R38" s="172"/>
      <c r="S38" s="172"/>
      <c r="T38" s="172"/>
      <c r="U38" s="172"/>
      <c r="V38" s="172"/>
      <c r="W38" s="172"/>
      <c r="X38" s="172"/>
      <c r="Y38" s="172"/>
      <c r="Z38" s="172"/>
      <c r="AA38" s="139"/>
      <c r="AB38" s="157">
        <f>IFERROR(_xlfn.XLOOKUP(Tb_ValorSS[[#This Row],[Nº  SS]],Tb_DISTR.FIN[Nº  SS],Tb_DISTR.FIN[OUT.25],"",0,1),"")</f>
        <v>0</v>
      </c>
      <c r="AC38" s="156">
        <f>IFERROR(_xlfn.XLOOKUP(Tb_ValorSS[[#This Row],[Nº  SS]],Tb_DISTR.FIN[Nº  SS],Tb_DISTR.FIN[SET.25],"",0,1)*Tb_ValorSS[[#This Row],[R$ APROVADO]],"")</f>
        <v>0</v>
      </c>
      <c r="AD38" s="157">
        <f>IFERROR(_xlfn.XLOOKUP(Tb_ValorSS[[#This Row],[Nº  SS]],Tb_DISTR.FIN[Nº  SS],Tb_DISTR.FIN[OUT.25],"",0,1),"")</f>
        <v>0</v>
      </c>
      <c r="AE38" s="156">
        <f>IFERROR(_xlfn.XLOOKUP(Tb_ValorSS[[#This Row],[Nº  SS]],Tb_DISTR.FIN[Nº  SS],Tb_DISTR.FIN[OUT.25],"",0,1)*Tb_ValorSS[[#This Row],[R$ APROVADO]],"")</f>
        <v>0</v>
      </c>
      <c r="AF38" s="157">
        <f>IFERROR(_xlfn.XLOOKUP(Tb_ValorSS[[#This Row],[Nº  SS]],Tb_DISTR.FIN[Nº  SS],Tb_DISTR.FIN[OUT.25],"",0,1),"")</f>
        <v>0</v>
      </c>
      <c r="AG38" s="156">
        <f>IFERROR(_xlfn.XLOOKUP(Tb_ValorSS[[#This Row],[Nº  SS]],Tb_DISTR.FIN[Nº  SS],Tb_DISTR.FIN[NOV.25],"",0,1)*Tb_ValorSS[[#This Row],[R$ APROVADO]],"")</f>
        <v>0</v>
      </c>
      <c r="AH38" s="157">
        <f>IFERROR(_xlfn.XLOOKUP(Tb_ValorSS[[#This Row],[Nº  SS]],Tb_DISTR.FIN[Nº  SS],Tb_DISTR.FIN[DEZ.25],"",0,1),"")</f>
        <v>0</v>
      </c>
      <c r="AI38" s="156">
        <f>IFERROR(_xlfn.XLOOKUP(Tb_ValorSS[[#This Row],[Nº  SS]],Tb_DISTR.FIN[Nº  SS],Tb_DISTR.FIN[DEZ.25],"",0,1)*Tb_ValorSS[[#This Row],[R$ APROVADO]],"")</f>
        <v>0</v>
      </c>
      <c r="AJ38" s="157">
        <f>IFERROR(_xlfn.XLOOKUP(Tb_ValorSS[[#This Row],[Nº  SS]],Tb_DISTR.FIN[Nº  SS],Tb_DISTR.FIN[JAN.26],"",0,1),"")</f>
        <v>0</v>
      </c>
      <c r="AK38" s="156">
        <f>IFERROR(_xlfn.XLOOKUP(Tb_ValorSS[[#This Row],[Nº  SS]],Tb_DISTR.FIN[Nº  SS],Tb_DISTR.FIN[JAN.26],"",0,1)*Tb_ValorSS[[#This Row],[R$ APROVADO]],"")</f>
        <v>0</v>
      </c>
      <c r="AL38" s="157">
        <f>IFERROR(_xlfn.XLOOKUP(Tb_ValorSS[[#This Row],[Nº  SS]],Tb_DISTR.FIN[Nº  SS],Tb_DISTR.FIN[FEV.26],"",0,1),"")</f>
        <v>0.37000000000000005</v>
      </c>
      <c r="AM38" s="156">
        <f>IFERROR(_xlfn.XLOOKUP(Tb_ValorSS[[#This Row],[Nº  SS]],Tb_DISTR.FIN[Nº  SS],Tb_DISTR.FIN[FEV.26],"",0,1)*Tb_ValorSS[[#This Row],[R$ APROVADO]],"")</f>
        <v>33902.48358</v>
      </c>
      <c r="AN38" s="157">
        <f>IFERROR(_xlfn.XLOOKUP(Tb_ValorSS[[#This Row],[Nº  SS]],Tb_DISTR.FIN[Nº  SS],Tb_DISTR.FIN[MAR.26],"",0,1),"")</f>
        <v>0.23</v>
      </c>
      <c r="AO38" s="156">
        <f>IFERROR(_xlfn.XLOOKUP(Tb_ValorSS[[#This Row],[Nº  SS]],Tb_DISTR.FIN[Nº  SS],Tb_DISTR.FIN[MAR.26],"",0,1)*Tb_ValorSS[[#This Row],[R$ APROVADO]],"")</f>
        <v>21074.516819999997</v>
      </c>
      <c r="AP38" s="157">
        <f>IFERROR(_xlfn.XLOOKUP(Tb_ValorSS[[#This Row],[Nº  SS]],Tb_DISTR.FIN[Nº  SS],Tb_DISTR.FIN[ABR.26],"",0,1),"")</f>
        <v>0.4</v>
      </c>
      <c r="AQ38" s="156">
        <f>IFERROR(_xlfn.XLOOKUP(Tb_ValorSS[[#This Row],[Nº  SS]],Tb_DISTR.FIN[Nº  SS],Tb_DISTR.FIN[ABR.26],"",0,1)*Tb_ValorSS[[#This Row],[R$ APROVADO]],"")</f>
        <v>36651.333599999998</v>
      </c>
      <c r="AR38" s="157">
        <f>IFERROR(_xlfn.XLOOKUP(Tb_ValorSS[[#This Row],[Nº  SS]],Tb_DISTR.FIN[Nº  SS],Tb_DISTR.FIN[MAI.26],"",0,1),"")</f>
        <v>0</v>
      </c>
      <c r="AS38" s="156">
        <f>IFERROR(_xlfn.XLOOKUP(Tb_ValorSS[[#This Row],[Nº  SS]],Tb_DISTR.FIN[Nº  SS],Tb_DISTR.FIN[MAI.26],"",0,1)*Tb_ValorSS[[#This Row],[R$ APROVADO]],"")</f>
        <v>0</v>
      </c>
      <c r="AT38" s="157">
        <f>IFERROR(_xlfn.XLOOKUP(Tb_ValorSS[[#This Row],[Nº  SS]],Tb_DISTR.FIN[Nº  SS],Tb_DISTR.FIN[JUN.26],"",0,1),"")</f>
        <v>0</v>
      </c>
      <c r="AU38" s="156">
        <f>IFERROR(_xlfn.XLOOKUP(Tb_ValorSS[[#This Row],[Nº  SS]],Tb_DISTR.FIN[Nº  SS],Tb_DISTR.FIN[JUN.26],"",0,1)*Tb_ValorSS[[#This Row],[R$ APROVADO]],"")</f>
        <v>0</v>
      </c>
      <c r="AV38" s="157">
        <f>IFERROR(_xlfn.XLOOKUP(Tb_ValorSS[[#This Row],[Nº  SS]],Tb_DISTR.FIN[Nº  SS],Tb_DISTR.FIN[JUL.26],"",0,1),"")</f>
        <v>0</v>
      </c>
      <c r="AW38" s="156">
        <f>IFERROR(_xlfn.XLOOKUP(Tb_ValorSS[[#This Row],[Nº  SS]],Tb_DISTR.FIN[Nº  SS],Tb_DISTR.FIN[JUL.26],"",0,1)*Tb_ValorSS[[#This Row],[R$ APROVADO]],"")</f>
        <v>0</v>
      </c>
      <c r="AX38" s="157">
        <f>IFERROR(_xlfn.XLOOKUP(Tb_ValorSS[[#This Row],[Nº  SS]],Tb_DISTR.FIN[Nº  SS],Tb_DISTR.FIN[AGO.26],"",0,1),"")</f>
        <v>0</v>
      </c>
      <c r="AY38" s="156">
        <f>IFERROR(_xlfn.XLOOKUP(Tb_ValorSS[[#This Row],[Nº  SS]],Tb_DISTR.FIN[Nº  SS],Tb_DISTR.FIN[AGO.26],"",0,1)*Tb_ValorSS[[#This Row],[R$ APROVADO]],"")</f>
        <v>0</v>
      </c>
      <c r="AZ38" s="157">
        <f>IFERROR(_xlfn.XLOOKUP(Tb_ValorSS[[#This Row],[Nº  SS]],Tb_DISTR.FIN[Nº  SS],Tb_DISTR.FIN[SET.26],"",0,1),"")</f>
        <v>0</v>
      </c>
      <c r="BA38" s="156">
        <f>IFERROR(_xlfn.XLOOKUP(Tb_ValorSS[[#This Row],[Nº  SS]],Tb_DISTR.FIN[Nº  SS],Tb_DISTR.FIN[SET.26],"",0,1)*Tb_ValorSS[[#This Row],[R$ APROVADO]],"")</f>
        <v>0</v>
      </c>
      <c r="BB38" s="157">
        <f>IFERROR(_xlfn.XLOOKUP(Tb_ValorSS[[#This Row],[Nº  SS]],Tb_DISTR.FIN[Nº  SS],Tb_DISTR.FIN[OUT.26],"",0,1),"")</f>
        <v>0</v>
      </c>
      <c r="BC38" s="156">
        <f>IFERROR(_xlfn.XLOOKUP(Tb_ValorSS[[#This Row],[Nº  SS]],Tb_DISTR.FIN[Nº  SS],Tb_DISTR.FIN[OUT.26],"",0,1)*Tb_ValorSS[[#This Row],[R$ APROVADO]],"")</f>
        <v>0</v>
      </c>
      <c r="BD38" s="157">
        <f>IFERROR(_xlfn.XLOOKUP(Tb_ValorSS[[#This Row],[Nº  SS]],Tb_DISTR.FIN[Nº  SS],Tb_DISTR.FIN[NOV.26],"",0,1),"")</f>
        <v>0</v>
      </c>
      <c r="BE38" s="156">
        <f>IFERROR(_xlfn.XLOOKUP(Tb_ValorSS[[#This Row],[Nº  SS]],Tb_DISTR.FIN[Nº  SS],Tb_DISTR.FIN[NOV.26],"",0,1)*Tb_ValorSS[[#This Row],[R$ APROVADO]],"")</f>
        <v>0</v>
      </c>
      <c r="BF38" s="157">
        <f>IFERROR(_xlfn.XLOOKUP(Tb_ValorSS[[#This Row],[Nº  SS]],Tb_DISTR.FIN[Nº  SS],Tb_DISTR.FIN[DEZ.26],"",0,1),"")</f>
        <v>0</v>
      </c>
      <c r="BG38" s="156">
        <f>IFERROR(_xlfn.XLOOKUP(Tb_ValorSS[[#This Row],[Nº  SS]],Tb_DISTR.FIN[Nº  SS],Tb_DISTR.FIN[DEZ.26],"",0,1)*Tb_ValorSS[[#This Row],[R$ APROVADO]],"")</f>
        <v>0</v>
      </c>
    </row>
    <row r="39" spans="1:59" s="96" customFormat="1" x14ac:dyDescent="0.3">
      <c r="A39" s="122" t="s">
        <v>530</v>
      </c>
      <c r="B39" s="122" t="str">
        <f>_xlfn.XLOOKUP(Tb_ValorSS[[#This Row],[Nº  SS]],tb_Distr[SS],tb_Distr[DESCRIÇÃO],"",0,1)</f>
        <v>DEPÓSITO DE PIG K-34</v>
      </c>
      <c r="C39" s="122" t="str">
        <f>_xlfn.XLOOKUP(Tb_ValorSS[[#This Row],[Nº  SS]],TB_CR.ACOMP[Nº  SS],TB_CR.ACOMP[TOMADOR],"",0,1)</f>
        <v>UTGC</v>
      </c>
      <c r="D39" s="122" t="str">
        <f>_xlfn.XLOOKUP(Tb_ValorSS[[#This Row],[Nº  SS]],TB_CR.ACOMP[Nº  SS],TB_CR.ACOMP[STATUS DEMANDA],"",0,1)</f>
        <v>EM ANDAMENTO</v>
      </c>
      <c r="E39" s="235">
        <v>1576.501</v>
      </c>
      <c r="F39" s="155">
        <f>Tb_ValorSS[[#This Row],[UBR APROV]]*296.82</f>
        <v>467937.02681999997</v>
      </c>
      <c r="G39" s="235">
        <f>SUM(Tb_ValorSS[[#This Row],[SET.25]:[DEZ.26]])</f>
        <v>151.63</v>
      </c>
      <c r="H39" s="155">
        <f>Tb_ValorSS[[#This Row],[UBR MEDIDO]]*296.82</f>
        <v>45006.816599999998</v>
      </c>
      <c r="I39" s="155">
        <f>IF(ABS(Tb_ValorSS[[#This Row],[R$ APROVADO]]-Tb_ValorSS[[#This Row],[R$ MEDIDO ]])&lt;0.01,0,Tb_ValorSS[[#This Row],[R$ APROVADO]]-Tb_ValorSS[[#This Row],[R$ MEDIDO ]])</f>
        <v>422930.21021999995</v>
      </c>
      <c r="J39" s="144"/>
      <c r="K39" s="171"/>
      <c r="L39" s="172"/>
      <c r="M39" s="172"/>
      <c r="N39" s="172"/>
      <c r="O39" s="172"/>
      <c r="P39" s="172">
        <v>151.63</v>
      </c>
      <c r="Q39" s="172"/>
      <c r="R39" s="172"/>
      <c r="S39" s="172"/>
      <c r="T39" s="172"/>
      <c r="U39" s="172"/>
      <c r="V39" s="172"/>
      <c r="W39" s="172"/>
      <c r="X39" s="172"/>
      <c r="Y39" s="172"/>
      <c r="Z39" s="172"/>
      <c r="AA39" s="139"/>
      <c r="AB39" s="157">
        <f>IFERROR(_xlfn.XLOOKUP(Tb_ValorSS[[#This Row],[Nº  SS]],Tb_DISTR.FIN[Nº  SS],Tb_DISTR.FIN[OUT.25],"",0,1),"")</f>
        <v>0</v>
      </c>
      <c r="AC39" s="156">
        <f>IFERROR(_xlfn.XLOOKUP(Tb_ValorSS[[#This Row],[Nº  SS]],Tb_DISTR.FIN[Nº  SS],Tb_DISTR.FIN[SET.25],"",0,1)*Tb_ValorSS[[#This Row],[R$ APROVADO]],"")</f>
        <v>0</v>
      </c>
      <c r="AD39" s="157">
        <f>IFERROR(_xlfn.XLOOKUP(Tb_ValorSS[[#This Row],[Nº  SS]],Tb_DISTR.FIN[Nº  SS],Tb_DISTR.FIN[OUT.25],"",0,1),"")</f>
        <v>0</v>
      </c>
      <c r="AE39" s="156">
        <f>IFERROR(_xlfn.XLOOKUP(Tb_ValorSS[[#This Row],[Nº  SS]],Tb_DISTR.FIN[Nº  SS],Tb_DISTR.FIN[OUT.25],"",0,1)*Tb_ValorSS[[#This Row],[R$ APROVADO]],"")</f>
        <v>0</v>
      </c>
      <c r="AF39" s="157">
        <f>IFERROR(_xlfn.XLOOKUP(Tb_ValorSS[[#This Row],[Nº  SS]],Tb_DISTR.FIN[Nº  SS],Tb_DISTR.FIN[OUT.25],"",0,1),"")</f>
        <v>0</v>
      </c>
      <c r="AG39" s="156">
        <f>IFERROR(_xlfn.XLOOKUP(Tb_ValorSS[[#This Row],[Nº  SS]],Tb_DISTR.FIN[Nº  SS],Tb_DISTR.FIN[NOV.25],"",0,1)*Tb_ValorSS[[#This Row],[R$ APROVADO]],"")</f>
        <v>0</v>
      </c>
      <c r="AH39" s="157">
        <f>IFERROR(_xlfn.XLOOKUP(Tb_ValorSS[[#This Row],[Nº  SS]],Tb_DISTR.FIN[Nº  SS],Tb_DISTR.FIN[DEZ.25],"",0,1),"")</f>
        <v>0</v>
      </c>
      <c r="AI39" s="156">
        <f>IFERROR(_xlfn.XLOOKUP(Tb_ValorSS[[#This Row],[Nº  SS]],Tb_DISTR.FIN[Nº  SS],Tb_DISTR.FIN[DEZ.25],"",0,1)*Tb_ValorSS[[#This Row],[R$ APROVADO]],"")</f>
        <v>0</v>
      </c>
      <c r="AJ39" s="157">
        <f>IFERROR(_xlfn.XLOOKUP(Tb_ValorSS[[#This Row],[Nº  SS]],Tb_DISTR.FIN[Nº  SS],Tb_DISTR.FIN[JAN.26],"",0,1),"")</f>
        <v>0</v>
      </c>
      <c r="AK39" s="156">
        <f>IFERROR(_xlfn.XLOOKUP(Tb_ValorSS[[#This Row],[Nº  SS]],Tb_DISTR.FIN[Nº  SS],Tb_DISTR.FIN[JAN.26],"",0,1)*Tb_ValorSS[[#This Row],[R$ APROVADO]],"")</f>
        <v>0</v>
      </c>
      <c r="AL39" s="157">
        <f>IFERROR(_xlfn.XLOOKUP(Tb_ValorSS[[#This Row],[Nº  SS]],Tb_DISTR.FIN[Nº  SS],Tb_DISTR.FIN[FEV.26],"",0,1),"")</f>
        <v>0.1</v>
      </c>
      <c r="AM39" s="156">
        <f>IFERROR(_xlfn.XLOOKUP(Tb_ValorSS[[#This Row],[Nº  SS]],Tb_DISTR.FIN[Nº  SS],Tb_DISTR.FIN[FEV.26],"",0,1)*Tb_ValorSS[[#This Row],[R$ APROVADO]],"")</f>
        <v>46793.702682000003</v>
      </c>
      <c r="AN39" s="157">
        <f>IFERROR(_xlfn.XLOOKUP(Tb_ValorSS[[#This Row],[Nº  SS]],Tb_DISTR.FIN[Nº  SS],Tb_DISTR.FIN[MAR.26],"",0,1),"")</f>
        <v>0</v>
      </c>
      <c r="AO39" s="156">
        <f>IFERROR(_xlfn.XLOOKUP(Tb_ValorSS[[#This Row],[Nº  SS]],Tb_DISTR.FIN[Nº  SS],Tb_DISTR.FIN[MAR.26],"",0,1)*Tb_ValorSS[[#This Row],[R$ APROVADO]],"")</f>
        <v>0</v>
      </c>
      <c r="AP39" s="157">
        <f>IFERROR(_xlfn.XLOOKUP(Tb_ValorSS[[#This Row],[Nº  SS]],Tb_DISTR.FIN[Nº  SS],Tb_DISTR.FIN[ABR.26],"",0,1),"")</f>
        <v>0.25</v>
      </c>
      <c r="AQ39" s="156">
        <f>IFERROR(_xlfn.XLOOKUP(Tb_ValorSS[[#This Row],[Nº  SS]],Tb_DISTR.FIN[Nº  SS],Tb_DISTR.FIN[ABR.26],"",0,1)*Tb_ValorSS[[#This Row],[R$ APROVADO]],"")</f>
        <v>116984.25670499999</v>
      </c>
      <c r="AR39" s="157">
        <f>IFERROR(_xlfn.XLOOKUP(Tb_ValorSS[[#This Row],[Nº  SS]],Tb_DISTR.FIN[Nº  SS],Tb_DISTR.FIN[MAI.26],"",0,1),"")</f>
        <v>0.23</v>
      </c>
      <c r="AS39" s="156">
        <f>IFERROR(_xlfn.XLOOKUP(Tb_ValorSS[[#This Row],[Nº  SS]],Tb_DISTR.FIN[Nº  SS],Tb_DISTR.FIN[MAI.26],"",0,1)*Tb_ValorSS[[#This Row],[R$ APROVADO]],"")</f>
        <v>107625.51616859999</v>
      </c>
      <c r="AT39" s="157">
        <f>IFERROR(_xlfn.XLOOKUP(Tb_ValorSS[[#This Row],[Nº  SS]],Tb_DISTR.FIN[Nº  SS],Tb_DISTR.FIN[JUN.26],"",0,1),"")</f>
        <v>0.13</v>
      </c>
      <c r="AU39" s="156">
        <f>IFERROR(_xlfn.XLOOKUP(Tb_ValorSS[[#This Row],[Nº  SS]],Tb_DISTR.FIN[Nº  SS],Tb_DISTR.FIN[JUN.26],"",0,1)*Tb_ValorSS[[#This Row],[R$ APROVADO]],"")</f>
        <v>60831.813486599996</v>
      </c>
      <c r="AV39" s="157">
        <f>IFERROR(_xlfn.XLOOKUP(Tb_ValorSS[[#This Row],[Nº  SS]],Tb_DISTR.FIN[Nº  SS],Tb_DISTR.FIN[JUL.26],"",0,1),"")</f>
        <v>0.13</v>
      </c>
      <c r="AW39" s="156">
        <f>IFERROR(_xlfn.XLOOKUP(Tb_ValorSS[[#This Row],[Nº  SS]],Tb_DISTR.FIN[Nº  SS],Tb_DISTR.FIN[JUL.26],"",0,1)*Tb_ValorSS[[#This Row],[R$ APROVADO]],"")</f>
        <v>60831.813486599996</v>
      </c>
      <c r="AX39" s="157">
        <f>IFERROR(_xlfn.XLOOKUP(Tb_ValorSS[[#This Row],[Nº  SS]],Tb_DISTR.FIN[Nº  SS],Tb_DISTR.FIN[AGO.26],"",0,1),"")</f>
        <v>0.16</v>
      </c>
      <c r="AY39" s="156">
        <f>IFERROR(_xlfn.XLOOKUP(Tb_ValorSS[[#This Row],[Nº  SS]],Tb_DISTR.FIN[Nº  SS],Tb_DISTR.FIN[AGO.26],"",0,1)*Tb_ValorSS[[#This Row],[R$ APROVADO]],"")</f>
        <v>74869.92429119999</v>
      </c>
      <c r="AZ39" s="157">
        <f>IFERROR(_xlfn.XLOOKUP(Tb_ValorSS[[#This Row],[Nº  SS]],Tb_DISTR.FIN[Nº  SS],Tb_DISTR.FIN[SET.26],"",0,1),"")</f>
        <v>0</v>
      </c>
      <c r="BA39" s="156">
        <f>IFERROR(_xlfn.XLOOKUP(Tb_ValorSS[[#This Row],[Nº  SS]],Tb_DISTR.FIN[Nº  SS],Tb_DISTR.FIN[SET.26],"",0,1)*Tb_ValorSS[[#This Row],[R$ APROVADO]],"")</f>
        <v>0</v>
      </c>
      <c r="BB39" s="157">
        <f>IFERROR(_xlfn.XLOOKUP(Tb_ValorSS[[#This Row],[Nº  SS]],Tb_DISTR.FIN[Nº  SS],Tb_DISTR.FIN[OUT.26],"",0,1),"")</f>
        <v>0</v>
      </c>
      <c r="BC39" s="156">
        <f>IFERROR(_xlfn.XLOOKUP(Tb_ValorSS[[#This Row],[Nº  SS]],Tb_DISTR.FIN[Nº  SS],Tb_DISTR.FIN[OUT.26],"",0,1)*Tb_ValorSS[[#This Row],[R$ APROVADO]],"")</f>
        <v>0</v>
      </c>
      <c r="BD39" s="157">
        <f>IFERROR(_xlfn.XLOOKUP(Tb_ValorSS[[#This Row],[Nº  SS]],Tb_DISTR.FIN[Nº  SS],Tb_DISTR.FIN[NOV.26],"",0,1),"")</f>
        <v>0</v>
      </c>
      <c r="BE39" s="156">
        <f>IFERROR(_xlfn.XLOOKUP(Tb_ValorSS[[#This Row],[Nº  SS]],Tb_DISTR.FIN[Nº  SS],Tb_DISTR.FIN[NOV.26],"",0,1)*Tb_ValorSS[[#This Row],[R$ APROVADO]],"")</f>
        <v>0</v>
      </c>
      <c r="BF39" s="157">
        <f>IFERROR(_xlfn.XLOOKUP(Tb_ValorSS[[#This Row],[Nº  SS]],Tb_DISTR.FIN[Nº  SS],Tb_DISTR.FIN[DEZ.26],"",0,1),"")</f>
        <v>0</v>
      </c>
      <c r="BG39" s="156">
        <f>IFERROR(_xlfn.XLOOKUP(Tb_ValorSS[[#This Row],[Nº  SS]],Tb_DISTR.FIN[Nº  SS],Tb_DISTR.FIN[DEZ.26],"",0,1)*Tb_ValorSS[[#This Row],[R$ APROVADO]],"")</f>
        <v>0</v>
      </c>
    </row>
    <row r="40" spans="1:59" s="96" customFormat="1" x14ac:dyDescent="0.3">
      <c r="A40" s="122" t="s">
        <v>531</v>
      </c>
      <c r="B40" s="122" t="str">
        <f>_xlfn.XLOOKUP(Tb_ValorSS[[#This Row],[Nº  SS]],tb_Distr[SS],tb_Distr[DESCRIÇÃO],"",0,1)</f>
        <v>GALPÃO K-56</v>
      </c>
      <c r="C40" s="122" t="str">
        <f>_xlfn.XLOOKUP(Tb_ValorSS[[#This Row],[Nº  SS]],TB_CR.ACOMP[Nº  SS],TB_CR.ACOMP[TOMADOR],"",0,1)</f>
        <v>UTGC</v>
      </c>
      <c r="D40" s="122" t="str">
        <f>_xlfn.XLOOKUP(Tb_ValorSS[[#This Row],[Nº  SS]],TB_CR.ACOMP[Nº  SS],TB_CR.ACOMP[STATUS DEMANDA],"",0,1)</f>
        <v>EM ANDAMENTO</v>
      </c>
      <c r="E40" s="235">
        <v>1905.24</v>
      </c>
      <c r="F40" s="155">
        <f>Tb_ValorSS[[#This Row],[UBR APROV]]*296.82</f>
        <v>565513.33679999993</v>
      </c>
      <c r="G40" s="235">
        <f>SUM(Tb_ValorSS[[#This Row],[SET.25]:[DEZ.26]])</f>
        <v>0</v>
      </c>
      <c r="H40" s="155">
        <f>Tb_ValorSS[[#This Row],[UBR MEDIDO]]*296.82</f>
        <v>0</v>
      </c>
      <c r="I40" s="155">
        <f>IF(ABS(Tb_ValorSS[[#This Row],[R$ APROVADO]]-Tb_ValorSS[[#This Row],[R$ MEDIDO ]])&lt;0.01,0,Tb_ValorSS[[#This Row],[R$ APROVADO]]-Tb_ValorSS[[#This Row],[R$ MEDIDO ]])</f>
        <v>565513.33679999993</v>
      </c>
      <c r="J40" s="458"/>
      <c r="K40" s="171"/>
      <c r="L40" s="172"/>
      <c r="M40" s="172"/>
      <c r="N40" s="172"/>
      <c r="O40" s="172"/>
      <c r="P40" s="172"/>
      <c r="Q40" s="172"/>
      <c r="R40" s="172"/>
      <c r="S40" s="172"/>
      <c r="T40" s="172"/>
      <c r="U40" s="172"/>
      <c r="V40" s="172"/>
      <c r="W40" s="172"/>
      <c r="X40" s="172"/>
      <c r="Y40" s="172"/>
      <c r="Z40" s="172"/>
      <c r="AA40" s="139"/>
      <c r="AB40" s="157">
        <f>IFERROR(_xlfn.XLOOKUP(Tb_ValorSS[[#This Row],[Nº  SS]],Tb_DISTR.FIN[Nº  SS],Tb_DISTR.FIN[OUT.25],"",0,1),"")</f>
        <v>0</v>
      </c>
      <c r="AC40" s="156">
        <f>IFERROR(_xlfn.XLOOKUP(Tb_ValorSS[[#This Row],[Nº  SS]],Tb_DISTR.FIN[Nº  SS],Tb_DISTR.FIN[SET.25],"",0,1)*Tb_ValorSS[[#This Row],[R$ APROVADO]],"")</f>
        <v>0</v>
      </c>
      <c r="AD40" s="157">
        <f>IFERROR(_xlfn.XLOOKUP(Tb_ValorSS[[#This Row],[Nº  SS]],Tb_DISTR.FIN[Nº  SS],Tb_DISTR.FIN[OUT.25],"",0,1),"")</f>
        <v>0</v>
      </c>
      <c r="AE40" s="156">
        <f>IFERROR(_xlfn.XLOOKUP(Tb_ValorSS[[#This Row],[Nº  SS]],Tb_DISTR.FIN[Nº  SS],Tb_DISTR.FIN[OUT.25],"",0,1)*Tb_ValorSS[[#This Row],[R$ APROVADO]],"")</f>
        <v>0</v>
      </c>
      <c r="AF40" s="157">
        <f>IFERROR(_xlfn.XLOOKUP(Tb_ValorSS[[#This Row],[Nº  SS]],Tb_DISTR.FIN[Nº  SS],Tb_DISTR.FIN[OUT.25],"",0,1),"")</f>
        <v>0</v>
      </c>
      <c r="AG40" s="156">
        <f>IFERROR(_xlfn.XLOOKUP(Tb_ValorSS[[#This Row],[Nº  SS]],Tb_DISTR.FIN[Nº  SS],Tb_DISTR.FIN[NOV.25],"",0,1)*Tb_ValorSS[[#This Row],[R$ APROVADO]],"")</f>
        <v>0</v>
      </c>
      <c r="AH40" s="157">
        <f>IFERROR(_xlfn.XLOOKUP(Tb_ValorSS[[#This Row],[Nº  SS]],Tb_DISTR.FIN[Nº  SS],Tb_DISTR.FIN[DEZ.25],"",0,1),"")</f>
        <v>0</v>
      </c>
      <c r="AI40" s="156">
        <f>IFERROR(_xlfn.XLOOKUP(Tb_ValorSS[[#This Row],[Nº  SS]],Tb_DISTR.FIN[Nº  SS],Tb_DISTR.FIN[DEZ.25],"",0,1)*Tb_ValorSS[[#This Row],[R$ APROVADO]],"")</f>
        <v>0</v>
      </c>
      <c r="AJ40" s="157">
        <f>IFERROR(_xlfn.XLOOKUP(Tb_ValorSS[[#This Row],[Nº  SS]],Tb_DISTR.FIN[Nº  SS],Tb_DISTR.FIN[JAN.26],"",0,1),"")</f>
        <v>0</v>
      </c>
      <c r="AK40" s="156">
        <f>IFERROR(_xlfn.XLOOKUP(Tb_ValorSS[[#This Row],[Nº  SS]],Tb_DISTR.FIN[Nº  SS],Tb_DISTR.FIN[JAN.26],"",0,1)*Tb_ValorSS[[#This Row],[R$ APROVADO]],"")</f>
        <v>0</v>
      </c>
      <c r="AL40" s="157">
        <f>IFERROR(_xlfn.XLOOKUP(Tb_ValorSS[[#This Row],[Nº  SS]],Tb_DISTR.FIN[Nº  SS],Tb_DISTR.FIN[FEV.26],"",0,1),"")</f>
        <v>0</v>
      </c>
      <c r="AM40" s="156">
        <f>IFERROR(_xlfn.XLOOKUP(Tb_ValorSS[[#This Row],[Nº  SS]],Tb_DISTR.FIN[Nº  SS],Tb_DISTR.FIN[FEV.26],"",0,1)*Tb_ValorSS[[#This Row],[R$ APROVADO]],"")</f>
        <v>0</v>
      </c>
      <c r="AN40" s="157">
        <f>IFERROR(_xlfn.XLOOKUP(Tb_ValorSS[[#This Row],[Nº  SS]],Tb_DISTR.FIN[Nº  SS],Tb_DISTR.FIN[MAR.26],"",0,1),"")</f>
        <v>0.1</v>
      </c>
      <c r="AO40" s="156">
        <f>IFERROR(_xlfn.XLOOKUP(Tb_ValorSS[[#This Row],[Nº  SS]],Tb_DISTR.FIN[Nº  SS],Tb_DISTR.FIN[MAR.26],"",0,1)*Tb_ValorSS[[#This Row],[R$ APROVADO]],"")</f>
        <v>56551.333679999996</v>
      </c>
      <c r="AP40" s="157">
        <f>IFERROR(_xlfn.XLOOKUP(Tb_ValorSS[[#This Row],[Nº  SS]],Tb_DISTR.FIN[Nº  SS],Tb_DISTR.FIN[ABR.26],"",0,1),"")</f>
        <v>0</v>
      </c>
      <c r="AQ40" s="156">
        <f>IFERROR(_xlfn.XLOOKUP(Tb_ValorSS[[#This Row],[Nº  SS]],Tb_DISTR.FIN[Nº  SS],Tb_DISTR.FIN[ABR.26],"",0,1)*Tb_ValorSS[[#This Row],[R$ APROVADO]],"")</f>
        <v>0</v>
      </c>
      <c r="AR40" s="157">
        <f>IFERROR(_xlfn.XLOOKUP(Tb_ValorSS[[#This Row],[Nº  SS]],Tb_DISTR.FIN[Nº  SS],Tb_DISTR.FIN[MAI.26],"",0,1),"")</f>
        <v>0.30000000000000004</v>
      </c>
      <c r="AS40" s="156">
        <f>IFERROR(_xlfn.XLOOKUP(Tb_ValorSS[[#This Row],[Nº  SS]],Tb_DISTR.FIN[Nº  SS],Tb_DISTR.FIN[MAI.26],"",0,1)*Tb_ValorSS[[#This Row],[R$ APROVADO]],"")</f>
        <v>169654.00104</v>
      </c>
      <c r="AT40" s="157">
        <f>IFERROR(_xlfn.XLOOKUP(Tb_ValorSS[[#This Row],[Nº  SS]],Tb_DISTR.FIN[Nº  SS],Tb_DISTR.FIN[JUN.26],"",0,1),"")</f>
        <v>0.15</v>
      </c>
      <c r="AU40" s="156">
        <f>IFERROR(_xlfn.XLOOKUP(Tb_ValorSS[[#This Row],[Nº  SS]],Tb_DISTR.FIN[Nº  SS],Tb_DISTR.FIN[JUN.26],"",0,1)*Tb_ValorSS[[#This Row],[R$ APROVADO]],"")</f>
        <v>84827.000519999987</v>
      </c>
      <c r="AV40" s="157">
        <f>IFERROR(_xlfn.XLOOKUP(Tb_ValorSS[[#This Row],[Nº  SS]],Tb_DISTR.FIN[Nº  SS],Tb_DISTR.FIN[JUL.26],"",0,1),"")</f>
        <v>0.2</v>
      </c>
      <c r="AW40" s="156">
        <f>IFERROR(_xlfn.XLOOKUP(Tb_ValorSS[[#This Row],[Nº  SS]],Tb_DISTR.FIN[Nº  SS],Tb_DISTR.FIN[JUL.26],"",0,1)*Tb_ValorSS[[#This Row],[R$ APROVADO]],"")</f>
        <v>113102.66735999999</v>
      </c>
      <c r="AX40" s="157">
        <f>IFERROR(_xlfn.XLOOKUP(Tb_ValorSS[[#This Row],[Nº  SS]],Tb_DISTR.FIN[Nº  SS],Tb_DISTR.FIN[AGO.26],"",0,1),"")</f>
        <v>0.25</v>
      </c>
      <c r="AY40" s="156">
        <f>IFERROR(_xlfn.XLOOKUP(Tb_ValorSS[[#This Row],[Nº  SS]],Tb_DISTR.FIN[Nº  SS],Tb_DISTR.FIN[AGO.26],"",0,1)*Tb_ValorSS[[#This Row],[R$ APROVADO]],"")</f>
        <v>141378.33419999998</v>
      </c>
      <c r="AZ40" s="157">
        <f>IFERROR(_xlfn.XLOOKUP(Tb_ValorSS[[#This Row],[Nº  SS]],Tb_DISTR.FIN[Nº  SS],Tb_DISTR.FIN[SET.26],"",0,1),"")</f>
        <v>0</v>
      </c>
      <c r="BA40" s="156">
        <f>IFERROR(_xlfn.XLOOKUP(Tb_ValorSS[[#This Row],[Nº  SS]],Tb_DISTR.FIN[Nº  SS],Tb_DISTR.FIN[SET.26],"",0,1)*Tb_ValorSS[[#This Row],[R$ APROVADO]],"")</f>
        <v>0</v>
      </c>
      <c r="BB40" s="157">
        <f>IFERROR(_xlfn.XLOOKUP(Tb_ValorSS[[#This Row],[Nº  SS]],Tb_DISTR.FIN[Nº  SS],Tb_DISTR.FIN[OUT.26],"",0,1),"")</f>
        <v>0</v>
      </c>
      <c r="BC40" s="156">
        <f>IFERROR(_xlfn.XLOOKUP(Tb_ValorSS[[#This Row],[Nº  SS]],Tb_DISTR.FIN[Nº  SS],Tb_DISTR.FIN[OUT.26],"",0,1)*Tb_ValorSS[[#This Row],[R$ APROVADO]],"")</f>
        <v>0</v>
      </c>
      <c r="BD40" s="157">
        <f>IFERROR(_xlfn.XLOOKUP(Tb_ValorSS[[#This Row],[Nº  SS]],Tb_DISTR.FIN[Nº  SS],Tb_DISTR.FIN[NOV.26],"",0,1),"")</f>
        <v>0</v>
      </c>
      <c r="BE40" s="156">
        <f>IFERROR(_xlfn.XLOOKUP(Tb_ValorSS[[#This Row],[Nº  SS]],Tb_DISTR.FIN[Nº  SS],Tb_DISTR.FIN[NOV.26],"",0,1)*Tb_ValorSS[[#This Row],[R$ APROVADO]],"")</f>
        <v>0</v>
      </c>
      <c r="BF40" s="157">
        <f>IFERROR(_xlfn.XLOOKUP(Tb_ValorSS[[#This Row],[Nº  SS]],Tb_DISTR.FIN[Nº  SS],Tb_DISTR.FIN[DEZ.26],"",0,1),"")</f>
        <v>0</v>
      </c>
      <c r="BG40" s="156">
        <f>IFERROR(_xlfn.XLOOKUP(Tb_ValorSS[[#This Row],[Nº  SS]],Tb_DISTR.FIN[Nº  SS],Tb_DISTR.FIN[DEZ.26],"",0,1)*Tb_ValorSS[[#This Row],[R$ APROVADO]],"")</f>
        <v>0</v>
      </c>
    </row>
    <row r="41" spans="1:59" s="96" customFormat="1" x14ac:dyDescent="0.3">
      <c r="A41" s="122" t="s">
        <v>532</v>
      </c>
      <c r="B41" s="122" t="str">
        <f>_xlfn.XLOOKUP(Tb_ValorSS[[#This Row],[Nº  SS]],tb_Distr[SS],tb_Distr[DESCRIÇÃO],"",0,1)</f>
        <v>GALPÃO K-26</v>
      </c>
      <c r="C41" s="122" t="str">
        <f>_xlfn.XLOOKUP(Tb_ValorSS[[#This Row],[Nº  SS]],TB_CR.ACOMP[Nº  SS],TB_CR.ACOMP[TOMADOR],"",0,1)</f>
        <v>UTGC</v>
      </c>
      <c r="D41" s="122" t="str">
        <f>_xlfn.XLOOKUP(Tb_ValorSS[[#This Row],[Nº  SS]],TB_CR.ACOMP[Nº  SS],TB_CR.ACOMP[STATUS DEMANDA],"",0,1)</f>
        <v>EM ANDAMENTO</v>
      </c>
      <c r="E41" s="235">
        <v>1174.1099999999999</v>
      </c>
      <c r="F41" s="155">
        <f>Tb_ValorSS[[#This Row],[UBR APROV]]*296.82</f>
        <v>348499.33019999997</v>
      </c>
      <c r="G41" s="235">
        <f>SUM(Tb_ValorSS[[#This Row],[SET.25]:[DEZ.26]])</f>
        <v>117.411</v>
      </c>
      <c r="H41" s="155">
        <f>Tb_ValorSS[[#This Row],[UBR MEDIDO]]*296.82</f>
        <v>34849.933019999997</v>
      </c>
      <c r="I41" s="155">
        <f>IF(ABS(Tb_ValorSS[[#This Row],[R$ APROVADO]]-Tb_ValorSS[[#This Row],[R$ MEDIDO ]])&lt;0.01,0,Tb_ValorSS[[#This Row],[R$ APROVADO]]-Tb_ValorSS[[#This Row],[R$ MEDIDO ]])</f>
        <v>313649.39717999997</v>
      </c>
      <c r="J41" s="144"/>
      <c r="K41" s="171"/>
      <c r="L41" s="172"/>
      <c r="M41" s="172"/>
      <c r="N41" s="172"/>
      <c r="O41" s="172"/>
      <c r="P41" s="172">
        <v>117.411</v>
      </c>
      <c r="Q41" s="172"/>
      <c r="R41" s="172"/>
      <c r="S41" s="172"/>
      <c r="T41" s="172"/>
      <c r="U41" s="172"/>
      <c r="V41" s="172"/>
      <c r="W41" s="172"/>
      <c r="X41" s="172"/>
      <c r="Y41" s="172"/>
      <c r="Z41" s="172"/>
      <c r="AA41" s="139"/>
      <c r="AB41" s="157">
        <f>IFERROR(_xlfn.XLOOKUP(Tb_ValorSS[[#This Row],[Nº  SS]],Tb_DISTR.FIN[Nº  SS],Tb_DISTR.FIN[OUT.25],"",0,1),"")</f>
        <v>0</v>
      </c>
      <c r="AC41" s="156">
        <f>IFERROR(_xlfn.XLOOKUP(Tb_ValorSS[[#This Row],[Nº  SS]],Tb_DISTR.FIN[Nº  SS],Tb_DISTR.FIN[SET.25],"",0,1)*Tb_ValorSS[[#This Row],[R$ APROVADO]],"")</f>
        <v>0</v>
      </c>
      <c r="AD41" s="157">
        <f>IFERROR(_xlfn.XLOOKUP(Tb_ValorSS[[#This Row],[Nº  SS]],Tb_DISTR.FIN[Nº  SS],Tb_DISTR.FIN[OUT.25],"",0,1),"")</f>
        <v>0</v>
      </c>
      <c r="AE41" s="156">
        <f>IFERROR(_xlfn.XLOOKUP(Tb_ValorSS[[#This Row],[Nº  SS]],Tb_DISTR.FIN[Nº  SS],Tb_DISTR.FIN[OUT.25],"",0,1)*Tb_ValorSS[[#This Row],[R$ APROVADO]],"")</f>
        <v>0</v>
      </c>
      <c r="AF41" s="157">
        <f>IFERROR(_xlfn.XLOOKUP(Tb_ValorSS[[#This Row],[Nº  SS]],Tb_DISTR.FIN[Nº  SS],Tb_DISTR.FIN[OUT.25],"",0,1),"")</f>
        <v>0</v>
      </c>
      <c r="AG41" s="156">
        <f>IFERROR(_xlfn.XLOOKUP(Tb_ValorSS[[#This Row],[Nº  SS]],Tb_DISTR.FIN[Nº  SS],Tb_DISTR.FIN[NOV.25],"",0,1)*Tb_ValorSS[[#This Row],[R$ APROVADO]],"")</f>
        <v>0</v>
      </c>
      <c r="AH41" s="157">
        <f>IFERROR(_xlfn.XLOOKUP(Tb_ValorSS[[#This Row],[Nº  SS]],Tb_DISTR.FIN[Nº  SS],Tb_DISTR.FIN[DEZ.25],"",0,1),"")</f>
        <v>0</v>
      </c>
      <c r="AI41" s="156">
        <f>IFERROR(_xlfn.XLOOKUP(Tb_ValorSS[[#This Row],[Nº  SS]],Tb_DISTR.FIN[Nº  SS],Tb_DISTR.FIN[DEZ.25],"",0,1)*Tb_ValorSS[[#This Row],[R$ APROVADO]],"")</f>
        <v>0</v>
      </c>
      <c r="AJ41" s="157">
        <f>IFERROR(_xlfn.XLOOKUP(Tb_ValorSS[[#This Row],[Nº  SS]],Tb_DISTR.FIN[Nº  SS],Tb_DISTR.FIN[JAN.26],"",0,1),"")</f>
        <v>0</v>
      </c>
      <c r="AK41" s="156">
        <f>IFERROR(_xlfn.XLOOKUP(Tb_ValorSS[[#This Row],[Nº  SS]],Tb_DISTR.FIN[Nº  SS],Tb_DISTR.FIN[JAN.26],"",0,1)*Tb_ValorSS[[#This Row],[R$ APROVADO]],"")</f>
        <v>0</v>
      </c>
      <c r="AL41" s="157">
        <f>IFERROR(_xlfn.XLOOKUP(Tb_ValorSS[[#This Row],[Nº  SS]],Tb_DISTR.FIN[Nº  SS],Tb_DISTR.FIN[FEV.26],"",0,1),"")</f>
        <v>0.1</v>
      </c>
      <c r="AM41" s="156">
        <f>IFERROR(_xlfn.XLOOKUP(Tb_ValorSS[[#This Row],[Nº  SS]],Tb_DISTR.FIN[Nº  SS],Tb_DISTR.FIN[FEV.26],"",0,1)*Tb_ValorSS[[#This Row],[R$ APROVADO]],"")</f>
        <v>34849.933019999997</v>
      </c>
      <c r="AN41" s="157">
        <f>IFERROR(_xlfn.XLOOKUP(Tb_ValorSS[[#This Row],[Nº  SS]],Tb_DISTR.FIN[Nº  SS],Tb_DISTR.FIN[MAR.26],"",0,1),"")</f>
        <v>0</v>
      </c>
      <c r="AO41" s="156">
        <f>IFERROR(_xlfn.XLOOKUP(Tb_ValorSS[[#This Row],[Nº  SS]],Tb_DISTR.FIN[Nº  SS],Tb_DISTR.FIN[MAR.26],"",0,1)*Tb_ValorSS[[#This Row],[R$ APROVADO]],"")</f>
        <v>0</v>
      </c>
      <c r="AP41" s="157">
        <f>IFERROR(_xlfn.XLOOKUP(Tb_ValorSS[[#This Row],[Nº  SS]],Tb_DISTR.FIN[Nº  SS],Tb_DISTR.FIN[ABR.26],"",0,1),"")</f>
        <v>0.2</v>
      </c>
      <c r="AQ41" s="156">
        <f>IFERROR(_xlfn.XLOOKUP(Tb_ValorSS[[#This Row],[Nº  SS]],Tb_DISTR.FIN[Nº  SS],Tb_DISTR.FIN[ABR.26],"",0,1)*Tb_ValorSS[[#This Row],[R$ APROVADO]],"")</f>
        <v>69699.866039999994</v>
      </c>
      <c r="AR41" s="157">
        <f>IFERROR(_xlfn.XLOOKUP(Tb_ValorSS[[#This Row],[Nº  SS]],Tb_DISTR.FIN[Nº  SS],Tb_DISTR.FIN[MAI.26],"",0,1),"")</f>
        <v>0.09</v>
      </c>
      <c r="AS41" s="156">
        <f>IFERROR(_xlfn.XLOOKUP(Tb_ValorSS[[#This Row],[Nº  SS]],Tb_DISTR.FIN[Nº  SS],Tb_DISTR.FIN[MAI.26],"",0,1)*Tb_ValorSS[[#This Row],[R$ APROVADO]],"")</f>
        <v>31364.939717999994</v>
      </c>
      <c r="AT41" s="157">
        <f>IFERROR(_xlfn.XLOOKUP(Tb_ValorSS[[#This Row],[Nº  SS]],Tb_DISTR.FIN[Nº  SS],Tb_DISTR.FIN[JUN.26],"",0,1),"")</f>
        <v>0.09</v>
      </c>
      <c r="AU41" s="156">
        <f>IFERROR(_xlfn.XLOOKUP(Tb_ValorSS[[#This Row],[Nº  SS]],Tb_DISTR.FIN[Nº  SS],Tb_DISTR.FIN[JUN.26],"",0,1)*Tb_ValorSS[[#This Row],[R$ APROVADO]],"")</f>
        <v>31364.939717999994</v>
      </c>
      <c r="AV41" s="157">
        <f>IFERROR(_xlfn.XLOOKUP(Tb_ValorSS[[#This Row],[Nº  SS]],Tb_DISTR.FIN[Nº  SS],Tb_DISTR.FIN[JUL.26],"",0,1),"")</f>
        <v>0.09</v>
      </c>
      <c r="AW41" s="156">
        <f>IFERROR(_xlfn.XLOOKUP(Tb_ValorSS[[#This Row],[Nº  SS]],Tb_DISTR.FIN[Nº  SS],Tb_DISTR.FIN[JUL.26],"",0,1)*Tb_ValorSS[[#This Row],[R$ APROVADO]],"")</f>
        <v>31364.939717999994</v>
      </c>
      <c r="AX41" s="157">
        <f>IFERROR(_xlfn.XLOOKUP(Tb_ValorSS[[#This Row],[Nº  SS]],Tb_DISTR.FIN[Nº  SS],Tb_DISTR.FIN[AGO.26],"",0,1),"")</f>
        <v>0.09</v>
      </c>
      <c r="AY41" s="156">
        <f>IFERROR(_xlfn.XLOOKUP(Tb_ValorSS[[#This Row],[Nº  SS]],Tb_DISTR.FIN[Nº  SS],Tb_DISTR.FIN[AGO.26],"",0,1)*Tb_ValorSS[[#This Row],[R$ APROVADO]],"")</f>
        <v>31364.939717999994</v>
      </c>
      <c r="AZ41" s="157">
        <f>IFERROR(_xlfn.XLOOKUP(Tb_ValorSS[[#This Row],[Nº  SS]],Tb_DISTR.FIN[Nº  SS],Tb_DISTR.FIN[SET.26],"",0,1),"")</f>
        <v>0.09</v>
      </c>
      <c r="BA41" s="156">
        <f>IFERROR(_xlfn.XLOOKUP(Tb_ValorSS[[#This Row],[Nº  SS]],Tb_DISTR.FIN[Nº  SS],Tb_DISTR.FIN[SET.26],"",0,1)*Tb_ValorSS[[#This Row],[R$ APROVADO]],"")</f>
        <v>31364.939717999994</v>
      </c>
      <c r="BB41" s="157">
        <f>IFERROR(_xlfn.XLOOKUP(Tb_ValorSS[[#This Row],[Nº  SS]],Tb_DISTR.FIN[Nº  SS],Tb_DISTR.FIN[OUT.26],"",0,1),"")</f>
        <v>0.08</v>
      </c>
      <c r="BC41" s="156">
        <f>IFERROR(_xlfn.XLOOKUP(Tb_ValorSS[[#This Row],[Nº  SS]],Tb_DISTR.FIN[Nº  SS],Tb_DISTR.FIN[OUT.26],"",0,1)*Tb_ValorSS[[#This Row],[R$ APROVADO]],"")</f>
        <v>27879.946415999999</v>
      </c>
      <c r="BD41" s="157">
        <f>IFERROR(_xlfn.XLOOKUP(Tb_ValorSS[[#This Row],[Nº  SS]],Tb_DISTR.FIN[Nº  SS],Tb_DISTR.FIN[NOV.26],"",0,1),"")</f>
        <v>0.17</v>
      </c>
      <c r="BE41" s="156">
        <f>IFERROR(_xlfn.XLOOKUP(Tb_ValorSS[[#This Row],[Nº  SS]],Tb_DISTR.FIN[Nº  SS],Tb_DISTR.FIN[NOV.26],"",0,1)*Tb_ValorSS[[#This Row],[R$ APROVADO]],"")</f>
        <v>59244.886134</v>
      </c>
      <c r="BF41" s="157">
        <f>IFERROR(_xlfn.XLOOKUP(Tb_ValorSS[[#This Row],[Nº  SS]],Tb_DISTR.FIN[Nº  SS],Tb_DISTR.FIN[DEZ.26],"",0,1),"")</f>
        <v>0</v>
      </c>
      <c r="BG41" s="156">
        <f>IFERROR(_xlfn.XLOOKUP(Tb_ValorSS[[#This Row],[Nº  SS]],Tb_DISTR.FIN[Nº  SS],Tb_DISTR.FIN[DEZ.26],"",0,1)*Tb_ValorSS[[#This Row],[R$ APROVADO]],"")</f>
        <v>0</v>
      </c>
    </row>
    <row r="42" spans="1:59" hidden="1" x14ac:dyDescent="0.3">
      <c r="A42" s="466" t="s">
        <v>621</v>
      </c>
      <c r="B42" s="466" t="str">
        <f>_xlfn.XLOOKUP(Tb_ValorSS[[#This Row],[Nº  SS]],tb_Distr[SS],tb_Distr[DESCRIÇÃO],"",0,1)</f>
        <v>TELHADO K-24</v>
      </c>
      <c r="C42" s="123" t="str">
        <f>_xlfn.XLOOKUP(Tb_ValorSS[[#This Row],[Nº  SS]],TB_CR.ACOMP[Nº  SS],TB_CR.ACOMP[TOMADOR],"",0,1)</f>
        <v>UTGC</v>
      </c>
      <c r="D42" s="466" t="str">
        <f>_xlfn.XLOOKUP(Tb_ValorSS[[#This Row],[Nº  SS]],TB_CR.ACOMP[Nº  SS],TB_CR.ACOMP[STATUS DEMANDA],"",0,1)</f>
        <v>ON HOLD</v>
      </c>
      <c r="E42" s="467"/>
      <c r="F42" s="468">
        <f>Tb_ValorSS[[#This Row],[UBR APROV]]*296.82</f>
        <v>0</v>
      </c>
      <c r="G42" s="469">
        <f>SUM(Tb_ValorSS[[#This Row],[SET.25]:[DEZ.26]])</f>
        <v>0</v>
      </c>
      <c r="H42" s="468">
        <f>Tb_ValorSS[[#This Row],[UBR MEDIDO]]*296.82</f>
        <v>0</v>
      </c>
      <c r="I42" s="468">
        <f>IF(ABS(Tb_ValorSS[[#This Row],[R$ APROVADO]]-Tb_ValorSS[[#This Row],[R$ MEDIDO ]])&lt;0.01,0,Tb_ValorSS[[#This Row],[R$ APROVADO]]-Tb_ValorSS[[#This Row],[R$ MEDIDO ]])</f>
        <v>0</v>
      </c>
      <c r="J42" s="143"/>
      <c r="K42" s="464"/>
      <c r="L42" s="464"/>
      <c r="M42" s="464"/>
      <c r="N42" s="464"/>
      <c r="O42" s="464"/>
      <c r="P42" s="464"/>
      <c r="Q42" s="464"/>
      <c r="R42" s="464"/>
      <c r="S42" s="464"/>
      <c r="T42" s="464"/>
      <c r="U42" s="464"/>
      <c r="V42" s="464"/>
      <c r="W42" s="464"/>
      <c r="X42" s="464"/>
      <c r="Y42" s="464"/>
      <c r="Z42" s="464"/>
      <c r="AA42" s="470"/>
      <c r="AB42" s="127">
        <f>IFERROR(_xlfn.XLOOKUP(Tb_ValorSS[[#This Row],[Nº  SS]],Tb_DISTR.FIN[Nº  SS],Tb_DISTR.FIN[OUT.25],"",0,1),"")</f>
        <v>0</v>
      </c>
      <c r="AC42" s="125">
        <f>IFERROR(_xlfn.XLOOKUP(Tb_ValorSS[[#This Row],[Nº  SS]],Tb_DISTR.FIN[Nº  SS],Tb_DISTR.FIN[SET.25],"",0,1)*Tb_ValorSS[[#This Row],[R$ APROVADO]],"")</f>
        <v>0</v>
      </c>
      <c r="AD42" s="127">
        <f>IFERROR(_xlfn.XLOOKUP(Tb_ValorSS[[#This Row],[Nº  SS]],Tb_DISTR.FIN[Nº  SS],Tb_DISTR.FIN[OUT.25],"",0,1),"")</f>
        <v>0</v>
      </c>
      <c r="AE42" s="125">
        <f>IFERROR(_xlfn.XLOOKUP(Tb_ValorSS[[#This Row],[Nº  SS]],Tb_DISTR.FIN[Nº  SS],Tb_DISTR.FIN[OUT.25],"",0,1)*Tb_ValorSS[[#This Row],[R$ APROVADO]],"")</f>
        <v>0</v>
      </c>
      <c r="AF42" s="127">
        <f>IFERROR(_xlfn.XLOOKUP(Tb_ValorSS[[#This Row],[Nº  SS]],Tb_DISTR.FIN[Nº  SS],Tb_DISTR.FIN[OUT.25],"",0,1),"")</f>
        <v>0</v>
      </c>
      <c r="AG42" s="125">
        <f>IFERROR(_xlfn.XLOOKUP(Tb_ValorSS[[#This Row],[Nº  SS]],Tb_DISTR.FIN[Nº  SS],Tb_DISTR.FIN[NOV.25],"",0,1)*Tb_ValorSS[[#This Row],[R$ APROVADO]],"")</f>
        <v>0</v>
      </c>
      <c r="AH42" s="127">
        <f>IFERROR(_xlfn.XLOOKUP(Tb_ValorSS[[#This Row],[Nº  SS]],Tb_DISTR.FIN[Nº  SS],Tb_DISTR.FIN[DEZ.25],"",0,1),"")</f>
        <v>0</v>
      </c>
      <c r="AI42" s="125">
        <f>IFERROR(_xlfn.XLOOKUP(Tb_ValorSS[[#This Row],[Nº  SS]],Tb_DISTR.FIN[Nº  SS],Tb_DISTR.FIN[DEZ.25],"",0,1)*Tb_ValorSS[[#This Row],[R$ APROVADO]],"")</f>
        <v>0</v>
      </c>
      <c r="AJ42" s="127">
        <f>IFERROR(_xlfn.XLOOKUP(Tb_ValorSS[[#This Row],[Nº  SS]],Tb_DISTR.FIN[Nº  SS],Tb_DISTR.FIN[JAN.26],"",0,1),"")</f>
        <v>0</v>
      </c>
      <c r="AK42" s="125">
        <f>IFERROR(_xlfn.XLOOKUP(Tb_ValorSS[[#This Row],[Nº  SS]],Tb_DISTR.FIN[Nº  SS],Tb_DISTR.FIN[JAN.26],"",0,1)*Tb_ValorSS[[#This Row],[R$ APROVADO]],"")</f>
        <v>0</v>
      </c>
      <c r="AL42" s="127">
        <f>IFERROR(_xlfn.XLOOKUP(Tb_ValorSS[[#This Row],[Nº  SS]],Tb_DISTR.FIN[Nº  SS],Tb_DISTR.FIN[FEV.26],"",0,1),"")</f>
        <v>0</v>
      </c>
      <c r="AM42" s="125">
        <f>IFERROR(_xlfn.XLOOKUP(Tb_ValorSS[[#This Row],[Nº  SS]],Tb_DISTR.FIN[Nº  SS],Tb_DISTR.FIN[FEV.26],"",0,1)*Tb_ValorSS[[#This Row],[R$ APROVADO]],"")</f>
        <v>0</v>
      </c>
      <c r="AN42" s="127">
        <f>IFERROR(_xlfn.XLOOKUP(Tb_ValorSS[[#This Row],[Nº  SS]],Tb_DISTR.FIN[Nº  SS],Tb_DISTR.FIN[MAR.26],"",0,1),"")</f>
        <v>0</v>
      </c>
      <c r="AO42" s="125">
        <f>IFERROR(_xlfn.XLOOKUP(Tb_ValorSS[[#This Row],[Nº  SS]],Tb_DISTR.FIN[Nº  SS],Tb_DISTR.FIN[MAR.26],"",0,1)*Tb_ValorSS[[#This Row],[R$ APROVADO]],"")</f>
        <v>0</v>
      </c>
      <c r="AP42" s="127">
        <f>IFERROR(_xlfn.XLOOKUP(Tb_ValorSS[[#This Row],[Nº  SS]],Tb_DISTR.FIN[Nº  SS],Tb_DISTR.FIN[ABR.26],"",0,1),"")</f>
        <v>0</v>
      </c>
      <c r="AQ42" s="125">
        <f>IFERROR(_xlfn.XLOOKUP(Tb_ValorSS[[#This Row],[Nº  SS]],Tb_DISTR.FIN[Nº  SS],Tb_DISTR.FIN[ABR.26],"",0,1)*Tb_ValorSS[[#This Row],[R$ APROVADO]],"")</f>
        <v>0</v>
      </c>
      <c r="AR42" s="127">
        <f>IFERROR(_xlfn.XLOOKUP(Tb_ValorSS[[#This Row],[Nº  SS]],Tb_DISTR.FIN[Nº  SS],Tb_DISTR.FIN[MAI.26],"",0,1),"")</f>
        <v>0</v>
      </c>
      <c r="AS42" s="125">
        <f>IFERROR(_xlfn.XLOOKUP(Tb_ValorSS[[#This Row],[Nº  SS]],Tb_DISTR.FIN[Nº  SS],Tb_DISTR.FIN[MAI.26],"",0,1)*Tb_ValorSS[[#This Row],[R$ APROVADO]],"")</f>
        <v>0</v>
      </c>
      <c r="AT42" s="127">
        <f>IFERROR(_xlfn.XLOOKUP(Tb_ValorSS[[#This Row],[Nº  SS]],Tb_DISTR.FIN[Nº  SS],Tb_DISTR.FIN[JUN.26],"",0,1),"")</f>
        <v>0</v>
      </c>
      <c r="AU42" s="125">
        <f>IFERROR(_xlfn.XLOOKUP(Tb_ValorSS[[#This Row],[Nº  SS]],Tb_DISTR.FIN[Nº  SS],Tb_DISTR.FIN[JUN.26],"",0,1)*Tb_ValorSS[[#This Row],[R$ APROVADO]],"")</f>
        <v>0</v>
      </c>
      <c r="AV42" s="127">
        <f>IFERROR(_xlfn.XLOOKUP(Tb_ValorSS[[#This Row],[Nº  SS]],Tb_DISTR.FIN[Nº  SS],Tb_DISTR.FIN[JUL.26],"",0,1),"")</f>
        <v>0</v>
      </c>
      <c r="AW42" s="125">
        <f>IFERROR(_xlfn.XLOOKUP(Tb_ValorSS[[#This Row],[Nº  SS]],Tb_DISTR.FIN[Nº  SS],Tb_DISTR.FIN[JUL.26],"",0,1)*Tb_ValorSS[[#This Row],[R$ APROVADO]],"")</f>
        <v>0</v>
      </c>
      <c r="AX42" s="127">
        <f>IFERROR(_xlfn.XLOOKUP(Tb_ValorSS[[#This Row],[Nº  SS]],Tb_DISTR.FIN[Nº  SS],Tb_DISTR.FIN[AGO.26],"",0,1),"")</f>
        <v>0</v>
      </c>
      <c r="AY42" s="125">
        <f>IFERROR(_xlfn.XLOOKUP(Tb_ValorSS[[#This Row],[Nº  SS]],Tb_DISTR.FIN[Nº  SS],Tb_DISTR.FIN[AGO.26],"",0,1)*Tb_ValorSS[[#This Row],[R$ APROVADO]],"")</f>
        <v>0</v>
      </c>
      <c r="AZ42" s="127">
        <f>IFERROR(_xlfn.XLOOKUP(Tb_ValorSS[[#This Row],[Nº  SS]],Tb_DISTR.FIN[Nº  SS],Tb_DISTR.FIN[SET.26],"",0,1),"")</f>
        <v>0</v>
      </c>
      <c r="BA42" s="125">
        <f>IFERROR(_xlfn.XLOOKUP(Tb_ValorSS[[#This Row],[Nº  SS]],Tb_DISTR.FIN[Nº  SS],Tb_DISTR.FIN[SET.26],"",0,1)*Tb_ValorSS[[#This Row],[R$ APROVADO]],"")</f>
        <v>0</v>
      </c>
      <c r="BB42" s="127">
        <f>IFERROR(_xlfn.XLOOKUP(Tb_ValorSS[[#This Row],[Nº  SS]],Tb_DISTR.FIN[Nº  SS],Tb_DISTR.FIN[OUT.26],"",0,1),"")</f>
        <v>0</v>
      </c>
      <c r="BC42" s="125">
        <f>IFERROR(_xlfn.XLOOKUP(Tb_ValorSS[[#This Row],[Nº  SS]],Tb_DISTR.FIN[Nº  SS],Tb_DISTR.FIN[OUT.26],"",0,1)*Tb_ValorSS[[#This Row],[R$ APROVADO]],"")</f>
        <v>0</v>
      </c>
      <c r="BD42" s="127">
        <f>IFERROR(_xlfn.XLOOKUP(Tb_ValorSS[[#This Row],[Nº  SS]],Tb_DISTR.FIN[Nº  SS],Tb_DISTR.FIN[NOV.26],"",0,1),"")</f>
        <v>0</v>
      </c>
      <c r="BE42" s="125">
        <f>IFERROR(_xlfn.XLOOKUP(Tb_ValorSS[[#This Row],[Nº  SS]],Tb_DISTR.FIN[Nº  SS],Tb_DISTR.FIN[NOV.26],"",0,1)*Tb_ValorSS[[#This Row],[R$ APROVADO]],"")</f>
        <v>0</v>
      </c>
      <c r="BF42" s="127">
        <f>IFERROR(_xlfn.XLOOKUP(Tb_ValorSS[[#This Row],[Nº  SS]],Tb_DISTR.FIN[Nº  SS],Tb_DISTR.FIN[DEZ.26],"",0,1),"")</f>
        <v>0</v>
      </c>
      <c r="BG42" s="125">
        <f>IFERROR(_xlfn.XLOOKUP(Tb_ValorSS[[#This Row],[Nº  SS]],Tb_DISTR.FIN[Nº  SS],Tb_DISTR.FIN[DEZ.26],"",0,1)*Tb_ValorSS[[#This Row],[R$ APROVADO]],"")</f>
        <v>0</v>
      </c>
    </row>
    <row r="43" spans="1:59" x14ac:dyDescent="0.3">
      <c r="A43" t="s">
        <v>642</v>
      </c>
      <c r="B43" t="str">
        <f>_xlfn.XLOOKUP(Tb_ValorSS[[#This Row],[Nº  SS]],tb_Distr[SS],tb_Distr[DESCRIÇÃO],"",0,1)</f>
        <v>CHILLERS</v>
      </c>
      <c r="C43" t="s">
        <v>87</v>
      </c>
      <c r="D43" t="str">
        <f>_xlfn.XLOOKUP(Tb_ValorSS[[#This Row],[Nº  SS]],TB_CR.ACOMP[Nº  SS],TB_CR.ACOMP[STATUS DEMANDA],"",0,1)</f>
        <v>EM ANDAMENTO</v>
      </c>
      <c r="E43" s="233">
        <v>1402.702</v>
      </c>
      <c r="F43" s="94">
        <f>Tb_ValorSS[[#This Row],[UBR APROV]]*296.82</f>
        <v>416350.00763999997</v>
      </c>
      <c r="G43" s="463">
        <f>SUM(Tb_ValorSS[[#This Row],[SET.25]:[DEZ.26]])</f>
        <v>0</v>
      </c>
      <c r="H43" s="94">
        <f>Tb_ValorSS[[#This Row],[UBR MEDIDO]]*296.82</f>
        <v>0</v>
      </c>
      <c r="I43" s="94">
        <f>IF(ABS(Tb_ValorSS[[#This Row],[R$ APROVADO]]-Tb_ValorSS[[#This Row],[R$ MEDIDO ]])&lt;0.01,0,Tb_ValorSS[[#This Row],[R$ APROVADO]]-Tb_ValorSS[[#This Row],[R$ MEDIDO ]])</f>
        <v>416350.00763999997</v>
      </c>
      <c r="J43" s="143"/>
      <c r="K43" s="464"/>
      <c r="L43" s="464"/>
      <c r="M43" s="464"/>
      <c r="N43" s="464"/>
      <c r="O43" s="464"/>
      <c r="P43" s="464"/>
      <c r="Q43" s="464"/>
      <c r="R43" s="464"/>
      <c r="S43" s="464"/>
      <c r="T43" s="464"/>
      <c r="U43" s="464"/>
      <c r="V43" s="464"/>
      <c r="W43" s="464"/>
      <c r="X43" s="464"/>
      <c r="Y43" s="464"/>
      <c r="Z43" s="464"/>
      <c r="AA43" s="139"/>
      <c r="AB43" s="157">
        <f>IFERROR(_xlfn.XLOOKUP(Tb_ValorSS[[#This Row],[Nº  SS]],Tb_DISTR.FIN[Nº  SS],Tb_DISTR.FIN[OUT.25],"",0,1),"")</f>
        <v>0</v>
      </c>
      <c r="AC43" s="156">
        <f>IFERROR(_xlfn.XLOOKUP(Tb_ValorSS[[#This Row],[Nº  SS]],Tb_DISTR.FIN[Nº  SS],Tb_DISTR.FIN[SET.25],"",0,1)*Tb_ValorSS[[#This Row],[R$ APROVADO]],"")</f>
        <v>0</v>
      </c>
      <c r="AD43" s="157">
        <f>IFERROR(_xlfn.XLOOKUP(Tb_ValorSS[[#This Row],[Nº  SS]],Tb_DISTR.FIN[Nº  SS],Tb_DISTR.FIN[OUT.25],"",0,1),"")</f>
        <v>0</v>
      </c>
      <c r="AE43" s="156">
        <f>IFERROR(_xlfn.XLOOKUP(Tb_ValorSS[[#This Row],[Nº  SS]],Tb_DISTR.FIN[Nº  SS],Tb_DISTR.FIN[OUT.25],"",0,1)*Tb_ValorSS[[#This Row],[R$ APROVADO]],"")</f>
        <v>0</v>
      </c>
      <c r="AF43" s="157">
        <f>IFERROR(_xlfn.XLOOKUP(Tb_ValorSS[[#This Row],[Nº  SS]],Tb_DISTR.FIN[Nº  SS],Tb_DISTR.FIN[OUT.25],"",0,1),"")</f>
        <v>0</v>
      </c>
      <c r="AG43" s="156">
        <f>IFERROR(_xlfn.XLOOKUP(Tb_ValorSS[[#This Row],[Nº  SS]],Tb_DISTR.FIN[Nº  SS],Tb_DISTR.FIN[NOV.25],"",0,1)*Tb_ValorSS[[#This Row],[R$ APROVADO]],"")</f>
        <v>0</v>
      </c>
      <c r="AH43" s="157">
        <f>IFERROR(_xlfn.XLOOKUP(Tb_ValorSS[[#This Row],[Nº  SS]],Tb_DISTR.FIN[Nº  SS],Tb_DISTR.FIN[DEZ.25],"",0,1),"")</f>
        <v>0</v>
      </c>
      <c r="AI43" s="156">
        <f>IFERROR(_xlfn.XLOOKUP(Tb_ValorSS[[#This Row],[Nº  SS]],Tb_DISTR.FIN[Nº  SS],Tb_DISTR.FIN[DEZ.25],"",0,1)*Tb_ValorSS[[#This Row],[R$ APROVADO]],"")</f>
        <v>0</v>
      </c>
      <c r="AJ43" s="157">
        <f>IFERROR(_xlfn.XLOOKUP(Tb_ValorSS[[#This Row],[Nº  SS]],Tb_DISTR.FIN[Nº  SS],Tb_DISTR.FIN[JAN.26],"",0,1),"")</f>
        <v>0</v>
      </c>
      <c r="AK43" s="156">
        <f>IFERROR(_xlfn.XLOOKUP(Tb_ValorSS[[#This Row],[Nº  SS]],Tb_DISTR.FIN[Nº  SS],Tb_DISTR.FIN[JAN.26],"",0,1)*Tb_ValorSS[[#This Row],[R$ APROVADO]],"")</f>
        <v>0</v>
      </c>
      <c r="AL43" s="157">
        <f>IFERROR(_xlfn.XLOOKUP(Tb_ValorSS[[#This Row],[Nº  SS]],Tb_DISTR.FIN[Nº  SS],Tb_DISTR.FIN[FEV.26],"",0,1),"")</f>
        <v>0</v>
      </c>
      <c r="AM43" s="156">
        <f>IFERROR(_xlfn.XLOOKUP(Tb_ValorSS[[#This Row],[Nº  SS]],Tb_DISTR.FIN[Nº  SS],Tb_DISTR.FIN[FEV.26],"",0,1)*Tb_ValorSS[[#This Row],[R$ APROVADO]],"")</f>
        <v>0</v>
      </c>
      <c r="AN43" s="157">
        <f>IFERROR(_xlfn.XLOOKUP(Tb_ValorSS[[#This Row],[Nº  SS]],Tb_DISTR.FIN[Nº  SS],Tb_DISTR.FIN[MAR.26],"",0,1),"")</f>
        <v>0.1</v>
      </c>
      <c r="AO43" s="156">
        <f>IFERROR(_xlfn.XLOOKUP(Tb_ValorSS[[#This Row],[Nº  SS]],Tb_DISTR.FIN[Nº  SS],Tb_DISTR.FIN[MAR.26],"",0,1)*Tb_ValorSS[[#This Row],[R$ APROVADO]],"")</f>
        <v>41635.000763999997</v>
      </c>
      <c r="AP43" s="157">
        <f>IFERROR(_xlfn.XLOOKUP(Tb_ValorSS[[#This Row],[Nº  SS]],Tb_DISTR.FIN[Nº  SS],Tb_DISTR.FIN[ABR.26],"",0,1),"")</f>
        <v>0.2</v>
      </c>
      <c r="AQ43" s="156">
        <f>IFERROR(_xlfn.XLOOKUP(Tb_ValorSS[[#This Row],[Nº  SS]],Tb_DISTR.FIN[Nº  SS],Tb_DISTR.FIN[ABR.26],"",0,1)*Tb_ValorSS[[#This Row],[R$ APROVADO]],"")</f>
        <v>83270.001527999993</v>
      </c>
      <c r="AR43" s="157">
        <f>IFERROR(_xlfn.XLOOKUP(Tb_ValorSS[[#This Row],[Nº  SS]],Tb_DISTR.FIN[Nº  SS],Tb_DISTR.FIN[MAI.26],"",0,1),"")</f>
        <v>0.15</v>
      </c>
      <c r="AS43" s="156">
        <f>IFERROR(_xlfn.XLOOKUP(Tb_ValorSS[[#This Row],[Nº  SS]],Tb_DISTR.FIN[Nº  SS],Tb_DISTR.FIN[MAI.26],"",0,1)*Tb_ValorSS[[#This Row],[R$ APROVADO]],"")</f>
        <v>62452.501145999995</v>
      </c>
      <c r="AT43" s="157">
        <f>IFERROR(_xlfn.XLOOKUP(Tb_ValorSS[[#This Row],[Nº  SS]],Tb_DISTR.FIN[Nº  SS],Tb_DISTR.FIN[JUN.26],"",0,1),"")</f>
        <v>0.15</v>
      </c>
      <c r="AU43" s="156">
        <f>IFERROR(_xlfn.XLOOKUP(Tb_ValorSS[[#This Row],[Nº  SS]],Tb_DISTR.FIN[Nº  SS],Tb_DISTR.FIN[JUN.26],"",0,1)*Tb_ValorSS[[#This Row],[R$ APROVADO]],"")</f>
        <v>62452.501145999995</v>
      </c>
      <c r="AV43" s="157">
        <f>IFERROR(_xlfn.XLOOKUP(Tb_ValorSS[[#This Row],[Nº  SS]],Tb_DISTR.FIN[Nº  SS],Tb_DISTR.FIN[JUL.26],"",0,1),"")</f>
        <v>0.15</v>
      </c>
      <c r="AW43" s="156">
        <f>IFERROR(_xlfn.XLOOKUP(Tb_ValorSS[[#This Row],[Nº  SS]],Tb_DISTR.FIN[Nº  SS],Tb_DISTR.FIN[JUL.26],"",0,1)*Tb_ValorSS[[#This Row],[R$ APROVADO]],"")</f>
        <v>62452.501145999995</v>
      </c>
      <c r="AX43" s="157">
        <f>IFERROR(_xlfn.XLOOKUP(Tb_ValorSS[[#This Row],[Nº  SS]],Tb_DISTR.FIN[Nº  SS],Tb_DISTR.FIN[AGO.26],"",0,1),"")</f>
        <v>0.15</v>
      </c>
      <c r="AY43" s="156">
        <f>IFERROR(_xlfn.XLOOKUP(Tb_ValorSS[[#This Row],[Nº  SS]],Tb_DISTR.FIN[Nº  SS],Tb_DISTR.FIN[AGO.26],"",0,1)*Tb_ValorSS[[#This Row],[R$ APROVADO]],"")</f>
        <v>62452.501145999995</v>
      </c>
      <c r="AZ43" s="157">
        <f>IFERROR(_xlfn.XLOOKUP(Tb_ValorSS[[#This Row],[Nº  SS]],Tb_DISTR.FIN[Nº  SS],Tb_DISTR.FIN[SET.26],"",0,1),"")</f>
        <v>0.1</v>
      </c>
      <c r="BA43" s="156">
        <f>IFERROR(_xlfn.XLOOKUP(Tb_ValorSS[[#This Row],[Nº  SS]],Tb_DISTR.FIN[Nº  SS],Tb_DISTR.FIN[SET.26],"",0,1)*Tb_ValorSS[[#This Row],[R$ APROVADO]],"")</f>
        <v>41635.000763999997</v>
      </c>
      <c r="BB43" s="157">
        <f>IFERROR(_xlfn.XLOOKUP(Tb_ValorSS[[#This Row],[Nº  SS]],Tb_DISTR.FIN[Nº  SS],Tb_DISTR.FIN[OUT.26],"",0,1),"")</f>
        <v>0</v>
      </c>
      <c r="BC43" s="156">
        <f>IFERROR(_xlfn.XLOOKUP(Tb_ValorSS[[#This Row],[Nº  SS]],Tb_DISTR.FIN[Nº  SS],Tb_DISTR.FIN[OUT.26],"",0,1)*Tb_ValorSS[[#This Row],[R$ APROVADO]],"")</f>
        <v>0</v>
      </c>
      <c r="BD43" s="157">
        <f>IFERROR(_xlfn.XLOOKUP(Tb_ValorSS[[#This Row],[Nº  SS]],Tb_DISTR.FIN[Nº  SS],Tb_DISTR.FIN[NOV.26],"",0,1),"")</f>
        <v>0</v>
      </c>
      <c r="BE43" s="156">
        <f>IFERROR(_xlfn.XLOOKUP(Tb_ValorSS[[#This Row],[Nº  SS]],Tb_DISTR.FIN[Nº  SS],Tb_DISTR.FIN[NOV.26],"",0,1)*Tb_ValorSS[[#This Row],[R$ APROVADO]],"")</f>
        <v>0</v>
      </c>
      <c r="BF43" s="157">
        <f>IFERROR(_xlfn.XLOOKUP(Tb_ValorSS[[#This Row],[Nº  SS]],Tb_DISTR.FIN[Nº  SS],Tb_DISTR.FIN[DEZ.26],"",0,1),"")</f>
        <v>0</v>
      </c>
      <c r="BG43" s="156">
        <f>IFERROR(_xlfn.XLOOKUP(Tb_ValorSS[[#This Row],[Nº  SS]],Tb_DISTR.FIN[Nº  SS],Tb_DISTR.FIN[DEZ.26],"",0,1)*Tb_ValorSS[[#This Row],[R$ APROVADO]],"")</f>
        <v>0</v>
      </c>
    </row>
    <row r="44" spans="1:59" hidden="1" x14ac:dyDescent="0.3">
      <c r="A44" s="466" t="s">
        <v>624</v>
      </c>
      <c r="B44" s="466" t="str">
        <f>_xlfn.XLOOKUP(Tb_ValorSS[[#This Row],[Nº  SS]],tb_Distr[SS],tb_Distr[DESCRIÇÃO],"",0,1)</f>
        <v>CLIMATIZAÇÃO K-24</v>
      </c>
      <c r="C44" s="123" t="str">
        <f>_xlfn.XLOOKUP(Tb_ValorSS[[#This Row],[Nº  SS]],TB_CR.ACOMP[Nº  SS],TB_CR.ACOMP[TOMADOR],"",0,1)</f>
        <v>UTGC</v>
      </c>
      <c r="D44" s="466" t="str">
        <f>_xlfn.XLOOKUP(Tb_ValorSS[[#This Row],[Nº  SS]],TB_CR.ACOMP[Nº  SS],TB_CR.ACOMP[STATUS DEMANDA],"",0,1)</f>
        <v>ON HOLD</v>
      </c>
      <c r="E44" s="467"/>
      <c r="F44" s="468">
        <f>Tb_ValorSS[[#This Row],[UBR APROV]]*296.82</f>
        <v>0</v>
      </c>
      <c r="G44" s="469">
        <f>SUM(Tb_ValorSS[[#This Row],[SET.25]:[DEZ.26]])</f>
        <v>0</v>
      </c>
      <c r="H44" s="468">
        <f>Tb_ValorSS[[#This Row],[UBR MEDIDO]]*296.82</f>
        <v>0</v>
      </c>
      <c r="I44" s="468">
        <f>IF(ABS(Tb_ValorSS[[#This Row],[R$ APROVADO]]-Tb_ValorSS[[#This Row],[R$ MEDIDO ]])&lt;0.01,0,Tb_ValorSS[[#This Row],[R$ APROVADO]]-Tb_ValorSS[[#This Row],[R$ MEDIDO ]])</f>
        <v>0</v>
      </c>
      <c r="J44" s="143"/>
      <c r="K44" s="464"/>
      <c r="L44" s="464"/>
      <c r="M44" s="464"/>
      <c r="N44" s="464"/>
      <c r="O44" s="464"/>
      <c r="P44" s="464"/>
      <c r="Q44" s="464"/>
      <c r="R44" s="464"/>
      <c r="S44" s="464"/>
      <c r="T44" s="464"/>
      <c r="U44" s="464"/>
      <c r="V44" s="464"/>
      <c r="W44" s="464"/>
      <c r="X44" s="464"/>
      <c r="Y44" s="464"/>
      <c r="Z44" s="464"/>
      <c r="AA44" s="470"/>
      <c r="AB44" s="127">
        <f>IFERROR(_xlfn.XLOOKUP(Tb_ValorSS[[#This Row],[Nº  SS]],Tb_DISTR.FIN[Nº  SS],Tb_DISTR.FIN[OUT.25],"",0,1),"")</f>
        <v>0</v>
      </c>
      <c r="AC44" s="125">
        <f>IFERROR(_xlfn.XLOOKUP(Tb_ValorSS[[#This Row],[Nº  SS]],Tb_DISTR.FIN[Nº  SS],Tb_DISTR.FIN[SET.25],"",0,1)*Tb_ValorSS[[#This Row],[R$ APROVADO]],"")</f>
        <v>0</v>
      </c>
      <c r="AD44" s="127">
        <f>IFERROR(_xlfn.XLOOKUP(Tb_ValorSS[[#This Row],[Nº  SS]],Tb_DISTR.FIN[Nº  SS],Tb_DISTR.FIN[OUT.25],"",0,1),"")</f>
        <v>0</v>
      </c>
      <c r="AE44" s="125">
        <f>IFERROR(_xlfn.XLOOKUP(Tb_ValorSS[[#This Row],[Nº  SS]],Tb_DISTR.FIN[Nº  SS],Tb_DISTR.FIN[OUT.25],"",0,1)*Tb_ValorSS[[#This Row],[R$ APROVADO]],"")</f>
        <v>0</v>
      </c>
      <c r="AF44" s="127">
        <f>IFERROR(_xlfn.XLOOKUP(Tb_ValorSS[[#This Row],[Nº  SS]],Tb_DISTR.FIN[Nº  SS],Tb_DISTR.FIN[OUT.25],"",0,1),"")</f>
        <v>0</v>
      </c>
      <c r="AG44" s="125">
        <f>IFERROR(_xlfn.XLOOKUP(Tb_ValorSS[[#This Row],[Nº  SS]],Tb_DISTR.FIN[Nº  SS],Tb_DISTR.FIN[NOV.25],"",0,1)*Tb_ValorSS[[#This Row],[R$ APROVADO]],"")</f>
        <v>0</v>
      </c>
      <c r="AH44" s="127">
        <f>IFERROR(_xlfn.XLOOKUP(Tb_ValorSS[[#This Row],[Nº  SS]],Tb_DISTR.FIN[Nº  SS],Tb_DISTR.FIN[DEZ.25],"",0,1),"")</f>
        <v>0</v>
      </c>
      <c r="AI44" s="125">
        <f>IFERROR(_xlfn.XLOOKUP(Tb_ValorSS[[#This Row],[Nº  SS]],Tb_DISTR.FIN[Nº  SS],Tb_DISTR.FIN[DEZ.25],"",0,1)*Tb_ValorSS[[#This Row],[R$ APROVADO]],"")</f>
        <v>0</v>
      </c>
      <c r="AJ44" s="127">
        <f>IFERROR(_xlfn.XLOOKUP(Tb_ValorSS[[#This Row],[Nº  SS]],Tb_DISTR.FIN[Nº  SS],Tb_DISTR.FIN[JAN.26],"",0,1),"")</f>
        <v>0</v>
      </c>
      <c r="AK44" s="125">
        <f>IFERROR(_xlfn.XLOOKUP(Tb_ValorSS[[#This Row],[Nº  SS]],Tb_DISTR.FIN[Nº  SS],Tb_DISTR.FIN[JAN.26],"",0,1)*Tb_ValorSS[[#This Row],[R$ APROVADO]],"")</f>
        <v>0</v>
      </c>
      <c r="AL44" s="127">
        <f>IFERROR(_xlfn.XLOOKUP(Tb_ValorSS[[#This Row],[Nº  SS]],Tb_DISTR.FIN[Nº  SS],Tb_DISTR.FIN[FEV.26],"",0,1),"")</f>
        <v>0</v>
      </c>
      <c r="AM44" s="125">
        <f>IFERROR(_xlfn.XLOOKUP(Tb_ValorSS[[#This Row],[Nº  SS]],Tb_DISTR.FIN[Nº  SS],Tb_DISTR.FIN[FEV.26],"",0,1)*Tb_ValorSS[[#This Row],[R$ APROVADO]],"")</f>
        <v>0</v>
      </c>
      <c r="AN44" s="127">
        <f>IFERROR(_xlfn.XLOOKUP(Tb_ValorSS[[#This Row],[Nº  SS]],Tb_DISTR.FIN[Nº  SS],Tb_DISTR.FIN[MAR.26],"",0,1),"")</f>
        <v>0</v>
      </c>
      <c r="AO44" s="125">
        <f>IFERROR(_xlfn.XLOOKUP(Tb_ValorSS[[#This Row],[Nº  SS]],Tb_DISTR.FIN[Nº  SS],Tb_DISTR.FIN[MAR.26],"",0,1)*Tb_ValorSS[[#This Row],[R$ APROVADO]],"")</f>
        <v>0</v>
      </c>
      <c r="AP44" s="127">
        <f>IFERROR(_xlfn.XLOOKUP(Tb_ValorSS[[#This Row],[Nº  SS]],Tb_DISTR.FIN[Nº  SS],Tb_DISTR.FIN[ABR.26],"",0,1),"")</f>
        <v>0</v>
      </c>
      <c r="AQ44" s="125">
        <f>IFERROR(_xlfn.XLOOKUP(Tb_ValorSS[[#This Row],[Nº  SS]],Tb_DISTR.FIN[Nº  SS],Tb_DISTR.FIN[ABR.26],"",0,1)*Tb_ValorSS[[#This Row],[R$ APROVADO]],"")</f>
        <v>0</v>
      </c>
      <c r="AR44" s="127">
        <f>IFERROR(_xlfn.XLOOKUP(Tb_ValorSS[[#This Row],[Nº  SS]],Tb_DISTR.FIN[Nº  SS],Tb_DISTR.FIN[MAI.26],"",0,1),"")</f>
        <v>0</v>
      </c>
      <c r="AS44" s="125">
        <f>IFERROR(_xlfn.XLOOKUP(Tb_ValorSS[[#This Row],[Nº  SS]],Tb_DISTR.FIN[Nº  SS],Tb_DISTR.FIN[MAI.26],"",0,1)*Tb_ValorSS[[#This Row],[R$ APROVADO]],"")</f>
        <v>0</v>
      </c>
      <c r="AT44" s="127">
        <f>IFERROR(_xlfn.XLOOKUP(Tb_ValorSS[[#This Row],[Nº  SS]],Tb_DISTR.FIN[Nº  SS],Tb_DISTR.FIN[JUN.26],"",0,1),"")</f>
        <v>0</v>
      </c>
      <c r="AU44" s="125">
        <f>IFERROR(_xlfn.XLOOKUP(Tb_ValorSS[[#This Row],[Nº  SS]],Tb_DISTR.FIN[Nº  SS],Tb_DISTR.FIN[JUN.26],"",0,1)*Tb_ValorSS[[#This Row],[R$ APROVADO]],"")</f>
        <v>0</v>
      </c>
      <c r="AV44" s="127">
        <f>IFERROR(_xlfn.XLOOKUP(Tb_ValorSS[[#This Row],[Nº  SS]],Tb_DISTR.FIN[Nº  SS],Tb_DISTR.FIN[JUL.26],"",0,1),"")</f>
        <v>0</v>
      </c>
      <c r="AW44" s="125">
        <f>IFERROR(_xlfn.XLOOKUP(Tb_ValorSS[[#This Row],[Nº  SS]],Tb_DISTR.FIN[Nº  SS],Tb_DISTR.FIN[JUL.26],"",0,1)*Tb_ValorSS[[#This Row],[R$ APROVADO]],"")</f>
        <v>0</v>
      </c>
      <c r="AX44" s="127">
        <f>IFERROR(_xlfn.XLOOKUP(Tb_ValorSS[[#This Row],[Nº  SS]],Tb_DISTR.FIN[Nº  SS],Tb_DISTR.FIN[AGO.26],"",0,1),"")</f>
        <v>0</v>
      </c>
      <c r="AY44" s="125">
        <f>IFERROR(_xlfn.XLOOKUP(Tb_ValorSS[[#This Row],[Nº  SS]],Tb_DISTR.FIN[Nº  SS],Tb_DISTR.FIN[AGO.26],"",0,1)*Tb_ValorSS[[#This Row],[R$ APROVADO]],"")</f>
        <v>0</v>
      </c>
      <c r="AZ44" s="127">
        <f>IFERROR(_xlfn.XLOOKUP(Tb_ValorSS[[#This Row],[Nº  SS]],Tb_DISTR.FIN[Nº  SS],Tb_DISTR.FIN[SET.26],"",0,1),"")</f>
        <v>0</v>
      </c>
      <c r="BA44" s="125">
        <f>IFERROR(_xlfn.XLOOKUP(Tb_ValorSS[[#This Row],[Nº  SS]],Tb_DISTR.FIN[Nº  SS],Tb_DISTR.FIN[SET.26],"",0,1)*Tb_ValorSS[[#This Row],[R$ APROVADO]],"")</f>
        <v>0</v>
      </c>
      <c r="BB44" s="127">
        <f>IFERROR(_xlfn.XLOOKUP(Tb_ValorSS[[#This Row],[Nº  SS]],Tb_DISTR.FIN[Nº  SS],Tb_DISTR.FIN[OUT.26],"",0,1),"")</f>
        <v>0</v>
      </c>
      <c r="BC44" s="125">
        <f>IFERROR(_xlfn.XLOOKUP(Tb_ValorSS[[#This Row],[Nº  SS]],Tb_DISTR.FIN[Nº  SS],Tb_DISTR.FIN[OUT.26],"",0,1)*Tb_ValorSS[[#This Row],[R$ APROVADO]],"")</f>
        <v>0</v>
      </c>
      <c r="BD44" s="127">
        <f>IFERROR(_xlfn.XLOOKUP(Tb_ValorSS[[#This Row],[Nº  SS]],Tb_DISTR.FIN[Nº  SS],Tb_DISTR.FIN[NOV.26],"",0,1),"")</f>
        <v>0</v>
      </c>
      <c r="BE44" s="125">
        <f>IFERROR(_xlfn.XLOOKUP(Tb_ValorSS[[#This Row],[Nº  SS]],Tb_DISTR.FIN[Nº  SS],Tb_DISTR.FIN[NOV.26],"",0,1)*Tb_ValorSS[[#This Row],[R$ APROVADO]],"")</f>
        <v>0</v>
      </c>
      <c r="BF44" s="127">
        <f>IFERROR(_xlfn.XLOOKUP(Tb_ValorSS[[#This Row],[Nº  SS]],Tb_DISTR.FIN[Nº  SS],Tb_DISTR.FIN[DEZ.26],"",0,1),"")</f>
        <v>0</v>
      </c>
      <c r="BG44" s="125">
        <f>IFERROR(_xlfn.XLOOKUP(Tb_ValorSS[[#This Row],[Nº  SS]],Tb_DISTR.FIN[Nº  SS],Tb_DISTR.FIN[DEZ.26],"",0,1)*Tb_ValorSS[[#This Row],[R$ APROVADO]],"")</f>
        <v>0</v>
      </c>
    </row>
    <row r="45" spans="1:59" x14ac:dyDescent="0.3">
      <c r="A45" s="466" t="s">
        <v>3281</v>
      </c>
      <c r="B45" s="466" t="str">
        <f>_xlfn.XLOOKUP(Tb_ValorSS[[#This Row],[Nº  SS]],tb_Distr[SS],tb_Distr[DESCRIÇÃO],"",0,1)</f>
        <v>COBERTURA K-39</v>
      </c>
      <c r="C45" s="123" t="str">
        <f>_xlfn.XLOOKUP(Tb_ValorSS[[#This Row],[Nº  SS]],TB_CR.ACOMP[Nº  SS],TB_CR.ACOMP[TOMADOR],"",0,1)</f>
        <v>UTGC</v>
      </c>
      <c r="D45" s="466" t="str">
        <f>_xlfn.XLOOKUP(Tb_ValorSS[[#This Row],[Nº  SS]],TB_CR.ACOMP[Nº  SS],TB_CR.ACOMP[STATUS DEMANDA],"",0,1)</f>
        <v>EM PLANEJAMENTO</v>
      </c>
      <c r="E45" s="467"/>
      <c r="F45" s="471">
        <f>Tb_ValorSS[[#This Row],[UBR APROV]]*296.82</f>
        <v>0</v>
      </c>
      <c r="G45" s="472">
        <f>SUM(Tb_ValorSS[[#This Row],[SET.25]:[DEZ.26]])</f>
        <v>0</v>
      </c>
      <c r="H45" s="471">
        <f>Tb_ValorSS[[#This Row],[UBR MEDIDO]]*296.82</f>
        <v>0</v>
      </c>
      <c r="I45" s="471">
        <f>IF(ABS(Tb_ValorSS[[#This Row],[R$ APROVADO]]-Tb_ValorSS[[#This Row],[R$ MEDIDO ]])&lt;0.01,0,Tb_ValorSS[[#This Row],[R$ APROVADO]]-Tb_ValorSS[[#This Row],[R$ MEDIDO ]])</f>
        <v>0</v>
      </c>
      <c r="J45" s="145"/>
      <c r="K45" s="168"/>
      <c r="L45" s="168"/>
      <c r="M45" s="168"/>
      <c r="N45" s="168"/>
      <c r="O45" s="168"/>
      <c r="P45" s="168"/>
      <c r="Q45" s="168"/>
      <c r="R45" s="168"/>
      <c r="S45" s="168"/>
      <c r="T45" s="168"/>
      <c r="U45" s="168"/>
      <c r="V45" s="168"/>
      <c r="W45" s="168"/>
      <c r="X45" s="168"/>
      <c r="Y45" s="168"/>
      <c r="Z45" s="168"/>
      <c r="AA45" s="470"/>
      <c r="AB45" s="127">
        <f>IFERROR(_xlfn.XLOOKUP(Tb_ValorSS[[#This Row],[Nº  SS]],Tb_DISTR.FIN[Nº  SS],Tb_DISTR.FIN[OUT.25],"",0,1),"")</f>
        <v>0</v>
      </c>
      <c r="AC45" s="125">
        <f>IFERROR(_xlfn.XLOOKUP(Tb_ValorSS[[#This Row],[Nº  SS]],Tb_DISTR.FIN[Nº  SS],Tb_DISTR.FIN[SET.25],"",0,1)*Tb_ValorSS[[#This Row],[R$ APROVADO]],"")</f>
        <v>0</v>
      </c>
      <c r="AD45" s="127">
        <f>IFERROR(_xlfn.XLOOKUP(Tb_ValorSS[[#This Row],[Nº  SS]],Tb_DISTR.FIN[Nº  SS],Tb_DISTR.FIN[OUT.25],"",0,1),"")</f>
        <v>0</v>
      </c>
      <c r="AE45" s="125">
        <f>IFERROR(_xlfn.XLOOKUP(Tb_ValorSS[[#This Row],[Nº  SS]],Tb_DISTR.FIN[Nº  SS],Tb_DISTR.FIN[OUT.25],"",0,1)*Tb_ValorSS[[#This Row],[R$ APROVADO]],"")</f>
        <v>0</v>
      </c>
      <c r="AF45" s="127">
        <f>IFERROR(_xlfn.XLOOKUP(Tb_ValorSS[[#This Row],[Nº  SS]],Tb_DISTR.FIN[Nº  SS],Tb_DISTR.FIN[OUT.25],"",0,1),"")</f>
        <v>0</v>
      </c>
      <c r="AG45" s="125">
        <f>IFERROR(_xlfn.XLOOKUP(Tb_ValorSS[[#This Row],[Nº  SS]],Tb_DISTR.FIN[Nº  SS],Tb_DISTR.FIN[NOV.25],"",0,1)*Tb_ValorSS[[#This Row],[R$ APROVADO]],"")</f>
        <v>0</v>
      </c>
      <c r="AH45" s="127">
        <f>IFERROR(_xlfn.XLOOKUP(Tb_ValorSS[[#This Row],[Nº  SS]],Tb_DISTR.FIN[Nº  SS],Tb_DISTR.FIN[DEZ.25],"",0,1),"")</f>
        <v>0</v>
      </c>
      <c r="AI45" s="125">
        <f>IFERROR(_xlfn.XLOOKUP(Tb_ValorSS[[#This Row],[Nº  SS]],Tb_DISTR.FIN[Nº  SS],Tb_DISTR.FIN[DEZ.25],"",0,1)*Tb_ValorSS[[#This Row],[R$ APROVADO]],"")</f>
        <v>0</v>
      </c>
      <c r="AJ45" s="127">
        <f>IFERROR(_xlfn.XLOOKUP(Tb_ValorSS[[#This Row],[Nº  SS]],Tb_DISTR.FIN[Nº  SS],Tb_DISTR.FIN[JAN.26],"",0,1),"")</f>
        <v>0</v>
      </c>
      <c r="AK45" s="125">
        <f>IFERROR(_xlfn.XLOOKUP(Tb_ValorSS[[#This Row],[Nº  SS]],Tb_DISTR.FIN[Nº  SS],Tb_DISTR.FIN[JAN.26],"",0,1)*Tb_ValorSS[[#This Row],[R$ APROVADO]],"")</f>
        <v>0</v>
      </c>
      <c r="AL45" s="127">
        <f>IFERROR(_xlfn.XLOOKUP(Tb_ValorSS[[#This Row],[Nº  SS]],Tb_DISTR.FIN[Nº  SS],Tb_DISTR.FIN[FEV.26],"",0,1),"")</f>
        <v>0</v>
      </c>
      <c r="AM45" s="125">
        <f>IFERROR(_xlfn.XLOOKUP(Tb_ValorSS[[#This Row],[Nº  SS]],Tb_DISTR.FIN[Nº  SS],Tb_DISTR.FIN[FEV.26],"",0,1)*Tb_ValorSS[[#This Row],[R$ APROVADO]],"")</f>
        <v>0</v>
      </c>
      <c r="AN45" s="127">
        <f>IFERROR(_xlfn.XLOOKUP(Tb_ValorSS[[#This Row],[Nº  SS]],Tb_DISTR.FIN[Nº  SS],Tb_DISTR.FIN[MAR.26],"",0,1),"")</f>
        <v>0</v>
      </c>
      <c r="AO45" s="125">
        <f>IFERROR(_xlfn.XLOOKUP(Tb_ValorSS[[#This Row],[Nº  SS]],Tb_DISTR.FIN[Nº  SS],Tb_DISTR.FIN[MAR.26],"",0,1)*Tb_ValorSS[[#This Row],[R$ APROVADO]],"")</f>
        <v>0</v>
      </c>
      <c r="AP45" s="127">
        <f>IFERROR(_xlfn.XLOOKUP(Tb_ValorSS[[#This Row],[Nº  SS]],Tb_DISTR.FIN[Nº  SS],Tb_DISTR.FIN[ABR.26],"",0,1),"")</f>
        <v>0</v>
      </c>
      <c r="AQ45" s="125">
        <f>IFERROR(_xlfn.XLOOKUP(Tb_ValorSS[[#This Row],[Nº  SS]],Tb_DISTR.FIN[Nº  SS],Tb_DISTR.FIN[ABR.26],"",0,1)*Tb_ValorSS[[#This Row],[R$ APROVADO]],"")</f>
        <v>0</v>
      </c>
      <c r="AR45" s="127">
        <f>IFERROR(_xlfn.XLOOKUP(Tb_ValorSS[[#This Row],[Nº  SS]],Tb_DISTR.FIN[Nº  SS],Tb_DISTR.FIN[MAI.26],"",0,1),"")</f>
        <v>0</v>
      </c>
      <c r="AS45" s="125">
        <f>IFERROR(_xlfn.XLOOKUP(Tb_ValorSS[[#This Row],[Nº  SS]],Tb_DISTR.FIN[Nº  SS],Tb_DISTR.FIN[MAI.26],"",0,1)*Tb_ValorSS[[#This Row],[R$ APROVADO]],"")</f>
        <v>0</v>
      </c>
      <c r="AT45" s="127">
        <f>IFERROR(_xlfn.XLOOKUP(Tb_ValorSS[[#This Row],[Nº  SS]],Tb_DISTR.FIN[Nº  SS],Tb_DISTR.FIN[JUN.26],"",0,1),"")</f>
        <v>0</v>
      </c>
      <c r="AU45" s="125">
        <f>IFERROR(_xlfn.XLOOKUP(Tb_ValorSS[[#This Row],[Nº  SS]],Tb_DISTR.FIN[Nº  SS],Tb_DISTR.FIN[JUN.26],"",0,1)*Tb_ValorSS[[#This Row],[R$ APROVADO]],"")</f>
        <v>0</v>
      </c>
      <c r="AV45" s="127">
        <f>IFERROR(_xlfn.XLOOKUP(Tb_ValorSS[[#This Row],[Nº  SS]],Tb_DISTR.FIN[Nº  SS],Tb_DISTR.FIN[JUL.26],"",0,1),"")</f>
        <v>0</v>
      </c>
      <c r="AW45" s="125">
        <f>IFERROR(_xlfn.XLOOKUP(Tb_ValorSS[[#This Row],[Nº  SS]],Tb_DISTR.FIN[Nº  SS],Tb_DISTR.FIN[JUL.26],"",0,1)*Tb_ValorSS[[#This Row],[R$ APROVADO]],"")</f>
        <v>0</v>
      </c>
      <c r="AX45" s="127">
        <f>IFERROR(_xlfn.XLOOKUP(Tb_ValorSS[[#This Row],[Nº  SS]],Tb_DISTR.FIN[Nº  SS],Tb_DISTR.FIN[AGO.26],"",0,1),"")</f>
        <v>0</v>
      </c>
      <c r="AY45" s="125">
        <f>IFERROR(_xlfn.XLOOKUP(Tb_ValorSS[[#This Row],[Nº  SS]],Tb_DISTR.FIN[Nº  SS],Tb_DISTR.FIN[AGO.26],"",0,1)*Tb_ValorSS[[#This Row],[R$ APROVADO]],"")</f>
        <v>0</v>
      </c>
      <c r="AZ45" s="127">
        <f>IFERROR(_xlfn.XLOOKUP(Tb_ValorSS[[#This Row],[Nº  SS]],Tb_DISTR.FIN[Nº  SS],Tb_DISTR.FIN[SET.26],"",0,1),"")</f>
        <v>0</v>
      </c>
      <c r="BA45" s="125">
        <f>IFERROR(_xlfn.XLOOKUP(Tb_ValorSS[[#This Row],[Nº  SS]],Tb_DISTR.FIN[Nº  SS],Tb_DISTR.FIN[SET.26],"",0,1)*Tb_ValorSS[[#This Row],[R$ APROVADO]],"")</f>
        <v>0</v>
      </c>
      <c r="BB45" s="127">
        <f>IFERROR(_xlfn.XLOOKUP(Tb_ValorSS[[#This Row],[Nº  SS]],Tb_DISTR.FIN[Nº  SS],Tb_DISTR.FIN[OUT.26],"",0,1),"")</f>
        <v>0</v>
      </c>
      <c r="BC45" s="125">
        <f>IFERROR(_xlfn.XLOOKUP(Tb_ValorSS[[#This Row],[Nº  SS]],Tb_DISTR.FIN[Nº  SS],Tb_DISTR.FIN[OUT.26],"",0,1)*Tb_ValorSS[[#This Row],[R$ APROVADO]],"")</f>
        <v>0</v>
      </c>
      <c r="BD45" s="127">
        <f>IFERROR(_xlfn.XLOOKUP(Tb_ValorSS[[#This Row],[Nº  SS]],Tb_DISTR.FIN[Nº  SS],Tb_DISTR.FIN[NOV.26],"",0,1),"")</f>
        <v>0</v>
      </c>
      <c r="BE45" s="125">
        <f>IFERROR(_xlfn.XLOOKUP(Tb_ValorSS[[#This Row],[Nº  SS]],Tb_DISTR.FIN[Nº  SS],Tb_DISTR.FIN[NOV.26],"",0,1)*Tb_ValorSS[[#This Row],[R$ APROVADO]],"")</f>
        <v>0</v>
      </c>
      <c r="BF45" s="127">
        <f>IFERROR(_xlfn.XLOOKUP(Tb_ValorSS[[#This Row],[Nº  SS]],Tb_DISTR.FIN[Nº  SS],Tb_DISTR.FIN[DEZ.26],"",0,1),"")</f>
        <v>0</v>
      </c>
      <c r="BG45" s="125">
        <f>IFERROR(_xlfn.XLOOKUP(Tb_ValorSS[[#This Row],[Nº  SS]],Tb_DISTR.FIN[Nº  SS],Tb_DISTR.FIN[DEZ.26],"",0,1)*Tb_ValorSS[[#This Row],[R$ APROVADO]],"")</f>
        <v>0</v>
      </c>
    </row>
    <row r="46" spans="1:59" x14ac:dyDescent="0.3">
      <c r="AE46" s="252"/>
    </row>
    <row r="48" spans="1:59" x14ac:dyDescent="0.3">
      <c r="AE48" s="200"/>
    </row>
  </sheetData>
  <sheetProtection autoFilter="0" pivotTables="0"/>
  <mergeCells count="20">
    <mergeCell ref="V2:V3"/>
    <mergeCell ref="W2:W3"/>
    <mergeCell ref="X2:X3"/>
    <mergeCell ref="Y2:Y3"/>
    <mergeCell ref="I2:I4"/>
    <mergeCell ref="H2:H4"/>
    <mergeCell ref="G2:G4"/>
    <mergeCell ref="F2:F4"/>
    <mergeCell ref="Z2:Z3"/>
    <mergeCell ref="K2:K3"/>
    <mergeCell ref="L2:L3"/>
    <mergeCell ref="M2:M3"/>
    <mergeCell ref="N2:N3"/>
    <mergeCell ref="O2:O3"/>
    <mergeCell ref="P2:P3"/>
    <mergeCell ref="Q2:Q3"/>
    <mergeCell ref="R2:R3"/>
    <mergeCell ref="S2:S3"/>
    <mergeCell ref="T2:T3"/>
    <mergeCell ref="U2:U3"/>
  </mergeCells>
  <phoneticPr fontId="2" type="noConversion"/>
  <conditionalFormatting sqref="I6:I8 I10:I12 I14:I16 I19:I20 AQ6:AQ17 AS6:AS17 AU6:AU17 AW6:AW17 AY6:AY17 BA6:BA17 BC6:BC17 BE6:BE17 BG6:BG17 BG23:BG24 BE23:BE24 BC23:BC24 BA23:BA24 AY23:AY24 AW23:AW24 AU23:AU24 AS23:AS24 AQ23:AQ24 I23 BG19:BG20 BE19:BE20 BC19:BC20 BA19:BA20 AY19:AY20 AW19:AW20 AU19:AU20 AS19:AS20 AQ19:AQ20">
    <cfRule type="cellIs" dxfId="712" priority="701" operator="lessThan">
      <formula>0</formula>
    </cfRule>
  </conditionalFormatting>
  <conditionalFormatting sqref="A9">
    <cfRule type="duplicateValues" dxfId="711" priority="700"/>
  </conditionalFormatting>
  <conditionalFormatting sqref="I9">
    <cfRule type="cellIs" dxfId="710" priority="699" operator="lessThan">
      <formula>0</formula>
    </cfRule>
  </conditionalFormatting>
  <conditionalFormatting sqref="I13">
    <cfRule type="cellIs" dxfId="709" priority="697" operator="lessThan">
      <formula>0</formula>
    </cfRule>
  </conditionalFormatting>
  <conditionalFormatting sqref="A6:A8 A10:A11 A15 A20 A23">
    <cfRule type="duplicateValues" dxfId="708" priority="3512"/>
  </conditionalFormatting>
  <conditionalFormatting sqref="I17">
    <cfRule type="cellIs" dxfId="707" priority="695" operator="lessThan">
      <formula>0</formula>
    </cfRule>
  </conditionalFormatting>
  <conditionalFormatting sqref="A17">
    <cfRule type="duplicateValues" dxfId="706" priority="696"/>
  </conditionalFormatting>
  <conditionalFormatting sqref="K6:K8 K10:K12 K14:K16 K19:K20 K23">
    <cfRule type="cellIs" dxfId="705" priority="694" operator="lessThan">
      <formula>0</formula>
    </cfRule>
  </conditionalFormatting>
  <conditionalFormatting sqref="K9">
    <cfRule type="cellIs" dxfId="704" priority="693" operator="lessThan">
      <formula>0</formula>
    </cfRule>
  </conditionalFormatting>
  <conditionalFormatting sqref="K13">
    <cfRule type="cellIs" dxfId="703" priority="692" operator="lessThan">
      <formula>0</formula>
    </cfRule>
  </conditionalFormatting>
  <conditionalFormatting sqref="K17">
    <cfRule type="cellIs" dxfId="702" priority="691" operator="lessThan">
      <formula>0</formula>
    </cfRule>
  </conditionalFormatting>
  <conditionalFormatting sqref="L6:Z8 L10:Z12 L15:Z16 L19:Z20 L23:Z23 L14:N14 P14:Z14">
    <cfRule type="cellIs" dxfId="701" priority="690" operator="lessThan">
      <formula>0</formula>
    </cfRule>
  </conditionalFormatting>
  <conditionalFormatting sqref="L9:Z9">
    <cfRule type="cellIs" dxfId="700" priority="689" operator="lessThan">
      <formula>0</formula>
    </cfRule>
  </conditionalFormatting>
  <conditionalFormatting sqref="L13:Z13">
    <cfRule type="cellIs" dxfId="699" priority="688" operator="lessThan">
      <formula>0</formula>
    </cfRule>
  </conditionalFormatting>
  <conditionalFormatting sqref="L17:Z17">
    <cfRule type="cellIs" dxfId="698" priority="687" operator="lessThan">
      <formula>0</formula>
    </cfRule>
  </conditionalFormatting>
  <conditionalFormatting sqref="I24">
    <cfRule type="cellIs" dxfId="697" priority="686" operator="lessThan">
      <formula>0</formula>
    </cfRule>
  </conditionalFormatting>
  <conditionalFormatting sqref="AC6:AE8 AG6:AG11 AI6:AI17 AM6:AM17 AO6:AO17 AC9 AE9 AC23:AE24 AO23:AO24 AM23:AM24 AK23:AK24 AI23:AI24 AG23 AC19:AE20 AO19:AO20 AM19:AM20 AK19:AK20 AI19:AI20 AG20 AG15 AG17 AK6:AK17 AC10:AE17">
    <cfRule type="cellIs" dxfId="696" priority="685" operator="lessThan">
      <formula>0</formula>
    </cfRule>
  </conditionalFormatting>
  <conditionalFormatting sqref="AD9">
    <cfRule type="cellIs" dxfId="695" priority="661" operator="lessThan">
      <formula>0</formula>
    </cfRule>
  </conditionalFormatting>
  <conditionalFormatting sqref="BB6:BB8 BB10:BB17 BB23:BB24 BB19:BB20">
    <cfRule type="cellIs" dxfId="694" priority="630" operator="lessThan">
      <formula>0</formula>
    </cfRule>
  </conditionalFormatting>
  <conditionalFormatting sqref="BB9">
    <cfRule type="cellIs" dxfId="693" priority="629" operator="lessThan">
      <formula>0</formula>
    </cfRule>
  </conditionalFormatting>
  <conditionalFormatting sqref="AH6:AH8 AH10:AH17 AH23:AH24 AH19:AH20">
    <cfRule type="cellIs" dxfId="692" priority="650" operator="lessThan">
      <formula>0</formula>
    </cfRule>
  </conditionalFormatting>
  <conditionalFormatting sqref="AH9">
    <cfRule type="cellIs" dxfId="691" priority="649" operator="lessThan">
      <formula>0</formula>
    </cfRule>
  </conditionalFormatting>
  <conditionalFormatting sqref="AJ6:AJ8 AJ10:AJ17 AJ23:AJ24 AJ19:AJ20">
    <cfRule type="cellIs" dxfId="690" priority="648" operator="lessThan">
      <formula>0</formula>
    </cfRule>
  </conditionalFormatting>
  <conditionalFormatting sqref="AJ9">
    <cfRule type="cellIs" dxfId="689" priority="647" operator="lessThan">
      <formula>0</formula>
    </cfRule>
  </conditionalFormatting>
  <conditionalFormatting sqref="AL6:AL8 AL10:AL17 AL23:AL24 AL19:AL20">
    <cfRule type="cellIs" dxfId="688" priority="646" operator="lessThan">
      <formula>0</formula>
    </cfRule>
  </conditionalFormatting>
  <conditionalFormatting sqref="AL9">
    <cfRule type="cellIs" dxfId="687" priority="645" operator="lessThan">
      <formula>0</formula>
    </cfRule>
  </conditionalFormatting>
  <conditionalFormatting sqref="AN6:AN8 AN10:AN17 AN23:AN24 AN19:AN20">
    <cfRule type="cellIs" dxfId="686" priority="644" operator="lessThan">
      <formula>0</formula>
    </cfRule>
  </conditionalFormatting>
  <conditionalFormatting sqref="AN9">
    <cfRule type="cellIs" dxfId="685" priority="643" operator="lessThan">
      <formula>0</formula>
    </cfRule>
  </conditionalFormatting>
  <conditionalFormatting sqref="AP6:AP8 AP10:AP17 AP23:AP24 AP19:AP20">
    <cfRule type="cellIs" dxfId="684" priority="642" operator="lessThan">
      <formula>0</formula>
    </cfRule>
  </conditionalFormatting>
  <conditionalFormatting sqref="AP9">
    <cfRule type="cellIs" dxfId="683" priority="641" operator="lessThan">
      <formula>0</formula>
    </cfRule>
  </conditionalFormatting>
  <conditionalFormatting sqref="AR6:AR8 AR10:AR17 AR23:AR24 AR19:AR20">
    <cfRule type="cellIs" dxfId="682" priority="640" operator="lessThan">
      <formula>0</formula>
    </cfRule>
  </conditionalFormatting>
  <conditionalFormatting sqref="AR9">
    <cfRule type="cellIs" dxfId="681" priority="639" operator="lessThan">
      <formula>0</formula>
    </cfRule>
  </conditionalFormatting>
  <conditionalFormatting sqref="AT6:AT8 AT10:AT17 AT23:AT24 AT19:AT20">
    <cfRule type="cellIs" dxfId="680" priority="638" operator="lessThan">
      <formula>0</formula>
    </cfRule>
  </conditionalFormatting>
  <conditionalFormatting sqref="AT9">
    <cfRule type="cellIs" dxfId="679" priority="637" operator="lessThan">
      <formula>0</formula>
    </cfRule>
  </conditionalFormatting>
  <conditionalFormatting sqref="AV6:AV8 AV10:AV17 AV23:AV24 AV19:AV20">
    <cfRule type="cellIs" dxfId="678" priority="636" operator="lessThan">
      <formula>0</formula>
    </cfRule>
  </conditionalFormatting>
  <conditionalFormatting sqref="AV9">
    <cfRule type="cellIs" dxfId="677" priority="635" operator="lessThan">
      <formula>0</formula>
    </cfRule>
  </conditionalFormatting>
  <conditionalFormatting sqref="AX6:AX8 AX10:AX17 AX23:AX24 AX19:AX20">
    <cfRule type="cellIs" dxfId="676" priority="634" operator="lessThan">
      <formula>0</formula>
    </cfRule>
  </conditionalFormatting>
  <conditionalFormatting sqref="AX9">
    <cfRule type="cellIs" dxfId="675" priority="633" operator="lessThan">
      <formula>0</formula>
    </cfRule>
  </conditionalFormatting>
  <conditionalFormatting sqref="AZ6:AZ8 AZ10:AZ17 AZ23:AZ24 AZ19:AZ20">
    <cfRule type="cellIs" dxfId="674" priority="632" operator="lessThan">
      <formula>0</formula>
    </cfRule>
  </conditionalFormatting>
  <conditionalFormatting sqref="AZ9">
    <cfRule type="cellIs" dxfId="673" priority="631" operator="lessThan">
      <formula>0</formula>
    </cfRule>
  </conditionalFormatting>
  <conditionalFormatting sqref="BD6:BD8 BD10:BD17 BD23:BD24 BD19:BD20">
    <cfRule type="cellIs" dxfId="672" priority="628" operator="lessThan">
      <formula>0</formula>
    </cfRule>
  </conditionalFormatting>
  <conditionalFormatting sqref="BD9">
    <cfRule type="cellIs" dxfId="671" priority="627" operator="lessThan">
      <formula>0</formula>
    </cfRule>
  </conditionalFormatting>
  <conditionalFormatting sqref="BF6:BF8 BF10:BF17 BF23:BF24 BF19:BF20">
    <cfRule type="cellIs" dxfId="670" priority="626" operator="lessThan">
      <formula>0</formula>
    </cfRule>
  </conditionalFormatting>
  <conditionalFormatting sqref="BF9">
    <cfRule type="cellIs" dxfId="669" priority="625" operator="lessThan">
      <formula>0</formula>
    </cfRule>
  </conditionalFormatting>
  <conditionalFormatting sqref="AB6:AB8 AB23:AB24 AB19:AB20 AB10:AB17">
    <cfRule type="cellIs" dxfId="668" priority="624" operator="lessThan">
      <formula>0</formula>
    </cfRule>
  </conditionalFormatting>
  <conditionalFormatting sqref="AB9">
    <cfRule type="cellIs" dxfId="667" priority="623" operator="lessThan">
      <formula>0</formula>
    </cfRule>
  </conditionalFormatting>
  <conditionalFormatting sqref="AF6:AF8 AF10:AF11 AF23 AF20 AF15 AF17">
    <cfRule type="cellIs" dxfId="666" priority="622" operator="lessThan">
      <formula>0</formula>
    </cfRule>
  </conditionalFormatting>
  <conditionalFormatting sqref="AF9">
    <cfRule type="cellIs" dxfId="665" priority="621" operator="lessThan">
      <formula>0</formula>
    </cfRule>
  </conditionalFormatting>
  <conditionalFormatting sqref="I25 I28">
    <cfRule type="cellIs" dxfId="664" priority="619" operator="lessThan">
      <formula>0</formula>
    </cfRule>
  </conditionalFormatting>
  <conditionalFormatting sqref="A25 A28">
    <cfRule type="duplicateValues" dxfId="663" priority="620"/>
  </conditionalFormatting>
  <conditionalFormatting sqref="K25 K28">
    <cfRule type="cellIs" dxfId="662" priority="618" operator="lessThan">
      <formula>0</formula>
    </cfRule>
  </conditionalFormatting>
  <conditionalFormatting sqref="L25:Z25 L28:Z28">
    <cfRule type="cellIs" dxfId="661" priority="617" operator="lessThan">
      <formula>0</formula>
    </cfRule>
  </conditionalFormatting>
  <conditionalFormatting sqref="AQ25 AS25 AU25 AW25 AY25 BA25 BC25 BE25 BG25">
    <cfRule type="cellIs" dxfId="660" priority="498" operator="lessThan">
      <formula>0</formula>
    </cfRule>
  </conditionalFormatting>
  <conditionalFormatting sqref="AG25 AI25 AK25 AM25 AO25 AC25:AE25">
    <cfRule type="cellIs" dxfId="659" priority="497" operator="lessThan">
      <formula>0</formula>
    </cfRule>
  </conditionalFormatting>
  <conditionalFormatting sqref="BB25">
    <cfRule type="cellIs" dxfId="658" priority="486" operator="lessThan">
      <formula>0</formula>
    </cfRule>
  </conditionalFormatting>
  <conditionalFormatting sqref="AH25">
    <cfRule type="cellIs" dxfId="657" priority="496" operator="lessThan">
      <formula>0</formula>
    </cfRule>
  </conditionalFormatting>
  <conditionalFormatting sqref="AJ25">
    <cfRule type="cellIs" dxfId="656" priority="495" operator="lessThan">
      <formula>0</formula>
    </cfRule>
  </conditionalFormatting>
  <conditionalFormatting sqref="AL25">
    <cfRule type="cellIs" dxfId="655" priority="494" operator="lessThan">
      <formula>0</formula>
    </cfRule>
  </conditionalFormatting>
  <conditionalFormatting sqref="AN25">
    <cfRule type="cellIs" dxfId="654" priority="493" operator="lessThan">
      <formula>0</formula>
    </cfRule>
  </conditionalFormatting>
  <conditionalFormatting sqref="AP25">
    <cfRule type="cellIs" dxfId="653" priority="492" operator="lessThan">
      <formula>0</formula>
    </cfRule>
  </conditionalFormatting>
  <conditionalFormatting sqref="AR25">
    <cfRule type="cellIs" dxfId="652" priority="491" operator="lessThan">
      <formula>0</formula>
    </cfRule>
  </conditionalFormatting>
  <conditionalFormatting sqref="AT25">
    <cfRule type="cellIs" dxfId="651" priority="490" operator="lessThan">
      <formula>0</formula>
    </cfRule>
  </conditionalFormatting>
  <conditionalFormatting sqref="AV25">
    <cfRule type="cellIs" dxfId="650" priority="489" operator="lessThan">
      <formula>0</formula>
    </cfRule>
  </conditionalFormatting>
  <conditionalFormatting sqref="AX25">
    <cfRule type="cellIs" dxfId="649" priority="488" operator="lessThan">
      <formula>0</formula>
    </cfRule>
  </conditionalFormatting>
  <conditionalFormatting sqref="AZ25">
    <cfRule type="cellIs" dxfId="648" priority="487" operator="lessThan">
      <formula>0</formula>
    </cfRule>
  </conditionalFormatting>
  <conditionalFormatting sqref="BD25">
    <cfRule type="cellIs" dxfId="647" priority="485" operator="lessThan">
      <formula>0</formula>
    </cfRule>
  </conditionalFormatting>
  <conditionalFormatting sqref="BF25">
    <cfRule type="cellIs" dxfId="646" priority="484" operator="lessThan">
      <formula>0</formula>
    </cfRule>
  </conditionalFormatting>
  <conditionalFormatting sqref="AB25">
    <cfRule type="cellIs" dxfId="645" priority="483" operator="lessThan">
      <formula>0</formula>
    </cfRule>
  </conditionalFormatting>
  <conditionalFormatting sqref="AF25">
    <cfRule type="cellIs" dxfId="644" priority="482" operator="lessThan">
      <formula>0</formula>
    </cfRule>
  </conditionalFormatting>
  <conditionalFormatting sqref="AQ28 AS28 AU28 AW28 AY28 BA28 BC28 BE28 BG28">
    <cfRule type="cellIs" dxfId="643" priority="447" operator="lessThan">
      <formula>0</formula>
    </cfRule>
  </conditionalFormatting>
  <conditionalFormatting sqref="AM28 AO28 AC28:AE28">
    <cfRule type="cellIs" dxfId="642" priority="446" operator="lessThan">
      <formula>0</formula>
    </cfRule>
  </conditionalFormatting>
  <conditionalFormatting sqref="BB28">
    <cfRule type="cellIs" dxfId="641" priority="435" operator="lessThan">
      <formula>0</formula>
    </cfRule>
  </conditionalFormatting>
  <conditionalFormatting sqref="AH28">
    <cfRule type="cellIs" dxfId="640" priority="445" operator="lessThan">
      <formula>0</formula>
    </cfRule>
  </conditionalFormatting>
  <conditionalFormatting sqref="AJ28">
    <cfRule type="cellIs" dxfId="639" priority="444" operator="lessThan">
      <formula>0</formula>
    </cfRule>
  </conditionalFormatting>
  <conditionalFormatting sqref="AL28">
    <cfRule type="cellIs" dxfId="638" priority="443" operator="lessThan">
      <formula>0</formula>
    </cfRule>
  </conditionalFormatting>
  <conditionalFormatting sqref="AN28">
    <cfRule type="cellIs" dxfId="637" priority="442" operator="lessThan">
      <formula>0</formula>
    </cfRule>
  </conditionalFormatting>
  <conditionalFormatting sqref="AP28">
    <cfRule type="cellIs" dxfId="636" priority="441" operator="lessThan">
      <formula>0</formula>
    </cfRule>
  </conditionalFormatting>
  <conditionalFormatting sqref="AR28">
    <cfRule type="cellIs" dxfId="635" priority="440" operator="lessThan">
      <formula>0</formula>
    </cfRule>
  </conditionalFormatting>
  <conditionalFormatting sqref="AT28">
    <cfRule type="cellIs" dxfId="634" priority="439" operator="lessThan">
      <formula>0</formula>
    </cfRule>
  </conditionalFormatting>
  <conditionalFormatting sqref="AV28">
    <cfRule type="cellIs" dxfId="633" priority="438" operator="lessThan">
      <formula>0</formula>
    </cfRule>
  </conditionalFormatting>
  <conditionalFormatting sqref="AX28">
    <cfRule type="cellIs" dxfId="632" priority="437" operator="lessThan">
      <formula>0</formula>
    </cfRule>
  </conditionalFormatting>
  <conditionalFormatting sqref="AZ28">
    <cfRule type="cellIs" dxfId="631" priority="436" operator="lessThan">
      <formula>0</formula>
    </cfRule>
  </conditionalFormatting>
  <conditionalFormatting sqref="BD28">
    <cfRule type="cellIs" dxfId="630" priority="434" operator="lessThan">
      <formula>0</formula>
    </cfRule>
  </conditionalFormatting>
  <conditionalFormatting sqref="BF28">
    <cfRule type="cellIs" dxfId="629" priority="433" operator="lessThan">
      <formula>0</formula>
    </cfRule>
  </conditionalFormatting>
  <conditionalFormatting sqref="AB28">
    <cfRule type="cellIs" dxfId="628" priority="432" operator="lessThan">
      <formula>0</formula>
    </cfRule>
  </conditionalFormatting>
  <conditionalFormatting sqref="AF28:AF29">
    <cfRule type="cellIs" dxfId="627" priority="431" operator="lessThan">
      <formula>0</formula>
    </cfRule>
  </conditionalFormatting>
  <conditionalFormatting sqref="I29">
    <cfRule type="cellIs" dxfId="626" priority="428" operator="lessThan">
      <formula>0</formula>
    </cfRule>
  </conditionalFormatting>
  <conditionalFormatting sqref="A29">
    <cfRule type="duplicateValues" dxfId="625" priority="429"/>
  </conditionalFormatting>
  <conditionalFormatting sqref="K29">
    <cfRule type="cellIs" dxfId="624" priority="427" operator="lessThan">
      <formula>0</formula>
    </cfRule>
  </conditionalFormatting>
  <conditionalFormatting sqref="L29:Z29">
    <cfRule type="cellIs" dxfId="623" priority="426" operator="lessThan">
      <formula>0</formula>
    </cfRule>
  </conditionalFormatting>
  <conditionalFormatting sqref="AQ29 AS29 AU29 AW29 AY29 BA29 BC29 BE29 BG29">
    <cfRule type="cellIs" dxfId="622" priority="425" operator="lessThan">
      <formula>0</formula>
    </cfRule>
  </conditionalFormatting>
  <conditionalFormatting sqref="AG29 AI29 AK29 AM29 AO29 AC29:AE29">
    <cfRule type="cellIs" dxfId="621" priority="424" operator="lessThan">
      <formula>0</formula>
    </cfRule>
  </conditionalFormatting>
  <conditionalFormatting sqref="AJ29">
    <cfRule type="cellIs" dxfId="620" priority="422" operator="lessThan">
      <formula>0</formula>
    </cfRule>
  </conditionalFormatting>
  <conditionalFormatting sqref="AB29">
    <cfRule type="cellIs" dxfId="619" priority="410" operator="lessThan">
      <formula>0</formula>
    </cfRule>
  </conditionalFormatting>
  <conditionalFormatting sqref="I22 AQ22 AS22 AU22 AW22 AY22 BA22 BC22 BE22 BG22">
    <cfRule type="cellIs" dxfId="618" priority="407" operator="lessThan">
      <formula>0</formula>
    </cfRule>
  </conditionalFormatting>
  <conditionalFormatting sqref="A22">
    <cfRule type="duplicateValues" dxfId="617" priority="408"/>
  </conditionalFormatting>
  <conditionalFormatting sqref="K22">
    <cfRule type="cellIs" dxfId="616" priority="406" operator="lessThan">
      <formula>0</formula>
    </cfRule>
  </conditionalFormatting>
  <conditionalFormatting sqref="L22:Z22">
    <cfRule type="cellIs" dxfId="615" priority="405" operator="lessThan">
      <formula>0</formula>
    </cfRule>
  </conditionalFormatting>
  <conditionalFormatting sqref="AG22 AI22 AK22 AM22 AO22 AC22:AE22">
    <cfRule type="cellIs" dxfId="614" priority="404" operator="lessThan">
      <formula>0</formula>
    </cfRule>
  </conditionalFormatting>
  <conditionalFormatting sqref="BB22">
    <cfRule type="cellIs" dxfId="613" priority="393" operator="lessThan">
      <formula>0</formula>
    </cfRule>
  </conditionalFormatting>
  <conditionalFormatting sqref="AH22">
    <cfRule type="cellIs" dxfId="612" priority="403" operator="lessThan">
      <formula>0</formula>
    </cfRule>
  </conditionalFormatting>
  <conditionalFormatting sqref="AJ22">
    <cfRule type="cellIs" dxfId="611" priority="402" operator="lessThan">
      <formula>0</formula>
    </cfRule>
  </conditionalFormatting>
  <conditionalFormatting sqref="AL22">
    <cfRule type="cellIs" dxfId="610" priority="401" operator="lessThan">
      <formula>0</formula>
    </cfRule>
  </conditionalFormatting>
  <conditionalFormatting sqref="AN22">
    <cfRule type="cellIs" dxfId="609" priority="400" operator="lessThan">
      <formula>0</formula>
    </cfRule>
  </conditionalFormatting>
  <conditionalFormatting sqref="AP22">
    <cfRule type="cellIs" dxfId="608" priority="399" operator="lessThan">
      <formula>0</formula>
    </cfRule>
  </conditionalFormatting>
  <conditionalFormatting sqref="AR22">
    <cfRule type="cellIs" dxfId="607" priority="398" operator="lessThan">
      <formula>0</formula>
    </cfRule>
  </conditionalFormatting>
  <conditionalFormatting sqref="AT22">
    <cfRule type="cellIs" dxfId="606" priority="397" operator="lessThan">
      <formula>0</formula>
    </cfRule>
  </conditionalFormatting>
  <conditionalFormatting sqref="AV22">
    <cfRule type="cellIs" dxfId="605" priority="396" operator="lessThan">
      <formula>0</formula>
    </cfRule>
  </conditionalFormatting>
  <conditionalFormatting sqref="AX22">
    <cfRule type="cellIs" dxfId="604" priority="395" operator="lessThan">
      <formula>0</formula>
    </cfRule>
  </conditionalFormatting>
  <conditionalFormatting sqref="AZ22">
    <cfRule type="cellIs" dxfId="603" priority="394" operator="lessThan">
      <formula>0</formula>
    </cfRule>
  </conditionalFormatting>
  <conditionalFormatting sqref="BD22">
    <cfRule type="cellIs" dxfId="602" priority="392" operator="lessThan">
      <formula>0</formula>
    </cfRule>
  </conditionalFormatting>
  <conditionalFormatting sqref="BF22">
    <cfRule type="cellIs" dxfId="601" priority="391" operator="lessThan">
      <formula>0</formula>
    </cfRule>
  </conditionalFormatting>
  <conditionalFormatting sqref="AB22">
    <cfRule type="cellIs" dxfId="600" priority="390" operator="lessThan">
      <formula>0</formula>
    </cfRule>
  </conditionalFormatting>
  <conditionalFormatting sqref="AF22">
    <cfRule type="cellIs" dxfId="599" priority="389" operator="lessThan">
      <formula>0</formula>
    </cfRule>
  </conditionalFormatting>
  <conditionalFormatting sqref="I21 AQ21 AS21 AU21 AW21 AY21 BA21 BC21 BE21 BG21">
    <cfRule type="cellIs" dxfId="598" priority="387" operator="lessThan">
      <formula>0</formula>
    </cfRule>
  </conditionalFormatting>
  <conditionalFormatting sqref="A21">
    <cfRule type="duplicateValues" dxfId="597" priority="388"/>
  </conditionalFormatting>
  <conditionalFormatting sqref="K21">
    <cfRule type="cellIs" dxfId="596" priority="386" operator="lessThan">
      <formula>0</formula>
    </cfRule>
  </conditionalFormatting>
  <conditionalFormatting sqref="L21:Z21">
    <cfRule type="cellIs" dxfId="595" priority="385" operator="lessThan">
      <formula>0</formula>
    </cfRule>
  </conditionalFormatting>
  <conditionalFormatting sqref="AG21 AI21 AK21 AM21 AO21 AC21:AE21">
    <cfRule type="cellIs" dxfId="594" priority="384" operator="lessThan">
      <formula>0</formula>
    </cfRule>
  </conditionalFormatting>
  <conditionalFormatting sqref="BB21">
    <cfRule type="cellIs" dxfId="593" priority="373" operator="lessThan">
      <formula>0</formula>
    </cfRule>
  </conditionalFormatting>
  <conditionalFormatting sqref="AH21">
    <cfRule type="cellIs" dxfId="592" priority="383" operator="lessThan">
      <formula>0</formula>
    </cfRule>
  </conditionalFormatting>
  <conditionalFormatting sqref="AJ21">
    <cfRule type="cellIs" dxfId="591" priority="382" operator="lessThan">
      <formula>0</formula>
    </cfRule>
  </conditionalFormatting>
  <conditionalFormatting sqref="AL21">
    <cfRule type="cellIs" dxfId="590" priority="381" operator="lessThan">
      <formula>0</formula>
    </cfRule>
  </conditionalFormatting>
  <conditionalFormatting sqref="AN21">
    <cfRule type="cellIs" dxfId="589" priority="380" operator="lessThan">
      <formula>0</formula>
    </cfRule>
  </conditionalFormatting>
  <conditionalFormatting sqref="AP21">
    <cfRule type="cellIs" dxfId="588" priority="379" operator="lessThan">
      <formula>0</formula>
    </cfRule>
  </conditionalFormatting>
  <conditionalFormatting sqref="AR21">
    <cfRule type="cellIs" dxfId="587" priority="378" operator="lessThan">
      <formula>0</formula>
    </cfRule>
  </conditionalFormatting>
  <conditionalFormatting sqref="AT21">
    <cfRule type="cellIs" dxfId="586" priority="377" operator="lessThan">
      <formula>0</formula>
    </cfRule>
  </conditionalFormatting>
  <conditionalFormatting sqref="AV21">
    <cfRule type="cellIs" dxfId="585" priority="376" operator="lessThan">
      <formula>0</formula>
    </cfRule>
  </conditionalFormatting>
  <conditionalFormatting sqref="AX21">
    <cfRule type="cellIs" dxfId="584" priority="375" operator="lessThan">
      <formula>0</formula>
    </cfRule>
  </conditionalFormatting>
  <conditionalFormatting sqref="AZ21">
    <cfRule type="cellIs" dxfId="583" priority="374" operator="lessThan">
      <formula>0</formula>
    </cfRule>
  </conditionalFormatting>
  <conditionalFormatting sqref="BD21">
    <cfRule type="cellIs" dxfId="582" priority="372" operator="lessThan">
      <formula>0</formula>
    </cfRule>
  </conditionalFormatting>
  <conditionalFormatting sqref="BF21">
    <cfRule type="cellIs" dxfId="581" priority="371" operator="lessThan">
      <formula>0</formula>
    </cfRule>
  </conditionalFormatting>
  <conditionalFormatting sqref="AB21">
    <cfRule type="cellIs" dxfId="580" priority="370" operator="lessThan">
      <formula>0</formula>
    </cfRule>
  </conditionalFormatting>
  <conditionalFormatting sqref="AF21">
    <cfRule type="cellIs" dxfId="579" priority="369" operator="lessThan">
      <formula>0</formula>
    </cfRule>
  </conditionalFormatting>
  <conditionalFormatting sqref="BG26 BE26 BC26 BA26 AY26 AW26 AU26 AS26 AQ26">
    <cfRule type="cellIs" dxfId="578" priority="367" operator="lessThan">
      <formula>0</formula>
    </cfRule>
  </conditionalFormatting>
  <conditionalFormatting sqref="A26">
    <cfRule type="duplicateValues" dxfId="577" priority="368"/>
  </conditionalFormatting>
  <conditionalFormatting sqref="K26">
    <cfRule type="cellIs" dxfId="576" priority="366" operator="lessThan">
      <formula>0</formula>
    </cfRule>
  </conditionalFormatting>
  <conditionalFormatting sqref="L26:Z26">
    <cfRule type="cellIs" dxfId="575" priority="365" operator="lessThan">
      <formula>0</formula>
    </cfRule>
  </conditionalFormatting>
  <conditionalFormatting sqref="AC26:AE26 AO26 AM26 AK26 AI26 AG26">
    <cfRule type="cellIs" dxfId="574" priority="364" operator="lessThan">
      <formula>0</formula>
    </cfRule>
  </conditionalFormatting>
  <conditionalFormatting sqref="BB26">
    <cfRule type="cellIs" dxfId="573" priority="353" operator="lessThan">
      <formula>0</formula>
    </cfRule>
  </conditionalFormatting>
  <conditionalFormatting sqref="AH26">
    <cfRule type="cellIs" dxfId="572" priority="363" operator="lessThan">
      <formula>0</formula>
    </cfRule>
  </conditionalFormatting>
  <conditionalFormatting sqref="AJ26">
    <cfRule type="cellIs" dxfId="571" priority="362" operator="lessThan">
      <formula>0</formula>
    </cfRule>
  </conditionalFormatting>
  <conditionalFormatting sqref="AL26">
    <cfRule type="cellIs" dxfId="570" priority="361" operator="lessThan">
      <formula>0</formula>
    </cfRule>
  </conditionalFormatting>
  <conditionalFormatting sqref="AN26">
    <cfRule type="cellIs" dxfId="569" priority="360" operator="lessThan">
      <formula>0</formula>
    </cfRule>
  </conditionalFormatting>
  <conditionalFormatting sqref="AP26">
    <cfRule type="cellIs" dxfId="568" priority="359" operator="lessThan">
      <formula>0</formula>
    </cfRule>
  </conditionalFormatting>
  <conditionalFormatting sqref="AR26">
    <cfRule type="cellIs" dxfId="567" priority="358" operator="lessThan">
      <formula>0</formula>
    </cfRule>
  </conditionalFormatting>
  <conditionalFormatting sqref="AT26">
    <cfRule type="cellIs" dxfId="566" priority="357" operator="lessThan">
      <formula>0</formula>
    </cfRule>
  </conditionalFormatting>
  <conditionalFormatting sqref="AV26">
    <cfRule type="cellIs" dxfId="565" priority="356" operator="lessThan">
      <formula>0</formula>
    </cfRule>
  </conditionalFormatting>
  <conditionalFormatting sqref="AX26">
    <cfRule type="cellIs" dxfId="564" priority="355" operator="lessThan">
      <formula>0</formula>
    </cfRule>
  </conditionalFormatting>
  <conditionalFormatting sqref="AZ26">
    <cfRule type="cellIs" dxfId="563" priority="354" operator="lessThan">
      <formula>0</formula>
    </cfRule>
  </conditionalFormatting>
  <conditionalFormatting sqref="BD26">
    <cfRule type="cellIs" dxfId="562" priority="352" operator="lessThan">
      <formula>0</formula>
    </cfRule>
  </conditionalFormatting>
  <conditionalFormatting sqref="BF26">
    <cfRule type="cellIs" dxfId="561" priority="351" operator="lessThan">
      <formula>0</formula>
    </cfRule>
  </conditionalFormatting>
  <conditionalFormatting sqref="AB26">
    <cfRule type="cellIs" dxfId="560" priority="350" operator="lessThan">
      <formula>0</formula>
    </cfRule>
  </conditionalFormatting>
  <conditionalFormatting sqref="AF26">
    <cfRule type="cellIs" dxfId="559" priority="349" operator="lessThan">
      <formula>0</formula>
    </cfRule>
  </conditionalFormatting>
  <conditionalFormatting sqref="BG27 BE27 BC27 BA27 AY27 AW27 AU27 AS27 AQ27 I27">
    <cfRule type="cellIs" dxfId="558" priority="347" operator="lessThan">
      <formula>0</formula>
    </cfRule>
  </conditionalFormatting>
  <conditionalFormatting sqref="A27">
    <cfRule type="duplicateValues" dxfId="557" priority="348"/>
  </conditionalFormatting>
  <conditionalFormatting sqref="K27">
    <cfRule type="cellIs" dxfId="556" priority="346" operator="lessThan">
      <formula>0</formula>
    </cfRule>
  </conditionalFormatting>
  <conditionalFormatting sqref="L27:Z27">
    <cfRule type="cellIs" dxfId="555" priority="345" operator="lessThan">
      <formula>0</formula>
    </cfRule>
  </conditionalFormatting>
  <conditionalFormatting sqref="AC27:AE27 AO27 AM27 AK27 AI27 AG27">
    <cfRule type="cellIs" dxfId="554" priority="344" operator="lessThan">
      <formula>0</formula>
    </cfRule>
  </conditionalFormatting>
  <conditionalFormatting sqref="BB27">
    <cfRule type="cellIs" dxfId="553" priority="333" operator="lessThan">
      <formula>0</formula>
    </cfRule>
  </conditionalFormatting>
  <conditionalFormatting sqref="AH27">
    <cfRule type="cellIs" dxfId="552" priority="343" operator="lessThan">
      <formula>0</formula>
    </cfRule>
  </conditionalFormatting>
  <conditionalFormatting sqref="AJ27">
    <cfRule type="cellIs" dxfId="551" priority="342" operator="lessThan">
      <formula>0</formula>
    </cfRule>
  </conditionalFormatting>
  <conditionalFormatting sqref="AL27">
    <cfRule type="cellIs" dxfId="550" priority="341" operator="lessThan">
      <formula>0</formula>
    </cfRule>
  </conditionalFormatting>
  <conditionalFormatting sqref="AN27">
    <cfRule type="cellIs" dxfId="549" priority="340" operator="lessThan">
      <formula>0</formula>
    </cfRule>
  </conditionalFormatting>
  <conditionalFormatting sqref="AP27">
    <cfRule type="cellIs" dxfId="548" priority="339" operator="lessThan">
      <formula>0</formula>
    </cfRule>
  </conditionalFormatting>
  <conditionalFormatting sqref="AR27">
    <cfRule type="cellIs" dxfId="547" priority="338" operator="lessThan">
      <formula>0</formula>
    </cfRule>
  </conditionalFormatting>
  <conditionalFormatting sqref="AT27">
    <cfRule type="cellIs" dxfId="546" priority="337" operator="lessThan">
      <formula>0</formula>
    </cfRule>
  </conditionalFormatting>
  <conditionalFormatting sqref="AV27">
    <cfRule type="cellIs" dxfId="545" priority="336" operator="lessThan">
      <formula>0</formula>
    </cfRule>
  </conditionalFormatting>
  <conditionalFormatting sqref="AX27">
    <cfRule type="cellIs" dxfId="544" priority="335" operator="lessThan">
      <formula>0</formula>
    </cfRule>
  </conditionalFormatting>
  <conditionalFormatting sqref="AZ27">
    <cfRule type="cellIs" dxfId="543" priority="334" operator="lessThan">
      <formula>0</formula>
    </cfRule>
  </conditionalFormatting>
  <conditionalFormatting sqref="BD27">
    <cfRule type="cellIs" dxfId="542" priority="332" operator="lessThan">
      <formula>0</formula>
    </cfRule>
  </conditionalFormatting>
  <conditionalFormatting sqref="BF27">
    <cfRule type="cellIs" dxfId="541" priority="331" operator="lessThan">
      <formula>0</formula>
    </cfRule>
  </conditionalFormatting>
  <conditionalFormatting sqref="AB27">
    <cfRule type="cellIs" dxfId="540" priority="330" operator="lessThan">
      <formula>0</formula>
    </cfRule>
  </conditionalFormatting>
  <conditionalFormatting sqref="AF27">
    <cfRule type="cellIs" dxfId="539" priority="329" operator="lessThan">
      <formula>0</formula>
    </cfRule>
  </conditionalFormatting>
  <conditionalFormatting sqref="AG14">
    <cfRule type="cellIs" dxfId="538" priority="307" operator="lessThan">
      <formula>0</formula>
    </cfRule>
  </conditionalFormatting>
  <conditionalFormatting sqref="AG19">
    <cfRule type="cellIs" dxfId="537" priority="305" operator="lessThan">
      <formula>0</formula>
    </cfRule>
  </conditionalFormatting>
  <conditionalFormatting sqref="AF19">
    <cfRule type="cellIs" dxfId="536" priority="304" operator="lessThan">
      <formula>0</formula>
    </cfRule>
  </conditionalFormatting>
  <conditionalFormatting sqref="AG16">
    <cfRule type="cellIs" dxfId="535" priority="301" operator="lessThan">
      <formula>0</formula>
    </cfRule>
  </conditionalFormatting>
  <conditionalFormatting sqref="AF16">
    <cfRule type="cellIs" dxfId="534" priority="300" operator="lessThan">
      <formula>0</formula>
    </cfRule>
  </conditionalFormatting>
  <conditionalFormatting sqref="AG13">
    <cfRule type="cellIs" dxfId="533" priority="299" operator="lessThan">
      <formula>0</formula>
    </cfRule>
  </conditionalFormatting>
  <conditionalFormatting sqref="AF13">
    <cfRule type="cellIs" dxfId="532" priority="298" operator="lessThan">
      <formula>0</formula>
    </cfRule>
  </conditionalFormatting>
  <conditionalFormatting sqref="AG12">
    <cfRule type="cellIs" dxfId="531" priority="297" operator="lessThan">
      <formula>0</formula>
    </cfRule>
  </conditionalFormatting>
  <conditionalFormatting sqref="AF12">
    <cfRule type="cellIs" dxfId="530" priority="296" operator="lessThan">
      <formula>0</formula>
    </cfRule>
  </conditionalFormatting>
  <conditionalFormatting sqref="AL29">
    <cfRule type="cellIs" dxfId="529" priority="286" operator="lessThan">
      <formula>0</formula>
    </cfRule>
  </conditionalFormatting>
  <conditionalFormatting sqref="AH29">
    <cfRule type="cellIs" dxfId="528" priority="287" operator="lessThan">
      <formula>0</formula>
    </cfRule>
  </conditionalFormatting>
  <conditionalFormatting sqref="AF14">
    <cfRule type="cellIs" dxfId="527" priority="306" operator="lessThan">
      <formula>0</formula>
    </cfRule>
  </conditionalFormatting>
  <conditionalFormatting sqref="A12">
    <cfRule type="duplicateValues" dxfId="526" priority="295"/>
  </conditionalFormatting>
  <conditionalFormatting sqref="A13">
    <cfRule type="duplicateValues" dxfId="525" priority="294"/>
  </conditionalFormatting>
  <conditionalFormatting sqref="A14">
    <cfRule type="duplicateValues" dxfId="524" priority="293"/>
  </conditionalFormatting>
  <conditionalFormatting sqref="A16">
    <cfRule type="duplicateValues" dxfId="523" priority="292"/>
  </conditionalFormatting>
  <conditionalFormatting sqref="A19">
    <cfRule type="duplicateValues" dxfId="522" priority="291"/>
  </conditionalFormatting>
  <conditionalFormatting sqref="A24">
    <cfRule type="duplicateValues" dxfId="521" priority="290"/>
  </conditionalFormatting>
  <conditionalFormatting sqref="AN29">
    <cfRule type="cellIs" dxfId="520" priority="285" operator="lessThan">
      <formula>0</formula>
    </cfRule>
  </conditionalFormatting>
  <conditionalFormatting sqref="AP29">
    <cfRule type="cellIs" dxfId="519" priority="284" operator="lessThan">
      <formula>0</formula>
    </cfRule>
  </conditionalFormatting>
  <conditionalFormatting sqref="AR29">
    <cfRule type="cellIs" dxfId="518" priority="283" operator="lessThan">
      <formula>0</formula>
    </cfRule>
  </conditionalFormatting>
  <conditionalFormatting sqref="AT29">
    <cfRule type="cellIs" dxfId="517" priority="282" operator="lessThan">
      <formula>0</formula>
    </cfRule>
  </conditionalFormatting>
  <conditionalFormatting sqref="AV29">
    <cfRule type="cellIs" dxfId="516" priority="281" operator="lessThan">
      <formula>0</formula>
    </cfRule>
  </conditionalFormatting>
  <conditionalFormatting sqref="AX29">
    <cfRule type="cellIs" dxfId="515" priority="280" operator="lessThan">
      <formula>0</formula>
    </cfRule>
  </conditionalFormatting>
  <conditionalFormatting sqref="AZ29">
    <cfRule type="cellIs" dxfId="514" priority="279" operator="lessThan">
      <formula>0</formula>
    </cfRule>
  </conditionalFormatting>
  <conditionalFormatting sqref="BB29">
    <cfRule type="cellIs" dxfId="513" priority="278" operator="lessThan">
      <formula>0</formula>
    </cfRule>
  </conditionalFormatting>
  <conditionalFormatting sqref="BD29">
    <cfRule type="cellIs" dxfId="512" priority="277" operator="lessThan">
      <formula>0</formula>
    </cfRule>
  </conditionalFormatting>
  <conditionalFormatting sqref="BF29">
    <cfRule type="cellIs" dxfId="511" priority="276" operator="lessThan">
      <formula>0</formula>
    </cfRule>
  </conditionalFormatting>
  <conditionalFormatting sqref="AF30:AF35">
    <cfRule type="cellIs" dxfId="510" priority="275" operator="lessThan">
      <formula>0</formula>
    </cfRule>
  </conditionalFormatting>
  <conditionalFormatting sqref="I30:I35">
    <cfRule type="cellIs" dxfId="509" priority="273" operator="lessThan">
      <formula>0</formula>
    </cfRule>
  </conditionalFormatting>
  <conditionalFormatting sqref="A30:A35">
    <cfRule type="duplicateValues" dxfId="508" priority="274"/>
  </conditionalFormatting>
  <conditionalFormatting sqref="K30:K35">
    <cfRule type="cellIs" dxfId="507" priority="272" operator="lessThan">
      <formula>0</formula>
    </cfRule>
  </conditionalFormatting>
  <conditionalFormatting sqref="L30:Z35">
    <cfRule type="cellIs" dxfId="506" priority="271" operator="lessThan">
      <formula>0</formula>
    </cfRule>
  </conditionalFormatting>
  <conditionalFormatting sqref="AQ30:AQ35 AS30:AS35 AU30:AU35 AW30:AW35 AY30:AY35 BA30:BA35 BC30:BC35 BE30:BE35 BG30:BG35">
    <cfRule type="cellIs" dxfId="505" priority="270" operator="lessThan">
      <formula>0</formula>
    </cfRule>
  </conditionalFormatting>
  <conditionalFormatting sqref="AG30:AG35 AI30:AI35 AK30:AK35 AO30:AO35 AC30:AE35 AM30:AM35">
    <cfRule type="cellIs" dxfId="504" priority="269" operator="lessThan">
      <formula>0</formula>
    </cfRule>
  </conditionalFormatting>
  <conditionalFormatting sqref="AJ30:AJ35">
    <cfRule type="cellIs" dxfId="503" priority="268" operator="lessThan">
      <formula>0</formula>
    </cfRule>
  </conditionalFormatting>
  <conditionalFormatting sqref="AB30:AB35">
    <cfRule type="cellIs" dxfId="502" priority="267" operator="lessThan">
      <formula>0</formula>
    </cfRule>
  </conditionalFormatting>
  <conditionalFormatting sqref="AH30:AH35">
    <cfRule type="cellIs" dxfId="501" priority="266" operator="lessThan">
      <formula>0</formula>
    </cfRule>
  </conditionalFormatting>
  <conditionalFormatting sqref="AL30:AL35">
    <cfRule type="cellIs" dxfId="500" priority="265" operator="lessThan">
      <formula>0</formula>
    </cfRule>
  </conditionalFormatting>
  <conditionalFormatting sqref="AN30:AN35">
    <cfRule type="cellIs" dxfId="499" priority="264" operator="lessThan">
      <formula>0</formula>
    </cfRule>
  </conditionalFormatting>
  <conditionalFormatting sqref="AP30:AP35">
    <cfRule type="cellIs" dxfId="498" priority="263" operator="lessThan">
      <formula>0</formula>
    </cfRule>
  </conditionalFormatting>
  <conditionalFormatting sqref="AR30:AR35">
    <cfRule type="cellIs" dxfId="497" priority="262" operator="lessThan">
      <formula>0</formula>
    </cfRule>
  </conditionalFormatting>
  <conditionalFormatting sqref="AT30:AT35">
    <cfRule type="cellIs" dxfId="496" priority="261" operator="lessThan">
      <formula>0</formula>
    </cfRule>
  </conditionalFormatting>
  <conditionalFormatting sqref="AV30:AV35">
    <cfRule type="cellIs" dxfId="495" priority="260" operator="lessThan">
      <formula>0</formula>
    </cfRule>
  </conditionalFormatting>
  <conditionalFormatting sqref="AX30:AX35">
    <cfRule type="cellIs" dxfId="494" priority="259" operator="lessThan">
      <formula>0</formula>
    </cfRule>
  </conditionalFormatting>
  <conditionalFormatting sqref="AZ30:AZ35">
    <cfRule type="cellIs" dxfId="493" priority="258" operator="lessThan">
      <formula>0</formula>
    </cfRule>
  </conditionalFormatting>
  <conditionalFormatting sqref="BB30:BB35">
    <cfRule type="cellIs" dxfId="492" priority="257" operator="lessThan">
      <formula>0</formula>
    </cfRule>
  </conditionalFormatting>
  <conditionalFormatting sqref="BD30:BD35">
    <cfRule type="cellIs" dxfId="491" priority="256" operator="lessThan">
      <formula>0</formula>
    </cfRule>
  </conditionalFormatting>
  <conditionalFormatting sqref="BF30:BF35">
    <cfRule type="cellIs" dxfId="490" priority="255" operator="lessThan">
      <formula>0</formula>
    </cfRule>
  </conditionalFormatting>
  <conditionalFormatting sqref="I18">
    <cfRule type="cellIs" dxfId="489" priority="253" operator="lessThan">
      <formula>0</formula>
    </cfRule>
  </conditionalFormatting>
  <conditionalFormatting sqref="A18">
    <cfRule type="duplicateValues" dxfId="488" priority="254"/>
  </conditionalFormatting>
  <conditionalFormatting sqref="K18">
    <cfRule type="cellIs" dxfId="487" priority="252" operator="lessThan">
      <formula>0</formula>
    </cfRule>
  </conditionalFormatting>
  <conditionalFormatting sqref="L18:Z18">
    <cfRule type="cellIs" dxfId="486" priority="251" operator="lessThan">
      <formula>0</formula>
    </cfRule>
  </conditionalFormatting>
  <conditionalFormatting sqref="AQ18 AS18 AU18 AW18 AY18 BA18 BC18 BE18 BG18">
    <cfRule type="cellIs" dxfId="485" priority="250" operator="lessThan">
      <formula>0</formula>
    </cfRule>
  </conditionalFormatting>
  <conditionalFormatting sqref="AG18 AI18 AK18 AM18 AO18 AC18:AE18">
    <cfRule type="cellIs" dxfId="484" priority="249" operator="lessThan">
      <formula>0</formula>
    </cfRule>
  </conditionalFormatting>
  <conditionalFormatting sqref="BB18">
    <cfRule type="cellIs" dxfId="483" priority="238" operator="lessThan">
      <formula>0</formula>
    </cfRule>
  </conditionalFormatting>
  <conditionalFormatting sqref="AH18">
    <cfRule type="cellIs" dxfId="482" priority="248" operator="lessThan">
      <formula>0</formula>
    </cfRule>
  </conditionalFormatting>
  <conditionalFormatting sqref="AJ18">
    <cfRule type="cellIs" dxfId="481" priority="247" operator="lessThan">
      <formula>0</formula>
    </cfRule>
  </conditionalFormatting>
  <conditionalFormatting sqref="AL18">
    <cfRule type="cellIs" dxfId="480" priority="246" operator="lessThan">
      <formula>0</formula>
    </cfRule>
  </conditionalFormatting>
  <conditionalFormatting sqref="AN18">
    <cfRule type="cellIs" dxfId="479" priority="245" operator="lessThan">
      <formula>0</formula>
    </cfRule>
  </conditionalFormatting>
  <conditionalFormatting sqref="AP18">
    <cfRule type="cellIs" dxfId="478" priority="244" operator="lessThan">
      <formula>0</formula>
    </cfRule>
  </conditionalFormatting>
  <conditionalFormatting sqref="AR18">
    <cfRule type="cellIs" dxfId="477" priority="243" operator="lessThan">
      <formula>0</formula>
    </cfRule>
  </conditionalFormatting>
  <conditionalFormatting sqref="AT18">
    <cfRule type="cellIs" dxfId="476" priority="242" operator="lessThan">
      <formula>0</formula>
    </cfRule>
  </conditionalFormatting>
  <conditionalFormatting sqref="AV18">
    <cfRule type="cellIs" dxfId="475" priority="241" operator="lessThan">
      <formula>0</formula>
    </cfRule>
  </conditionalFormatting>
  <conditionalFormatting sqref="AX18">
    <cfRule type="cellIs" dxfId="474" priority="240" operator="lessThan">
      <formula>0</formula>
    </cfRule>
  </conditionalFormatting>
  <conditionalFormatting sqref="AZ18">
    <cfRule type="cellIs" dxfId="473" priority="239" operator="lessThan">
      <formula>0</formula>
    </cfRule>
  </conditionalFormatting>
  <conditionalFormatting sqref="BD18">
    <cfRule type="cellIs" dxfId="472" priority="237" operator="lessThan">
      <formula>0</formula>
    </cfRule>
  </conditionalFormatting>
  <conditionalFormatting sqref="BF18">
    <cfRule type="cellIs" dxfId="471" priority="236" operator="lessThan">
      <formula>0</formula>
    </cfRule>
  </conditionalFormatting>
  <conditionalFormatting sqref="AB18">
    <cfRule type="cellIs" dxfId="470" priority="235" operator="lessThan">
      <formula>0</formula>
    </cfRule>
  </conditionalFormatting>
  <conditionalFormatting sqref="AF18">
    <cfRule type="cellIs" dxfId="469" priority="234" operator="lessThan">
      <formula>0</formula>
    </cfRule>
  </conditionalFormatting>
  <conditionalFormatting sqref="AF24">
    <cfRule type="cellIs" dxfId="468" priority="233" operator="lessThan">
      <formula>0</formula>
    </cfRule>
  </conditionalFormatting>
  <conditionalFormatting sqref="AG24">
    <cfRule type="cellIs" dxfId="467" priority="232" operator="lessThan">
      <formula>0</formula>
    </cfRule>
  </conditionalFormatting>
  <conditionalFormatting sqref="AF37">
    <cfRule type="cellIs" dxfId="466" priority="229" operator="lessThan">
      <formula>0</formula>
    </cfRule>
  </conditionalFormatting>
  <conditionalFormatting sqref="I37">
    <cfRule type="cellIs" dxfId="465" priority="227" operator="lessThan">
      <formula>0</formula>
    </cfRule>
  </conditionalFormatting>
  <conditionalFormatting sqref="A37">
    <cfRule type="duplicateValues" dxfId="464" priority="228"/>
  </conditionalFormatting>
  <conditionalFormatting sqref="K37">
    <cfRule type="cellIs" dxfId="463" priority="226" operator="lessThan">
      <formula>0</formula>
    </cfRule>
  </conditionalFormatting>
  <conditionalFormatting sqref="L37:Z37">
    <cfRule type="cellIs" dxfId="462" priority="225" operator="lessThan">
      <formula>0</formula>
    </cfRule>
  </conditionalFormatting>
  <conditionalFormatting sqref="AQ37 AS37 AU37 AW37 AY37 BA37 BC37 BE37 BG37">
    <cfRule type="cellIs" dxfId="461" priority="224" operator="lessThan">
      <formula>0</formula>
    </cfRule>
  </conditionalFormatting>
  <conditionalFormatting sqref="AG37 AI37 AK37 AM37 AO37 AC37:AE37">
    <cfRule type="cellIs" dxfId="460" priority="223" operator="lessThan">
      <formula>0</formula>
    </cfRule>
  </conditionalFormatting>
  <conditionalFormatting sqref="AJ37">
    <cfRule type="cellIs" dxfId="459" priority="222" operator="lessThan">
      <formula>0</formula>
    </cfRule>
  </conditionalFormatting>
  <conditionalFormatting sqref="AB37">
    <cfRule type="cellIs" dxfId="458" priority="221" operator="lessThan">
      <formula>0</formula>
    </cfRule>
  </conditionalFormatting>
  <conditionalFormatting sqref="AH37">
    <cfRule type="cellIs" dxfId="457" priority="220" operator="lessThan">
      <formula>0</formula>
    </cfRule>
  </conditionalFormatting>
  <conditionalFormatting sqref="AL37">
    <cfRule type="cellIs" dxfId="456" priority="219" operator="lessThan">
      <formula>0</formula>
    </cfRule>
  </conditionalFormatting>
  <conditionalFormatting sqref="AN37">
    <cfRule type="cellIs" dxfId="455" priority="218" operator="lessThan">
      <formula>0</formula>
    </cfRule>
  </conditionalFormatting>
  <conditionalFormatting sqref="AP37">
    <cfRule type="cellIs" dxfId="454" priority="217" operator="lessThan">
      <formula>0</formula>
    </cfRule>
  </conditionalFormatting>
  <conditionalFormatting sqref="AR37">
    <cfRule type="cellIs" dxfId="453" priority="216" operator="lessThan">
      <formula>0</formula>
    </cfRule>
  </conditionalFormatting>
  <conditionalFormatting sqref="AT37">
    <cfRule type="cellIs" dxfId="452" priority="215" operator="lessThan">
      <formula>0</formula>
    </cfRule>
  </conditionalFormatting>
  <conditionalFormatting sqref="AV37">
    <cfRule type="cellIs" dxfId="451" priority="214" operator="lessThan">
      <formula>0</formula>
    </cfRule>
  </conditionalFormatting>
  <conditionalFormatting sqref="AX37">
    <cfRule type="cellIs" dxfId="450" priority="213" operator="lessThan">
      <formula>0</formula>
    </cfRule>
  </conditionalFormatting>
  <conditionalFormatting sqref="AZ37">
    <cfRule type="cellIs" dxfId="449" priority="212" operator="lessThan">
      <formula>0</formula>
    </cfRule>
  </conditionalFormatting>
  <conditionalFormatting sqref="BB37">
    <cfRule type="cellIs" dxfId="448" priority="211" operator="lessThan">
      <formula>0</formula>
    </cfRule>
  </conditionalFormatting>
  <conditionalFormatting sqref="BD37">
    <cfRule type="cellIs" dxfId="447" priority="210" operator="lessThan">
      <formula>0</formula>
    </cfRule>
  </conditionalFormatting>
  <conditionalFormatting sqref="BF37">
    <cfRule type="cellIs" dxfId="446" priority="209" operator="lessThan">
      <formula>0</formula>
    </cfRule>
  </conditionalFormatting>
  <conditionalFormatting sqref="AF38">
    <cfRule type="cellIs" dxfId="445" priority="208" operator="lessThan">
      <formula>0</formula>
    </cfRule>
  </conditionalFormatting>
  <conditionalFormatting sqref="AL38">
    <cfRule type="cellIs" dxfId="444" priority="198" operator="lessThan">
      <formula>0</formula>
    </cfRule>
  </conditionalFormatting>
  <conditionalFormatting sqref="K38">
    <cfRule type="cellIs" dxfId="443" priority="205" operator="lessThan">
      <formula>0</formula>
    </cfRule>
  </conditionalFormatting>
  <conditionalFormatting sqref="L38:Z38">
    <cfRule type="cellIs" dxfId="442" priority="204" operator="lessThan">
      <formula>0</formula>
    </cfRule>
  </conditionalFormatting>
  <conditionalFormatting sqref="AQ38 AS38 AU38 AW38 AY38 BA38 BC38 BE38 BG38">
    <cfRule type="cellIs" dxfId="441" priority="203" operator="lessThan">
      <formula>0</formula>
    </cfRule>
  </conditionalFormatting>
  <conditionalFormatting sqref="AG38 AI38 AK38 AM38 AO38 AC38:AE38">
    <cfRule type="cellIs" dxfId="440" priority="202" operator="lessThan">
      <formula>0</formula>
    </cfRule>
  </conditionalFormatting>
  <conditionalFormatting sqref="AJ38">
    <cfRule type="cellIs" dxfId="439" priority="201" operator="lessThan">
      <formula>0</formula>
    </cfRule>
  </conditionalFormatting>
  <conditionalFormatting sqref="AB38">
    <cfRule type="cellIs" dxfId="438" priority="200" operator="lessThan">
      <formula>0</formula>
    </cfRule>
  </conditionalFormatting>
  <conditionalFormatting sqref="AH38">
    <cfRule type="cellIs" dxfId="437" priority="199" operator="lessThan">
      <formula>0</formula>
    </cfRule>
  </conditionalFormatting>
  <conditionalFormatting sqref="AL36">
    <cfRule type="cellIs" dxfId="436" priority="177" operator="lessThan">
      <formula>0</formula>
    </cfRule>
  </conditionalFormatting>
  <conditionalFormatting sqref="AN38">
    <cfRule type="cellIs" dxfId="435" priority="197" operator="lessThan">
      <formula>0</formula>
    </cfRule>
  </conditionalFormatting>
  <conditionalFormatting sqref="AP38">
    <cfRule type="cellIs" dxfId="434" priority="196" operator="lessThan">
      <formula>0</formula>
    </cfRule>
  </conditionalFormatting>
  <conditionalFormatting sqref="AR38">
    <cfRule type="cellIs" dxfId="433" priority="195" operator="lessThan">
      <formula>0</formula>
    </cfRule>
  </conditionalFormatting>
  <conditionalFormatting sqref="AT38">
    <cfRule type="cellIs" dxfId="432" priority="194" operator="lessThan">
      <formula>0</formula>
    </cfRule>
  </conditionalFormatting>
  <conditionalFormatting sqref="AV38">
    <cfRule type="cellIs" dxfId="431" priority="193" operator="lessThan">
      <formula>0</formula>
    </cfRule>
  </conditionalFormatting>
  <conditionalFormatting sqref="AX38">
    <cfRule type="cellIs" dxfId="430" priority="192" operator="lessThan">
      <formula>0</formula>
    </cfRule>
  </conditionalFormatting>
  <conditionalFormatting sqref="AZ38">
    <cfRule type="cellIs" dxfId="429" priority="191" operator="lessThan">
      <formula>0</formula>
    </cfRule>
  </conditionalFormatting>
  <conditionalFormatting sqref="BB38">
    <cfRule type="cellIs" dxfId="428" priority="190" operator="lessThan">
      <formula>0</formula>
    </cfRule>
  </conditionalFormatting>
  <conditionalFormatting sqref="BD38">
    <cfRule type="cellIs" dxfId="427" priority="189" operator="lessThan">
      <formula>0</formula>
    </cfRule>
  </conditionalFormatting>
  <conditionalFormatting sqref="BF38">
    <cfRule type="cellIs" dxfId="426" priority="188" operator="lessThan">
      <formula>0</formula>
    </cfRule>
  </conditionalFormatting>
  <conditionalFormatting sqref="AF36">
    <cfRule type="cellIs" dxfId="425" priority="187" operator="lessThan">
      <formula>0</formula>
    </cfRule>
  </conditionalFormatting>
  <conditionalFormatting sqref="I36">
    <cfRule type="cellIs" dxfId="424" priority="185" operator="lessThan">
      <formula>0</formula>
    </cfRule>
  </conditionalFormatting>
  <conditionalFormatting sqref="A36">
    <cfRule type="duplicateValues" dxfId="423" priority="186"/>
  </conditionalFormatting>
  <conditionalFormatting sqref="K36">
    <cfRule type="cellIs" dxfId="422" priority="184" operator="lessThan">
      <formula>0</formula>
    </cfRule>
  </conditionalFormatting>
  <conditionalFormatting sqref="L36:Z36">
    <cfRule type="cellIs" dxfId="421" priority="183" operator="lessThan">
      <formula>0</formula>
    </cfRule>
  </conditionalFormatting>
  <conditionalFormatting sqref="AQ36 AS36 AU36 AW36 AY36 BA36 BC36 BE36 BG36">
    <cfRule type="cellIs" dxfId="420" priority="182" operator="lessThan">
      <formula>0</formula>
    </cfRule>
  </conditionalFormatting>
  <conditionalFormatting sqref="AG36 AI36 AK36 AM36 AO36 AC36:AE36">
    <cfRule type="cellIs" dxfId="419" priority="181" operator="lessThan">
      <formula>0</formula>
    </cfRule>
  </conditionalFormatting>
  <conditionalFormatting sqref="AJ36">
    <cfRule type="cellIs" dxfId="418" priority="180" operator="lessThan">
      <formula>0</formula>
    </cfRule>
  </conditionalFormatting>
  <conditionalFormatting sqref="AB36">
    <cfRule type="cellIs" dxfId="417" priority="179" operator="lessThan">
      <formula>0</formula>
    </cfRule>
  </conditionalFormatting>
  <conditionalFormatting sqref="AH36">
    <cfRule type="cellIs" dxfId="416" priority="178" operator="lessThan">
      <formula>0</formula>
    </cfRule>
  </conditionalFormatting>
  <conditionalFormatting sqref="AN36">
    <cfRule type="cellIs" dxfId="415" priority="176" operator="lessThan">
      <formula>0</formula>
    </cfRule>
  </conditionalFormatting>
  <conditionalFormatting sqref="AP36">
    <cfRule type="cellIs" dxfId="414" priority="175" operator="lessThan">
      <formula>0</formula>
    </cfRule>
  </conditionalFormatting>
  <conditionalFormatting sqref="AR36">
    <cfRule type="cellIs" dxfId="413" priority="174" operator="lessThan">
      <formula>0</formula>
    </cfRule>
  </conditionalFormatting>
  <conditionalFormatting sqref="AT36">
    <cfRule type="cellIs" dxfId="412" priority="173" operator="lessThan">
      <formula>0</formula>
    </cfRule>
  </conditionalFormatting>
  <conditionalFormatting sqref="AV36">
    <cfRule type="cellIs" dxfId="411" priority="172" operator="lessThan">
      <formula>0</formula>
    </cfRule>
  </conditionalFormatting>
  <conditionalFormatting sqref="AX36">
    <cfRule type="cellIs" dxfId="410" priority="171" operator="lessThan">
      <formula>0</formula>
    </cfRule>
  </conditionalFormatting>
  <conditionalFormatting sqref="AZ36">
    <cfRule type="cellIs" dxfId="409" priority="170" operator="lessThan">
      <formula>0</formula>
    </cfRule>
  </conditionalFormatting>
  <conditionalFormatting sqref="BB36">
    <cfRule type="cellIs" dxfId="408" priority="169" operator="lessThan">
      <formula>0</formula>
    </cfRule>
  </conditionalFormatting>
  <conditionalFormatting sqref="BD36">
    <cfRule type="cellIs" dxfId="407" priority="168" operator="lessThan">
      <formula>0</formula>
    </cfRule>
  </conditionalFormatting>
  <conditionalFormatting sqref="BF36">
    <cfRule type="cellIs" dxfId="406" priority="167" operator="lessThan">
      <formula>0</formula>
    </cfRule>
  </conditionalFormatting>
  <conditionalFormatting sqref="O14">
    <cfRule type="cellIs" dxfId="405" priority="166" operator="lessThan">
      <formula>0</formula>
    </cfRule>
  </conditionalFormatting>
  <conditionalFormatting sqref="I26">
    <cfRule type="cellIs" dxfId="404" priority="164" operator="lessThan">
      <formula>0</formula>
    </cfRule>
  </conditionalFormatting>
  <conditionalFormatting sqref="AF39:AF41">
    <cfRule type="cellIs" dxfId="403" priority="92" operator="lessThan">
      <formula>0</formula>
    </cfRule>
  </conditionalFormatting>
  <conditionalFormatting sqref="K39:K41">
    <cfRule type="cellIs" dxfId="402" priority="91" operator="lessThan">
      <formula>0</formula>
    </cfRule>
  </conditionalFormatting>
  <conditionalFormatting sqref="L39:Z41">
    <cfRule type="cellIs" dxfId="401" priority="90" operator="lessThan">
      <formula>0</formula>
    </cfRule>
  </conditionalFormatting>
  <conditionalFormatting sqref="AQ39:AQ41 AS39:AS41 AU39:AU41 AW39:AW41 AY39:AY41 BA39:BA41 BC39:BC41 BE39:BE41 BG39:BG41">
    <cfRule type="cellIs" dxfId="400" priority="89" operator="lessThan">
      <formula>0</formula>
    </cfRule>
  </conditionalFormatting>
  <conditionalFormatting sqref="AG39:AG41 AI39:AI41 AK39:AK41 AM39:AM41 AO39:AO41 AC39:AE41">
    <cfRule type="cellIs" dxfId="399" priority="88" operator="lessThan">
      <formula>0</formula>
    </cfRule>
  </conditionalFormatting>
  <conditionalFormatting sqref="AJ39:AJ41">
    <cfRule type="cellIs" dxfId="398" priority="87" operator="lessThan">
      <formula>0</formula>
    </cfRule>
  </conditionalFormatting>
  <conditionalFormatting sqref="AB39:AB41">
    <cfRule type="cellIs" dxfId="397" priority="86" operator="lessThan">
      <formula>0</formula>
    </cfRule>
  </conditionalFormatting>
  <conditionalFormatting sqref="AH39:AH41">
    <cfRule type="cellIs" dxfId="396" priority="85" operator="lessThan">
      <formula>0</formula>
    </cfRule>
  </conditionalFormatting>
  <conditionalFormatting sqref="AL39:AL41">
    <cfRule type="cellIs" dxfId="395" priority="84" operator="lessThan">
      <formula>0</formula>
    </cfRule>
  </conditionalFormatting>
  <conditionalFormatting sqref="AN39:AN41">
    <cfRule type="cellIs" dxfId="394" priority="83" operator="lessThan">
      <formula>0</formula>
    </cfRule>
  </conditionalFormatting>
  <conditionalFormatting sqref="AP39:AP41">
    <cfRule type="cellIs" dxfId="393" priority="82" operator="lessThan">
      <formula>0</formula>
    </cfRule>
  </conditionalFormatting>
  <conditionalFormatting sqref="AR39:AR41">
    <cfRule type="cellIs" dxfId="392" priority="81" operator="lessThan">
      <formula>0</formula>
    </cfRule>
  </conditionalFormatting>
  <conditionalFormatting sqref="AT39:AT41">
    <cfRule type="cellIs" dxfId="391" priority="80" operator="lessThan">
      <formula>0</formula>
    </cfRule>
  </conditionalFormatting>
  <conditionalFormatting sqref="I39:I41">
    <cfRule type="cellIs" dxfId="390" priority="72" operator="lessThan">
      <formula>0</formula>
    </cfRule>
  </conditionalFormatting>
  <conditionalFormatting sqref="I38">
    <cfRule type="cellIs" dxfId="389" priority="99" operator="lessThan">
      <formula>0</formula>
    </cfRule>
  </conditionalFormatting>
  <conditionalFormatting sqref="A38">
    <cfRule type="duplicateValues" dxfId="388" priority="100"/>
  </conditionalFormatting>
  <conditionalFormatting sqref="BB39:BB41">
    <cfRule type="cellIs" dxfId="387" priority="76" operator="lessThan">
      <formula>0</formula>
    </cfRule>
  </conditionalFormatting>
  <conditionalFormatting sqref="BF39:BF41">
    <cfRule type="cellIs" dxfId="386" priority="74" operator="lessThan">
      <formula>0</formula>
    </cfRule>
  </conditionalFormatting>
  <conditionalFormatting sqref="AV39:AV41">
    <cfRule type="cellIs" dxfId="385" priority="79" operator="lessThan">
      <formula>0</formula>
    </cfRule>
  </conditionalFormatting>
  <conditionalFormatting sqref="AX39:AX41">
    <cfRule type="cellIs" dxfId="384" priority="78" operator="lessThan">
      <formula>0</formula>
    </cfRule>
  </conditionalFormatting>
  <conditionalFormatting sqref="AZ39:AZ41">
    <cfRule type="cellIs" dxfId="383" priority="77" operator="lessThan">
      <formula>0</formula>
    </cfRule>
  </conditionalFormatting>
  <conditionalFormatting sqref="BD39:BD41">
    <cfRule type="cellIs" dxfId="382" priority="75" operator="lessThan">
      <formula>0</formula>
    </cfRule>
  </conditionalFormatting>
  <conditionalFormatting sqref="A39:A41">
    <cfRule type="duplicateValues" dxfId="381" priority="73"/>
  </conditionalFormatting>
  <conditionalFormatting sqref="AG28">
    <cfRule type="cellIs" dxfId="380" priority="71" operator="lessThan">
      <formula>0</formula>
    </cfRule>
  </conditionalFormatting>
  <conditionalFormatting sqref="AI28">
    <cfRule type="cellIs" dxfId="379" priority="70" operator="lessThan">
      <formula>0</formula>
    </cfRule>
  </conditionalFormatting>
  <conditionalFormatting sqref="AK28">
    <cfRule type="cellIs" dxfId="378" priority="69" operator="lessThan">
      <formula>0</formula>
    </cfRule>
  </conditionalFormatting>
  <conditionalFormatting sqref="AF42">
    <cfRule type="cellIs" dxfId="377" priority="68" operator="lessThan">
      <formula>0</formula>
    </cfRule>
  </conditionalFormatting>
  <conditionalFormatting sqref="AQ42 AS42 AU42 AW42 AY42 BA42 BC42 BE42 BG42">
    <cfRule type="cellIs" dxfId="376" priority="67" operator="lessThan">
      <formula>0</formula>
    </cfRule>
  </conditionalFormatting>
  <conditionalFormatting sqref="AG42 AI42 AK42 AM42 AO42 AC42:AE42">
    <cfRule type="cellIs" dxfId="375" priority="66" operator="lessThan">
      <formula>0</formula>
    </cfRule>
  </conditionalFormatting>
  <conditionalFormatting sqref="AJ42">
    <cfRule type="cellIs" dxfId="374" priority="65" operator="lessThan">
      <formula>0</formula>
    </cfRule>
  </conditionalFormatting>
  <conditionalFormatting sqref="AB42">
    <cfRule type="cellIs" dxfId="373" priority="64" operator="lessThan">
      <formula>0</formula>
    </cfRule>
  </conditionalFormatting>
  <conditionalFormatting sqref="AH42">
    <cfRule type="cellIs" dxfId="372" priority="63" operator="lessThan">
      <formula>0</formula>
    </cfRule>
  </conditionalFormatting>
  <conditionalFormatting sqref="AL42">
    <cfRule type="cellIs" dxfId="371" priority="62" operator="lessThan">
      <formula>0</formula>
    </cfRule>
  </conditionalFormatting>
  <conditionalFormatting sqref="AN42">
    <cfRule type="cellIs" dxfId="370" priority="61" operator="lessThan">
      <formula>0</formula>
    </cfRule>
  </conditionalFormatting>
  <conditionalFormatting sqref="AP42">
    <cfRule type="cellIs" dxfId="369" priority="60" operator="lessThan">
      <formula>0</formula>
    </cfRule>
  </conditionalFormatting>
  <conditionalFormatting sqref="AR42">
    <cfRule type="cellIs" dxfId="368" priority="59" operator="lessThan">
      <formula>0</formula>
    </cfRule>
  </conditionalFormatting>
  <conditionalFormatting sqref="AT42">
    <cfRule type="cellIs" dxfId="367" priority="58" operator="lessThan">
      <formula>0</formula>
    </cfRule>
  </conditionalFormatting>
  <conditionalFormatting sqref="BB42">
    <cfRule type="cellIs" dxfId="366" priority="54" operator="lessThan">
      <formula>0</formula>
    </cfRule>
  </conditionalFormatting>
  <conditionalFormatting sqref="BF42">
    <cfRule type="cellIs" dxfId="365" priority="52" operator="lessThan">
      <formula>0</formula>
    </cfRule>
  </conditionalFormatting>
  <conditionalFormatting sqref="AV42">
    <cfRule type="cellIs" dxfId="364" priority="57" operator="lessThan">
      <formula>0</formula>
    </cfRule>
  </conditionalFormatting>
  <conditionalFormatting sqref="AX42">
    <cfRule type="cellIs" dxfId="363" priority="56" operator="lessThan">
      <formula>0</formula>
    </cfRule>
  </conditionalFormatting>
  <conditionalFormatting sqref="AZ42">
    <cfRule type="cellIs" dxfId="362" priority="55" operator="lessThan">
      <formula>0</formula>
    </cfRule>
  </conditionalFormatting>
  <conditionalFormatting sqref="BD42">
    <cfRule type="cellIs" dxfId="361" priority="53" operator="lessThan">
      <formula>0</formula>
    </cfRule>
  </conditionalFormatting>
  <conditionalFormatting sqref="AF43">
    <cfRule type="cellIs" dxfId="360" priority="51" operator="lessThan">
      <formula>0</formula>
    </cfRule>
  </conditionalFormatting>
  <conditionalFormatting sqref="AQ43 AS43 AU43 AW43 AY43 BA43 BC43 BE43 BG43">
    <cfRule type="cellIs" dxfId="359" priority="50" operator="lessThan">
      <formula>0</formula>
    </cfRule>
  </conditionalFormatting>
  <conditionalFormatting sqref="AG43 AI43 AK43 AM43 AO43 AC43:AE43">
    <cfRule type="cellIs" dxfId="358" priority="49" operator="lessThan">
      <formula>0</formula>
    </cfRule>
  </conditionalFormatting>
  <conditionalFormatting sqref="AJ43">
    <cfRule type="cellIs" dxfId="357" priority="48" operator="lessThan">
      <formula>0</formula>
    </cfRule>
  </conditionalFormatting>
  <conditionalFormatting sqref="AB43">
    <cfRule type="cellIs" dxfId="356" priority="47" operator="lessThan">
      <formula>0</formula>
    </cfRule>
  </conditionalFormatting>
  <conditionalFormatting sqref="AH43">
    <cfRule type="cellIs" dxfId="355" priority="46" operator="lessThan">
      <formula>0</formula>
    </cfRule>
  </conditionalFormatting>
  <conditionalFormatting sqref="AL43">
    <cfRule type="cellIs" dxfId="354" priority="45" operator="lessThan">
      <formula>0</formula>
    </cfRule>
  </conditionalFormatting>
  <conditionalFormatting sqref="AN43">
    <cfRule type="cellIs" dxfId="353" priority="44" operator="lessThan">
      <formula>0</formula>
    </cfRule>
  </conditionalFormatting>
  <conditionalFormatting sqref="AP43">
    <cfRule type="cellIs" dxfId="352" priority="43" operator="lessThan">
      <formula>0</formula>
    </cfRule>
  </conditionalFormatting>
  <conditionalFormatting sqref="AR43">
    <cfRule type="cellIs" dxfId="351" priority="42" operator="lessThan">
      <formula>0</formula>
    </cfRule>
  </conditionalFormatting>
  <conditionalFormatting sqref="AT43">
    <cfRule type="cellIs" dxfId="350" priority="41" operator="lessThan">
      <formula>0</formula>
    </cfRule>
  </conditionalFormatting>
  <conditionalFormatting sqref="BB43">
    <cfRule type="cellIs" dxfId="349" priority="37" operator="lessThan">
      <formula>0</formula>
    </cfRule>
  </conditionalFormatting>
  <conditionalFormatting sqref="BF43">
    <cfRule type="cellIs" dxfId="348" priority="35" operator="lessThan">
      <formula>0</formula>
    </cfRule>
  </conditionalFormatting>
  <conditionalFormatting sqref="AV43">
    <cfRule type="cellIs" dxfId="347" priority="40" operator="lessThan">
      <formula>0</formula>
    </cfRule>
  </conditionalFormatting>
  <conditionalFormatting sqref="AX43">
    <cfRule type="cellIs" dxfId="346" priority="39" operator="lessThan">
      <formula>0</formula>
    </cfRule>
  </conditionalFormatting>
  <conditionalFormatting sqref="AZ43">
    <cfRule type="cellIs" dxfId="345" priority="38" operator="lessThan">
      <formula>0</formula>
    </cfRule>
  </conditionalFormatting>
  <conditionalFormatting sqref="BD43">
    <cfRule type="cellIs" dxfId="344" priority="36" operator="lessThan">
      <formula>0</formula>
    </cfRule>
  </conditionalFormatting>
  <conditionalFormatting sqref="AF44">
    <cfRule type="cellIs" dxfId="343" priority="34" operator="lessThan">
      <formula>0</formula>
    </cfRule>
  </conditionalFormatting>
  <conditionalFormatting sqref="AQ44 AS44 AU44 AW44 AY44 BA44 BC44 BE44 BG44">
    <cfRule type="cellIs" dxfId="342" priority="33" operator="lessThan">
      <formula>0</formula>
    </cfRule>
  </conditionalFormatting>
  <conditionalFormatting sqref="AG44 AI44 AK44 AM44 AO44 AC44:AE44">
    <cfRule type="cellIs" dxfId="341" priority="32" operator="lessThan">
      <formula>0</formula>
    </cfRule>
  </conditionalFormatting>
  <conditionalFormatting sqref="AJ44">
    <cfRule type="cellIs" dxfId="340" priority="31" operator="lessThan">
      <formula>0</formula>
    </cfRule>
  </conditionalFormatting>
  <conditionalFormatting sqref="AB44">
    <cfRule type="cellIs" dxfId="339" priority="30" operator="lessThan">
      <formula>0</formula>
    </cfRule>
  </conditionalFormatting>
  <conditionalFormatting sqref="AH44">
    <cfRule type="cellIs" dxfId="338" priority="29" operator="lessThan">
      <formula>0</formula>
    </cfRule>
  </conditionalFormatting>
  <conditionalFormatting sqref="AL44">
    <cfRule type="cellIs" dxfId="337" priority="28" operator="lessThan">
      <formula>0</formula>
    </cfRule>
  </conditionalFormatting>
  <conditionalFormatting sqref="AN44">
    <cfRule type="cellIs" dxfId="336" priority="27" operator="lessThan">
      <formula>0</formula>
    </cfRule>
  </conditionalFormatting>
  <conditionalFormatting sqref="AP44">
    <cfRule type="cellIs" dxfId="335" priority="26" operator="lessThan">
      <formula>0</formula>
    </cfRule>
  </conditionalFormatting>
  <conditionalFormatting sqref="AR44">
    <cfRule type="cellIs" dxfId="334" priority="25" operator="lessThan">
      <formula>0</formula>
    </cfRule>
  </conditionalFormatting>
  <conditionalFormatting sqref="AT44">
    <cfRule type="cellIs" dxfId="333" priority="24" operator="lessThan">
      <formula>0</formula>
    </cfRule>
  </conditionalFormatting>
  <conditionalFormatting sqref="BB44">
    <cfRule type="cellIs" dxfId="332" priority="20" operator="lessThan">
      <formula>0</formula>
    </cfRule>
  </conditionalFormatting>
  <conditionalFormatting sqref="BF44">
    <cfRule type="cellIs" dxfId="331" priority="18" operator="lessThan">
      <formula>0</formula>
    </cfRule>
  </conditionalFormatting>
  <conditionalFormatting sqref="AV44">
    <cfRule type="cellIs" dxfId="330" priority="23" operator="lessThan">
      <formula>0</formula>
    </cfRule>
  </conditionalFormatting>
  <conditionalFormatting sqref="AX44">
    <cfRule type="cellIs" dxfId="329" priority="22" operator="lessThan">
      <formula>0</formula>
    </cfRule>
  </conditionalFormatting>
  <conditionalFormatting sqref="AZ44">
    <cfRule type="cellIs" dxfId="328" priority="21" operator="lessThan">
      <formula>0</formula>
    </cfRule>
  </conditionalFormatting>
  <conditionalFormatting sqref="BD44">
    <cfRule type="cellIs" dxfId="327" priority="19" operator="lessThan">
      <formula>0</formula>
    </cfRule>
  </conditionalFormatting>
  <conditionalFormatting sqref="AF45">
    <cfRule type="cellIs" dxfId="326" priority="17" operator="lessThan">
      <formula>0</formula>
    </cfRule>
  </conditionalFormatting>
  <conditionalFormatting sqref="AQ45 AS45 AU45 AW45 AY45 BA45 BC45 BE45 BG45">
    <cfRule type="cellIs" dxfId="325" priority="16" operator="lessThan">
      <formula>0</formula>
    </cfRule>
  </conditionalFormatting>
  <conditionalFormatting sqref="AG45 AI45 AK45 AM45 AO45 AC45:AE45">
    <cfRule type="cellIs" dxfId="324" priority="15" operator="lessThan">
      <formula>0</formula>
    </cfRule>
  </conditionalFormatting>
  <conditionalFormatting sqref="AJ45">
    <cfRule type="cellIs" dxfId="323" priority="14" operator="lessThan">
      <formula>0</formula>
    </cfRule>
  </conditionalFormatting>
  <conditionalFormatting sqref="AB45">
    <cfRule type="cellIs" dxfId="322" priority="13" operator="lessThan">
      <formula>0</formula>
    </cfRule>
  </conditionalFormatting>
  <conditionalFormatting sqref="AH45">
    <cfRule type="cellIs" dxfId="321" priority="12" operator="lessThan">
      <formula>0</formula>
    </cfRule>
  </conditionalFormatting>
  <conditionalFormatting sqref="AL45">
    <cfRule type="cellIs" dxfId="320" priority="11" operator="lessThan">
      <formula>0</formula>
    </cfRule>
  </conditionalFormatting>
  <conditionalFormatting sqref="AN45">
    <cfRule type="cellIs" dxfId="319" priority="10" operator="lessThan">
      <formula>0</formula>
    </cfRule>
  </conditionalFormatting>
  <conditionalFormatting sqref="AP45">
    <cfRule type="cellIs" dxfId="318" priority="9" operator="lessThan">
      <formula>0</formula>
    </cfRule>
  </conditionalFormatting>
  <conditionalFormatting sqref="AR45">
    <cfRule type="cellIs" dxfId="317" priority="8" operator="lessThan">
      <formula>0</formula>
    </cfRule>
  </conditionalFormatting>
  <conditionalFormatting sqref="AT45">
    <cfRule type="cellIs" dxfId="316" priority="7" operator="lessThan">
      <formula>0</formula>
    </cfRule>
  </conditionalFormatting>
  <conditionalFormatting sqref="BB45">
    <cfRule type="cellIs" dxfId="315" priority="3" operator="lessThan">
      <formula>0</formula>
    </cfRule>
  </conditionalFormatting>
  <conditionalFormatting sqref="BF45">
    <cfRule type="cellIs" dxfId="314" priority="1" operator="lessThan">
      <formula>0</formula>
    </cfRule>
  </conditionalFormatting>
  <conditionalFormatting sqref="AV45">
    <cfRule type="cellIs" dxfId="313" priority="6" operator="lessThan">
      <formula>0</formula>
    </cfRule>
  </conditionalFormatting>
  <conditionalFormatting sqref="AX45">
    <cfRule type="cellIs" dxfId="312" priority="5" operator="lessThan">
      <formula>0</formula>
    </cfRule>
  </conditionalFormatting>
  <conditionalFormatting sqref="AZ45">
    <cfRule type="cellIs" dxfId="311" priority="4" operator="lessThan">
      <formula>0</formula>
    </cfRule>
  </conditionalFormatting>
  <conditionalFormatting sqref="BD45">
    <cfRule type="cellIs" dxfId="310" priority="2" operator="lessThan">
      <formula>0</formula>
    </cfRule>
  </conditionalFormatting>
  <pageMargins left="0.511811024" right="0.511811024" top="0.78740157499999996" bottom="0.78740157499999996" header="0.31496062000000002" footer="0.31496062000000002"/>
  <pageSetup paperSize="9" orientation="portrait" horizontalDpi="1200" verticalDpi="1200" r:id="rId1"/>
  <ignoredErrors>
    <ignoredError sqref="AB7:BG8 AB35:AG35 AB34:AH34 AB30:AG33 AI30:AI33 AI35 AI34 AH30:AH33 AH35 AB18:AI23 AB9:AI9 AK9:AK10 AK30:AK33 AK35 AK34 AK18:AK27 AJ9:AJ27 AM9:AM17 AM30:AM33 AM35 AM34 AM18:AM29 AL9:AL35 AO9:AO17 AO30:AO33 AO35 AO34 AO18:AO29 AN9:AN35 AQ9:AQ17 AQ30:AQ33 AQ35 AQ34 AQ18:AQ29 AP9:AP35 AS9:AS17 AS30:AS33 AS35 AS34 AS18:AS29 AR9:AR35 AU9:AU17 AU30:AU33 AU35 AU34 AU18:AU29 AT9:AT35 AW9:AW17 AW30:AW33 AW35 AW34 AW18:AW29 AV9:AV35 AY9:AY17 AY30:AY33 AY35 AY34 AY18:AY29 AX9:AX35 BA9:BA17 BA30:BA33 BA35 BA34 BA18:BA29 AZ9:AZ35 BC9:BC17 BC30:BC33 BC35 BC34 BC18:BC29 BB9:BB35 BE9:BE17 BE30:BE33 BE35 BE34 BE18:BE29 BD9:BD35 BG9:BG17 BG30:BG33 BG35 BG34 BG18:BG29 BF9:BF35 AB25:AI27 AB24:AE24 AH24:AI24 AF24:AG24 AK11:AK17 AB6:AK6 AL6:BG6 AB17:AI17 AC14 AD14:AI14 AB36:BG38 AC15 AD15:AI15 AB39:BG41 AB29:AI29 AB28:AF28 AK29 AJ29:AJ35 AJ28 AH28 AG28 AI28 AK28 AC11:AI13 AC10:AI10 AC16:AI16 AB11:AB13 AB15 AB10 AB16 AB14 AB42:BG45" calculatedColumn="1"/>
  </ignoredError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07F1F-82B5-4179-A575-F1DC0E195342}">
  <sheetPr codeName="Planilha7">
    <tabColor theme="1"/>
  </sheetPr>
  <dimension ref="A1:G332"/>
  <sheetViews>
    <sheetView workbookViewId="0">
      <selection activeCell="L27" sqref="L27"/>
    </sheetView>
  </sheetViews>
  <sheetFormatPr defaultRowHeight="14.4" x14ac:dyDescent="0.3"/>
  <cols>
    <col min="1" max="1" width="10.5546875" bestFit="1" customWidth="1"/>
    <col min="2" max="2" width="18.6640625" bestFit="1" customWidth="1"/>
    <col min="3" max="3" width="7.5546875" bestFit="1" customWidth="1"/>
    <col min="4" max="4" width="10.109375" style="204" customWidth="1"/>
    <col min="5" max="7" width="16.44140625" bestFit="1" customWidth="1"/>
  </cols>
  <sheetData>
    <row r="1" spans="1:7" x14ac:dyDescent="0.3">
      <c r="A1" t="s">
        <v>18</v>
      </c>
      <c r="B1" t="s">
        <v>143</v>
      </c>
      <c r="C1" t="s">
        <v>254</v>
      </c>
      <c r="D1" s="204" t="s">
        <v>256</v>
      </c>
      <c r="E1" t="s">
        <v>316</v>
      </c>
      <c r="G1" s="243"/>
    </row>
    <row r="2" spans="1:7" x14ac:dyDescent="0.3">
      <c r="A2" t="s">
        <v>439</v>
      </c>
      <c r="B2" t="s">
        <v>360</v>
      </c>
      <c r="C2" t="s">
        <v>393</v>
      </c>
      <c r="D2" s="204">
        <v>9201249.3284999989</v>
      </c>
      <c r="E2" t="s">
        <v>446</v>
      </c>
    </row>
    <row r="3" spans="1:7" x14ac:dyDescent="0.3">
      <c r="A3" t="s">
        <v>439</v>
      </c>
      <c r="B3" t="s">
        <v>360</v>
      </c>
      <c r="C3" t="s">
        <v>520</v>
      </c>
      <c r="D3" s="204">
        <v>0</v>
      </c>
      <c r="E3" t="s">
        <v>553</v>
      </c>
    </row>
    <row r="4" spans="1:7" x14ac:dyDescent="0.3">
      <c r="A4" t="s">
        <v>439</v>
      </c>
      <c r="B4" t="s">
        <v>360</v>
      </c>
      <c r="C4" t="s">
        <v>586</v>
      </c>
      <c r="D4" s="204">
        <v>0</v>
      </c>
      <c r="E4" t="s">
        <v>587</v>
      </c>
    </row>
    <row r="5" spans="1:7" x14ac:dyDescent="0.3">
      <c r="A5" t="s">
        <v>439</v>
      </c>
      <c r="B5" t="s">
        <v>360</v>
      </c>
      <c r="C5" t="s">
        <v>204</v>
      </c>
      <c r="D5" s="204">
        <v>45931</v>
      </c>
      <c r="E5" t="s">
        <v>447</v>
      </c>
    </row>
    <row r="6" spans="1:7" x14ac:dyDescent="0.3">
      <c r="A6" t="s">
        <v>439</v>
      </c>
      <c r="B6" t="s">
        <v>360</v>
      </c>
      <c r="C6" t="s">
        <v>205</v>
      </c>
      <c r="D6" s="204">
        <v>45962</v>
      </c>
      <c r="E6" t="s">
        <v>448</v>
      </c>
    </row>
    <row r="7" spans="1:7" x14ac:dyDescent="0.3">
      <c r="A7" t="s">
        <v>439</v>
      </c>
      <c r="B7" t="s">
        <v>360</v>
      </c>
      <c r="C7" t="s">
        <v>222</v>
      </c>
      <c r="D7" s="204">
        <v>45962</v>
      </c>
      <c r="E7" t="s">
        <v>449</v>
      </c>
    </row>
    <row r="8" spans="1:7" x14ac:dyDescent="0.3">
      <c r="A8" t="s">
        <v>439</v>
      </c>
      <c r="B8" t="s">
        <v>360</v>
      </c>
      <c r="C8" t="s">
        <v>223</v>
      </c>
      <c r="D8" s="204">
        <v>45992</v>
      </c>
      <c r="E8" t="s">
        <v>450</v>
      </c>
    </row>
    <row r="9" spans="1:7" x14ac:dyDescent="0.3">
      <c r="A9" t="s">
        <v>439</v>
      </c>
      <c r="B9" t="s">
        <v>360</v>
      </c>
      <c r="C9" t="s">
        <v>224</v>
      </c>
      <c r="D9" s="204">
        <v>46023</v>
      </c>
      <c r="E9" t="s">
        <v>451</v>
      </c>
    </row>
    <row r="10" spans="1:7" x14ac:dyDescent="0.3">
      <c r="A10" t="s">
        <v>439</v>
      </c>
      <c r="B10" t="s">
        <v>360</v>
      </c>
      <c r="C10" t="s">
        <v>225</v>
      </c>
      <c r="D10" s="204">
        <v>46054</v>
      </c>
      <c r="E10" t="s">
        <v>452</v>
      </c>
    </row>
    <row r="11" spans="1:7" x14ac:dyDescent="0.3">
      <c r="A11" t="s">
        <v>439</v>
      </c>
      <c r="B11" t="s">
        <v>360</v>
      </c>
      <c r="C11" t="s">
        <v>226</v>
      </c>
      <c r="D11" s="204">
        <v>46082</v>
      </c>
      <c r="E11" t="s">
        <v>453</v>
      </c>
    </row>
    <row r="12" spans="1:7" x14ac:dyDescent="0.3">
      <c r="A12" t="s">
        <v>439</v>
      </c>
      <c r="B12" t="s">
        <v>360</v>
      </c>
      <c r="C12" t="s">
        <v>227</v>
      </c>
      <c r="D12" s="204">
        <v>46113</v>
      </c>
      <c r="E12" t="s">
        <v>454</v>
      </c>
    </row>
    <row r="13" spans="1:7" x14ac:dyDescent="0.3">
      <c r="A13" t="s">
        <v>439</v>
      </c>
      <c r="B13" t="s">
        <v>360</v>
      </c>
      <c r="C13" t="s">
        <v>228</v>
      </c>
      <c r="D13" s="204">
        <v>46143</v>
      </c>
      <c r="E13" t="s">
        <v>455</v>
      </c>
    </row>
    <row r="14" spans="1:7" x14ac:dyDescent="0.3">
      <c r="A14" t="s">
        <v>439</v>
      </c>
      <c r="B14" t="s">
        <v>360</v>
      </c>
      <c r="C14" t="s">
        <v>229</v>
      </c>
      <c r="D14" s="204">
        <v>46174</v>
      </c>
      <c r="E14" t="s">
        <v>456</v>
      </c>
    </row>
    <row r="15" spans="1:7" x14ac:dyDescent="0.3">
      <c r="A15" t="s">
        <v>439</v>
      </c>
      <c r="B15" t="s">
        <v>360</v>
      </c>
      <c r="C15" t="s">
        <v>206</v>
      </c>
      <c r="D15" s="204">
        <v>46204</v>
      </c>
      <c r="E15" t="s">
        <v>457</v>
      </c>
    </row>
    <row r="16" spans="1:7" x14ac:dyDescent="0.3">
      <c r="A16" t="s">
        <v>440</v>
      </c>
      <c r="B16" t="s">
        <v>361</v>
      </c>
      <c r="C16" t="s">
        <v>393</v>
      </c>
      <c r="D16" s="204">
        <v>857462.22378</v>
      </c>
      <c r="E16" t="s">
        <v>458</v>
      </c>
    </row>
    <row r="17" spans="1:5" x14ac:dyDescent="0.3">
      <c r="A17" t="s">
        <v>440</v>
      </c>
      <c r="B17" t="s">
        <v>361</v>
      </c>
      <c r="C17" t="s">
        <v>520</v>
      </c>
      <c r="D17" s="204">
        <v>0</v>
      </c>
      <c r="E17" t="s">
        <v>554</v>
      </c>
    </row>
    <row r="18" spans="1:5" x14ac:dyDescent="0.3">
      <c r="A18" t="s">
        <v>440</v>
      </c>
      <c r="B18" t="s">
        <v>361</v>
      </c>
      <c r="C18" t="s">
        <v>586</v>
      </c>
      <c r="D18" s="204">
        <v>0</v>
      </c>
      <c r="E18" t="s">
        <v>588</v>
      </c>
    </row>
    <row r="19" spans="1:5" x14ac:dyDescent="0.3">
      <c r="A19" t="s">
        <v>440</v>
      </c>
      <c r="B19" t="s">
        <v>361</v>
      </c>
      <c r="C19" t="s">
        <v>204</v>
      </c>
      <c r="D19" s="204">
        <v>45901</v>
      </c>
      <c r="E19" t="s">
        <v>459</v>
      </c>
    </row>
    <row r="20" spans="1:5" x14ac:dyDescent="0.3">
      <c r="A20" t="s">
        <v>440</v>
      </c>
      <c r="B20" t="s">
        <v>361</v>
      </c>
      <c r="C20" t="s">
        <v>205</v>
      </c>
      <c r="D20" s="204">
        <v>45931</v>
      </c>
      <c r="E20" t="s">
        <v>460</v>
      </c>
    </row>
    <row r="21" spans="1:5" x14ac:dyDescent="0.3">
      <c r="A21" t="s">
        <v>440</v>
      </c>
      <c r="B21" t="s">
        <v>361</v>
      </c>
      <c r="C21" t="s">
        <v>222</v>
      </c>
      <c r="D21" s="204">
        <v>45931</v>
      </c>
      <c r="E21" t="s">
        <v>461</v>
      </c>
    </row>
    <row r="22" spans="1:5" x14ac:dyDescent="0.3">
      <c r="A22" t="s">
        <v>440</v>
      </c>
      <c r="B22" t="s">
        <v>361</v>
      </c>
      <c r="C22" t="s">
        <v>223</v>
      </c>
      <c r="D22" s="204">
        <v>45962</v>
      </c>
      <c r="E22" t="s">
        <v>462</v>
      </c>
    </row>
    <row r="23" spans="1:5" x14ac:dyDescent="0.3">
      <c r="A23" t="s">
        <v>440</v>
      </c>
      <c r="B23" t="s">
        <v>361</v>
      </c>
      <c r="C23" t="s">
        <v>224</v>
      </c>
      <c r="D23" s="204">
        <v>46023</v>
      </c>
      <c r="E23" t="s">
        <v>463</v>
      </c>
    </row>
    <row r="24" spans="1:5" x14ac:dyDescent="0.3">
      <c r="A24" t="s">
        <v>440</v>
      </c>
      <c r="B24" t="s">
        <v>361</v>
      </c>
      <c r="C24" t="s">
        <v>206</v>
      </c>
      <c r="D24" s="204">
        <v>46023</v>
      </c>
      <c r="E24" t="s">
        <v>464</v>
      </c>
    </row>
    <row r="25" spans="1:5" x14ac:dyDescent="0.3">
      <c r="A25" t="s">
        <v>441</v>
      </c>
      <c r="B25" t="s">
        <v>362</v>
      </c>
      <c r="C25" t="s">
        <v>393</v>
      </c>
      <c r="D25" s="204">
        <v>1342003.9550399999</v>
      </c>
      <c r="E25" t="s">
        <v>465</v>
      </c>
    </row>
    <row r="26" spans="1:5" x14ac:dyDescent="0.3">
      <c r="A26" t="s">
        <v>441</v>
      </c>
      <c r="B26" t="s">
        <v>362</v>
      </c>
      <c r="C26" t="s">
        <v>520</v>
      </c>
      <c r="D26" s="204">
        <v>0</v>
      </c>
      <c r="E26" t="s">
        <v>555</v>
      </c>
    </row>
    <row r="27" spans="1:5" x14ac:dyDescent="0.3">
      <c r="A27" t="s">
        <v>441</v>
      </c>
      <c r="B27" t="s">
        <v>362</v>
      </c>
      <c r="C27" t="s">
        <v>586</v>
      </c>
      <c r="D27" s="204">
        <v>0</v>
      </c>
      <c r="E27" t="s">
        <v>589</v>
      </c>
    </row>
    <row r="28" spans="1:5" x14ac:dyDescent="0.3">
      <c r="A28" t="s">
        <v>441</v>
      </c>
      <c r="B28" t="s">
        <v>362</v>
      </c>
      <c r="C28" t="s">
        <v>204</v>
      </c>
      <c r="D28" s="204">
        <v>45931</v>
      </c>
      <c r="E28" t="s">
        <v>466</v>
      </c>
    </row>
    <row r="29" spans="1:5" x14ac:dyDescent="0.3">
      <c r="A29" t="s">
        <v>441</v>
      </c>
      <c r="B29" t="s">
        <v>362</v>
      </c>
      <c r="C29" t="s">
        <v>205</v>
      </c>
      <c r="D29" s="204">
        <v>45931</v>
      </c>
      <c r="E29" t="s">
        <v>467</v>
      </c>
    </row>
    <row r="30" spans="1:5" x14ac:dyDescent="0.3">
      <c r="A30" t="s">
        <v>441</v>
      </c>
      <c r="B30" t="s">
        <v>362</v>
      </c>
      <c r="C30" t="s">
        <v>222</v>
      </c>
      <c r="D30" s="204">
        <v>45992</v>
      </c>
      <c r="E30" t="s">
        <v>468</v>
      </c>
    </row>
    <row r="31" spans="1:5" x14ac:dyDescent="0.3">
      <c r="A31" t="s">
        <v>441</v>
      </c>
      <c r="B31" t="s">
        <v>362</v>
      </c>
      <c r="C31" t="s">
        <v>223</v>
      </c>
      <c r="D31" s="204">
        <v>45992</v>
      </c>
      <c r="E31" t="s">
        <v>469</v>
      </c>
    </row>
    <row r="32" spans="1:5" x14ac:dyDescent="0.3">
      <c r="A32" t="s">
        <v>441</v>
      </c>
      <c r="B32" t="s">
        <v>362</v>
      </c>
      <c r="C32" t="s">
        <v>224</v>
      </c>
      <c r="D32" s="204">
        <v>45992</v>
      </c>
      <c r="E32" t="s">
        <v>470</v>
      </c>
    </row>
    <row r="33" spans="1:5" x14ac:dyDescent="0.3">
      <c r="A33" t="s">
        <v>441</v>
      </c>
      <c r="B33" t="s">
        <v>362</v>
      </c>
      <c r="C33" t="s">
        <v>206</v>
      </c>
      <c r="D33" s="204">
        <v>46023</v>
      </c>
      <c r="E33" t="s">
        <v>471</v>
      </c>
    </row>
    <row r="34" spans="1:5" x14ac:dyDescent="0.3">
      <c r="A34" t="s">
        <v>442</v>
      </c>
      <c r="B34" t="s">
        <v>363</v>
      </c>
      <c r="C34" t="s">
        <v>393</v>
      </c>
      <c r="D34" s="204">
        <v>572533.72343999997</v>
      </c>
      <c r="E34" t="s">
        <v>472</v>
      </c>
    </row>
    <row r="35" spans="1:5" x14ac:dyDescent="0.3">
      <c r="A35" t="s">
        <v>442</v>
      </c>
      <c r="B35" t="s">
        <v>363</v>
      </c>
      <c r="C35" t="s">
        <v>520</v>
      </c>
      <c r="D35" s="204">
        <v>0</v>
      </c>
      <c r="E35" t="s">
        <v>556</v>
      </c>
    </row>
    <row r="36" spans="1:5" x14ac:dyDescent="0.3">
      <c r="A36" t="s">
        <v>442</v>
      </c>
      <c r="B36" t="s">
        <v>363</v>
      </c>
      <c r="C36" t="s">
        <v>586</v>
      </c>
      <c r="D36" s="204">
        <v>0</v>
      </c>
      <c r="E36" t="s">
        <v>590</v>
      </c>
    </row>
    <row r="37" spans="1:5" x14ac:dyDescent="0.3">
      <c r="A37" t="s">
        <v>442</v>
      </c>
      <c r="B37" t="s">
        <v>363</v>
      </c>
      <c r="C37" t="s">
        <v>204</v>
      </c>
      <c r="D37" s="204">
        <v>45931</v>
      </c>
      <c r="E37" t="s">
        <v>473</v>
      </c>
    </row>
    <row r="38" spans="1:5" x14ac:dyDescent="0.3">
      <c r="A38" t="s">
        <v>442</v>
      </c>
      <c r="B38" t="s">
        <v>363</v>
      </c>
      <c r="C38" t="s">
        <v>205</v>
      </c>
      <c r="D38" s="204">
        <v>45931</v>
      </c>
      <c r="E38" t="s">
        <v>474</v>
      </c>
    </row>
    <row r="39" spans="1:5" x14ac:dyDescent="0.3">
      <c r="A39" t="s">
        <v>442</v>
      </c>
      <c r="B39" t="s">
        <v>363</v>
      </c>
      <c r="C39" t="s">
        <v>222</v>
      </c>
      <c r="D39" s="204">
        <v>45962</v>
      </c>
      <c r="E39" t="s">
        <v>475</v>
      </c>
    </row>
    <row r="40" spans="1:5" x14ac:dyDescent="0.3">
      <c r="A40" t="s">
        <v>442</v>
      </c>
      <c r="B40" t="s">
        <v>363</v>
      </c>
      <c r="C40" t="s">
        <v>223</v>
      </c>
      <c r="D40" s="204">
        <v>45992</v>
      </c>
      <c r="E40" t="s">
        <v>476</v>
      </c>
    </row>
    <row r="41" spans="1:5" x14ac:dyDescent="0.3">
      <c r="A41" t="s">
        <v>442</v>
      </c>
      <c r="B41" t="s">
        <v>363</v>
      </c>
      <c r="C41" t="s">
        <v>224</v>
      </c>
      <c r="D41" s="204">
        <v>45992</v>
      </c>
      <c r="E41" t="s">
        <v>477</v>
      </c>
    </row>
    <row r="42" spans="1:5" x14ac:dyDescent="0.3">
      <c r="A42" t="s">
        <v>442</v>
      </c>
      <c r="B42" t="s">
        <v>363</v>
      </c>
      <c r="C42" t="s">
        <v>206</v>
      </c>
      <c r="D42" s="204">
        <v>46023</v>
      </c>
      <c r="E42" t="s">
        <v>478</v>
      </c>
    </row>
    <row r="43" spans="1:5" x14ac:dyDescent="0.3">
      <c r="A43" t="s">
        <v>443</v>
      </c>
      <c r="B43" t="s">
        <v>364</v>
      </c>
      <c r="C43" t="s">
        <v>393</v>
      </c>
      <c r="D43" s="204">
        <v>743593.46399999992</v>
      </c>
      <c r="E43" t="s">
        <v>479</v>
      </c>
    </row>
    <row r="44" spans="1:5" x14ac:dyDescent="0.3">
      <c r="A44" t="s">
        <v>443</v>
      </c>
      <c r="B44" t="s">
        <v>364</v>
      </c>
      <c r="C44" t="s">
        <v>520</v>
      </c>
      <c r="D44" s="204">
        <v>0</v>
      </c>
      <c r="E44" t="s">
        <v>557</v>
      </c>
    </row>
    <row r="45" spans="1:5" x14ac:dyDescent="0.3">
      <c r="A45" t="s">
        <v>443</v>
      </c>
      <c r="B45" t="s">
        <v>364</v>
      </c>
      <c r="C45" t="s">
        <v>586</v>
      </c>
      <c r="D45" s="204">
        <v>0</v>
      </c>
      <c r="E45" t="s">
        <v>591</v>
      </c>
    </row>
    <row r="46" spans="1:5" x14ac:dyDescent="0.3">
      <c r="A46" t="s">
        <v>443</v>
      </c>
      <c r="B46" t="s">
        <v>364</v>
      </c>
      <c r="C46" t="s">
        <v>204</v>
      </c>
      <c r="D46" s="204">
        <v>45931</v>
      </c>
      <c r="E46" t="s">
        <v>480</v>
      </c>
    </row>
    <row r="47" spans="1:5" x14ac:dyDescent="0.3">
      <c r="A47" t="s">
        <v>443</v>
      </c>
      <c r="B47" t="s">
        <v>364</v>
      </c>
      <c r="C47" t="s">
        <v>205</v>
      </c>
      <c r="D47" s="204">
        <v>45962</v>
      </c>
      <c r="E47" t="s">
        <v>481</v>
      </c>
    </row>
    <row r="48" spans="1:5" x14ac:dyDescent="0.3">
      <c r="A48" t="s">
        <v>443</v>
      </c>
      <c r="B48" t="s">
        <v>364</v>
      </c>
      <c r="C48" t="s">
        <v>222</v>
      </c>
      <c r="D48" s="204">
        <v>46054</v>
      </c>
      <c r="E48" t="s">
        <v>482</v>
      </c>
    </row>
    <row r="49" spans="1:5" x14ac:dyDescent="0.3">
      <c r="A49" t="s">
        <v>443</v>
      </c>
      <c r="B49" t="s">
        <v>364</v>
      </c>
      <c r="C49" t="s">
        <v>223</v>
      </c>
      <c r="D49" s="204">
        <v>46082</v>
      </c>
      <c r="E49" t="s">
        <v>483</v>
      </c>
    </row>
    <row r="50" spans="1:5" x14ac:dyDescent="0.3">
      <c r="A50" t="s">
        <v>443</v>
      </c>
      <c r="B50" t="s">
        <v>364</v>
      </c>
      <c r="C50" t="s">
        <v>224</v>
      </c>
      <c r="D50" s="204">
        <v>46082</v>
      </c>
      <c r="E50" t="s">
        <v>484</v>
      </c>
    </row>
    <row r="51" spans="1:5" x14ac:dyDescent="0.3">
      <c r="A51" t="s">
        <v>443</v>
      </c>
      <c r="B51" t="s">
        <v>364</v>
      </c>
      <c r="C51" t="s">
        <v>206</v>
      </c>
      <c r="D51" s="204">
        <v>46113</v>
      </c>
      <c r="E51" t="s">
        <v>485</v>
      </c>
    </row>
    <row r="52" spans="1:5" x14ac:dyDescent="0.3">
      <c r="A52" t="s">
        <v>444</v>
      </c>
      <c r="B52" t="s">
        <v>365</v>
      </c>
      <c r="C52" t="s">
        <v>393</v>
      </c>
      <c r="D52" s="204">
        <v>588935.40300000005</v>
      </c>
      <c r="E52" t="s">
        <v>486</v>
      </c>
    </row>
    <row r="53" spans="1:5" x14ac:dyDescent="0.3">
      <c r="A53" t="s">
        <v>444</v>
      </c>
      <c r="B53" t="s">
        <v>365</v>
      </c>
      <c r="C53" t="s">
        <v>520</v>
      </c>
      <c r="D53" s="204">
        <v>0</v>
      </c>
      <c r="E53" t="s">
        <v>558</v>
      </c>
    </row>
    <row r="54" spans="1:5" x14ac:dyDescent="0.3">
      <c r="A54" t="s">
        <v>444</v>
      </c>
      <c r="B54" t="s">
        <v>365</v>
      </c>
      <c r="C54" t="s">
        <v>586</v>
      </c>
      <c r="D54" s="204">
        <v>0</v>
      </c>
      <c r="E54" t="s">
        <v>592</v>
      </c>
    </row>
    <row r="55" spans="1:5" x14ac:dyDescent="0.3">
      <c r="A55" t="s">
        <v>444</v>
      </c>
      <c r="B55" t="s">
        <v>365</v>
      </c>
      <c r="C55" t="s">
        <v>204</v>
      </c>
      <c r="D55" s="204">
        <v>45901</v>
      </c>
      <c r="E55" t="s">
        <v>487</v>
      </c>
    </row>
    <row r="56" spans="1:5" x14ac:dyDescent="0.3">
      <c r="A56" t="s">
        <v>444</v>
      </c>
      <c r="B56" t="s">
        <v>365</v>
      </c>
      <c r="C56" t="s">
        <v>205</v>
      </c>
      <c r="D56" s="204">
        <v>45931</v>
      </c>
      <c r="E56" t="s">
        <v>488</v>
      </c>
    </row>
    <row r="57" spans="1:5" x14ac:dyDescent="0.3">
      <c r="A57" t="s">
        <v>444</v>
      </c>
      <c r="B57" t="s">
        <v>365</v>
      </c>
      <c r="C57" t="s">
        <v>222</v>
      </c>
      <c r="D57" s="204">
        <v>45931</v>
      </c>
      <c r="E57" t="s">
        <v>489</v>
      </c>
    </row>
    <row r="58" spans="1:5" x14ac:dyDescent="0.3">
      <c r="A58" t="s">
        <v>444</v>
      </c>
      <c r="B58" t="s">
        <v>365</v>
      </c>
      <c r="C58" t="s">
        <v>223</v>
      </c>
      <c r="D58" s="204">
        <v>45962</v>
      </c>
      <c r="E58" t="s">
        <v>490</v>
      </c>
    </row>
    <row r="59" spans="1:5" x14ac:dyDescent="0.3">
      <c r="A59" t="s">
        <v>444</v>
      </c>
      <c r="B59" t="s">
        <v>365</v>
      </c>
      <c r="C59" t="s">
        <v>224</v>
      </c>
      <c r="D59" s="204">
        <v>45992</v>
      </c>
      <c r="E59" t="s">
        <v>491</v>
      </c>
    </row>
    <row r="60" spans="1:5" x14ac:dyDescent="0.3">
      <c r="A60" t="s">
        <v>444</v>
      </c>
      <c r="B60" t="s">
        <v>365</v>
      </c>
      <c r="C60" t="s">
        <v>206</v>
      </c>
      <c r="D60" s="204">
        <v>46023</v>
      </c>
      <c r="E60" t="s">
        <v>492</v>
      </c>
    </row>
    <row r="61" spans="1:5" x14ac:dyDescent="0.3">
      <c r="A61" t="s">
        <v>54</v>
      </c>
      <c r="B61" t="s">
        <v>366</v>
      </c>
      <c r="C61" t="s">
        <v>393</v>
      </c>
      <c r="D61" s="204">
        <v>364522.26744000003</v>
      </c>
      <c r="E61" t="s">
        <v>394</v>
      </c>
    </row>
    <row r="62" spans="1:5" x14ac:dyDescent="0.3">
      <c r="A62" t="s">
        <v>54</v>
      </c>
      <c r="B62" t="s">
        <v>366</v>
      </c>
      <c r="C62" t="s">
        <v>520</v>
      </c>
      <c r="D62" s="204">
        <v>0</v>
      </c>
      <c r="E62" t="s">
        <v>559</v>
      </c>
    </row>
    <row r="63" spans="1:5" x14ac:dyDescent="0.3">
      <c r="A63" t="s">
        <v>54</v>
      </c>
      <c r="B63" t="s">
        <v>366</v>
      </c>
      <c r="C63" t="s">
        <v>586</v>
      </c>
      <c r="D63" s="204">
        <v>0</v>
      </c>
      <c r="E63" t="s">
        <v>593</v>
      </c>
    </row>
    <row r="64" spans="1:5" x14ac:dyDescent="0.3">
      <c r="A64" t="s">
        <v>54</v>
      </c>
      <c r="B64" t="s">
        <v>366</v>
      </c>
      <c r="C64" t="s">
        <v>204</v>
      </c>
      <c r="D64" s="204">
        <v>45931</v>
      </c>
      <c r="E64" t="s">
        <v>317</v>
      </c>
    </row>
    <row r="65" spans="1:5" x14ac:dyDescent="0.3">
      <c r="A65" t="s">
        <v>54</v>
      </c>
      <c r="B65" t="s">
        <v>366</v>
      </c>
      <c r="C65" t="s">
        <v>205</v>
      </c>
      <c r="D65" s="204">
        <v>45962</v>
      </c>
      <c r="E65" t="s">
        <v>318</v>
      </c>
    </row>
    <row r="66" spans="1:5" x14ac:dyDescent="0.3">
      <c r="A66" t="s">
        <v>54</v>
      </c>
      <c r="B66" t="s">
        <v>366</v>
      </c>
      <c r="C66" t="s">
        <v>222</v>
      </c>
      <c r="D66" s="204">
        <v>45962</v>
      </c>
      <c r="E66" t="s">
        <v>257</v>
      </c>
    </row>
    <row r="67" spans="1:5" x14ac:dyDescent="0.3">
      <c r="A67" t="s">
        <v>54</v>
      </c>
      <c r="B67" t="s">
        <v>366</v>
      </c>
      <c r="C67" t="s">
        <v>223</v>
      </c>
      <c r="D67" s="204">
        <v>45992</v>
      </c>
      <c r="E67" t="s">
        <v>258</v>
      </c>
    </row>
    <row r="68" spans="1:5" x14ac:dyDescent="0.3">
      <c r="A68" t="s">
        <v>54</v>
      </c>
      <c r="B68" t="s">
        <v>366</v>
      </c>
      <c r="C68" t="s">
        <v>224</v>
      </c>
      <c r="D68" s="204">
        <v>45992</v>
      </c>
      <c r="E68" t="s">
        <v>259</v>
      </c>
    </row>
    <row r="69" spans="1:5" x14ac:dyDescent="0.3">
      <c r="A69" t="s">
        <v>54</v>
      </c>
      <c r="B69" t="s">
        <v>366</v>
      </c>
      <c r="C69" t="s">
        <v>225</v>
      </c>
      <c r="D69" s="204">
        <v>45992</v>
      </c>
      <c r="E69" t="s">
        <v>260</v>
      </c>
    </row>
    <row r="70" spans="1:5" x14ac:dyDescent="0.3">
      <c r="A70" t="s">
        <v>54</v>
      </c>
      <c r="B70" t="s">
        <v>366</v>
      </c>
      <c r="C70" t="s">
        <v>206</v>
      </c>
      <c r="D70" s="204">
        <v>46023</v>
      </c>
      <c r="E70" t="s">
        <v>261</v>
      </c>
    </row>
    <row r="71" spans="1:5" x14ac:dyDescent="0.3">
      <c r="A71" t="s">
        <v>55</v>
      </c>
      <c r="B71" t="s">
        <v>367</v>
      </c>
      <c r="C71" t="s">
        <v>393</v>
      </c>
      <c r="D71" s="204">
        <v>718931.28384000005</v>
      </c>
      <c r="E71" t="s">
        <v>395</v>
      </c>
    </row>
    <row r="72" spans="1:5" x14ac:dyDescent="0.3">
      <c r="A72" t="s">
        <v>55</v>
      </c>
      <c r="B72" t="s">
        <v>367</v>
      </c>
      <c r="C72" t="s">
        <v>520</v>
      </c>
      <c r="D72" s="204">
        <v>0</v>
      </c>
      <c r="E72" t="s">
        <v>560</v>
      </c>
    </row>
    <row r="73" spans="1:5" x14ac:dyDescent="0.3">
      <c r="A73" t="s">
        <v>55</v>
      </c>
      <c r="B73" t="s">
        <v>367</v>
      </c>
      <c r="C73" t="s">
        <v>586</v>
      </c>
      <c r="D73" s="204">
        <v>0</v>
      </c>
      <c r="E73" t="s">
        <v>594</v>
      </c>
    </row>
    <row r="74" spans="1:5" x14ac:dyDescent="0.3">
      <c r="A74" t="s">
        <v>55</v>
      </c>
      <c r="B74" t="s">
        <v>367</v>
      </c>
      <c r="C74" t="s">
        <v>204</v>
      </c>
      <c r="D74" s="204">
        <v>45901</v>
      </c>
      <c r="E74" t="s">
        <v>319</v>
      </c>
    </row>
    <row r="75" spans="1:5" x14ac:dyDescent="0.3">
      <c r="A75" t="s">
        <v>55</v>
      </c>
      <c r="B75" t="s">
        <v>367</v>
      </c>
      <c r="C75" t="s">
        <v>205</v>
      </c>
      <c r="D75" s="204">
        <v>45931</v>
      </c>
      <c r="E75" t="s">
        <v>320</v>
      </c>
    </row>
    <row r="76" spans="1:5" x14ac:dyDescent="0.3">
      <c r="A76" t="s">
        <v>55</v>
      </c>
      <c r="B76" t="s">
        <v>367</v>
      </c>
      <c r="C76" t="s">
        <v>222</v>
      </c>
      <c r="D76" s="204">
        <v>45931</v>
      </c>
      <c r="E76" t="s">
        <v>262</v>
      </c>
    </row>
    <row r="77" spans="1:5" x14ac:dyDescent="0.3">
      <c r="A77" t="s">
        <v>55</v>
      </c>
      <c r="B77" t="s">
        <v>367</v>
      </c>
      <c r="C77" t="s">
        <v>223</v>
      </c>
      <c r="D77" s="204">
        <v>45962</v>
      </c>
      <c r="E77" t="s">
        <v>263</v>
      </c>
    </row>
    <row r="78" spans="1:5" x14ac:dyDescent="0.3">
      <c r="A78" t="s">
        <v>55</v>
      </c>
      <c r="B78" t="s">
        <v>367</v>
      </c>
      <c r="C78" t="s">
        <v>206</v>
      </c>
      <c r="D78" s="204">
        <v>45962</v>
      </c>
      <c r="E78" t="s">
        <v>264</v>
      </c>
    </row>
    <row r="79" spans="1:5" x14ac:dyDescent="0.3">
      <c r="A79" t="s">
        <v>56</v>
      </c>
      <c r="B79" t="s">
        <v>368</v>
      </c>
      <c r="C79" t="s">
        <v>393</v>
      </c>
      <c r="D79" s="204">
        <v>1144868.57748</v>
      </c>
      <c r="E79" t="s">
        <v>396</v>
      </c>
    </row>
    <row r="80" spans="1:5" x14ac:dyDescent="0.3">
      <c r="A80" t="s">
        <v>56</v>
      </c>
      <c r="B80" t="s">
        <v>368</v>
      </c>
      <c r="C80" t="s">
        <v>520</v>
      </c>
      <c r="D80" s="204">
        <v>0</v>
      </c>
      <c r="E80" t="s">
        <v>561</v>
      </c>
    </row>
    <row r="81" spans="1:5" x14ac:dyDescent="0.3">
      <c r="A81" t="s">
        <v>56</v>
      </c>
      <c r="B81" t="s">
        <v>368</v>
      </c>
      <c r="C81" t="s">
        <v>586</v>
      </c>
      <c r="D81" s="204">
        <v>0</v>
      </c>
      <c r="E81" t="s">
        <v>595</v>
      </c>
    </row>
    <row r="82" spans="1:5" x14ac:dyDescent="0.3">
      <c r="A82" t="s">
        <v>56</v>
      </c>
      <c r="B82" t="s">
        <v>368</v>
      </c>
      <c r="C82" t="s">
        <v>204</v>
      </c>
      <c r="D82" s="204">
        <v>45931</v>
      </c>
      <c r="E82" t="s">
        <v>321</v>
      </c>
    </row>
    <row r="83" spans="1:5" x14ac:dyDescent="0.3">
      <c r="A83" t="s">
        <v>56</v>
      </c>
      <c r="B83" t="s">
        <v>368</v>
      </c>
      <c r="C83" t="s">
        <v>205</v>
      </c>
      <c r="D83" s="204">
        <v>45962</v>
      </c>
      <c r="E83" t="s">
        <v>322</v>
      </c>
    </row>
    <row r="84" spans="1:5" x14ac:dyDescent="0.3">
      <c r="A84" t="s">
        <v>56</v>
      </c>
      <c r="B84" t="s">
        <v>368</v>
      </c>
      <c r="C84" t="s">
        <v>222</v>
      </c>
      <c r="D84" s="204">
        <v>46023</v>
      </c>
      <c r="E84" t="s">
        <v>265</v>
      </c>
    </row>
    <row r="85" spans="1:5" x14ac:dyDescent="0.3">
      <c r="A85" t="s">
        <v>56</v>
      </c>
      <c r="B85" t="s">
        <v>368</v>
      </c>
      <c r="C85" t="s">
        <v>223</v>
      </c>
      <c r="D85" s="204">
        <v>46082</v>
      </c>
      <c r="E85" t="s">
        <v>266</v>
      </c>
    </row>
    <row r="86" spans="1:5" x14ac:dyDescent="0.3">
      <c r="A86" t="s">
        <v>56</v>
      </c>
      <c r="B86" t="s">
        <v>368</v>
      </c>
      <c r="C86" t="s">
        <v>224</v>
      </c>
      <c r="D86" s="204">
        <v>46113</v>
      </c>
      <c r="E86" t="s">
        <v>267</v>
      </c>
    </row>
    <row r="87" spans="1:5" x14ac:dyDescent="0.3">
      <c r="A87" t="s">
        <v>56</v>
      </c>
      <c r="B87" t="s">
        <v>368</v>
      </c>
      <c r="C87" t="s">
        <v>206</v>
      </c>
      <c r="D87" s="204">
        <v>46113</v>
      </c>
      <c r="E87" t="s">
        <v>268</v>
      </c>
    </row>
    <row r="88" spans="1:5" x14ac:dyDescent="0.3">
      <c r="A88" t="s">
        <v>57</v>
      </c>
      <c r="B88" t="s">
        <v>216</v>
      </c>
      <c r="C88" t="s">
        <v>393</v>
      </c>
      <c r="D88" s="204">
        <v>0</v>
      </c>
      <c r="E88" t="s">
        <v>397</v>
      </c>
    </row>
    <row r="89" spans="1:5" x14ac:dyDescent="0.3">
      <c r="A89" t="s">
        <v>57</v>
      </c>
      <c r="B89" t="s">
        <v>216</v>
      </c>
      <c r="C89" t="s">
        <v>520</v>
      </c>
      <c r="D89" s="204">
        <v>0</v>
      </c>
      <c r="E89" t="s">
        <v>562</v>
      </c>
    </row>
    <row r="90" spans="1:5" x14ac:dyDescent="0.3">
      <c r="A90" t="s">
        <v>57</v>
      </c>
      <c r="B90" t="s">
        <v>216</v>
      </c>
      <c r="C90" t="s">
        <v>586</v>
      </c>
      <c r="D90" s="204">
        <v>0</v>
      </c>
      <c r="E90" t="s">
        <v>596</v>
      </c>
    </row>
    <row r="91" spans="1:5" x14ac:dyDescent="0.3">
      <c r="A91" t="s">
        <v>58</v>
      </c>
      <c r="B91" t="s">
        <v>213</v>
      </c>
      <c r="C91" t="s">
        <v>393</v>
      </c>
      <c r="D91" s="204">
        <v>1662818.2901999999</v>
      </c>
      <c r="E91" t="s">
        <v>398</v>
      </c>
    </row>
    <row r="92" spans="1:5" x14ac:dyDescent="0.3">
      <c r="A92" t="s">
        <v>58</v>
      </c>
      <c r="B92" t="s">
        <v>213</v>
      </c>
      <c r="C92" t="s">
        <v>520</v>
      </c>
      <c r="D92" s="204">
        <v>0</v>
      </c>
      <c r="E92" t="s">
        <v>563</v>
      </c>
    </row>
    <row r="93" spans="1:5" x14ac:dyDescent="0.3">
      <c r="A93" t="s">
        <v>58</v>
      </c>
      <c r="B93" t="s">
        <v>213</v>
      </c>
      <c r="C93" t="s">
        <v>586</v>
      </c>
      <c r="D93" s="204">
        <v>0</v>
      </c>
      <c r="E93" t="s">
        <v>597</v>
      </c>
    </row>
    <row r="94" spans="1:5" x14ac:dyDescent="0.3">
      <c r="A94" t="s">
        <v>58</v>
      </c>
      <c r="B94" t="s">
        <v>213</v>
      </c>
      <c r="C94" t="s">
        <v>204</v>
      </c>
      <c r="D94" s="204">
        <v>45931</v>
      </c>
      <c r="E94" t="s">
        <v>323</v>
      </c>
    </row>
    <row r="95" spans="1:5" x14ac:dyDescent="0.3">
      <c r="A95" t="s">
        <v>58</v>
      </c>
      <c r="B95" t="s">
        <v>213</v>
      </c>
      <c r="C95" t="s">
        <v>205</v>
      </c>
      <c r="D95" s="204">
        <v>45962</v>
      </c>
      <c r="E95" t="s">
        <v>324</v>
      </c>
    </row>
    <row r="96" spans="1:5" x14ac:dyDescent="0.3">
      <c r="A96" t="s">
        <v>58</v>
      </c>
      <c r="B96" t="s">
        <v>213</v>
      </c>
      <c r="C96" t="s">
        <v>222</v>
      </c>
      <c r="D96" s="204">
        <v>45992</v>
      </c>
      <c r="E96" t="s">
        <v>269</v>
      </c>
    </row>
    <row r="97" spans="1:5" x14ac:dyDescent="0.3">
      <c r="A97" t="s">
        <v>58</v>
      </c>
      <c r="B97" t="s">
        <v>213</v>
      </c>
      <c r="C97" t="s">
        <v>223</v>
      </c>
      <c r="D97" s="204">
        <v>45992</v>
      </c>
      <c r="E97" t="s">
        <v>270</v>
      </c>
    </row>
    <row r="98" spans="1:5" x14ac:dyDescent="0.3">
      <c r="A98" t="s">
        <v>58</v>
      </c>
      <c r="B98" t="s">
        <v>213</v>
      </c>
      <c r="C98" t="s">
        <v>224</v>
      </c>
      <c r="D98" s="204">
        <v>45992</v>
      </c>
      <c r="E98" t="s">
        <v>271</v>
      </c>
    </row>
    <row r="99" spans="1:5" x14ac:dyDescent="0.3">
      <c r="A99" t="s">
        <v>58</v>
      </c>
      <c r="B99" t="s">
        <v>213</v>
      </c>
      <c r="C99" t="s">
        <v>225</v>
      </c>
      <c r="D99" s="204">
        <v>45992</v>
      </c>
      <c r="E99" t="s">
        <v>272</v>
      </c>
    </row>
    <row r="100" spans="1:5" x14ac:dyDescent="0.3">
      <c r="A100" t="s">
        <v>58</v>
      </c>
      <c r="B100" t="s">
        <v>213</v>
      </c>
      <c r="C100" t="s">
        <v>226</v>
      </c>
      <c r="D100" s="204">
        <v>46023</v>
      </c>
      <c r="E100" t="s">
        <v>273</v>
      </c>
    </row>
    <row r="101" spans="1:5" x14ac:dyDescent="0.3">
      <c r="A101" t="s">
        <v>58</v>
      </c>
      <c r="B101" t="s">
        <v>213</v>
      </c>
      <c r="C101" t="s">
        <v>227</v>
      </c>
      <c r="D101" s="204">
        <v>46054</v>
      </c>
      <c r="E101" t="s">
        <v>274</v>
      </c>
    </row>
    <row r="102" spans="1:5" x14ac:dyDescent="0.3">
      <c r="A102" t="s">
        <v>58</v>
      </c>
      <c r="B102" t="s">
        <v>213</v>
      </c>
      <c r="C102" t="s">
        <v>228</v>
      </c>
      <c r="D102" s="204">
        <v>46113</v>
      </c>
      <c r="E102" t="s">
        <v>275</v>
      </c>
    </row>
    <row r="103" spans="1:5" x14ac:dyDescent="0.3">
      <c r="A103" t="s">
        <v>58</v>
      </c>
      <c r="B103" t="s">
        <v>213</v>
      </c>
      <c r="C103" t="s">
        <v>229</v>
      </c>
      <c r="D103" s="204">
        <v>46113</v>
      </c>
      <c r="E103" t="s">
        <v>276</v>
      </c>
    </row>
    <row r="104" spans="1:5" x14ac:dyDescent="0.3">
      <c r="A104" t="s">
        <v>58</v>
      </c>
      <c r="B104" t="s">
        <v>213</v>
      </c>
      <c r="C104" t="s">
        <v>230</v>
      </c>
      <c r="D104" s="204">
        <v>46143</v>
      </c>
      <c r="E104" t="s">
        <v>277</v>
      </c>
    </row>
    <row r="105" spans="1:5" x14ac:dyDescent="0.3">
      <c r="A105" t="s">
        <v>58</v>
      </c>
      <c r="B105" t="s">
        <v>213</v>
      </c>
      <c r="C105" t="s">
        <v>206</v>
      </c>
      <c r="D105" s="204">
        <v>46143</v>
      </c>
      <c r="E105" t="s">
        <v>278</v>
      </c>
    </row>
    <row r="106" spans="1:5" x14ac:dyDescent="0.3">
      <c r="A106" t="s">
        <v>59</v>
      </c>
      <c r="B106" t="s">
        <v>214</v>
      </c>
      <c r="C106" t="s">
        <v>393</v>
      </c>
      <c r="D106" s="204">
        <v>228497.33</v>
      </c>
      <c r="E106" t="s">
        <v>399</v>
      </c>
    </row>
    <row r="107" spans="1:5" x14ac:dyDescent="0.3">
      <c r="A107" t="s">
        <v>59</v>
      </c>
      <c r="B107" t="s">
        <v>214</v>
      </c>
      <c r="C107" t="s">
        <v>520</v>
      </c>
      <c r="D107" s="204">
        <v>0</v>
      </c>
      <c r="E107" t="s">
        <v>564</v>
      </c>
    </row>
    <row r="108" spans="1:5" x14ac:dyDescent="0.3">
      <c r="A108" t="s">
        <v>59</v>
      </c>
      <c r="B108" t="s">
        <v>214</v>
      </c>
      <c r="C108" t="s">
        <v>586</v>
      </c>
      <c r="D108" s="204">
        <v>0</v>
      </c>
      <c r="E108" t="s">
        <v>598</v>
      </c>
    </row>
    <row r="109" spans="1:5" x14ac:dyDescent="0.3">
      <c r="A109" t="s">
        <v>59</v>
      </c>
      <c r="B109" t="s">
        <v>214</v>
      </c>
      <c r="C109" t="s">
        <v>204</v>
      </c>
      <c r="D109" s="204">
        <v>45931</v>
      </c>
      <c r="E109" t="s">
        <v>325</v>
      </c>
    </row>
    <row r="110" spans="1:5" x14ac:dyDescent="0.3">
      <c r="A110" t="s">
        <v>59</v>
      </c>
      <c r="B110" t="s">
        <v>214</v>
      </c>
      <c r="C110" t="s">
        <v>205</v>
      </c>
      <c r="D110" s="204">
        <v>45931</v>
      </c>
      <c r="E110" t="s">
        <v>326</v>
      </c>
    </row>
    <row r="111" spans="1:5" x14ac:dyDescent="0.3">
      <c r="A111" t="s">
        <v>59</v>
      </c>
      <c r="B111" t="s">
        <v>214</v>
      </c>
      <c r="C111" t="s">
        <v>222</v>
      </c>
      <c r="D111" s="204">
        <v>45962</v>
      </c>
      <c r="E111" t="s">
        <v>279</v>
      </c>
    </row>
    <row r="112" spans="1:5" x14ac:dyDescent="0.3">
      <c r="A112" t="s">
        <v>59</v>
      </c>
      <c r="B112" t="s">
        <v>214</v>
      </c>
      <c r="C112" t="s">
        <v>223</v>
      </c>
      <c r="D112" s="204">
        <v>46023</v>
      </c>
      <c r="E112" t="s">
        <v>280</v>
      </c>
    </row>
    <row r="113" spans="1:5" x14ac:dyDescent="0.3">
      <c r="A113" t="s">
        <v>59</v>
      </c>
      <c r="B113" t="s">
        <v>214</v>
      </c>
      <c r="C113" t="s">
        <v>224</v>
      </c>
      <c r="D113" s="204">
        <v>45992</v>
      </c>
      <c r="E113" t="s">
        <v>281</v>
      </c>
    </row>
    <row r="114" spans="1:5" x14ac:dyDescent="0.3">
      <c r="A114" t="s">
        <v>59</v>
      </c>
      <c r="B114" t="s">
        <v>214</v>
      </c>
      <c r="C114" t="s">
        <v>206</v>
      </c>
      <c r="D114" s="204">
        <v>46023</v>
      </c>
      <c r="E114" t="s">
        <v>282</v>
      </c>
    </row>
    <row r="115" spans="1:5" x14ac:dyDescent="0.3">
      <c r="A115" t="s">
        <v>60</v>
      </c>
      <c r="B115" t="s">
        <v>217</v>
      </c>
      <c r="C115" t="s">
        <v>393</v>
      </c>
      <c r="D115" s="204">
        <v>1233914.5200000003</v>
      </c>
      <c r="E115" t="s">
        <v>400</v>
      </c>
    </row>
    <row r="116" spans="1:5" x14ac:dyDescent="0.3">
      <c r="A116" t="s">
        <v>60</v>
      </c>
      <c r="B116" t="s">
        <v>217</v>
      </c>
      <c r="C116" t="s">
        <v>520</v>
      </c>
      <c r="D116" s="204">
        <v>0</v>
      </c>
      <c r="E116" t="s">
        <v>565</v>
      </c>
    </row>
    <row r="117" spans="1:5" x14ac:dyDescent="0.3">
      <c r="A117" t="s">
        <v>60</v>
      </c>
      <c r="B117" t="s">
        <v>217</v>
      </c>
      <c r="C117" t="s">
        <v>586</v>
      </c>
      <c r="D117" s="204">
        <v>0</v>
      </c>
      <c r="E117" t="s">
        <v>599</v>
      </c>
    </row>
    <row r="118" spans="1:5" x14ac:dyDescent="0.3">
      <c r="A118" t="s">
        <v>60</v>
      </c>
      <c r="B118" t="s">
        <v>217</v>
      </c>
      <c r="C118" t="s">
        <v>204</v>
      </c>
      <c r="D118" s="204">
        <v>45962</v>
      </c>
      <c r="E118" t="s">
        <v>327</v>
      </c>
    </row>
    <row r="119" spans="1:5" x14ac:dyDescent="0.3">
      <c r="A119" t="s">
        <v>60</v>
      </c>
      <c r="B119" t="s">
        <v>217</v>
      </c>
      <c r="C119" t="s">
        <v>205</v>
      </c>
      <c r="D119" s="204">
        <v>45962</v>
      </c>
      <c r="E119" t="s">
        <v>328</v>
      </c>
    </row>
    <row r="120" spans="1:5" x14ac:dyDescent="0.3">
      <c r="A120" t="s">
        <v>60</v>
      </c>
      <c r="B120" t="s">
        <v>217</v>
      </c>
      <c r="C120" t="s">
        <v>222</v>
      </c>
      <c r="D120" s="204">
        <v>45992</v>
      </c>
      <c r="E120" t="s">
        <v>283</v>
      </c>
    </row>
    <row r="121" spans="1:5" x14ac:dyDescent="0.3">
      <c r="A121" t="s">
        <v>60</v>
      </c>
      <c r="B121" t="s">
        <v>217</v>
      </c>
      <c r="C121" t="s">
        <v>223</v>
      </c>
      <c r="D121" s="204">
        <v>46023</v>
      </c>
      <c r="E121" t="s">
        <v>284</v>
      </c>
    </row>
    <row r="122" spans="1:5" x14ac:dyDescent="0.3">
      <c r="A122" t="s">
        <v>60</v>
      </c>
      <c r="B122" t="s">
        <v>217</v>
      </c>
      <c r="C122" t="s">
        <v>224</v>
      </c>
      <c r="D122" s="204">
        <v>46054</v>
      </c>
      <c r="E122" t="s">
        <v>285</v>
      </c>
    </row>
    <row r="123" spans="1:5" x14ac:dyDescent="0.3">
      <c r="A123" t="s">
        <v>60</v>
      </c>
      <c r="B123" t="s">
        <v>217</v>
      </c>
      <c r="C123" t="s">
        <v>225</v>
      </c>
      <c r="D123" s="204">
        <v>46082</v>
      </c>
      <c r="E123" t="s">
        <v>286</v>
      </c>
    </row>
    <row r="124" spans="1:5" x14ac:dyDescent="0.3">
      <c r="A124" t="s">
        <v>60</v>
      </c>
      <c r="B124" t="s">
        <v>217</v>
      </c>
      <c r="C124" t="s">
        <v>226</v>
      </c>
      <c r="D124" s="204">
        <v>46113</v>
      </c>
      <c r="E124" t="s">
        <v>287</v>
      </c>
    </row>
    <row r="125" spans="1:5" x14ac:dyDescent="0.3">
      <c r="A125" t="s">
        <v>60</v>
      </c>
      <c r="B125" t="s">
        <v>217</v>
      </c>
      <c r="C125" t="s">
        <v>227</v>
      </c>
      <c r="D125" s="204">
        <v>46143</v>
      </c>
      <c r="E125" t="s">
        <v>288</v>
      </c>
    </row>
    <row r="126" spans="1:5" x14ac:dyDescent="0.3">
      <c r="A126" t="s">
        <v>60</v>
      </c>
      <c r="B126" t="s">
        <v>217</v>
      </c>
      <c r="C126" t="s">
        <v>228</v>
      </c>
      <c r="D126" s="204">
        <v>46174</v>
      </c>
      <c r="E126" t="s">
        <v>289</v>
      </c>
    </row>
    <row r="127" spans="1:5" x14ac:dyDescent="0.3">
      <c r="A127" t="s">
        <v>60</v>
      </c>
      <c r="B127" t="s">
        <v>217</v>
      </c>
      <c r="C127" t="s">
        <v>206</v>
      </c>
      <c r="D127" s="204">
        <v>46174</v>
      </c>
      <c r="E127" t="s">
        <v>290</v>
      </c>
    </row>
    <row r="128" spans="1:5" x14ac:dyDescent="0.3">
      <c r="A128" t="s">
        <v>61</v>
      </c>
      <c r="B128" t="s">
        <v>209</v>
      </c>
      <c r="C128" t="s">
        <v>393</v>
      </c>
      <c r="D128" s="204">
        <v>196612.97435999999</v>
      </c>
      <c r="E128" t="s">
        <v>401</v>
      </c>
    </row>
    <row r="129" spans="1:5" x14ac:dyDescent="0.3">
      <c r="A129" t="s">
        <v>61</v>
      </c>
      <c r="B129" t="s">
        <v>209</v>
      </c>
      <c r="C129" t="s">
        <v>520</v>
      </c>
      <c r="D129" s="204">
        <v>0</v>
      </c>
      <c r="E129" t="s">
        <v>566</v>
      </c>
    </row>
    <row r="130" spans="1:5" x14ac:dyDescent="0.3">
      <c r="A130" t="s">
        <v>61</v>
      </c>
      <c r="B130" t="s">
        <v>209</v>
      </c>
      <c r="C130" t="s">
        <v>586</v>
      </c>
      <c r="D130" s="204">
        <v>0</v>
      </c>
      <c r="E130" t="s">
        <v>600</v>
      </c>
    </row>
    <row r="131" spans="1:5" x14ac:dyDescent="0.3">
      <c r="A131" t="s">
        <v>61</v>
      </c>
      <c r="B131" t="s">
        <v>209</v>
      </c>
      <c r="C131" t="s">
        <v>204</v>
      </c>
      <c r="D131" s="204">
        <v>45962</v>
      </c>
      <c r="E131" t="s">
        <v>329</v>
      </c>
    </row>
    <row r="132" spans="1:5" x14ac:dyDescent="0.3">
      <c r="A132" t="s">
        <v>61</v>
      </c>
      <c r="B132" t="s">
        <v>209</v>
      </c>
      <c r="C132" t="s">
        <v>205</v>
      </c>
      <c r="D132" s="204">
        <v>45962</v>
      </c>
      <c r="E132" t="s">
        <v>330</v>
      </c>
    </row>
    <row r="133" spans="1:5" x14ac:dyDescent="0.3">
      <c r="A133" t="s">
        <v>61</v>
      </c>
      <c r="B133" t="s">
        <v>209</v>
      </c>
      <c r="C133" t="s">
        <v>222</v>
      </c>
      <c r="D133" s="204">
        <v>46054</v>
      </c>
      <c r="E133" t="s">
        <v>291</v>
      </c>
    </row>
    <row r="134" spans="1:5" x14ac:dyDescent="0.3">
      <c r="A134" t="s">
        <v>61</v>
      </c>
      <c r="B134" t="s">
        <v>209</v>
      </c>
      <c r="C134" t="s">
        <v>223</v>
      </c>
      <c r="D134" s="204">
        <v>46054</v>
      </c>
      <c r="E134" t="s">
        <v>292</v>
      </c>
    </row>
    <row r="135" spans="1:5" x14ac:dyDescent="0.3">
      <c r="A135" t="s">
        <v>61</v>
      </c>
      <c r="B135" t="s">
        <v>209</v>
      </c>
      <c r="C135" t="s">
        <v>224</v>
      </c>
      <c r="D135" s="204">
        <v>46054</v>
      </c>
      <c r="E135" t="s">
        <v>293</v>
      </c>
    </row>
    <row r="136" spans="1:5" x14ac:dyDescent="0.3">
      <c r="A136" t="s">
        <v>61</v>
      </c>
      <c r="B136" t="s">
        <v>209</v>
      </c>
      <c r="C136" t="s">
        <v>206</v>
      </c>
      <c r="D136" s="204">
        <v>46054</v>
      </c>
      <c r="E136" t="s">
        <v>294</v>
      </c>
    </row>
    <row r="137" spans="1:5" x14ac:dyDescent="0.3">
      <c r="A137" t="s">
        <v>62</v>
      </c>
      <c r="B137" t="s">
        <v>215</v>
      </c>
      <c r="C137" t="s">
        <v>393</v>
      </c>
      <c r="D137" s="204">
        <v>90327.897311399996</v>
      </c>
      <c r="E137" t="s">
        <v>402</v>
      </c>
    </row>
    <row r="138" spans="1:5" x14ac:dyDescent="0.3">
      <c r="A138" t="s">
        <v>62</v>
      </c>
      <c r="B138" t="s">
        <v>215</v>
      </c>
      <c r="C138" t="s">
        <v>520</v>
      </c>
      <c r="D138" s="204">
        <v>0</v>
      </c>
      <c r="E138" t="s">
        <v>567</v>
      </c>
    </row>
    <row r="139" spans="1:5" x14ac:dyDescent="0.3">
      <c r="A139" t="s">
        <v>62</v>
      </c>
      <c r="B139" t="s">
        <v>215</v>
      </c>
      <c r="C139" t="s">
        <v>586</v>
      </c>
      <c r="D139" s="204">
        <v>0</v>
      </c>
      <c r="E139" t="s">
        <v>601</v>
      </c>
    </row>
    <row r="140" spans="1:5" x14ac:dyDescent="0.3">
      <c r="A140" t="s">
        <v>62</v>
      </c>
      <c r="B140" t="s">
        <v>215</v>
      </c>
      <c r="C140" t="s">
        <v>204</v>
      </c>
      <c r="D140" s="204">
        <v>45962</v>
      </c>
      <c r="E140" t="s">
        <v>331</v>
      </c>
    </row>
    <row r="141" spans="1:5" x14ac:dyDescent="0.3">
      <c r="A141" t="s">
        <v>62</v>
      </c>
      <c r="B141" t="s">
        <v>215</v>
      </c>
      <c r="C141" t="s">
        <v>205</v>
      </c>
      <c r="D141" s="204">
        <v>45962</v>
      </c>
      <c r="E141" t="s">
        <v>332</v>
      </c>
    </row>
    <row r="142" spans="1:5" x14ac:dyDescent="0.3">
      <c r="A142" t="s">
        <v>62</v>
      </c>
      <c r="B142" t="s">
        <v>215</v>
      </c>
      <c r="C142" t="s">
        <v>222</v>
      </c>
      <c r="D142" s="204">
        <v>45962</v>
      </c>
      <c r="E142" t="s">
        <v>295</v>
      </c>
    </row>
    <row r="143" spans="1:5" x14ac:dyDescent="0.3">
      <c r="A143" t="s">
        <v>62</v>
      </c>
      <c r="B143" t="s">
        <v>215</v>
      </c>
      <c r="C143" t="s">
        <v>223</v>
      </c>
      <c r="D143" s="204">
        <v>45962</v>
      </c>
      <c r="E143" t="s">
        <v>296</v>
      </c>
    </row>
    <row r="144" spans="1:5" x14ac:dyDescent="0.3">
      <c r="A144" t="s">
        <v>62</v>
      </c>
      <c r="B144" t="s">
        <v>215</v>
      </c>
      <c r="C144" t="s">
        <v>224</v>
      </c>
      <c r="D144" s="204">
        <v>45992</v>
      </c>
      <c r="E144" t="s">
        <v>297</v>
      </c>
    </row>
    <row r="145" spans="1:5" x14ac:dyDescent="0.3">
      <c r="A145" t="s">
        <v>62</v>
      </c>
      <c r="B145" t="s">
        <v>215</v>
      </c>
      <c r="C145" t="s">
        <v>206</v>
      </c>
      <c r="D145" s="204">
        <v>45992</v>
      </c>
      <c r="E145" t="s">
        <v>298</v>
      </c>
    </row>
    <row r="146" spans="1:5" x14ac:dyDescent="0.3">
      <c r="A146" t="s">
        <v>63</v>
      </c>
      <c r="B146" t="s">
        <v>210</v>
      </c>
      <c r="C146" t="s">
        <v>393</v>
      </c>
      <c r="D146" s="204">
        <v>9890.6360400000012</v>
      </c>
      <c r="E146" t="s">
        <v>403</v>
      </c>
    </row>
    <row r="147" spans="1:5" x14ac:dyDescent="0.3">
      <c r="A147" t="s">
        <v>63</v>
      </c>
      <c r="B147" t="s">
        <v>210</v>
      </c>
      <c r="C147" t="s">
        <v>520</v>
      </c>
      <c r="D147" s="204">
        <v>0</v>
      </c>
      <c r="E147" t="s">
        <v>568</v>
      </c>
    </row>
    <row r="148" spans="1:5" x14ac:dyDescent="0.3">
      <c r="A148" t="s">
        <v>63</v>
      </c>
      <c r="B148" t="s">
        <v>210</v>
      </c>
      <c r="C148" t="s">
        <v>586</v>
      </c>
      <c r="D148" s="204">
        <v>0</v>
      </c>
      <c r="E148" t="s">
        <v>602</v>
      </c>
    </row>
    <row r="149" spans="1:5" x14ac:dyDescent="0.3">
      <c r="A149" t="s">
        <v>63</v>
      </c>
      <c r="B149" t="s">
        <v>210</v>
      </c>
      <c r="C149" t="s">
        <v>204</v>
      </c>
      <c r="D149" s="204">
        <v>45962</v>
      </c>
      <c r="E149" t="s">
        <v>333</v>
      </c>
    </row>
    <row r="150" spans="1:5" x14ac:dyDescent="0.3">
      <c r="A150" t="s">
        <v>63</v>
      </c>
      <c r="B150" t="s">
        <v>210</v>
      </c>
      <c r="C150" t="s">
        <v>205</v>
      </c>
      <c r="D150" s="204">
        <v>45962</v>
      </c>
      <c r="E150" t="s">
        <v>334</v>
      </c>
    </row>
    <row r="151" spans="1:5" x14ac:dyDescent="0.3">
      <c r="A151" t="s">
        <v>63</v>
      </c>
      <c r="B151" t="s">
        <v>210</v>
      </c>
      <c r="C151" t="s">
        <v>222</v>
      </c>
      <c r="D151" s="204">
        <v>45962</v>
      </c>
      <c r="E151" t="s">
        <v>299</v>
      </c>
    </row>
    <row r="152" spans="1:5" x14ac:dyDescent="0.3">
      <c r="A152" t="s">
        <v>63</v>
      </c>
      <c r="B152" t="s">
        <v>210</v>
      </c>
      <c r="C152" t="s">
        <v>223</v>
      </c>
      <c r="D152" s="204">
        <v>45992</v>
      </c>
      <c r="E152" t="s">
        <v>300</v>
      </c>
    </row>
    <row r="153" spans="1:5" x14ac:dyDescent="0.3">
      <c r="A153" t="s">
        <v>63</v>
      </c>
      <c r="B153" t="s">
        <v>210</v>
      </c>
      <c r="C153" t="s">
        <v>224</v>
      </c>
      <c r="D153" s="204">
        <v>46023</v>
      </c>
      <c r="E153" t="s">
        <v>301</v>
      </c>
    </row>
    <row r="154" spans="1:5" x14ac:dyDescent="0.3">
      <c r="A154" t="s">
        <v>163</v>
      </c>
      <c r="B154" t="s">
        <v>211</v>
      </c>
      <c r="C154" t="s">
        <v>393</v>
      </c>
      <c r="D154" s="204">
        <v>0</v>
      </c>
      <c r="E154" t="s">
        <v>404</v>
      </c>
    </row>
    <row r="155" spans="1:5" x14ac:dyDescent="0.3">
      <c r="A155" t="s">
        <v>163</v>
      </c>
      <c r="B155" t="s">
        <v>211</v>
      </c>
      <c r="C155" t="s">
        <v>520</v>
      </c>
      <c r="D155" s="204">
        <v>0</v>
      </c>
      <c r="E155" t="s">
        <v>569</v>
      </c>
    </row>
    <row r="156" spans="1:5" x14ac:dyDescent="0.3">
      <c r="A156" t="s">
        <v>163</v>
      </c>
      <c r="B156" t="s">
        <v>211</v>
      </c>
      <c r="C156" t="s">
        <v>586</v>
      </c>
      <c r="D156" s="204">
        <v>0</v>
      </c>
      <c r="E156" t="s">
        <v>603</v>
      </c>
    </row>
    <row r="157" spans="1:5" x14ac:dyDescent="0.3">
      <c r="A157" t="s">
        <v>164</v>
      </c>
      <c r="B157" t="s">
        <v>209</v>
      </c>
      <c r="C157" t="s">
        <v>393</v>
      </c>
      <c r="D157" s="204">
        <v>117731.57525999998</v>
      </c>
      <c r="E157" t="s">
        <v>405</v>
      </c>
    </row>
    <row r="158" spans="1:5" x14ac:dyDescent="0.3">
      <c r="A158" t="s">
        <v>164</v>
      </c>
      <c r="B158" t="s">
        <v>209</v>
      </c>
      <c r="C158" t="s">
        <v>520</v>
      </c>
      <c r="D158" s="204">
        <v>0</v>
      </c>
      <c r="E158" t="s">
        <v>570</v>
      </c>
    </row>
    <row r="159" spans="1:5" x14ac:dyDescent="0.3">
      <c r="A159" t="s">
        <v>164</v>
      </c>
      <c r="B159" t="s">
        <v>209</v>
      </c>
      <c r="C159" t="s">
        <v>586</v>
      </c>
      <c r="D159" s="204">
        <v>0</v>
      </c>
      <c r="E159" t="s">
        <v>604</v>
      </c>
    </row>
    <row r="160" spans="1:5" x14ac:dyDescent="0.3">
      <c r="A160" t="s">
        <v>164</v>
      </c>
      <c r="B160" t="s">
        <v>209</v>
      </c>
      <c r="C160" t="s">
        <v>204</v>
      </c>
      <c r="D160" s="204">
        <v>45962</v>
      </c>
      <c r="E160" t="s">
        <v>335</v>
      </c>
    </row>
    <row r="161" spans="1:5" x14ac:dyDescent="0.3">
      <c r="A161" t="s">
        <v>164</v>
      </c>
      <c r="B161" t="s">
        <v>209</v>
      </c>
      <c r="C161" t="s">
        <v>205</v>
      </c>
      <c r="D161" s="204">
        <v>45992</v>
      </c>
      <c r="E161" t="s">
        <v>336</v>
      </c>
    </row>
    <row r="162" spans="1:5" x14ac:dyDescent="0.3">
      <c r="A162" t="s">
        <v>164</v>
      </c>
      <c r="B162" t="s">
        <v>209</v>
      </c>
      <c r="C162" t="s">
        <v>222</v>
      </c>
      <c r="D162" s="204">
        <v>45992</v>
      </c>
      <c r="E162" t="s">
        <v>302</v>
      </c>
    </row>
    <row r="163" spans="1:5" x14ac:dyDescent="0.3">
      <c r="A163" t="s">
        <v>164</v>
      </c>
      <c r="B163" t="s">
        <v>209</v>
      </c>
      <c r="C163" t="s">
        <v>223</v>
      </c>
      <c r="D163" s="204">
        <v>45992</v>
      </c>
      <c r="E163" t="s">
        <v>303</v>
      </c>
    </row>
    <row r="164" spans="1:5" x14ac:dyDescent="0.3">
      <c r="A164" t="s">
        <v>164</v>
      </c>
      <c r="B164" t="s">
        <v>209</v>
      </c>
      <c r="C164" t="s">
        <v>224</v>
      </c>
      <c r="D164" s="204">
        <v>46023</v>
      </c>
      <c r="E164" t="s">
        <v>304</v>
      </c>
    </row>
    <row r="165" spans="1:5" x14ac:dyDescent="0.3">
      <c r="A165" t="s">
        <v>164</v>
      </c>
      <c r="B165" t="s">
        <v>209</v>
      </c>
      <c r="C165" t="s">
        <v>206</v>
      </c>
      <c r="D165" s="204">
        <v>46023</v>
      </c>
      <c r="E165" t="s">
        <v>305</v>
      </c>
    </row>
    <row r="166" spans="1:5" x14ac:dyDescent="0.3">
      <c r="A166" t="s">
        <v>165</v>
      </c>
      <c r="B166" t="s">
        <v>212</v>
      </c>
      <c r="C166" t="s">
        <v>393</v>
      </c>
      <c r="D166" s="204">
        <v>9395.5402799999993</v>
      </c>
      <c r="E166" t="s">
        <v>406</v>
      </c>
    </row>
    <row r="167" spans="1:5" x14ac:dyDescent="0.3">
      <c r="A167" t="s">
        <v>165</v>
      </c>
      <c r="B167" t="s">
        <v>212</v>
      </c>
      <c r="C167" t="s">
        <v>520</v>
      </c>
      <c r="D167" s="204">
        <v>0</v>
      </c>
      <c r="E167" t="s">
        <v>571</v>
      </c>
    </row>
    <row r="168" spans="1:5" x14ac:dyDescent="0.3">
      <c r="A168" t="s">
        <v>165</v>
      </c>
      <c r="B168" t="s">
        <v>212</v>
      </c>
      <c r="C168" t="s">
        <v>586</v>
      </c>
      <c r="D168" s="204">
        <v>0</v>
      </c>
      <c r="E168" t="s">
        <v>605</v>
      </c>
    </row>
    <row r="169" spans="1:5" x14ac:dyDescent="0.3">
      <c r="A169" t="s">
        <v>165</v>
      </c>
      <c r="B169" t="s">
        <v>212</v>
      </c>
      <c r="C169" t="s">
        <v>204</v>
      </c>
      <c r="D169" s="204">
        <v>45962</v>
      </c>
      <c r="E169" t="s">
        <v>337</v>
      </c>
    </row>
    <row r="170" spans="1:5" x14ac:dyDescent="0.3">
      <c r="A170" t="s">
        <v>165</v>
      </c>
      <c r="B170" t="s">
        <v>212</v>
      </c>
      <c r="C170" t="s">
        <v>205</v>
      </c>
      <c r="D170" s="204">
        <v>45992</v>
      </c>
      <c r="E170" t="s">
        <v>338</v>
      </c>
    </row>
    <row r="171" spans="1:5" x14ac:dyDescent="0.3">
      <c r="A171" t="s">
        <v>165</v>
      </c>
      <c r="B171" t="s">
        <v>212</v>
      </c>
      <c r="C171" t="s">
        <v>222</v>
      </c>
      <c r="D171" s="204">
        <v>45992</v>
      </c>
      <c r="E171" t="s">
        <v>306</v>
      </c>
    </row>
    <row r="172" spans="1:5" x14ac:dyDescent="0.3">
      <c r="A172" t="s">
        <v>165</v>
      </c>
      <c r="B172" t="s">
        <v>212</v>
      </c>
      <c r="C172" t="s">
        <v>206</v>
      </c>
      <c r="D172" s="204">
        <v>45992</v>
      </c>
      <c r="E172" t="s">
        <v>307</v>
      </c>
    </row>
    <row r="173" spans="1:5" x14ac:dyDescent="0.3">
      <c r="A173" t="s">
        <v>166</v>
      </c>
      <c r="B173" t="s">
        <v>218</v>
      </c>
      <c r="C173" t="s">
        <v>393</v>
      </c>
      <c r="D173" s="204">
        <v>403913.19</v>
      </c>
      <c r="E173" t="s">
        <v>407</v>
      </c>
    </row>
    <row r="174" spans="1:5" x14ac:dyDescent="0.3">
      <c r="A174" t="s">
        <v>166</v>
      </c>
      <c r="B174" t="s">
        <v>218</v>
      </c>
      <c r="C174" t="s">
        <v>520</v>
      </c>
      <c r="D174" s="204">
        <v>0</v>
      </c>
      <c r="E174" t="s">
        <v>572</v>
      </c>
    </row>
    <row r="175" spans="1:5" x14ac:dyDescent="0.3">
      <c r="A175" t="s">
        <v>166</v>
      </c>
      <c r="B175" t="s">
        <v>218</v>
      </c>
      <c r="C175" t="s">
        <v>586</v>
      </c>
      <c r="D175" s="204">
        <v>0</v>
      </c>
      <c r="E175" t="s">
        <v>606</v>
      </c>
    </row>
    <row r="176" spans="1:5" x14ac:dyDescent="0.3">
      <c r="A176" t="s">
        <v>166</v>
      </c>
      <c r="B176" t="s">
        <v>218</v>
      </c>
      <c r="C176" t="s">
        <v>204</v>
      </c>
      <c r="D176" s="204">
        <v>45962</v>
      </c>
      <c r="E176" t="s">
        <v>339</v>
      </c>
    </row>
    <row r="177" spans="1:5" x14ac:dyDescent="0.3">
      <c r="A177" t="s">
        <v>166</v>
      </c>
      <c r="B177" t="s">
        <v>218</v>
      </c>
      <c r="C177" t="s">
        <v>205</v>
      </c>
      <c r="D177" s="204">
        <v>45992</v>
      </c>
      <c r="E177" t="s">
        <v>340</v>
      </c>
    </row>
    <row r="178" spans="1:5" x14ac:dyDescent="0.3">
      <c r="A178" t="s">
        <v>166</v>
      </c>
      <c r="B178" t="s">
        <v>218</v>
      </c>
      <c r="C178" t="s">
        <v>222</v>
      </c>
      <c r="D178" s="204">
        <v>46023</v>
      </c>
      <c r="E178" t="s">
        <v>308</v>
      </c>
    </row>
    <row r="179" spans="1:5" x14ac:dyDescent="0.3">
      <c r="A179" t="s">
        <v>166</v>
      </c>
      <c r="B179" t="s">
        <v>218</v>
      </c>
      <c r="C179" t="s">
        <v>223</v>
      </c>
      <c r="D179" s="204">
        <v>46023</v>
      </c>
      <c r="E179" t="s">
        <v>309</v>
      </c>
    </row>
    <row r="180" spans="1:5" x14ac:dyDescent="0.3">
      <c r="A180" t="s">
        <v>166</v>
      </c>
      <c r="B180" t="s">
        <v>218</v>
      </c>
      <c r="C180" t="s">
        <v>224</v>
      </c>
      <c r="D180" s="204">
        <v>46113</v>
      </c>
      <c r="E180" t="s">
        <v>310</v>
      </c>
    </row>
    <row r="181" spans="1:5" x14ac:dyDescent="0.3">
      <c r="A181" t="s">
        <v>166</v>
      </c>
      <c r="B181" t="s">
        <v>218</v>
      </c>
      <c r="C181" t="s">
        <v>225</v>
      </c>
      <c r="D181" s="204">
        <v>46113</v>
      </c>
      <c r="E181" t="s">
        <v>311</v>
      </c>
    </row>
    <row r="182" spans="1:5" x14ac:dyDescent="0.3">
      <c r="A182" t="s">
        <v>166</v>
      </c>
      <c r="B182" t="s">
        <v>218</v>
      </c>
      <c r="C182" t="s">
        <v>226</v>
      </c>
      <c r="D182" s="204">
        <v>46054</v>
      </c>
      <c r="E182" t="s">
        <v>312</v>
      </c>
    </row>
    <row r="183" spans="1:5" x14ac:dyDescent="0.3">
      <c r="A183" t="s">
        <v>166</v>
      </c>
      <c r="B183" t="s">
        <v>218</v>
      </c>
      <c r="C183" t="s">
        <v>227</v>
      </c>
      <c r="D183" s="204">
        <v>46054</v>
      </c>
      <c r="E183" t="s">
        <v>313</v>
      </c>
    </row>
    <row r="184" spans="1:5" x14ac:dyDescent="0.3">
      <c r="A184" t="s">
        <v>166</v>
      </c>
      <c r="B184" t="s">
        <v>218</v>
      </c>
      <c r="C184" t="s">
        <v>228</v>
      </c>
      <c r="D184" s="204">
        <v>46054</v>
      </c>
      <c r="E184" t="s">
        <v>314</v>
      </c>
    </row>
    <row r="185" spans="1:5" x14ac:dyDescent="0.3">
      <c r="A185" t="s">
        <v>166</v>
      </c>
      <c r="B185" t="s">
        <v>218</v>
      </c>
      <c r="C185" t="s">
        <v>229</v>
      </c>
      <c r="D185" s="204">
        <v>46113</v>
      </c>
      <c r="E185" t="s">
        <v>550</v>
      </c>
    </row>
    <row r="186" spans="1:5" x14ac:dyDescent="0.3">
      <c r="A186" t="s">
        <v>166</v>
      </c>
      <c r="B186" t="s">
        <v>218</v>
      </c>
      <c r="C186" t="s">
        <v>230</v>
      </c>
      <c r="D186" s="204">
        <v>46113</v>
      </c>
      <c r="E186" t="s">
        <v>551</v>
      </c>
    </row>
    <row r="187" spans="1:5" x14ac:dyDescent="0.3">
      <c r="A187" t="s">
        <v>166</v>
      </c>
      <c r="B187" t="s">
        <v>218</v>
      </c>
      <c r="C187" t="s">
        <v>206</v>
      </c>
      <c r="D187" s="204">
        <v>46113</v>
      </c>
      <c r="E187" t="s">
        <v>315</v>
      </c>
    </row>
    <row r="188" spans="1:5" x14ac:dyDescent="0.3">
      <c r="A188" t="s">
        <v>234</v>
      </c>
      <c r="B188" t="s">
        <v>237</v>
      </c>
      <c r="C188" t="s">
        <v>393</v>
      </c>
      <c r="D188" s="204">
        <v>0</v>
      </c>
      <c r="E188" t="s">
        <v>408</v>
      </c>
    </row>
    <row r="189" spans="1:5" x14ac:dyDescent="0.3">
      <c r="A189" t="s">
        <v>234</v>
      </c>
      <c r="B189" t="s">
        <v>237</v>
      </c>
      <c r="C189" t="s">
        <v>520</v>
      </c>
      <c r="D189" s="204">
        <v>0</v>
      </c>
      <c r="E189" t="s">
        <v>573</v>
      </c>
    </row>
    <row r="190" spans="1:5" x14ac:dyDescent="0.3">
      <c r="A190" t="s">
        <v>234</v>
      </c>
      <c r="B190" t="s">
        <v>237</v>
      </c>
      <c r="C190" t="s">
        <v>586</v>
      </c>
      <c r="D190" s="204">
        <v>0</v>
      </c>
      <c r="E190" t="s">
        <v>607</v>
      </c>
    </row>
    <row r="191" spans="1:5" x14ac:dyDescent="0.3">
      <c r="A191" t="s">
        <v>240</v>
      </c>
      <c r="B191" t="s">
        <v>356</v>
      </c>
      <c r="C191" t="s">
        <v>393</v>
      </c>
      <c r="D191" s="204">
        <v>1125967.97034</v>
      </c>
      <c r="E191" t="s">
        <v>409</v>
      </c>
    </row>
    <row r="192" spans="1:5" x14ac:dyDescent="0.3">
      <c r="A192" t="s">
        <v>240</v>
      </c>
      <c r="B192" t="s">
        <v>356</v>
      </c>
      <c r="C192" t="s">
        <v>520</v>
      </c>
      <c r="D192" s="204">
        <v>0</v>
      </c>
      <c r="E192" t="s">
        <v>574</v>
      </c>
    </row>
    <row r="193" spans="1:5" x14ac:dyDescent="0.3">
      <c r="A193" t="s">
        <v>240</v>
      </c>
      <c r="B193" t="s">
        <v>356</v>
      </c>
      <c r="C193" t="s">
        <v>586</v>
      </c>
      <c r="D193" s="204">
        <v>0</v>
      </c>
      <c r="E193" t="s">
        <v>608</v>
      </c>
    </row>
    <row r="194" spans="1:5" x14ac:dyDescent="0.3">
      <c r="A194" t="s">
        <v>240</v>
      </c>
      <c r="B194" t="s">
        <v>356</v>
      </c>
      <c r="C194" t="s">
        <v>204</v>
      </c>
      <c r="D194" s="204">
        <v>45992</v>
      </c>
      <c r="E194" t="s">
        <v>344</v>
      </c>
    </row>
    <row r="195" spans="1:5" x14ac:dyDescent="0.3">
      <c r="A195" t="s">
        <v>240</v>
      </c>
      <c r="B195" t="s">
        <v>356</v>
      </c>
      <c r="C195" t="s">
        <v>205</v>
      </c>
      <c r="D195" s="204">
        <v>46023</v>
      </c>
      <c r="E195" t="s">
        <v>345</v>
      </c>
    </row>
    <row r="196" spans="1:5" x14ac:dyDescent="0.3">
      <c r="A196" t="s">
        <v>240</v>
      </c>
      <c r="B196" t="s">
        <v>356</v>
      </c>
      <c r="C196" t="s">
        <v>222</v>
      </c>
      <c r="D196" s="204">
        <v>46054</v>
      </c>
      <c r="E196" t="s">
        <v>370</v>
      </c>
    </row>
    <row r="197" spans="1:5" x14ac:dyDescent="0.3">
      <c r="A197" t="s">
        <v>240</v>
      </c>
      <c r="B197" t="s">
        <v>356</v>
      </c>
      <c r="C197" t="s">
        <v>223</v>
      </c>
      <c r="D197" s="204">
        <v>46054</v>
      </c>
      <c r="E197" t="s">
        <v>371</v>
      </c>
    </row>
    <row r="198" spans="1:5" x14ac:dyDescent="0.3">
      <c r="A198" t="s">
        <v>240</v>
      </c>
      <c r="B198" t="s">
        <v>356</v>
      </c>
      <c r="C198" t="s">
        <v>224</v>
      </c>
      <c r="D198" s="204">
        <v>46082</v>
      </c>
      <c r="E198" t="s">
        <v>372</v>
      </c>
    </row>
    <row r="199" spans="1:5" x14ac:dyDescent="0.3">
      <c r="A199" t="s">
        <v>240</v>
      </c>
      <c r="B199" t="s">
        <v>356</v>
      </c>
      <c r="C199" t="s">
        <v>225</v>
      </c>
      <c r="D199" s="204">
        <v>46113</v>
      </c>
      <c r="E199" t="s">
        <v>373</v>
      </c>
    </row>
    <row r="200" spans="1:5" x14ac:dyDescent="0.3">
      <c r="A200" t="s">
        <v>240</v>
      </c>
      <c r="B200" t="s">
        <v>356</v>
      </c>
      <c r="C200" t="s">
        <v>226</v>
      </c>
      <c r="D200" s="204">
        <v>46143</v>
      </c>
      <c r="E200" t="s">
        <v>374</v>
      </c>
    </row>
    <row r="201" spans="1:5" x14ac:dyDescent="0.3">
      <c r="A201" t="s">
        <v>240</v>
      </c>
      <c r="B201" t="s">
        <v>356</v>
      </c>
      <c r="C201" t="s">
        <v>227</v>
      </c>
      <c r="D201" s="204">
        <v>46174</v>
      </c>
      <c r="E201" t="s">
        <v>375</v>
      </c>
    </row>
    <row r="202" spans="1:5" x14ac:dyDescent="0.3">
      <c r="A202" t="s">
        <v>240</v>
      </c>
      <c r="B202" t="s">
        <v>356</v>
      </c>
      <c r="C202" t="s">
        <v>206</v>
      </c>
      <c r="D202" s="204">
        <v>46174</v>
      </c>
      <c r="E202" t="s">
        <v>376</v>
      </c>
    </row>
    <row r="203" spans="1:5" x14ac:dyDescent="0.3">
      <c r="A203" t="s">
        <v>241</v>
      </c>
      <c r="B203" t="s">
        <v>357</v>
      </c>
      <c r="C203" t="s">
        <v>393</v>
      </c>
      <c r="D203" s="204">
        <v>415472.31089999998</v>
      </c>
      <c r="E203" t="s">
        <v>410</v>
      </c>
    </row>
    <row r="204" spans="1:5" x14ac:dyDescent="0.3">
      <c r="A204" t="s">
        <v>241</v>
      </c>
      <c r="B204" t="s">
        <v>357</v>
      </c>
      <c r="C204" t="s">
        <v>520</v>
      </c>
      <c r="D204" s="204">
        <v>0</v>
      </c>
      <c r="E204" t="s">
        <v>575</v>
      </c>
    </row>
    <row r="205" spans="1:5" x14ac:dyDescent="0.3">
      <c r="A205" t="s">
        <v>241</v>
      </c>
      <c r="B205" t="s">
        <v>357</v>
      </c>
      <c r="C205" t="s">
        <v>586</v>
      </c>
      <c r="D205" s="204">
        <v>0</v>
      </c>
      <c r="E205" t="s">
        <v>609</v>
      </c>
    </row>
    <row r="206" spans="1:5" x14ac:dyDescent="0.3">
      <c r="A206" t="s">
        <v>241</v>
      </c>
      <c r="B206" t="s">
        <v>357</v>
      </c>
      <c r="C206" t="s">
        <v>204</v>
      </c>
      <c r="D206" s="204">
        <v>45992</v>
      </c>
      <c r="E206" t="s">
        <v>342</v>
      </c>
    </row>
    <row r="207" spans="1:5" x14ac:dyDescent="0.3">
      <c r="A207" t="s">
        <v>241</v>
      </c>
      <c r="B207" t="s">
        <v>357</v>
      </c>
      <c r="C207" t="s">
        <v>205</v>
      </c>
      <c r="D207" s="204">
        <v>46023</v>
      </c>
      <c r="E207" t="s">
        <v>346</v>
      </c>
    </row>
    <row r="208" spans="1:5" x14ac:dyDescent="0.3">
      <c r="A208" t="s">
        <v>241</v>
      </c>
      <c r="B208" t="s">
        <v>357</v>
      </c>
      <c r="C208" t="s">
        <v>222</v>
      </c>
      <c r="D208" s="204">
        <v>46054</v>
      </c>
      <c r="E208" t="s">
        <v>377</v>
      </c>
    </row>
    <row r="209" spans="1:5" x14ac:dyDescent="0.3">
      <c r="A209" t="s">
        <v>241</v>
      </c>
      <c r="B209" t="s">
        <v>357</v>
      </c>
      <c r="C209" t="s">
        <v>223</v>
      </c>
      <c r="D209" s="204">
        <v>46054</v>
      </c>
      <c r="E209" t="s">
        <v>378</v>
      </c>
    </row>
    <row r="210" spans="1:5" x14ac:dyDescent="0.3">
      <c r="A210" t="s">
        <v>241</v>
      </c>
      <c r="B210" t="s">
        <v>357</v>
      </c>
      <c r="C210" t="s">
        <v>224</v>
      </c>
      <c r="D210" s="204">
        <v>46054</v>
      </c>
      <c r="E210" t="s">
        <v>379</v>
      </c>
    </row>
    <row r="211" spans="1:5" x14ac:dyDescent="0.3">
      <c r="A211" t="s">
        <v>241</v>
      </c>
      <c r="B211" t="s">
        <v>357</v>
      </c>
      <c r="C211" t="s">
        <v>225</v>
      </c>
      <c r="D211" s="204">
        <v>46113</v>
      </c>
      <c r="E211" t="s">
        <v>380</v>
      </c>
    </row>
    <row r="212" spans="1:5" x14ac:dyDescent="0.3">
      <c r="A212" t="s">
        <v>241</v>
      </c>
      <c r="B212" t="s">
        <v>357</v>
      </c>
      <c r="C212" t="s">
        <v>206</v>
      </c>
      <c r="D212" s="204">
        <v>46113</v>
      </c>
      <c r="E212" t="s">
        <v>381</v>
      </c>
    </row>
    <row r="213" spans="1:5" x14ac:dyDescent="0.3">
      <c r="A213" t="s">
        <v>242</v>
      </c>
      <c r="B213" t="s">
        <v>358</v>
      </c>
      <c r="C213" t="s">
        <v>393</v>
      </c>
      <c r="D213" s="204">
        <v>1219896.0657000002</v>
      </c>
      <c r="E213" t="s">
        <v>411</v>
      </c>
    </row>
    <row r="214" spans="1:5" x14ac:dyDescent="0.3">
      <c r="A214" t="s">
        <v>242</v>
      </c>
      <c r="B214" t="s">
        <v>358</v>
      </c>
      <c r="C214" t="s">
        <v>520</v>
      </c>
      <c r="D214" s="204">
        <v>0</v>
      </c>
      <c r="E214" t="s">
        <v>576</v>
      </c>
    </row>
    <row r="215" spans="1:5" x14ac:dyDescent="0.3">
      <c r="A215" t="s">
        <v>242</v>
      </c>
      <c r="B215" t="s">
        <v>358</v>
      </c>
      <c r="C215" t="s">
        <v>586</v>
      </c>
      <c r="D215" s="204">
        <v>0</v>
      </c>
      <c r="E215" t="s">
        <v>610</v>
      </c>
    </row>
    <row r="216" spans="1:5" x14ac:dyDescent="0.3">
      <c r="A216" t="s">
        <v>242</v>
      </c>
      <c r="B216" t="s">
        <v>358</v>
      </c>
      <c r="C216" t="s">
        <v>204</v>
      </c>
      <c r="D216" s="204">
        <v>45992</v>
      </c>
      <c r="E216" t="s">
        <v>347</v>
      </c>
    </row>
    <row r="217" spans="1:5" x14ac:dyDescent="0.3">
      <c r="A217" t="s">
        <v>242</v>
      </c>
      <c r="B217" t="s">
        <v>358</v>
      </c>
      <c r="C217" t="s">
        <v>205</v>
      </c>
      <c r="D217" s="204">
        <v>46023</v>
      </c>
      <c r="E217" t="s">
        <v>348</v>
      </c>
    </row>
    <row r="218" spans="1:5" x14ac:dyDescent="0.3">
      <c r="A218" t="s">
        <v>242</v>
      </c>
      <c r="B218" t="s">
        <v>358</v>
      </c>
      <c r="C218" t="s">
        <v>222</v>
      </c>
      <c r="D218" s="204">
        <v>46082</v>
      </c>
      <c r="E218" t="s">
        <v>382</v>
      </c>
    </row>
    <row r="219" spans="1:5" x14ac:dyDescent="0.3">
      <c r="A219" t="s">
        <v>242</v>
      </c>
      <c r="B219" t="s">
        <v>358</v>
      </c>
      <c r="C219" t="s">
        <v>223</v>
      </c>
      <c r="D219" s="204">
        <v>46023</v>
      </c>
      <c r="E219" t="s">
        <v>383</v>
      </c>
    </row>
    <row r="220" spans="1:5" x14ac:dyDescent="0.3">
      <c r="A220" t="s">
        <v>242</v>
      </c>
      <c r="B220" t="s">
        <v>358</v>
      </c>
      <c r="C220" t="s">
        <v>224</v>
      </c>
      <c r="D220" s="204">
        <v>46054</v>
      </c>
      <c r="E220" t="s">
        <v>384</v>
      </c>
    </row>
    <row r="221" spans="1:5" x14ac:dyDescent="0.3">
      <c r="A221" t="s">
        <v>242</v>
      </c>
      <c r="B221" t="s">
        <v>358</v>
      </c>
      <c r="C221" t="s">
        <v>225</v>
      </c>
      <c r="D221" s="204">
        <v>46113</v>
      </c>
      <c r="E221" t="s">
        <v>385</v>
      </c>
    </row>
    <row r="222" spans="1:5" x14ac:dyDescent="0.3">
      <c r="A222" t="s">
        <v>242</v>
      </c>
      <c r="B222" t="s">
        <v>358</v>
      </c>
      <c r="C222" t="s">
        <v>226</v>
      </c>
      <c r="D222" s="204">
        <v>46143</v>
      </c>
      <c r="E222" t="s">
        <v>386</v>
      </c>
    </row>
    <row r="223" spans="1:5" x14ac:dyDescent="0.3">
      <c r="A223" t="s">
        <v>242</v>
      </c>
      <c r="B223" t="s">
        <v>358</v>
      </c>
      <c r="C223" t="s">
        <v>227</v>
      </c>
      <c r="D223" s="204">
        <v>46174</v>
      </c>
      <c r="E223" t="s">
        <v>387</v>
      </c>
    </row>
    <row r="224" spans="1:5" x14ac:dyDescent="0.3">
      <c r="A224" t="s">
        <v>242</v>
      </c>
      <c r="B224" t="s">
        <v>358</v>
      </c>
      <c r="C224" t="s">
        <v>206</v>
      </c>
      <c r="D224" s="204">
        <v>46174</v>
      </c>
      <c r="E224" t="s">
        <v>388</v>
      </c>
    </row>
    <row r="225" spans="1:5" x14ac:dyDescent="0.3">
      <c r="A225" t="s">
        <v>243</v>
      </c>
      <c r="B225" t="s">
        <v>359</v>
      </c>
      <c r="C225" t="s">
        <v>393</v>
      </c>
      <c r="D225" s="204">
        <v>139993.07525999998</v>
      </c>
      <c r="E225" t="s">
        <v>412</v>
      </c>
    </row>
    <row r="226" spans="1:5" x14ac:dyDescent="0.3">
      <c r="A226" t="s">
        <v>243</v>
      </c>
      <c r="B226" t="s">
        <v>359</v>
      </c>
      <c r="C226" t="s">
        <v>520</v>
      </c>
      <c r="D226" s="204">
        <v>0</v>
      </c>
      <c r="E226" t="s">
        <v>577</v>
      </c>
    </row>
    <row r="227" spans="1:5" x14ac:dyDescent="0.3">
      <c r="A227" t="s">
        <v>243</v>
      </c>
      <c r="B227" t="s">
        <v>359</v>
      </c>
      <c r="C227" t="s">
        <v>586</v>
      </c>
      <c r="D227" s="204">
        <v>0</v>
      </c>
      <c r="E227" t="s">
        <v>611</v>
      </c>
    </row>
    <row r="228" spans="1:5" x14ac:dyDescent="0.3">
      <c r="A228" t="s">
        <v>243</v>
      </c>
      <c r="B228" t="s">
        <v>359</v>
      </c>
      <c r="C228" t="s">
        <v>204</v>
      </c>
      <c r="D228" s="204">
        <v>45992</v>
      </c>
      <c r="E228" t="s">
        <v>343</v>
      </c>
    </row>
    <row r="229" spans="1:5" x14ac:dyDescent="0.3">
      <c r="A229" t="s">
        <v>243</v>
      </c>
      <c r="B229" t="s">
        <v>359</v>
      </c>
      <c r="C229" t="s">
        <v>205</v>
      </c>
      <c r="D229" s="204">
        <v>46023</v>
      </c>
      <c r="E229" t="s">
        <v>349</v>
      </c>
    </row>
    <row r="230" spans="1:5" x14ac:dyDescent="0.3">
      <c r="A230" t="s">
        <v>243</v>
      </c>
      <c r="B230" t="s">
        <v>359</v>
      </c>
      <c r="C230" t="s">
        <v>222</v>
      </c>
      <c r="D230" s="204">
        <v>46082</v>
      </c>
      <c r="E230" t="s">
        <v>389</v>
      </c>
    </row>
    <row r="231" spans="1:5" x14ac:dyDescent="0.3">
      <c r="A231" t="s">
        <v>243</v>
      </c>
      <c r="B231" t="s">
        <v>359</v>
      </c>
      <c r="C231" t="s">
        <v>223</v>
      </c>
      <c r="D231" s="204">
        <v>46113</v>
      </c>
      <c r="E231" t="s">
        <v>390</v>
      </c>
    </row>
    <row r="232" spans="1:5" x14ac:dyDescent="0.3">
      <c r="A232" t="s">
        <v>243</v>
      </c>
      <c r="B232" t="s">
        <v>359</v>
      </c>
      <c r="C232" t="s">
        <v>224</v>
      </c>
      <c r="D232" s="204">
        <v>46143</v>
      </c>
      <c r="E232" t="s">
        <v>391</v>
      </c>
    </row>
    <row r="233" spans="1:5" x14ac:dyDescent="0.3">
      <c r="A233" t="s">
        <v>243</v>
      </c>
      <c r="B233" t="s">
        <v>359</v>
      </c>
      <c r="C233" t="s">
        <v>206</v>
      </c>
      <c r="D233" s="204">
        <v>46143</v>
      </c>
      <c r="E233" t="s">
        <v>392</v>
      </c>
    </row>
    <row r="234" spans="1:5" x14ac:dyDescent="0.3">
      <c r="A234" t="s">
        <v>244</v>
      </c>
      <c r="B234" t="s">
        <v>252</v>
      </c>
      <c r="C234" t="s">
        <v>393</v>
      </c>
      <c r="D234" s="204">
        <v>41370.68</v>
      </c>
      <c r="E234" t="s">
        <v>413</v>
      </c>
    </row>
    <row r="235" spans="1:5" x14ac:dyDescent="0.3">
      <c r="A235" t="s">
        <v>244</v>
      </c>
      <c r="B235" t="s">
        <v>252</v>
      </c>
      <c r="C235" t="s">
        <v>520</v>
      </c>
      <c r="D235" s="204">
        <v>0</v>
      </c>
      <c r="E235" t="s">
        <v>578</v>
      </c>
    </row>
    <row r="236" spans="1:5" x14ac:dyDescent="0.3">
      <c r="A236" t="s">
        <v>244</v>
      </c>
      <c r="B236" t="s">
        <v>252</v>
      </c>
      <c r="C236" t="s">
        <v>586</v>
      </c>
      <c r="D236" s="204">
        <v>0</v>
      </c>
      <c r="E236" t="s">
        <v>612</v>
      </c>
    </row>
    <row r="237" spans="1:5" x14ac:dyDescent="0.3">
      <c r="A237" t="s">
        <v>244</v>
      </c>
      <c r="B237" t="s">
        <v>252</v>
      </c>
      <c r="C237" t="s">
        <v>204</v>
      </c>
      <c r="D237" s="204">
        <v>46054</v>
      </c>
      <c r="E237" t="s">
        <v>504</v>
      </c>
    </row>
    <row r="238" spans="1:5" x14ac:dyDescent="0.3">
      <c r="A238" t="s">
        <v>244</v>
      </c>
      <c r="B238" t="s">
        <v>252</v>
      </c>
      <c r="C238" t="s">
        <v>205</v>
      </c>
      <c r="D238" s="204">
        <v>46082</v>
      </c>
      <c r="E238" t="s">
        <v>505</v>
      </c>
    </row>
    <row r="239" spans="1:5" x14ac:dyDescent="0.3">
      <c r="A239" t="s">
        <v>244</v>
      </c>
      <c r="B239" t="s">
        <v>252</v>
      </c>
      <c r="C239" t="s">
        <v>222</v>
      </c>
      <c r="D239" s="204">
        <v>46082</v>
      </c>
      <c r="E239" t="s">
        <v>506</v>
      </c>
    </row>
    <row r="240" spans="1:5" x14ac:dyDescent="0.3">
      <c r="A240" t="s">
        <v>244</v>
      </c>
      <c r="B240" t="s">
        <v>252</v>
      </c>
      <c r="C240" t="s">
        <v>223</v>
      </c>
      <c r="D240" s="204">
        <v>46113</v>
      </c>
      <c r="E240" t="s">
        <v>507</v>
      </c>
    </row>
    <row r="241" spans="1:5" x14ac:dyDescent="0.3">
      <c r="A241" t="s">
        <v>244</v>
      </c>
      <c r="B241" t="s">
        <v>252</v>
      </c>
      <c r="C241" t="s">
        <v>224</v>
      </c>
      <c r="D241" s="204">
        <v>46113</v>
      </c>
      <c r="E241" t="s">
        <v>508</v>
      </c>
    </row>
    <row r="242" spans="1:5" x14ac:dyDescent="0.3">
      <c r="A242" t="s">
        <v>244</v>
      </c>
      <c r="B242" t="s">
        <v>252</v>
      </c>
      <c r="C242" t="s">
        <v>206</v>
      </c>
      <c r="D242" s="204">
        <v>46113</v>
      </c>
      <c r="E242" t="s">
        <v>509</v>
      </c>
    </row>
    <row r="243" spans="1:5" x14ac:dyDescent="0.3">
      <c r="A243" t="s">
        <v>250</v>
      </c>
      <c r="B243" t="s">
        <v>253</v>
      </c>
      <c r="C243" t="s">
        <v>393</v>
      </c>
      <c r="D243" s="204">
        <v>82273.161240000001</v>
      </c>
      <c r="E243" t="s">
        <v>414</v>
      </c>
    </row>
    <row r="244" spans="1:5" x14ac:dyDescent="0.3">
      <c r="A244" t="s">
        <v>250</v>
      </c>
      <c r="B244" t="s">
        <v>253</v>
      </c>
      <c r="C244" t="s">
        <v>520</v>
      </c>
      <c r="D244" s="204">
        <v>0</v>
      </c>
      <c r="E244" t="s">
        <v>579</v>
      </c>
    </row>
    <row r="245" spans="1:5" x14ac:dyDescent="0.3">
      <c r="A245" t="s">
        <v>250</v>
      </c>
      <c r="B245" t="s">
        <v>253</v>
      </c>
      <c r="C245" t="s">
        <v>586</v>
      </c>
      <c r="D245" s="204">
        <v>0</v>
      </c>
      <c r="E245" t="s">
        <v>613</v>
      </c>
    </row>
    <row r="246" spans="1:5" x14ac:dyDescent="0.3">
      <c r="A246" t="s">
        <v>250</v>
      </c>
      <c r="B246" t="s">
        <v>253</v>
      </c>
      <c r="C246" t="s">
        <v>204</v>
      </c>
      <c r="D246" s="204">
        <v>45992</v>
      </c>
      <c r="E246" t="s">
        <v>350</v>
      </c>
    </row>
    <row r="247" spans="1:5" x14ac:dyDescent="0.3">
      <c r="A247" t="s">
        <v>250</v>
      </c>
      <c r="B247" t="s">
        <v>253</v>
      </c>
      <c r="C247" t="s">
        <v>205</v>
      </c>
      <c r="D247" s="204">
        <v>45992</v>
      </c>
      <c r="E247" t="s">
        <v>351</v>
      </c>
    </row>
    <row r="248" spans="1:5" x14ac:dyDescent="0.3">
      <c r="A248" t="s">
        <v>250</v>
      </c>
      <c r="B248" t="s">
        <v>253</v>
      </c>
      <c r="C248" t="s">
        <v>222</v>
      </c>
      <c r="D248" s="204">
        <v>45992</v>
      </c>
      <c r="E248" t="s">
        <v>352</v>
      </c>
    </row>
    <row r="249" spans="1:5" x14ac:dyDescent="0.3">
      <c r="A249" t="s">
        <v>250</v>
      </c>
      <c r="B249" t="s">
        <v>253</v>
      </c>
      <c r="C249" t="s">
        <v>206</v>
      </c>
      <c r="D249" s="204">
        <v>45992</v>
      </c>
      <c r="E249" t="s">
        <v>369</v>
      </c>
    </row>
    <row r="250" spans="1:5" x14ac:dyDescent="0.3">
      <c r="A250" t="s">
        <v>417</v>
      </c>
      <c r="B250" t="s">
        <v>420</v>
      </c>
      <c r="C250" t="s">
        <v>393</v>
      </c>
      <c r="D250" s="204">
        <v>128609.1378</v>
      </c>
      <c r="E250" t="s">
        <v>422</v>
      </c>
    </row>
    <row r="251" spans="1:5" x14ac:dyDescent="0.3">
      <c r="A251" t="s">
        <v>417</v>
      </c>
      <c r="B251" t="s">
        <v>420</v>
      </c>
      <c r="C251" t="s">
        <v>520</v>
      </c>
      <c r="D251" s="204">
        <v>0</v>
      </c>
      <c r="E251" t="s">
        <v>580</v>
      </c>
    </row>
    <row r="252" spans="1:5" x14ac:dyDescent="0.3">
      <c r="A252" t="s">
        <v>417</v>
      </c>
      <c r="B252" t="s">
        <v>420</v>
      </c>
      <c r="C252" t="s">
        <v>586</v>
      </c>
      <c r="D252" s="204">
        <v>0</v>
      </c>
      <c r="E252" t="s">
        <v>614</v>
      </c>
    </row>
    <row r="253" spans="1:5" x14ac:dyDescent="0.3">
      <c r="A253" t="s">
        <v>417</v>
      </c>
      <c r="B253" t="s">
        <v>420</v>
      </c>
      <c r="C253" t="s">
        <v>204</v>
      </c>
      <c r="D253" s="204">
        <v>46054</v>
      </c>
      <c r="E253" t="s">
        <v>494</v>
      </c>
    </row>
    <row r="254" spans="1:5" x14ac:dyDescent="0.3">
      <c r="A254" t="s">
        <v>417</v>
      </c>
      <c r="B254" t="s">
        <v>420</v>
      </c>
      <c r="C254" t="s">
        <v>205</v>
      </c>
      <c r="D254" s="204">
        <v>46054</v>
      </c>
      <c r="E254" t="s">
        <v>495</v>
      </c>
    </row>
    <row r="255" spans="1:5" x14ac:dyDescent="0.3">
      <c r="A255" t="s">
        <v>417</v>
      </c>
      <c r="B255" t="s">
        <v>420</v>
      </c>
      <c r="C255" t="s">
        <v>222</v>
      </c>
      <c r="D255" s="204">
        <v>46054</v>
      </c>
      <c r="E255" t="s">
        <v>496</v>
      </c>
    </row>
    <row r="256" spans="1:5" x14ac:dyDescent="0.3">
      <c r="A256" t="s">
        <v>417</v>
      </c>
      <c r="B256" t="s">
        <v>420</v>
      </c>
      <c r="C256" t="s">
        <v>206</v>
      </c>
      <c r="D256" s="204">
        <v>46054</v>
      </c>
      <c r="E256" t="s">
        <v>497</v>
      </c>
    </row>
    <row r="257" spans="1:5" x14ac:dyDescent="0.3">
      <c r="A257" t="s">
        <v>416</v>
      </c>
      <c r="B257" t="s">
        <v>421</v>
      </c>
      <c r="C257" t="s">
        <v>393</v>
      </c>
      <c r="D257" s="204">
        <v>1114645.1777999999</v>
      </c>
      <c r="E257" t="s">
        <v>423</v>
      </c>
    </row>
    <row r="258" spans="1:5" x14ac:dyDescent="0.3">
      <c r="A258" t="s">
        <v>416</v>
      </c>
      <c r="B258" t="s">
        <v>421</v>
      </c>
      <c r="C258" t="s">
        <v>520</v>
      </c>
      <c r="D258" s="204">
        <v>0</v>
      </c>
      <c r="E258" t="s">
        <v>581</v>
      </c>
    </row>
    <row r="259" spans="1:5" x14ac:dyDescent="0.3">
      <c r="A259" t="s">
        <v>416</v>
      </c>
      <c r="B259" t="s">
        <v>421</v>
      </c>
      <c r="C259" t="s">
        <v>586</v>
      </c>
      <c r="D259" s="204">
        <v>0</v>
      </c>
      <c r="E259" t="s">
        <v>615</v>
      </c>
    </row>
    <row r="260" spans="1:5" x14ac:dyDescent="0.3">
      <c r="A260" t="s">
        <v>416</v>
      </c>
      <c r="B260" t="s">
        <v>421</v>
      </c>
      <c r="C260" t="s">
        <v>204</v>
      </c>
      <c r="D260" s="204">
        <v>46054</v>
      </c>
      <c r="E260" t="s">
        <v>510</v>
      </c>
    </row>
    <row r="261" spans="1:5" x14ac:dyDescent="0.3">
      <c r="A261" t="s">
        <v>416</v>
      </c>
      <c r="B261" t="s">
        <v>421</v>
      </c>
      <c r="C261" t="s">
        <v>205</v>
      </c>
      <c r="D261" s="204">
        <v>46082</v>
      </c>
      <c r="E261" t="s">
        <v>511</v>
      </c>
    </row>
    <row r="262" spans="1:5" x14ac:dyDescent="0.3">
      <c r="A262" t="s">
        <v>416</v>
      </c>
      <c r="B262" t="s">
        <v>421</v>
      </c>
      <c r="C262" t="s">
        <v>222</v>
      </c>
      <c r="D262" s="204">
        <v>46113</v>
      </c>
      <c r="E262" t="s">
        <v>512</v>
      </c>
    </row>
    <row r="263" spans="1:5" x14ac:dyDescent="0.3">
      <c r="A263" t="s">
        <v>416</v>
      </c>
      <c r="B263" t="s">
        <v>421</v>
      </c>
      <c r="C263" t="s">
        <v>223</v>
      </c>
      <c r="D263" s="204">
        <v>46143</v>
      </c>
      <c r="E263" t="s">
        <v>513</v>
      </c>
    </row>
    <row r="264" spans="1:5" x14ac:dyDescent="0.3">
      <c r="A264" t="s">
        <v>416</v>
      </c>
      <c r="B264" t="s">
        <v>421</v>
      </c>
      <c r="C264" t="s">
        <v>224</v>
      </c>
      <c r="D264" s="204">
        <v>46174</v>
      </c>
      <c r="E264" t="s">
        <v>514</v>
      </c>
    </row>
    <row r="265" spans="1:5" x14ac:dyDescent="0.3">
      <c r="A265" t="s">
        <v>416</v>
      </c>
      <c r="B265" t="s">
        <v>421</v>
      </c>
      <c r="C265" t="s">
        <v>225</v>
      </c>
      <c r="D265" s="204">
        <v>46204</v>
      </c>
      <c r="E265" t="s">
        <v>515</v>
      </c>
    </row>
    <row r="266" spans="1:5" x14ac:dyDescent="0.3">
      <c r="A266" t="s">
        <v>416</v>
      </c>
      <c r="B266" t="s">
        <v>421</v>
      </c>
      <c r="C266" t="s">
        <v>226</v>
      </c>
      <c r="D266" s="204">
        <v>46235</v>
      </c>
      <c r="E266" t="s">
        <v>516</v>
      </c>
    </row>
    <row r="267" spans="1:5" x14ac:dyDescent="0.3">
      <c r="A267" t="s">
        <v>416</v>
      </c>
      <c r="B267" t="s">
        <v>421</v>
      </c>
      <c r="C267" t="s">
        <v>227</v>
      </c>
      <c r="D267" s="204">
        <v>46266</v>
      </c>
      <c r="E267" t="s">
        <v>517</v>
      </c>
    </row>
    <row r="268" spans="1:5" x14ac:dyDescent="0.3">
      <c r="A268" t="s">
        <v>416</v>
      </c>
      <c r="B268" t="s">
        <v>421</v>
      </c>
      <c r="C268" t="s">
        <v>228</v>
      </c>
      <c r="D268" s="204">
        <v>46296</v>
      </c>
      <c r="E268" t="s">
        <v>518</v>
      </c>
    </row>
    <row r="269" spans="1:5" x14ac:dyDescent="0.3">
      <c r="A269" t="s">
        <v>416</v>
      </c>
      <c r="B269" t="s">
        <v>421</v>
      </c>
      <c r="C269" t="s">
        <v>206</v>
      </c>
      <c r="D269" s="204">
        <v>46296</v>
      </c>
      <c r="E269" t="s">
        <v>519</v>
      </c>
    </row>
    <row r="270" spans="1:5" x14ac:dyDescent="0.3">
      <c r="A270" t="s">
        <v>445</v>
      </c>
      <c r="B270" t="s">
        <v>424</v>
      </c>
      <c r="C270" t="s">
        <v>393</v>
      </c>
      <c r="D270" s="204">
        <v>91628.333999999988</v>
      </c>
      <c r="E270" t="s">
        <v>493</v>
      </c>
    </row>
    <row r="271" spans="1:5" x14ac:dyDescent="0.3">
      <c r="A271" t="s">
        <v>445</v>
      </c>
      <c r="B271" t="s">
        <v>424</v>
      </c>
      <c r="C271" t="s">
        <v>520</v>
      </c>
      <c r="D271" s="204">
        <v>0</v>
      </c>
      <c r="E271" t="s">
        <v>582</v>
      </c>
    </row>
    <row r="272" spans="1:5" x14ac:dyDescent="0.3">
      <c r="A272" t="s">
        <v>445</v>
      </c>
      <c r="B272" t="s">
        <v>424</v>
      </c>
      <c r="C272" t="s">
        <v>586</v>
      </c>
      <c r="D272" s="204">
        <v>0</v>
      </c>
      <c r="E272" t="s">
        <v>616</v>
      </c>
    </row>
    <row r="273" spans="1:5" x14ac:dyDescent="0.3">
      <c r="A273" t="s">
        <v>445</v>
      </c>
      <c r="B273" t="s">
        <v>424</v>
      </c>
      <c r="C273" t="s">
        <v>204</v>
      </c>
      <c r="D273" s="204">
        <v>46054</v>
      </c>
      <c r="E273" t="s">
        <v>498</v>
      </c>
    </row>
    <row r="274" spans="1:5" x14ac:dyDescent="0.3">
      <c r="A274" t="s">
        <v>445</v>
      </c>
      <c r="B274" t="s">
        <v>424</v>
      </c>
      <c r="C274" t="s">
        <v>205</v>
      </c>
      <c r="D274" s="204">
        <v>46054</v>
      </c>
      <c r="E274" t="s">
        <v>499</v>
      </c>
    </row>
    <row r="275" spans="1:5" x14ac:dyDescent="0.3">
      <c r="A275" t="s">
        <v>445</v>
      </c>
      <c r="B275" t="s">
        <v>424</v>
      </c>
      <c r="C275" t="s">
        <v>222</v>
      </c>
      <c r="D275" s="204">
        <v>46054</v>
      </c>
      <c r="E275" t="s">
        <v>500</v>
      </c>
    </row>
    <row r="276" spans="1:5" x14ac:dyDescent="0.3">
      <c r="A276" t="s">
        <v>445</v>
      </c>
      <c r="B276" t="s">
        <v>424</v>
      </c>
      <c r="C276" t="s">
        <v>223</v>
      </c>
      <c r="D276" s="204">
        <v>46082</v>
      </c>
      <c r="E276" t="s">
        <v>501</v>
      </c>
    </row>
    <row r="277" spans="1:5" x14ac:dyDescent="0.3">
      <c r="A277" t="s">
        <v>445</v>
      </c>
      <c r="B277" t="s">
        <v>424</v>
      </c>
      <c r="C277" t="s">
        <v>224</v>
      </c>
      <c r="D277" s="204">
        <v>46113</v>
      </c>
      <c r="E277" t="s">
        <v>502</v>
      </c>
    </row>
    <row r="278" spans="1:5" x14ac:dyDescent="0.3">
      <c r="A278" t="s">
        <v>445</v>
      </c>
      <c r="B278" t="s">
        <v>424</v>
      </c>
      <c r="C278" t="s">
        <v>206</v>
      </c>
      <c r="D278" s="204">
        <v>46113</v>
      </c>
      <c r="E278" t="s">
        <v>503</v>
      </c>
    </row>
    <row r="279" spans="1:5" x14ac:dyDescent="0.3">
      <c r="A279" t="s">
        <v>530</v>
      </c>
      <c r="B279" t="s">
        <v>538</v>
      </c>
      <c r="C279" t="s">
        <v>393</v>
      </c>
      <c r="D279" s="204">
        <v>467937.02681999997</v>
      </c>
      <c r="E279" t="s">
        <v>541</v>
      </c>
    </row>
    <row r="280" spans="1:5" x14ac:dyDescent="0.3">
      <c r="A280" t="s">
        <v>530</v>
      </c>
      <c r="B280" t="s">
        <v>538</v>
      </c>
      <c r="C280" t="s">
        <v>520</v>
      </c>
      <c r="D280" s="204">
        <v>0</v>
      </c>
      <c r="E280" t="s">
        <v>583</v>
      </c>
    </row>
    <row r="281" spans="1:5" x14ac:dyDescent="0.3">
      <c r="A281" t="s">
        <v>530</v>
      </c>
      <c r="B281" t="s">
        <v>538</v>
      </c>
      <c r="C281" t="s">
        <v>586</v>
      </c>
      <c r="D281" s="204">
        <v>0</v>
      </c>
      <c r="E281" t="s">
        <v>617</v>
      </c>
    </row>
    <row r="282" spans="1:5" x14ac:dyDescent="0.3">
      <c r="A282" t="s">
        <v>530</v>
      </c>
      <c r="B282" t="s">
        <v>538</v>
      </c>
      <c r="C282" t="s">
        <v>204</v>
      </c>
      <c r="D282" s="204">
        <v>46054</v>
      </c>
      <c r="E282" t="s">
        <v>542</v>
      </c>
    </row>
    <row r="283" spans="1:5" x14ac:dyDescent="0.3">
      <c r="A283" t="s">
        <v>530</v>
      </c>
      <c r="B283" t="s">
        <v>538</v>
      </c>
      <c r="C283" t="s">
        <v>205</v>
      </c>
      <c r="D283" s="204">
        <v>46113</v>
      </c>
      <c r="E283" t="s">
        <v>547</v>
      </c>
    </row>
    <row r="284" spans="1:5" x14ac:dyDescent="0.3">
      <c r="A284" t="s">
        <v>530</v>
      </c>
      <c r="B284" t="s">
        <v>538</v>
      </c>
      <c r="C284" t="s">
        <v>222</v>
      </c>
      <c r="D284" s="204">
        <v>46143</v>
      </c>
      <c r="E284" t="s">
        <v>625</v>
      </c>
    </row>
    <row r="285" spans="1:5" x14ac:dyDescent="0.3">
      <c r="A285" t="s">
        <v>530</v>
      </c>
      <c r="B285" t="s">
        <v>538</v>
      </c>
      <c r="C285" t="s">
        <v>223</v>
      </c>
      <c r="D285" s="204">
        <v>46113</v>
      </c>
      <c r="E285" t="s">
        <v>626</v>
      </c>
    </row>
    <row r="286" spans="1:5" x14ac:dyDescent="0.3">
      <c r="A286" t="s">
        <v>530</v>
      </c>
      <c r="B286" t="s">
        <v>538</v>
      </c>
      <c r="C286" t="s">
        <v>224</v>
      </c>
      <c r="D286" s="204">
        <v>46143</v>
      </c>
      <c r="E286" t="s">
        <v>627</v>
      </c>
    </row>
    <row r="287" spans="1:5" x14ac:dyDescent="0.3">
      <c r="A287" t="s">
        <v>530</v>
      </c>
      <c r="B287" t="s">
        <v>538</v>
      </c>
      <c r="C287" t="s">
        <v>225</v>
      </c>
      <c r="D287" s="204">
        <v>46174</v>
      </c>
      <c r="E287" t="s">
        <v>628</v>
      </c>
    </row>
    <row r="288" spans="1:5" x14ac:dyDescent="0.3">
      <c r="A288" t="s">
        <v>530</v>
      </c>
      <c r="B288" t="s">
        <v>538</v>
      </c>
      <c r="C288" t="s">
        <v>226</v>
      </c>
      <c r="D288" s="204">
        <v>46204</v>
      </c>
      <c r="E288" t="s">
        <v>629</v>
      </c>
    </row>
    <row r="289" spans="1:5" x14ac:dyDescent="0.3">
      <c r="A289" t="s">
        <v>530</v>
      </c>
      <c r="B289" t="s">
        <v>538</v>
      </c>
      <c r="C289" t="s">
        <v>227</v>
      </c>
      <c r="D289" s="204">
        <v>46235</v>
      </c>
      <c r="E289" t="s">
        <v>630</v>
      </c>
    </row>
    <row r="290" spans="1:5" x14ac:dyDescent="0.3">
      <c r="A290" t="s">
        <v>530</v>
      </c>
      <c r="B290" t="s">
        <v>538</v>
      </c>
      <c r="C290" t="s">
        <v>206</v>
      </c>
      <c r="D290" s="204">
        <v>46235</v>
      </c>
      <c r="E290" t="s">
        <v>631</v>
      </c>
    </row>
    <row r="291" spans="1:5" x14ac:dyDescent="0.3">
      <c r="A291" t="s">
        <v>531</v>
      </c>
      <c r="B291" t="s">
        <v>539</v>
      </c>
      <c r="C291" t="s">
        <v>393</v>
      </c>
      <c r="D291" s="204">
        <v>565513.33679999993</v>
      </c>
      <c r="E291" t="s">
        <v>543</v>
      </c>
    </row>
    <row r="292" spans="1:5" x14ac:dyDescent="0.3">
      <c r="A292" t="s">
        <v>531</v>
      </c>
      <c r="B292" t="s">
        <v>539</v>
      </c>
      <c r="C292" t="s">
        <v>520</v>
      </c>
      <c r="D292" s="204">
        <v>0</v>
      </c>
      <c r="E292" t="s">
        <v>584</v>
      </c>
    </row>
    <row r="293" spans="1:5" x14ac:dyDescent="0.3">
      <c r="A293" t="s">
        <v>531</v>
      </c>
      <c r="B293" t="s">
        <v>539</v>
      </c>
      <c r="C293" t="s">
        <v>586</v>
      </c>
      <c r="D293" s="204">
        <v>0</v>
      </c>
      <c r="E293" t="s">
        <v>618</v>
      </c>
    </row>
    <row r="294" spans="1:5" x14ac:dyDescent="0.3">
      <c r="A294" t="s">
        <v>531</v>
      </c>
      <c r="B294" t="s">
        <v>539</v>
      </c>
      <c r="C294" t="s">
        <v>204</v>
      </c>
      <c r="D294" s="204">
        <v>46082</v>
      </c>
      <c r="E294" t="s">
        <v>544</v>
      </c>
    </row>
    <row r="295" spans="1:5" x14ac:dyDescent="0.3">
      <c r="A295" t="s">
        <v>531</v>
      </c>
      <c r="B295" t="s">
        <v>539</v>
      </c>
      <c r="C295" t="s">
        <v>205</v>
      </c>
      <c r="D295" s="204">
        <v>46143</v>
      </c>
      <c r="E295" t="s">
        <v>548</v>
      </c>
    </row>
    <row r="296" spans="1:5" x14ac:dyDescent="0.3">
      <c r="A296" t="s">
        <v>531</v>
      </c>
      <c r="B296" t="s">
        <v>539</v>
      </c>
      <c r="C296" t="s">
        <v>222</v>
      </c>
      <c r="D296" s="204">
        <v>46143</v>
      </c>
      <c r="E296" t="s">
        <v>3283</v>
      </c>
    </row>
    <row r="297" spans="1:5" x14ac:dyDescent="0.3">
      <c r="A297" t="s">
        <v>531</v>
      </c>
      <c r="B297" t="s">
        <v>539</v>
      </c>
      <c r="C297" t="s">
        <v>223</v>
      </c>
      <c r="D297" s="204">
        <v>46174</v>
      </c>
      <c r="E297" t="s">
        <v>3284</v>
      </c>
    </row>
    <row r="298" spans="1:5" x14ac:dyDescent="0.3">
      <c r="A298" t="s">
        <v>531</v>
      </c>
      <c r="B298" t="s">
        <v>539</v>
      </c>
      <c r="C298" t="s">
        <v>224</v>
      </c>
      <c r="D298" s="204">
        <v>46204</v>
      </c>
      <c r="E298" t="s">
        <v>3285</v>
      </c>
    </row>
    <row r="299" spans="1:5" x14ac:dyDescent="0.3">
      <c r="A299" t="s">
        <v>531</v>
      </c>
      <c r="B299" t="s">
        <v>539</v>
      </c>
      <c r="C299" t="s">
        <v>225</v>
      </c>
      <c r="D299" s="204">
        <v>46235</v>
      </c>
      <c r="E299" t="s">
        <v>3286</v>
      </c>
    </row>
    <row r="300" spans="1:5" x14ac:dyDescent="0.3">
      <c r="A300" t="s">
        <v>531</v>
      </c>
      <c r="B300" t="s">
        <v>539</v>
      </c>
      <c r="C300" t="s">
        <v>206</v>
      </c>
      <c r="D300" s="204">
        <v>46235</v>
      </c>
      <c r="E300" t="s">
        <v>3287</v>
      </c>
    </row>
    <row r="301" spans="1:5" x14ac:dyDescent="0.3">
      <c r="A301" t="s">
        <v>532</v>
      </c>
      <c r="B301" t="s">
        <v>540</v>
      </c>
      <c r="C301" t="s">
        <v>393</v>
      </c>
      <c r="D301" s="204">
        <v>348499.33019999997</v>
      </c>
      <c r="E301" t="s">
        <v>545</v>
      </c>
    </row>
    <row r="302" spans="1:5" x14ac:dyDescent="0.3">
      <c r="A302" t="s">
        <v>532</v>
      </c>
      <c r="B302" t="s">
        <v>540</v>
      </c>
      <c r="C302" t="s">
        <v>520</v>
      </c>
      <c r="D302" s="204">
        <v>0</v>
      </c>
      <c r="E302" t="s">
        <v>585</v>
      </c>
    </row>
    <row r="303" spans="1:5" x14ac:dyDescent="0.3">
      <c r="A303" t="s">
        <v>532</v>
      </c>
      <c r="B303" t="s">
        <v>540</v>
      </c>
      <c r="C303" t="s">
        <v>586</v>
      </c>
      <c r="D303" s="204">
        <v>0</v>
      </c>
      <c r="E303" t="s">
        <v>619</v>
      </c>
    </row>
    <row r="304" spans="1:5" x14ac:dyDescent="0.3">
      <c r="A304" t="s">
        <v>532</v>
      </c>
      <c r="B304" t="s">
        <v>540</v>
      </c>
      <c r="C304" t="s">
        <v>204</v>
      </c>
      <c r="D304" s="204">
        <v>46054</v>
      </c>
      <c r="E304" t="s">
        <v>546</v>
      </c>
    </row>
    <row r="305" spans="1:5" x14ac:dyDescent="0.3">
      <c r="A305" t="s">
        <v>532</v>
      </c>
      <c r="B305" t="s">
        <v>540</v>
      </c>
      <c r="C305" t="s">
        <v>205</v>
      </c>
      <c r="D305" s="204">
        <v>46113</v>
      </c>
      <c r="E305" t="s">
        <v>549</v>
      </c>
    </row>
    <row r="306" spans="1:5" x14ac:dyDescent="0.3">
      <c r="A306" t="s">
        <v>532</v>
      </c>
      <c r="B306" t="s">
        <v>540</v>
      </c>
      <c r="C306" t="s">
        <v>222</v>
      </c>
      <c r="D306" s="204">
        <v>46143</v>
      </c>
      <c r="E306" t="s">
        <v>632</v>
      </c>
    </row>
    <row r="307" spans="1:5" x14ac:dyDescent="0.3">
      <c r="A307" t="s">
        <v>532</v>
      </c>
      <c r="B307" t="s">
        <v>540</v>
      </c>
      <c r="C307" t="s">
        <v>223</v>
      </c>
      <c r="D307" s="204">
        <v>46174</v>
      </c>
      <c r="E307" t="s">
        <v>633</v>
      </c>
    </row>
    <row r="308" spans="1:5" x14ac:dyDescent="0.3">
      <c r="A308" t="s">
        <v>532</v>
      </c>
      <c r="B308" t="s">
        <v>540</v>
      </c>
      <c r="C308" t="s">
        <v>224</v>
      </c>
      <c r="D308" s="204">
        <v>46204</v>
      </c>
      <c r="E308" t="s">
        <v>634</v>
      </c>
    </row>
    <row r="309" spans="1:5" x14ac:dyDescent="0.3">
      <c r="A309" t="s">
        <v>532</v>
      </c>
      <c r="B309" t="s">
        <v>540</v>
      </c>
      <c r="C309" t="s">
        <v>225</v>
      </c>
      <c r="D309" s="204">
        <v>46235</v>
      </c>
      <c r="E309" t="s">
        <v>635</v>
      </c>
    </row>
    <row r="310" spans="1:5" x14ac:dyDescent="0.3">
      <c r="A310" t="s">
        <v>532</v>
      </c>
      <c r="B310" t="s">
        <v>540</v>
      </c>
      <c r="C310" t="s">
        <v>226</v>
      </c>
      <c r="D310" s="204">
        <v>46266</v>
      </c>
      <c r="E310" t="s">
        <v>636</v>
      </c>
    </row>
    <row r="311" spans="1:5" x14ac:dyDescent="0.3">
      <c r="A311" t="s">
        <v>532</v>
      </c>
      <c r="B311" t="s">
        <v>540</v>
      </c>
      <c r="C311" t="s">
        <v>227</v>
      </c>
      <c r="D311" s="204">
        <v>46296</v>
      </c>
      <c r="E311" t="s">
        <v>637</v>
      </c>
    </row>
    <row r="312" spans="1:5" x14ac:dyDescent="0.3">
      <c r="A312" t="s">
        <v>532</v>
      </c>
      <c r="B312" t="s">
        <v>540</v>
      </c>
      <c r="C312" t="s">
        <v>228</v>
      </c>
      <c r="D312" s="204">
        <v>46327</v>
      </c>
      <c r="E312" t="s">
        <v>638</v>
      </c>
    </row>
    <row r="313" spans="1:5" x14ac:dyDescent="0.3">
      <c r="A313" t="s">
        <v>532</v>
      </c>
      <c r="B313" t="s">
        <v>540</v>
      </c>
      <c r="C313" t="s">
        <v>206</v>
      </c>
      <c r="D313" s="204">
        <v>46327</v>
      </c>
      <c r="E313" t="s">
        <v>639</v>
      </c>
    </row>
    <row r="314" spans="1:5" x14ac:dyDescent="0.3">
      <c r="A314" t="s">
        <v>621</v>
      </c>
      <c r="B314" t="s">
        <v>3288</v>
      </c>
      <c r="C314" t="s">
        <v>393</v>
      </c>
      <c r="D314" s="204">
        <v>0</v>
      </c>
      <c r="E314" t="s">
        <v>3292</v>
      </c>
    </row>
    <row r="315" spans="1:5" x14ac:dyDescent="0.3">
      <c r="A315" t="s">
        <v>621</v>
      </c>
      <c r="B315" t="s">
        <v>3288</v>
      </c>
      <c r="C315" t="s">
        <v>520</v>
      </c>
      <c r="D315" s="204">
        <v>0</v>
      </c>
      <c r="E315" t="s">
        <v>3293</v>
      </c>
    </row>
    <row r="316" spans="1:5" x14ac:dyDescent="0.3">
      <c r="A316" t="s">
        <v>621</v>
      </c>
      <c r="B316" t="s">
        <v>3288</v>
      </c>
      <c r="C316" t="s">
        <v>586</v>
      </c>
      <c r="D316" s="204">
        <v>0</v>
      </c>
      <c r="E316" t="s">
        <v>3294</v>
      </c>
    </row>
    <row r="317" spans="1:5" x14ac:dyDescent="0.3">
      <c r="A317" t="s">
        <v>642</v>
      </c>
      <c r="B317" t="s">
        <v>3289</v>
      </c>
      <c r="C317" t="s">
        <v>393</v>
      </c>
      <c r="D317" s="204">
        <v>416350.00763999997</v>
      </c>
      <c r="E317" t="s">
        <v>3295</v>
      </c>
    </row>
    <row r="318" spans="1:5" x14ac:dyDescent="0.3">
      <c r="A318" t="s">
        <v>642</v>
      </c>
      <c r="B318" t="s">
        <v>3289</v>
      </c>
      <c r="C318" t="s">
        <v>520</v>
      </c>
      <c r="D318" s="204">
        <v>0</v>
      </c>
      <c r="E318" t="s">
        <v>3296</v>
      </c>
    </row>
    <row r="319" spans="1:5" x14ac:dyDescent="0.3">
      <c r="A319" t="s">
        <v>642</v>
      </c>
      <c r="B319" t="s">
        <v>3289</v>
      </c>
      <c r="C319" t="s">
        <v>586</v>
      </c>
      <c r="D319" s="204">
        <v>0</v>
      </c>
      <c r="E319" t="s">
        <v>3297</v>
      </c>
    </row>
    <row r="320" spans="1:5" x14ac:dyDescent="0.3">
      <c r="A320" t="s">
        <v>642</v>
      </c>
      <c r="B320" t="s">
        <v>3289</v>
      </c>
      <c r="C320" t="s">
        <v>204</v>
      </c>
      <c r="D320" s="204">
        <v>46082</v>
      </c>
      <c r="E320" t="s">
        <v>3298</v>
      </c>
    </row>
    <row r="321" spans="1:5" x14ac:dyDescent="0.3">
      <c r="A321" t="s">
        <v>642</v>
      </c>
      <c r="B321" t="s">
        <v>3289</v>
      </c>
      <c r="C321" t="s">
        <v>205</v>
      </c>
      <c r="D321" s="204">
        <v>46113</v>
      </c>
      <c r="E321" t="s">
        <v>3299</v>
      </c>
    </row>
    <row r="322" spans="1:5" x14ac:dyDescent="0.3">
      <c r="A322" t="s">
        <v>642</v>
      </c>
      <c r="B322" t="s">
        <v>3289</v>
      </c>
      <c r="C322" t="s">
        <v>222</v>
      </c>
      <c r="D322" s="204">
        <v>46143</v>
      </c>
      <c r="E322" t="s">
        <v>3300</v>
      </c>
    </row>
    <row r="323" spans="1:5" x14ac:dyDescent="0.3">
      <c r="A323" t="s">
        <v>642</v>
      </c>
      <c r="B323" t="s">
        <v>3289</v>
      </c>
      <c r="C323" t="s">
        <v>223</v>
      </c>
      <c r="D323" s="204">
        <v>46174</v>
      </c>
      <c r="E323" t="s">
        <v>3301</v>
      </c>
    </row>
    <row r="324" spans="1:5" x14ac:dyDescent="0.3">
      <c r="A324" t="s">
        <v>642</v>
      </c>
      <c r="B324" t="s">
        <v>3289</v>
      </c>
      <c r="C324" t="s">
        <v>224</v>
      </c>
      <c r="D324" s="204">
        <v>46204</v>
      </c>
      <c r="E324" t="s">
        <v>3302</v>
      </c>
    </row>
    <row r="325" spans="1:5" x14ac:dyDescent="0.3">
      <c r="A325" t="s">
        <v>642</v>
      </c>
      <c r="B325" t="s">
        <v>3289</v>
      </c>
      <c r="C325" t="s">
        <v>225</v>
      </c>
      <c r="D325" s="204">
        <v>46235</v>
      </c>
      <c r="E325" t="s">
        <v>3303</v>
      </c>
    </row>
    <row r="326" spans="1:5" x14ac:dyDescent="0.3">
      <c r="A326" t="s">
        <v>642</v>
      </c>
      <c r="B326" t="s">
        <v>3289</v>
      </c>
      <c r="C326" t="s">
        <v>206</v>
      </c>
      <c r="D326" s="204">
        <v>46266</v>
      </c>
      <c r="E326" t="s">
        <v>3304</v>
      </c>
    </row>
    <row r="327" spans="1:5" x14ac:dyDescent="0.3">
      <c r="A327" t="s">
        <v>624</v>
      </c>
      <c r="B327" t="s">
        <v>3290</v>
      </c>
      <c r="C327" t="s">
        <v>393</v>
      </c>
      <c r="D327" s="204">
        <v>0</v>
      </c>
      <c r="E327" t="s">
        <v>3305</v>
      </c>
    </row>
    <row r="328" spans="1:5" x14ac:dyDescent="0.3">
      <c r="A328" t="s">
        <v>624</v>
      </c>
      <c r="B328" t="s">
        <v>3290</v>
      </c>
      <c r="C328" t="s">
        <v>520</v>
      </c>
      <c r="D328" s="204">
        <v>0</v>
      </c>
      <c r="E328" t="s">
        <v>3306</v>
      </c>
    </row>
    <row r="329" spans="1:5" x14ac:dyDescent="0.3">
      <c r="A329" t="s">
        <v>624</v>
      </c>
      <c r="B329" t="s">
        <v>3290</v>
      </c>
      <c r="C329" t="s">
        <v>586</v>
      </c>
      <c r="D329" s="204">
        <v>0</v>
      </c>
      <c r="E329" t="s">
        <v>3307</v>
      </c>
    </row>
    <row r="330" spans="1:5" x14ac:dyDescent="0.3">
      <c r="A330" t="s">
        <v>3281</v>
      </c>
      <c r="B330" t="s">
        <v>3291</v>
      </c>
      <c r="C330" t="s">
        <v>393</v>
      </c>
      <c r="D330" s="204">
        <v>0</v>
      </c>
      <c r="E330" t="s">
        <v>3308</v>
      </c>
    </row>
    <row r="331" spans="1:5" x14ac:dyDescent="0.3">
      <c r="A331" t="s">
        <v>3281</v>
      </c>
      <c r="B331" t="s">
        <v>3291</v>
      </c>
      <c r="C331" t="s">
        <v>520</v>
      </c>
      <c r="D331" s="204">
        <v>0</v>
      </c>
      <c r="E331" t="s">
        <v>3309</v>
      </c>
    </row>
    <row r="332" spans="1:5" x14ac:dyDescent="0.3">
      <c r="A332" t="s">
        <v>3281</v>
      </c>
      <c r="B332" t="s">
        <v>3291</v>
      </c>
      <c r="C332" t="s">
        <v>586</v>
      </c>
      <c r="D332" s="204">
        <v>0</v>
      </c>
      <c r="E332" t="s">
        <v>3310</v>
      </c>
    </row>
  </sheetData>
  <pageMargins left="0.511811024" right="0.511811024" top="0.78740157499999996" bottom="0.78740157499999996" header="0.31496062000000002" footer="0.31496062000000002"/>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C3865-96C7-4501-9363-E8E867E0CC7C}">
  <sheetPr codeName="Planilha8">
    <tabColor theme="8"/>
  </sheetPr>
  <dimension ref="A1:AM48"/>
  <sheetViews>
    <sheetView showGridLines="0" showZeros="0" zoomScale="90" zoomScaleNormal="90" workbookViewId="0">
      <pane xSplit="5" ySplit="3" topLeftCell="I4" activePane="bottomRight" state="frozen"/>
      <selection pane="topRight" activeCell="E1" sqref="E1"/>
      <selection pane="bottomLeft" activeCell="A5" sqref="A5"/>
      <selection pane="bottomRight" activeCell="B3" sqref="B3"/>
    </sheetView>
  </sheetViews>
  <sheetFormatPr defaultColWidth="9.109375" defaultRowHeight="14.4" x14ac:dyDescent="0.3"/>
  <cols>
    <col min="1" max="1" width="11.5546875" bestFit="1" customWidth="1"/>
    <col min="2" max="2" width="24.6640625" customWidth="1"/>
    <col min="3" max="3" width="10.44140625" hidden="1" customWidth="1"/>
    <col min="4" max="4" width="16.6640625" customWidth="1"/>
    <col min="5" max="5" width="7.6640625" customWidth="1"/>
    <col min="6" max="23" width="7.6640625" style="51" customWidth="1"/>
    <col min="24" max="24" width="3" customWidth="1"/>
    <col min="25" max="25" width="7.6640625" hidden="1" customWidth="1"/>
    <col min="26" max="39" width="7.6640625" customWidth="1"/>
    <col min="40" max="40" width="1.6640625" customWidth="1"/>
  </cols>
  <sheetData>
    <row r="1" spans="1:39" ht="52.5" customHeight="1" x14ac:dyDescent="0.3">
      <c r="G1" s="53"/>
      <c r="H1" s="53"/>
      <c r="P1" s="53"/>
    </row>
    <row r="2" spans="1:39" x14ac:dyDescent="0.3">
      <c r="A2" s="67"/>
      <c r="B2" s="205"/>
      <c r="C2" s="151"/>
      <c r="D2" s="151"/>
      <c r="E2" s="207" t="s">
        <v>341</v>
      </c>
      <c r="F2" s="206">
        <v>45901</v>
      </c>
      <c r="G2" s="206">
        <v>45931</v>
      </c>
      <c r="H2" s="206">
        <v>45962</v>
      </c>
      <c r="I2" s="206">
        <v>45992</v>
      </c>
      <c r="J2" s="206">
        <v>46023</v>
      </c>
      <c r="K2" s="206">
        <v>46054</v>
      </c>
      <c r="L2" s="206">
        <v>46082</v>
      </c>
      <c r="M2" s="206">
        <v>46113</v>
      </c>
      <c r="N2" s="206">
        <v>46143</v>
      </c>
      <c r="O2" s="206">
        <v>46174</v>
      </c>
      <c r="P2" s="206">
        <v>46204</v>
      </c>
      <c r="Q2" s="206">
        <v>46235</v>
      </c>
      <c r="R2" s="206">
        <v>46266</v>
      </c>
      <c r="S2" s="206">
        <v>46296</v>
      </c>
      <c r="T2" s="206">
        <v>46327</v>
      </c>
      <c r="U2" s="206">
        <v>46357</v>
      </c>
      <c r="V2" s="206">
        <v>46388</v>
      </c>
      <c r="W2" s="206">
        <v>46419</v>
      </c>
      <c r="X2" s="148"/>
      <c r="Y2" s="67"/>
      <c r="Z2" s="67"/>
      <c r="AA2" s="67"/>
      <c r="AB2" s="67"/>
      <c r="AC2" s="67"/>
      <c r="AD2" s="67"/>
      <c r="AE2" s="67"/>
      <c r="AF2" s="67"/>
      <c r="AG2" s="67"/>
      <c r="AH2" s="67"/>
      <c r="AI2" s="67"/>
      <c r="AJ2" s="67"/>
      <c r="AK2" s="67"/>
      <c r="AL2" s="67"/>
      <c r="AM2" s="67"/>
    </row>
    <row r="3" spans="1:39" s="3" customFormat="1" ht="15" thickBot="1" x14ac:dyDescent="0.35">
      <c r="A3" s="92" t="s">
        <v>18</v>
      </c>
      <c r="B3" s="92" t="s">
        <v>143</v>
      </c>
      <c r="C3" s="92" t="s">
        <v>2</v>
      </c>
      <c r="D3" s="92" t="s">
        <v>393</v>
      </c>
      <c r="E3" s="100" t="s">
        <v>233</v>
      </c>
      <c r="F3" s="95" t="s">
        <v>147</v>
      </c>
      <c r="G3" s="95" t="s">
        <v>148</v>
      </c>
      <c r="H3" s="95" t="s">
        <v>149</v>
      </c>
      <c r="I3" s="95" t="s">
        <v>150</v>
      </c>
      <c r="J3" s="95" t="s">
        <v>151</v>
      </c>
      <c r="K3" s="95" t="s">
        <v>152</v>
      </c>
      <c r="L3" s="95" t="s">
        <v>153</v>
      </c>
      <c r="M3" s="95" t="s">
        <v>154</v>
      </c>
      <c r="N3" s="95" t="s">
        <v>155</v>
      </c>
      <c r="O3" s="95" t="s">
        <v>156</v>
      </c>
      <c r="P3" s="95" t="s">
        <v>157</v>
      </c>
      <c r="Q3" s="95" t="s">
        <v>158</v>
      </c>
      <c r="R3" s="95" t="s">
        <v>159</v>
      </c>
      <c r="S3" s="95" t="s">
        <v>160</v>
      </c>
      <c r="T3" s="95" t="s">
        <v>161</v>
      </c>
      <c r="U3" s="95" t="s">
        <v>162</v>
      </c>
      <c r="V3" s="348" t="s">
        <v>520</v>
      </c>
      <c r="W3" s="348" t="s">
        <v>586</v>
      </c>
      <c r="X3" s="149" t="s">
        <v>188</v>
      </c>
      <c r="Y3" s="141" t="s">
        <v>232</v>
      </c>
      <c r="Z3" s="184" t="s">
        <v>204</v>
      </c>
      <c r="AA3" s="184" t="s">
        <v>205</v>
      </c>
      <c r="AB3" s="184" t="s">
        <v>222</v>
      </c>
      <c r="AC3" s="184" t="s">
        <v>223</v>
      </c>
      <c r="AD3" s="184" t="s">
        <v>224</v>
      </c>
      <c r="AE3" s="184" t="s">
        <v>225</v>
      </c>
      <c r="AF3" s="184" t="s">
        <v>226</v>
      </c>
      <c r="AG3" s="184" t="s">
        <v>227</v>
      </c>
      <c r="AH3" s="184" t="s">
        <v>228</v>
      </c>
      <c r="AI3" s="184" t="s">
        <v>229</v>
      </c>
      <c r="AJ3" s="184" t="s">
        <v>230</v>
      </c>
      <c r="AK3" s="184" t="s">
        <v>231</v>
      </c>
      <c r="AL3" s="184" t="s">
        <v>552</v>
      </c>
      <c r="AM3" s="184" t="s">
        <v>206</v>
      </c>
    </row>
    <row r="4" spans="1:39" ht="15" thickTop="1" x14ac:dyDescent="0.3">
      <c r="A4" t="s">
        <v>439</v>
      </c>
      <c r="B4" t="str">
        <f>_xlfn.XLOOKUP(Tb_DISTR.FIN[[#This Row],[Nº  SS]],tb_Distr[SS],tb_Distr[DESCRIÇÃO],"",0,1)</f>
        <v>GALPÃO UPGN-2</v>
      </c>
      <c r="C4" t="str">
        <f>_xlfn.XLOOKUP(Tb_DISTR.FIN[[#This Row],[Nº  SS]],TB_CR.ACOMP[Nº  SS],TB_CR.ACOMP[TOMADOR],"",0,1)</f>
        <v>UTGC</v>
      </c>
      <c r="D4" s="228">
        <f>_xlfn.XLOOKUP(Tb_DISTR.FIN[[#This Row],[Nº  SS]],Tb_ValorSS[Nº  SS],Tb_ValorSS[R$ APROVADO],"",0,1)</f>
        <v>9201249.3284999989</v>
      </c>
      <c r="E4" s="101">
        <f>SUM(Tb_DISTR.FIN[[#This Row],[SET.25]:[DEZ.26]])</f>
        <v>0.99999999999999989</v>
      </c>
      <c r="F4" s="98">
        <f>SUMIFS(DISTR_FIN_0[%DISTR],DISTR_FIN_0[SS],Tb_DISTR.FIN[[#This Row],[Nº  SS]],DISTR_FIN_0[MÊS],'DISTR-FIN'!F$2)</f>
        <v>0</v>
      </c>
      <c r="G4" s="98">
        <f>SUMIFS(DISTR_FIN_0[%DISTR],DISTR_FIN_0[SS],Tb_DISTR.FIN[[#This Row],[Nº  SS]],DISTR_FIN_0[MÊS],'DISTR-FIN'!G$2)</f>
        <v>0.1</v>
      </c>
      <c r="H4" s="98">
        <f>SUMIFS(DISTR_FIN_0[%DISTR],DISTR_FIN_0[SS],Tb_DISTR.FIN[[#This Row],[Nº  SS]],DISTR_FIN_0[MÊS],'DISTR-FIN'!H$2)</f>
        <v>0.23</v>
      </c>
      <c r="I4" s="98">
        <f>SUMIFS(DISTR_FIN_0[%DISTR],DISTR_FIN_0[SS],Tb_DISTR.FIN[[#This Row],[Nº  SS]],DISTR_FIN_0[MÊS],'DISTR-FIN'!I$2)</f>
        <v>0.09</v>
      </c>
      <c r="J4" s="98">
        <f>SUMIFS(DISTR_FIN_0[%DISTR],DISTR_FIN_0[SS],Tb_DISTR.FIN[[#This Row],[Nº  SS]],DISTR_FIN_0[MÊS],'DISTR-FIN'!J$2)</f>
        <v>0.09</v>
      </c>
      <c r="K4" s="98">
        <f>SUMIFS(DISTR_FIN_0[%DISTR],DISTR_FIN_0[SS],Tb_DISTR.FIN[[#This Row],[Nº  SS]],DISTR_FIN_0[MÊS],'DISTR-FIN'!K$2)</f>
        <v>2.5000000000000001E-2</v>
      </c>
      <c r="L4" s="98">
        <f>SUMIFS(DISTR_FIN_0[%DISTR],DISTR_FIN_0[SS],Tb_DISTR.FIN[[#This Row],[Nº  SS]],DISTR_FIN_0[MÊS],'DISTR-FIN'!L$2)</f>
        <v>7.0000000000000007E-2</v>
      </c>
      <c r="M4" s="98">
        <f>SUMIFS(DISTR_FIN_0[%DISTR],DISTR_FIN_0[SS],Tb_DISTR.FIN[[#This Row],[Nº  SS]],DISTR_FIN_0[MÊS],'DISTR-FIN'!M$2)</f>
        <v>8.5000000000000006E-2</v>
      </c>
      <c r="N4" s="98">
        <f>SUMIFS(DISTR_FIN_0[%DISTR],DISTR_FIN_0[SS],Tb_DISTR.FIN[[#This Row],[Nº  SS]],DISTR_FIN_0[MÊS],'DISTR-FIN'!N$2)</f>
        <v>0.11</v>
      </c>
      <c r="O4" s="98">
        <f>SUMIFS(DISTR_FIN_0[%DISTR],DISTR_FIN_0[SS],Tb_DISTR.FIN[[#This Row],[Nº  SS]],DISTR_FIN_0[MÊS],'DISTR-FIN'!O$2)</f>
        <v>0.1</v>
      </c>
      <c r="P4" s="98">
        <f>SUMIFS(DISTR_FIN_0[%DISTR],DISTR_FIN_0[SS],Tb_DISTR.FIN[[#This Row],[Nº  SS]],DISTR_FIN_0[MÊS],'DISTR-FIN'!P$2)</f>
        <v>0.1</v>
      </c>
      <c r="Q4" s="98">
        <f>SUMIFS(DISTR_FIN_0[%DISTR],DISTR_FIN_0[SS],Tb_DISTR.FIN[[#This Row],[Nº  SS]],DISTR_FIN_0[MÊS],'DISTR-FIN'!Q$2)</f>
        <v>0</v>
      </c>
      <c r="R4" s="98">
        <f>SUMIFS(DISTR_FIN_0[%DISTR],DISTR_FIN_0[SS],Tb_DISTR.FIN[[#This Row],[Nº  SS]],DISTR_FIN_0[MÊS],'DISTR-FIN'!R$2)</f>
        <v>0</v>
      </c>
      <c r="S4" s="98">
        <f>SUMIFS(DISTR_FIN_0[%DISTR],DISTR_FIN_0[SS],Tb_DISTR.FIN[[#This Row],[Nº  SS]],DISTR_FIN_0[MÊS],'DISTR-FIN'!S$2)</f>
        <v>0</v>
      </c>
      <c r="T4" s="98">
        <f>SUMIFS(DISTR_FIN_0[%DISTR],DISTR_FIN_0[SS],Tb_DISTR.FIN[[#This Row],[Nº  SS]],DISTR_FIN_0[MÊS],'DISTR-FIN'!T$2)</f>
        <v>0</v>
      </c>
      <c r="U4" s="98">
        <f>SUMIFS(DISTR_FIN_0[%DISTR],DISTR_FIN_0[SS],Tb_DISTR.FIN[[#This Row],[Nº  SS]],DISTR_FIN_0[MÊS],'DISTR-FIN'!U$2)</f>
        <v>0</v>
      </c>
      <c r="V4" s="194">
        <f>SUMIFS(DISTR_FIN_0[%DISTR],DISTR_FIN_0[SS],Tb_DISTR.FIN[[#This Row],[Nº  SS]],DISTR_FIN_0[MÊS],'DISTR-FIN'!V$2)</f>
        <v>0</v>
      </c>
      <c r="W4" s="194">
        <f>SUMIFS(DISTR_FIN_0[%DISTR],DISTR_FIN_0[SS],Tb_DISTR.FIN[[#This Row],[Nº  SS]],DISTR_FIN_0[MÊS],'DISTR-FIN'!W$2)</f>
        <v>0</v>
      </c>
      <c r="X4" s="150"/>
      <c r="Y4" s="146">
        <f>SUM(Tb_DISTR.FIN[[#This Row],[PLAN]:[ENTR.]])</f>
        <v>0</v>
      </c>
      <c r="Z4" s="185" t="s">
        <v>148</v>
      </c>
      <c r="AA4" s="186" t="s">
        <v>149</v>
      </c>
      <c r="AB4" s="186" t="s">
        <v>149</v>
      </c>
      <c r="AC4" s="187" t="s">
        <v>150</v>
      </c>
      <c r="AD4" s="188" t="s">
        <v>151</v>
      </c>
      <c r="AE4" s="189" t="s">
        <v>152</v>
      </c>
      <c r="AF4" s="190" t="s">
        <v>153</v>
      </c>
      <c r="AG4" s="191" t="s">
        <v>154</v>
      </c>
      <c r="AH4" s="192" t="s">
        <v>155</v>
      </c>
      <c r="AI4" s="193" t="s">
        <v>156</v>
      </c>
      <c r="AJ4" s="194"/>
      <c r="AK4" s="194"/>
      <c r="AL4" s="194"/>
      <c r="AM4" s="195" t="s">
        <v>157</v>
      </c>
    </row>
    <row r="5" spans="1:39" x14ac:dyDescent="0.3">
      <c r="A5" t="s">
        <v>440</v>
      </c>
      <c r="B5" t="str">
        <f>_xlfn.XLOOKUP(Tb_DISTR.FIN[[#This Row],[Nº  SS]],tb_Distr[SS],tb_Distr[DESCRIÇÃO],"",0,1)</f>
        <v>GALPÃO SECGN</v>
      </c>
      <c r="C5" t="str">
        <f>_xlfn.XLOOKUP(Tb_DISTR.FIN[[#This Row],[Nº  SS]],TB_CR.ACOMP[Nº  SS],TB_CR.ACOMP[TOMADOR],"",0,1)</f>
        <v>UTGC</v>
      </c>
      <c r="D5" s="228">
        <f>_xlfn.XLOOKUP(Tb_DISTR.FIN[[#This Row],[Nº  SS]],Tb_ValorSS[Nº  SS],Tb_ValorSS[R$ APROVADO],"",0,1)</f>
        <v>857462.22378</v>
      </c>
      <c r="E5" s="102">
        <f>SUM(Tb_DISTR.FIN[[#This Row],[SET.25]:[DEZ.26]])</f>
        <v>1</v>
      </c>
      <c r="F5" s="98">
        <f>SUMIFS(DISTR_FIN_0[%DISTR],DISTR_FIN_0[SS],Tb_DISTR.FIN[[#This Row],[Nº  SS]],DISTR_FIN_0[MÊS],'DISTR-FIN'!F$2)</f>
        <v>8.3130569514498792E-2</v>
      </c>
      <c r="G5" s="98">
        <f>SUMIFS(DISTR_FIN_0[%DISTR],DISTR_FIN_0[SS],Tb_DISTR.FIN[[#This Row],[Nº  SS]],DISTR_FIN_0[MÊS],'DISTR-FIN'!G$2)</f>
        <v>0.23189999999999994</v>
      </c>
      <c r="H5" s="98">
        <f>SUMIFS(DISTR_FIN_0[%DISTR],DISTR_FIN_0[SS],Tb_DISTR.FIN[[#This Row],[Nº  SS]],DISTR_FIN_0[MÊS],'DISTR-FIN'!H$2)</f>
        <v>0.24736</v>
      </c>
      <c r="I5" s="98">
        <f>SUMIFS(DISTR_FIN_0[%DISTR],DISTR_FIN_0[SS],Tb_DISTR.FIN[[#This Row],[Nº  SS]],DISTR_FIN_0[MÊS],'DISTR-FIN'!I$2)</f>
        <v>0</v>
      </c>
      <c r="J5" s="98">
        <f>SUMIFS(DISTR_FIN_0[%DISTR],DISTR_FIN_0[SS],Tb_DISTR.FIN[[#This Row],[Nº  SS]],DISTR_FIN_0[MÊS],'DISTR-FIN'!J$2)</f>
        <v>0.43760943048550127</v>
      </c>
      <c r="K5" s="98">
        <f>SUMIFS(DISTR_FIN_0[%DISTR],DISTR_FIN_0[SS],Tb_DISTR.FIN[[#This Row],[Nº  SS]],DISTR_FIN_0[MÊS],'DISTR-FIN'!K$2)</f>
        <v>0</v>
      </c>
      <c r="L5" s="98">
        <f>SUMIFS(DISTR_FIN_0[%DISTR],DISTR_FIN_0[SS],Tb_DISTR.FIN[[#This Row],[Nº  SS]],DISTR_FIN_0[MÊS],'DISTR-FIN'!L$2)</f>
        <v>0</v>
      </c>
      <c r="M5" s="98">
        <f>SUMIFS(DISTR_FIN_0[%DISTR],DISTR_FIN_0[SS],Tb_DISTR.FIN[[#This Row],[Nº  SS]],DISTR_FIN_0[MÊS],'DISTR-FIN'!M$2)</f>
        <v>0</v>
      </c>
      <c r="N5" s="98">
        <f>SUMIFS(DISTR_FIN_0[%DISTR],DISTR_FIN_0[SS],Tb_DISTR.FIN[[#This Row],[Nº  SS]],DISTR_FIN_0[MÊS],'DISTR-FIN'!N$2)</f>
        <v>0</v>
      </c>
      <c r="O5" s="98">
        <f>SUMIFS(DISTR_FIN_0[%DISTR],DISTR_FIN_0[SS],Tb_DISTR.FIN[[#This Row],[Nº  SS]],DISTR_FIN_0[MÊS],'DISTR-FIN'!O$2)</f>
        <v>0</v>
      </c>
      <c r="P5" s="98">
        <f>SUMIFS(DISTR_FIN_0[%DISTR],DISTR_FIN_0[SS],Tb_DISTR.FIN[[#This Row],[Nº  SS]],DISTR_FIN_0[MÊS],'DISTR-FIN'!P$2)</f>
        <v>0</v>
      </c>
      <c r="Q5" s="98">
        <f>SUMIFS(DISTR_FIN_0[%DISTR],DISTR_FIN_0[SS],Tb_DISTR.FIN[[#This Row],[Nº  SS]],DISTR_FIN_0[MÊS],'DISTR-FIN'!Q$2)</f>
        <v>0</v>
      </c>
      <c r="R5" s="98">
        <f>SUMIFS(DISTR_FIN_0[%DISTR],DISTR_FIN_0[SS],Tb_DISTR.FIN[[#This Row],[Nº  SS]],DISTR_FIN_0[MÊS],'DISTR-FIN'!R$2)</f>
        <v>0</v>
      </c>
      <c r="S5" s="98">
        <f>SUMIFS(DISTR_FIN_0[%DISTR],DISTR_FIN_0[SS],Tb_DISTR.FIN[[#This Row],[Nº  SS]],DISTR_FIN_0[MÊS],'DISTR-FIN'!S$2)</f>
        <v>0</v>
      </c>
      <c r="T5" s="98">
        <f>SUMIFS(DISTR_FIN_0[%DISTR],DISTR_FIN_0[SS],Tb_DISTR.FIN[[#This Row],[Nº  SS]],DISTR_FIN_0[MÊS],'DISTR-FIN'!T$2)</f>
        <v>0</v>
      </c>
      <c r="U5" s="98">
        <f>SUMIFS(DISTR_FIN_0[%DISTR],DISTR_FIN_0[SS],Tb_DISTR.FIN[[#This Row],[Nº  SS]],DISTR_FIN_0[MÊS],'DISTR-FIN'!U$2)</f>
        <v>0</v>
      </c>
      <c r="V5" s="194">
        <f>SUMIFS(DISTR_FIN_0[%DISTR],DISTR_FIN_0[SS],Tb_DISTR.FIN[[#This Row],[Nº  SS]],DISTR_FIN_0[MÊS],'DISTR-FIN'!V$2)</f>
        <v>0</v>
      </c>
      <c r="W5" s="194">
        <f>SUMIFS(DISTR_FIN_0[%DISTR],DISTR_FIN_0[SS],Tb_DISTR.FIN[[#This Row],[Nº  SS]],DISTR_FIN_0[MÊS],'DISTR-FIN'!W$2)</f>
        <v>0</v>
      </c>
      <c r="X5" s="150"/>
      <c r="Y5" s="146">
        <f>SUM(Tb_DISTR.FIN[[#This Row],[PLAN]:[ENTR.]])</f>
        <v>0</v>
      </c>
      <c r="Z5" s="196" t="s">
        <v>147</v>
      </c>
      <c r="AA5" s="185" t="s">
        <v>148</v>
      </c>
      <c r="AB5" s="185" t="s">
        <v>148</v>
      </c>
      <c r="AC5" s="186" t="s">
        <v>149</v>
      </c>
      <c r="AD5" s="213" t="s">
        <v>151</v>
      </c>
      <c r="AE5" s="194"/>
      <c r="AF5" s="194"/>
      <c r="AG5" s="194"/>
      <c r="AH5" s="194"/>
      <c r="AI5" s="194"/>
      <c r="AJ5" s="194"/>
      <c r="AK5" s="194"/>
      <c r="AL5" s="194"/>
      <c r="AM5" s="213" t="s">
        <v>151</v>
      </c>
    </row>
    <row r="6" spans="1:39" x14ac:dyDescent="0.3">
      <c r="A6" t="s">
        <v>441</v>
      </c>
      <c r="B6" t="str">
        <f>_xlfn.XLOOKUP(Tb_DISTR.FIN[[#This Row],[Nº  SS]],tb_Distr[SS],tb_Distr[DESCRIÇÃO],"",0,1)</f>
        <v>GALPÃO K-14</v>
      </c>
      <c r="C6" t="str">
        <f>_xlfn.XLOOKUP(Tb_DISTR.FIN[[#This Row],[Nº  SS]],TB_CR.ACOMP[Nº  SS],TB_CR.ACOMP[TOMADOR],"",0,1)</f>
        <v>UTGC</v>
      </c>
      <c r="D6" s="228">
        <f>_xlfn.XLOOKUP(Tb_DISTR.FIN[[#This Row],[Nº  SS]],Tb_ValorSS[Nº  SS],Tb_ValorSS[R$ APROVADO],"",0,1)</f>
        <v>1342003.9550399999</v>
      </c>
      <c r="E6" s="101">
        <f>SUM(Tb_DISTR.FIN[[#This Row],[SET.25]:[DEZ.26]])</f>
        <v>0.99999999999999989</v>
      </c>
      <c r="F6" s="98">
        <f>SUMIFS(DISTR_FIN_0[%DISTR],DISTR_FIN_0[SS],Tb_DISTR.FIN[[#This Row],[Nº  SS]],DISTR_FIN_0[MÊS],'DISTR-FIN'!F$2)</f>
        <v>0</v>
      </c>
      <c r="G6" s="98">
        <f>SUMIFS(DISTR_FIN_0[%DISTR],DISTR_FIN_0[SS],Tb_DISTR.FIN[[#This Row],[Nº  SS]],DISTR_FIN_0[MÊS],'DISTR-FIN'!G$2)</f>
        <v>0.28759789880918751</v>
      </c>
      <c r="H6" s="98">
        <f>SUMIFS(DISTR_FIN_0[%DISTR],DISTR_FIN_0[SS],Tb_DISTR.FIN[[#This Row],[Nº  SS]],DISTR_FIN_0[MÊS],'DISTR-FIN'!H$2)</f>
        <v>0</v>
      </c>
      <c r="I6" s="98">
        <f>SUMIFS(DISTR_FIN_0[%DISTR],DISTR_FIN_0[SS],Tb_DISTR.FIN[[#This Row],[Nº  SS]],DISTR_FIN_0[MÊS],'DISTR-FIN'!I$2)</f>
        <v>0.6124021011908124</v>
      </c>
      <c r="J6" s="98">
        <f>SUMIFS(DISTR_FIN_0[%DISTR],DISTR_FIN_0[SS],Tb_DISTR.FIN[[#This Row],[Nº  SS]],DISTR_FIN_0[MÊS],'DISTR-FIN'!J$2)</f>
        <v>0.1</v>
      </c>
      <c r="K6" s="98">
        <f>SUMIFS(DISTR_FIN_0[%DISTR],DISTR_FIN_0[SS],Tb_DISTR.FIN[[#This Row],[Nº  SS]],DISTR_FIN_0[MÊS],'DISTR-FIN'!K$2)</f>
        <v>0</v>
      </c>
      <c r="L6" s="98">
        <f>SUMIFS(DISTR_FIN_0[%DISTR],DISTR_FIN_0[SS],Tb_DISTR.FIN[[#This Row],[Nº  SS]],DISTR_FIN_0[MÊS],'DISTR-FIN'!L$2)</f>
        <v>0</v>
      </c>
      <c r="M6" s="98">
        <f>SUMIFS(DISTR_FIN_0[%DISTR],DISTR_FIN_0[SS],Tb_DISTR.FIN[[#This Row],[Nº  SS]],DISTR_FIN_0[MÊS],'DISTR-FIN'!M$2)</f>
        <v>0</v>
      </c>
      <c r="N6" s="98">
        <f>SUMIFS(DISTR_FIN_0[%DISTR],DISTR_FIN_0[SS],Tb_DISTR.FIN[[#This Row],[Nº  SS]],DISTR_FIN_0[MÊS],'DISTR-FIN'!N$2)</f>
        <v>0</v>
      </c>
      <c r="O6" s="98">
        <f>SUMIFS(DISTR_FIN_0[%DISTR],DISTR_FIN_0[SS],Tb_DISTR.FIN[[#This Row],[Nº  SS]],DISTR_FIN_0[MÊS],'DISTR-FIN'!O$2)</f>
        <v>0</v>
      </c>
      <c r="P6" s="98">
        <f>SUMIFS(DISTR_FIN_0[%DISTR],DISTR_FIN_0[SS],Tb_DISTR.FIN[[#This Row],[Nº  SS]],DISTR_FIN_0[MÊS],'DISTR-FIN'!P$2)</f>
        <v>0</v>
      </c>
      <c r="Q6" s="98">
        <f>SUMIFS(DISTR_FIN_0[%DISTR],DISTR_FIN_0[SS],Tb_DISTR.FIN[[#This Row],[Nº  SS]],DISTR_FIN_0[MÊS],'DISTR-FIN'!Q$2)</f>
        <v>0</v>
      </c>
      <c r="R6" s="98">
        <f>SUMIFS(DISTR_FIN_0[%DISTR],DISTR_FIN_0[SS],Tb_DISTR.FIN[[#This Row],[Nº  SS]],DISTR_FIN_0[MÊS],'DISTR-FIN'!R$2)</f>
        <v>0</v>
      </c>
      <c r="S6" s="98">
        <f>SUMIFS(DISTR_FIN_0[%DISTR],DISTR_FIN_0[SS],Tb_DISTR.FIN[[#This Row],[Nº  SS]],DISTR_FIN_0[MÊS],'DISTR-FIN'!S$2)</f>
        <v>0</v>
      </c>
      <c r="T6" s="98">
        <f>SUMIFS(DISTR_FIN_0[%DISTR],DISTR_FIN_0[SS],Tb_DISTR.FIN[[#This Row],[Nº  SS]],DISTR_FIN_0[MÊS],'DISTR-FIN'!T$2)</f>
        <v>0</v>
      </c>
      <c r="U6" s="98">
        <f>SUMIFS(DISTR_FIN_0[%DISTR],DISTR_FIN_0[SS],Tb_DISTR.FIN[[#This Row],[Nº  SS]],DISTR_FIN_0[MÊS],'DISTR-FIN'!U$2)</f>
        <v>0</v>
      </c>
      <c r="V6" s="194">
        <f>SUMIFS(DISTR_FIN_0[%DISTR],DISTR_FIN_0[SS],Tb_DISTR.FIN[[#This Row],[Nº  SS]],DISTR_FIN_0[MÊS],'DISTR-FIN'!V$2)</f>
        <v>0</v>
      </c>
      <c r="W6" s="194">
        <f>SUMIFS(DISTR_FIN_0[%DISTR],DISTR_FIN_0[SS],Tb_DISTR.FIN[[#This Row],[Nº  SS]],DISTR_FIN_0[MÊS],'DISTR-FIN'!W$2)</f>
        <v>0</v>
      </c>
      <c r="X6" s="150"/>
      <c r="Y6" s="146">
        <f>SUM(Tb_DISTR.FIN[[#This Row],[PLAN]:[ENTR.]])</f>
        <v>0</v>
      </c>
      <c r="Z6" s="185" t="s">
        <v>148</v>
      </c>
      <c r="AA6" s="185" t="s">
        <v>148</v>
      </c>
      <c r="AB6" s="187" t="s">
        <v>150</v>
      </c>
      <c r="AC6" s="187" t="s">
        <v>150</v>
      </c>
      <c r="AD6" s="187" t="s">
        <v>150</v>
      </c>
      <c r="AE6" s="194"/>
      <c r="AF6" s="194"/>
      <c r="AG6" s="194"/>
      <c r="AH6" s="194"/>
      <c r="AI6" s="194"/>
      <c r="AJ6" s="194"/>
      <c r="AK6" s="194"/>
      <c r="AL6" s="194"/>
      <c r="AM6" s="213" t="s">
        <v>151</v>
      </c>
    </row>
    <row r="7" spans="1:39" x14ac:dyDescent="0.3">
      <c r="A7" t="s">
        <v>442</v>
      </c>
      <c r="B7" t="str">
        <f>_xlfn.XLOOKUP(Tb_DISTR.FIN[[#This Row],[Nº  SS]],tb_Distr[SS],tb_Distr[DESCRIÇÃO],"",0,1)</f>
        <v>GALPÃO K-15</v>
      </c>
      <c r="C7" t="str">
        <f>_xlfn.XLOOKUP(Tb_DISTR.FIN[[#This Row],[Nº  SS]],TB_CR.ACOMP[Nº  SS],TB_CR.ACOMP[TOMADOR],"",0,1)</f>
        <v>UTGC</v>
      </c>
      <c r="D7" s="228">
        <f>_xlfn.XLOOKUP(Tb_DISTR.FIN[[#This Row],[Nº  SS]],Tb_ValorSS[Nº  SS],Tb_ValorSS[R$ APROVADO],"",0,1)</f>
        <v>572533.72343999997</v>
      </c>
      <c r="E7" s="102">
        <f>SUM(Tb_DISTR.FIN[[#This Row],[SET.25]:[DEZ.26]])</f>
        <v>0.99999999999999989</v>
      </c>
      <c r="F7" s="98">
        <f>SUMIFS(DISTR_FIN_0[%DISTR],DISTR_FIN_0[SS],Tb_DISTR.FIN[[#This Row],[Nº  SS]],DISTR_FIN_0[MÊS],'DISTR-FIN'!F$2)</f>
        <v>0</v>
      </c>
      <c r="G7" s="98">
        <f>SUMIFS(DISTR_FIN_0[%DISTR],DISTR_FIN_0[SS],Tb_DISTR.FIN[[#This Row],[Nº  SS]],DISTR_FIN_0[MÊS],'DISTR-FIN'!G$2)</f>
        <v>0.27387204595962328</v>
      </c>
      <c r="H7" s="98">
        <f>SUMIFS(DISTR_FIN_0[%DISTR],DISTR_FIN_0[SS],Tb_DISTR.FIN[[#This Row],[Nº  SS]],DISTR_FIN_0[MÊS],'DISTR-FIN'!H$2)</f>
        <v>0.18258136397308219</v>
      </c>
      <c r="I7" s="98">
        <f>SUMIFS(DISTR_FIN_0[%DISTR],DISTR_FIN_0[SS],Tb_DISTR.FIN[[#This Row],[Nº  SS]],DISTR_FIN_0[MÊS],'DISTR-FIN'!I$2)</f>
        <v>0.44354659006729452</v>
      </c>
      <c r="J7" s="98">
        <f>SUMIFS(DISTR_FIN_0[%DISTR],DISTR_FIN_0[SS],Tb_DISTR.FIN[[#This Row],[Nº  SS]],DISTR_FIN_0[MÊS],'DISTR-FIN'!J$2)</f>
        <v>0.1</v>
      </c>
      <c r="K7" s="98">
        <f>SUMIFS(DISTR_FIN_0[%DISTR],DISTR_FIN_0[SS],Tb_DISTR.FIN[[#This Row],[Nº  SS]],DISTR_FIN_0[MÊS],'DISTR-FIN'!K$2)</f>
        <v>0</v>
      </c>
      <c r="L7" s="98">
        <f>SUMIFS(DISTR_FIN_0[%DISTR],DISTR_FIN_0[SS],Tb_DISTR.FIN[[#This Row],[Nº  SS]],DISTR_FIN_0[MÊS],'DISTR-FIN'!L$2)</f>
        <v>0</v>
      </c>
      <c r="M7" s="98">
        <f>SUMIFS(DISTR_FIN_0[%DISTR],DISTR_FIN_0[SS],Tb_DISTR.FIN[[#This Row],[Nº  SS]],DISTR_FIN_0[MÊS],'DISTR-FIN'!M$2)</f>
        <v>0</v>
      </c>
      <c r="N7" s="98">
        <f>SUMIFS(DISTR_FIN_0[%DISTR],DISTR_FIN_0[SS],Tb_DISTR.FIN[[#This Row],[Nº  SS]],DISTR_FIN_0[MÊS],'DISTR-FIN'!N$2)</f>
        <v>0</v>
      </c>
      <c r="O7" s="98">
        <f>SUMIFS(DISTR_FIN_0[%DISTR],DISTR_FIN_0[SS],Tb_DISTR.FIN[[#This Row],[Nº  SS]],DISTR_FIN_0[MÊS],'DISTR-FIN'!O$2)</f>
        <v>0</v>
      </c>
      <c r="P7" s="98">
        <f>SUMIFS(DISTR_FIN_0[%DISTR],DISTR_FIN_0[SS],Tb_DISTR.FIN[[#This Row],[Nº  SS]],DISTR_FIN_0[MÊS],'DISTR-FIN'!P$2)</f>
        <v>0</v>
      </c>
      <c r="Q7" s="98">
        <f>SUMIFS(DISTR_FIN_0[%DISTR],DISTR_FIN_0[SS],Tb_DISTR.FIN[[#This Row],[Nº  SS]],DISTR_FIN_0[MÊS],'DISTR-FIN'!Q$2)</f>
        <v>0</v>
      </c>
      <c r="R7" s="98">
        <f>SUMIFS(DISTR_FIN_0[%DISTR],DISTR_FIN_0[SS],Tb_DISTR.FIN[[#This Row],[Nº  SS]],DISTR_FIN_0[MÊS],'DISTR-FIN'!R$2)</f>
        <v>0</v>
      </c>
      <c r="S7" s="98">
        <f>SUMIFS(DISTR_FIN_0[%DISTR],DISTR_FIN_0[SS],Tb_DISTR.FIN[[#This Row],[Nº  SS]],DISTR_FIN_0[MÊS],'DISTR-FIN'!S$2)</f>
        <v>0</v>
      </c>
      <c r="T7" s="98">
        <f>SUMIFS(DISTR_FIN_0[%DISTR],DISTR_FIN_0[SS],Tb_DISTR.FIN[[#This Row],[Nº  SS]],DISTR_FIN_0[MÊS],'DISTR-FIN'!T$2)</f>
        <v>0</v>
      </c>
      <c r="U7" s="98">
        <f>SUMIFS(DISTR_FIN_0[%DISTR],DISTR_FIN_0[SS],Tb_DISTR.FIN[[#This Row],[Nº  SS]],DISTR_FIN_0[MÊS],'DISTR-FIN'!U$2)</f>
        <v>0</v>
      </c>
      <c r="V7" s="194">
        <f>SUMIFS(DISTR_FIN_0[%DISTR],DISTR_FIN_0[SS],Tb_DISTR.FIN[[#This Row],[Nº  SS]],DISTR_FIN_0[MÊS],'DISTR-FIN'!V$2)</f>
        <v>0</v>
      </c>
      <c r="W7" s="194">
        <f>SUMIFS(DISTR_FIN_0[%DISTR],DISTR_FIN_0[SS],Tb_DISTR.FIN[[#This Row],[Nº  SS]],DISTR_FIN_0[MÊS],'DISTR-FIN'!W$2)</f>
        <v>0</v>
      </c>
      <c r="X7" s="150"/>
      <c r="Y7" s="146">
        <f>SUM(Tb_DISTR.FIN[[#This Row],[PLAN]:[ENTR.]])</f>
        <v>0</v>
      </c>
      <c r="Z7" s="185" t="s">
        <v>148</v>
      </c>
      <c r="AA7" s="185" t="s">
        <v>148</v>
      </c>
      <c r="AB7" s="186" t="s">
        <v>149</v>
      </c>
      <c r="AC7" s="187" t="s">
        <v>150</v>
      </c>
      <c r="AD7" s="187" t="s">
        <v>150</v>
      </c>
      <c r="AE7" s="194"/>
      <c r="AF7" s="194"/>
      <c r="AG7" s="194"/>
      <c r="AH7" s="194"/>
      <c r="AI7" s="194"/>
      <c r="AJ7" s="194"/>
      <c r="AK7" s="194"/>
      <c r="AL7" s="194"/>
      <c r="AM7" s="213" t="s">
        <v>151</v>
      </c>
    </row>
    <row r="8" spans="1:39" x14ac:dyDescent="0.3">
      <c r="A8" t="s">
        <v>443</v>
      </c>
      <c r="B8" t="str">
        <f>_xlfn.XLOOKUP(Tb_DISTR.FIN[[#This Row],[Nº  SS]],tb_Distr[SS],tb_Distr[DESCRIÇÃO],"",0,1)</f>
        <v>GALPÃO K-02</v>
      </c>
      <c r="C8" t="str">
        <f>_xlfn.XLOOKUP(Tb_DISTR.FIN[[#This Row],[Nº  SS]],TB_CR.ACOMP[Nº  SS],TB_CR.ACOMP[TOMADOR],"",0,1)</f>
        <v>UTGC</v>
      </c>
      <c r="D8" s="228">
        <f>_xlfn.XLOOKUP(Tb_DISTR.FIN[[#This Row],[Nº  SS]],Tb_ValorSS[Nº  SS],Tb_ValorSS[R$ APROVADO],"",0,1)</f>
        <v>743593.46399999992</v>
      </c>
      <c r="E8" s="101">
        <f>SUM(Tb_DISTR.FIN[[#This Row],[SET.25]:[DEZ.26]])</f>
        <v>1</v>
      </c>
      <c r="F8" s="98">
        <f>SUMIFS(DISTR_FIN_0[%DISTR],DISTR_FIN_0[SS],Tb_DISTR.FIN[[#This Row],[Nº  SS]],DISTR_FIN_0[MÊS],'DISTR-FIN'!F$2)</f>
        <v>0</v>
      </c>
      <c r="G8" s="98">
        <f>SUMIFS(DISTR_FIN_0[%DISTR],DISTR_FIN_0[SS],Tb_DISTR.FIN[[#This Row],[Nº  SS]],DISTR_FIN_0[MÊS],'DISTR-FIN'!G$2)</f>
        <v>0.1</v>
      </c>
      <c r="H8" s="98">
        <f>SUMIFS(DISTR_FIN_0[%DISTR],DISTR_FIN_0[SS],Tb_DISTR.FIN[[#This Row],[Nº  SS]],DISTR_FIN_0[MÊS],'DISTR-FIN'!H$2)</f>
        <v>0.2</v>
      </c>
      <c r="I8" s="98">
        <f>SUMIFS(DISTR_FIN_0[%DISTR],DISTR_FIN_0[SS],Tb_DISTR.FIN[[#This Row],[Nº  SS]],DISTR_FIN_0[MÊS],'DISTR-FIN'!I$2)</f>
        <v>0</v>
      </c>
      <c r="J8" s="98">
        <f>SUMIFS(DISTR_FIN_0[%DISTR],DISTR_FIN_0[SS],Tb_DISTR.FIN[[#This Row],[Nº  SS]],DISTR_FIN_0[MÊS],'DISTR-FIN'!J$2)</f>
        <v>0</v>
      </c>
      <c r="K8" s="98">
        <f>SUMIFS(DISTR_FIN_0[%DISTR],DISTR_FIN_0[SS],Tb_DISTR.FIN[[#This Row],[Nº  SS]],DISTR_FIN_0[MÊS],'DISTR-FIN'!K$2)</f>
        <v>0.2</v>
      </c>
      <c r="L8" s="98">
        <f>SUMIFS(DISTR_FIN_0[%DISTR],DISTR_FIN_0[SS],Tb_DISTR.FIN[[#This Row],[Nº  SS]],DISTR_FIN_0[MÊS],'DISTR-FIN'!L$2)</f>
        <v>0.4</v>
      </c>
      <c r="M8" s="98">
        <f>SUMIFS(DISTR_FIN_0[%DISTR],DISTR_FIN_0[SS],Tb_DISTR.FIN[[#This Row],[Nº  SS]],DISTR_FIN_0[MÊS],'DISTR-FIN'!M$2)</f>
        <v>0.1</v>
      </c>
      <c r="N8" s="98">
        <f>SUMIFS(DISTR_FIN_0[%DISTR],DISTR_FIN_0[SS],Tb_DISTR.FIN[[#This Row],[Nº  SS]],DISTR_FIN_0[MÊS],'DISTR-FIN'!N$2)</f>
        <v>0</v>
      </c>
      <c r="O8" s="98">
        <f>SUMIFS(DISTR_FIN_0[%DISTR],DISTR_FIN_0[SS],Tb_DISTR.FIN[[#This Row],[Nº  SS]],DISTR_FIN_0[MÊS],'DISTR-FIN'!O$2)</f>
        <v>0</v>
      </c>
      <c r="P8" s="98">
        <f>SUMIFS(DISTR_FIN_0[%DISTR],DISTR_FIN_0[SS],Tb_DISTR.FIN[[#This Row],[Nº  SS]],DISTR_FIN_0[MÊS],'DISTR-FIN'!P$2)</f>
        <v>0</v>
      </c>
      <c r="Q8" s="98">
        <f>SUMIFS(DISTR_FIN_0[%DISTR],DISTR_FIN_0[SS],Tb_DISTR.FIN[[#This Row],[Nº  SS]],DISTR_FIN_0[MÊS],'DISTR-FIN'!Q$2)</f>
        <v>0</v>
      </c>
      <c r="R8" s="98">
        <f>SUMIFS(DISTR_FIN_0[%DISTR],DISTR_FIN_0[SS],Tb_DISTR.FIN[[#This Row],[Nº  SS]],DISTR_FIN_0[MÊS],'DISTR-FIN'!R$2)</f>
        <v>0</v>
      </c>
      <c r="S8" s="98">
        <f>SUMIFS(DISTR_FIN_0[%DISTR],DISTR_FIN_0[SS],Tb_DISTR.FIN[[#This Row],[Nº  SS]],DISTR_FIN_0[MÊS],'DISTR-FIN'!S$2)</f>
        <v>0</v>
      </c>
      <c r="T8" s="98">
        <f>SUMIFS(DISTR_FIN_0[%DISTR],DISTR_FIN_0[SS],Tb_DISTR.FIN[[#This Row],[Nº  SS]],DISTR_FIN_0[MÊS],'DISTR-FIN'!T$2)</f>
        <v>0</v>
      </c>
      <c r="U8" s="98">
        <f>SUMIFS(DISTR_FIN_0[%DISTR],DISTR_FIN_0[SS],Tb_DISTR.FIN[[#This Row],[Nº  SS]],DISTR_FIN_0[MÊS],'DISTR-FIN'!U$2)</f>
        <v>0</v>
      </c>
      <c r="V8" s="194">
        <f>SUMIFS(DISTR_FIN_0[%DISTR],DISTR_FIN_0[SS],Tb_DISTR.FIN[[#This Row],[Nº  SS]],DISTR_FIN_0[MÊS],'DISTR-FIN'!V$2)</f>
        <v>0</v>
      </c>
      <c r="W8" s="194">
        <f>SUMIFS(DISTR_FIN_0[%DISTR],DISTR_FIN_0[SS],Tb_DISTR.FIN[[#This Row],[Nº  SS]],DISTR_FIN_0[MÊS],'DISTR-FIN'!W$2)</f>
        <v>0</v>
      </c>
      <c r="X8" s="150"/>
      <c r="Y8" s="146">
        <f>SUM(Tb_DISTR.FIN[[#This Row],[PLAN]:[ENTR.]])</f>
        <v>0</v>
      </c>
      <c r="Z8" s="185" t="s">
        <v>148</v>
      </c>
      <c r="AA8" s="186" t="s">
        <v>149</v>
      </c>
      <c r="AB8" s="189" t="s">
        <v>152</v>
      </c>
      <c r="AC8" s="215" t="s">
        <v>153</v>
      </c>
      <c r="AD8" s="215" t="s">
        <v>153</v>
      </c>
      <c r="AE8" s="194"/>
      <c r="AF8" s="194"/>
      <c r="AG8" s="194"/>
      <c r="AH8" s="194"/>
      <c r="AI8" s="194"/>
      <c r="AJ8" s="194"/>
      <c r="AK8" s="194"/>
      <c r="AL8" s="194"/>
      <c r="AM8" s="191" t="s">
        <v>154</v>
      </c>
    </row>
    <row r="9" spans="1:39" x14ac:dyDescent="0.3">
      <c r="A9" t="s">
        <v>444</v>
      </c>
      <c r="B9" t="str">
        <f>_xlfn.XLOOKUP(Tb_DISTR.FIN[[#This Row],[Nº  SS]],tb_Distr[SS],tb_Distr[DESCRIÇÃO],"",0,1)</f>
        <v>GALPÃO UPGN-3</v>
      </c>
      <c r="C9" t="str">
        <f>_xlfn.XLOOKUP(Tb_DISTR.FIN[[#This Row],[Nº  SS]],TB_CR.ACOMP[Nº  SS],TB_CR.ACOMP[TOMADOR],"",0,1)</f>
        <v>UTGC</v>
      </c>
      <c r="D9" s="228">
        <f>_xlfn.XLOOKUP(Tb_DISTR.FIN[[#This Row],[Nº  SS]],Tb_ValorSS[Nº  SS],Tb_ValorSS[R$ APROVADO],"",0,1)</f>
        <v>588935.40300000005</v>
      </c>
      <c r="E9" s="102">
        <f>SUM(Tb_DISTR.FIN[[#This Row],[SET.25]:[DEZ.26]])</f>
        <v>1</v>
      </c>
      <c r="F9" s="98">
        <f>SUMIFS(DISTR_FIN_0[%DISTR],DISTR_FIN_0[SS],Tb_DISTR.FIN[[#This Row],[Nº  SS]],DISTR_FIN_0[MÊS],'DISTR-FIN'!F$2)</f>
        <v>0.10754227250963888</v>
      </c>
      <c r="G9" s="98">
        <f>SUMIFS(DISTR_FIN_0[%DISTR],DISTR_FIN_0[SS],Tb_DISTR.FIN[[#This Row],[Nº  SS]],DISTR_FIN_0[MÊS],'DISTR-FIN'!G$2)</f>
        <v>0.25</v>
      </c>
      <c r="H9" s="98">
        <f>SUMIFS(DISTR_FIN_0[%DISTR],DISTR_FIN_0[SS],Tb_DISTR.FIN[[#This Row],[Nº  SS]],DISTR_FIN_0[MÊS],'DISTR-FIN'!H$2)</f>
        <v>0.35</v>
      </c>
      <c r="I9" s="98">
        <f>SUMIFS(DISTR_FIN_0[%DISTR],DISTR_FIN_0[SS],Tb_DISTR.FIN[[#This Row],[Nº  SS]],DISTR_FIN_0[MÊS],'DISTR-FIN'!I$2)</f>
        <v>0.2</v>
      </c>
      <c r="J9" s="98">
        <f>SUMIFS(DISTR_FIN_0[%DISTR],DISTR_FIN_0[SS],Tb_DISTR.FIN[[#This Row],[Nº  SS]],DISTR_FIN_0[MÊS],'DISTR-FIN'!J$2)</f>
        <v>9.2457727490361075E-2</v>
      </c>
      <c r="K9" s="98">
        <f>SUMIFS(DISTR_FIN_0[%DISTR],DISTR_FIN_0[SS],Tb_DISTR.FIN[[#This Row],[Nº  SS]],DISTR_FIN_0[MÊS],'DISTR-FIN'!K$2)</f>
        <v>0</v>
      </c>
      <c r="L9" s="98">
        <f>SUMIFS(DISTR_FIN_0[%DISTR],DISTR_FIN_0[SS],Tb_DISTR.FIN[[#This Row],[Nº  SS]],DISTR_FIN_0[MÊS],'DISTR-FIN'!L$2)</f>
        <v>0</v>
      </c>
      <c r="M9" s="98">
        <f>SUMIFS(DISTR_FIN_0[%DISTR],DISTR_FIN_0[SS],Tb_DISTR.FIN[[#This Row],[Nº  SS]],DISTR_FIN_0[MÊS],'DISTR-FIN'!M$2)</f>
        <v>0</v>
      </c>
      <c r="N9" s="98">
        <f>SUMIFS(DISTR_FIN_0[%DISTR],DISTR_FIN_0[SS],Tb_DISTR.FIN[[#This Row],[Nº  SS]],DISTR_FIN_0[MÊS],'DISTR-FIN'!N$2)</f>
        <v>0</v>
      </c>
      <c r="O9" s="98">
        <f>SUMIFS(DISTR_FIN_0[%DISTR],DISTR_FIN_0[SS],Tb_DISTR.FIN[[#This Row],[Nº  SS]],DISTR_FIN_0[MÊS],'DISTR-FIN'!O$2)</f>
        <v>0</v>
      </c>
      <c r="P9" s="98">
        <f>SUMIFS(DISTR_FIN_0[%DISTR],DISTR_FIN_0[SS],Tb_DISTR.FIN[[#This Row],[Nº  SS]],DISTR_FIN_0[MÊS],'DISTR-FIN'!P$2)</f>
        <v>0</v>
      </c>
      <c r="Q9" s="98">
        <f>SUMIFS(DISTR_FIN_0[%DISTR],DISTR_FIN_0[SS],Tb_DISTR.FIN[[#This Row],[Nº  SS]],DISTR_FIN_0[MÊS],'DISTR-FIN'!Q$2)</f>
        <v>0</v>
      </c>
      <c r="R9" s="98">
        <f>SUMIFS(DISTR_FIN_0[%DISTR],DISTR_FIN_0[SS],Tb_DISTR.FIN[[#This Row],[Nº  SS]],DISTR_FIN_0[MÊS],'DISTR-FIN'!R$2)</f>
        <v>0</v>
      </c>
      <c r="S9" s="98">
        <f>SUMIFS(DISTR_FIN_0[%DISTR],DISTR_FIN_0[SS],Tb_DISTR.FIN[[#This Row],[Nº  SS]],DISTR_FIN_0[MÊS],'DISTR-FIN'!S$2)</f>
        <v>0</v>
      </c>
      <c r="T9" s="98">
        <f>SUMIFS(DISTR_FIN_0[%DISTR],DISTR_FIN_0[SS],Tb_DISTR.FIN[[#This Row],[Nº  SS]],DISTR_FIN_0[MÊS],'DISTR-FIN'!T$2)</f>
        <v>0</v>
      </c>
      <c r="U9" s="98">
        <f>SUMIFS(DISTR_FIN_0[%DISTR],DISTR_FIN_0[SS],Tb_DISTR.FIN[[#This Row],[Nº  SS]],DISTR_FIN_0[MÊS],'DISTR-FIN'!U$2)</f>
        <v>0</v>
      </c>
      <c r="V9" s="194">
        <f>SUMIFS(DISTR_FIN_0[%DISTR],DISTR_FIN_0[SS],Tb_DISTR.FIN[[#This Row],[Nº  SS]],DISTR_FIN_0[MÊS],'DISTR-FIN'!V$2)</f>
        <v>0</v>
      </c>
      <c r="W9" s="194">
        <f>SUMIFS(DISTR_FIN_0[%DISTR],DISTR_FIN_0[SS],Tb_DISTR.FIN[[#This Row],[Nº  SS]],DISTR_FIN_0[MÊS],'DISTR-FIN'!W$2)</f>
        <v>0</v>
      </c>
      <c r="X9" s="150"/>
      <c r="Y9" s="146">
        <f>SUM(Tb_DISTR.FIN[[#This Row],[PLAN]:[ENTR.]])</f>
        <v>0</v>
      </c>
      <c r="Z9" s="196" t="s">
        <v>147</v>
      </c>
      <c r="AA9" s="185" t="s">
        <v>148</v>
      </c>
      <c r="AB9" s="185" t="s">
        <v>148</v>
      </c>
      <c r="AC9" s="186" t="s">
        <v>149</v>
      </c>
      <c r="AD9" s="187" t="s">
        <v>150</v>
      </c>
      <c r="AE9" s="194"/>
      <c r="AF9" s="194"/>
      <c r="AG9" s="194"/>
      <c r="AH9" s="194"/>
      <c r="AI9" s="194"/>
      <c r="AJ9" s="194"/>
      <c r="AK9" s="194"/>
      <c r="AL9" s="194"/>
      <c r="AM9" s="213" t="s">
        <v>151</v>
      </c>
    </row>
    <row r="10" spans="1:39" x14ac:dyDescent="0.3">
      <c r="A10" t="s">
        <v>54</v>
      </c>
      <c r="B10" t="str">
        <f>_xlfn.XLOOKUP(Tb_DISTR.FIN[[#This Row],[Nº  SS]],tb_Distr[SS],tb_Distr[DESCRIÇÃO],"",0,1)</f>
        <v>SALA K-04</v>
      </c>
      <c r="C10" t="str">
        <f>_xlfn.XLOOKUP(Tb_DISTR.FIN[[#This Row],[Nº  SS]],TB_CR.ACOMP[Nº  SS],TB_CR.ACOMP[TOMADOR],"",0,1)</f>
        <v>UTGC</v>
      </c>
      <c r="D10" s="228">
        <f>_xlfn.XLOOKUP(Tb_DISTR.FIN[[#This Row],[Nº  SS]],Tb_ValorSS[Nº  SS],Tb_ValorSS[R$ APROVADO],"",0,1)</f>
        <v>364522.26744000003</v>
      </c>
      <c r="E10" s="101">
        <f>SUM(Tb_DISTR.FIN[[#This Row],[SET.25]:[DEZ.26]])</f>
        <v>0.99999999999999989</v>
      </c>
      <c r="F10" s="98">
        <f>SUMIFS(DISTR_FIN_0[%DISTR],DISTR_FIN_0[SS],Tb_DISTR.FIN[[#This Row],[Nº  SS]],DISTR_FIN_0[MÊS],'DISTR-FIN'!F$2)</f>
        <v>0</v>
      </c>
      <c r="G10" s="98">
        <f>SUMIFS(DISTR_FIN_0[%DISTR],DISTR_FIN_0[SS],Tb_DISTR.FIN[[#This Row],[Nº  SS]],DISTR_FIN_0[MÊS],'DISTR-FIN'!G$2)</f>
        <v>9.6676913353549929E-2</v>
      </c>
      <c r="H10" s="98">
        <f>SUMIFS(DISTR_FIN_0[%DISTR],DISTR_FIN_0[SS],Tb_DISTR.FIN[[#This Row],[Nº  SS]],DISTR_FIN_0[MÊS],'DISTR-FIN'!H$2)</f>
        <v>0.24169228338387483</v>
      </c>
      <c r="I10" s="98">
        <f>SUMIFS(DISTR_FIN_0[%DISTR],DISTR_FIN_0[SS],Tb_DISTR.FIN[[#This Row],[Nº  SS]],DISTR_FIN_0[MÊS],'DISTR-FIN'!I$2)</f>
        <v>0.5616308032625752</v>
      </c>
      <c r="J10" s="98">
        <f>SUMIFS(DISTR_FIN_0[%DISTR],DISTR_FIN_0[SS],Tb_DISTR.FIN[[#This Row],[Nº  SS]],DISTR_FIN_0[MÊS],'DISTR-FIN'!J$2)</f>
        <v>0.1</v>
      </c>
      <c r="K10" s="98">
        <f>SUMIFS(DISTR_FIN_0[%DISTR],DISTR_FIN_0[SS],Tb_DISTR.FIN[[#This Row],[Nº  SS]],DISTR_FIN_0[MÊS],'DISTR-FIN'!K$2)</f>
        <v>0</v>
      </c>
      <c r="L10" s="98">
        <f>SUMIFS(DISTR_FIN_0[%DISTR],DISTR_FIN_0[SS],Tb_DISTR.FIN[[#This Row],[Nº  SS]],DISTR_FIN_0[MÊS],'DISTR-FIN'!L$2)</f>
        <v>0</v>
      </c>
      <c r="M10" s="98">
        <f>SUMIFS(DISTR_FIN_0[%DISTR],DISTR_FIN_0[SS],Tb_DISTR.FIN[[#This Row],[Nº  SS]],DISTR_FIN_0[MÊS],'DISTR-FIN'!M$2)</f>
        <v>0</v>
      </c>
      <c r="N10" s="98">
        <f>SUMIFS(DISTR_FIN_0[%DISTR],DISTR_FIN_0[SS],Tb_DISTR.FIN[[#This Row],[Nº  SS]],DISTR_FIN_0[MÊS],'DISTR-FIN'!N$2)</f>
        <v>0</v>
      </c>
      <c r="O10" s="98">
        <f>SUMIFS(DISTR_FIN_0[%DISTR],DISTR_FIN_0[SS],Tb_DISTR.FIN[[#This Row],[Nº  SS]],DISTR_FIN_0[MÊS],'DISTR-FIN'!O$2)</f>
        <v>0</v>
      </c>
      <c r="P10" s="98">
        <f>SUMIFS(DISTR_FIN_0[%DISTR],DISTR_FIN_0[SS],Tb_DISTR.FIN[[#This Row],[Nº  SS]],DISTR_FIN_0[MÊS],'DISTR-FIN'!P$2)</f>
        <v>0</v>
      </c>
      <c r="Q10" s="98">
        <f>SUMIFS(DISTR_FIN_0[%DISTR],DISTR_FIN_0[SS],Tb_DISTR.FIN[[#This Row],[Nº  SS]],DISTR_FIN_0[MÊS],'DISTR-FIN'!Q$2)</f>
        <v>0</v>
      </c>
      <c r="R10" s="98">
        <f>SUMIFS(DISTR_FIN_0[%DISTR],DISTR_FIN_0[SS],Tb_DISTR.FIN[[#This Row],[Nº  SS]],DISTR_FIN_0[MÊS],'DISTR-FIN'!R$2)</f>
        <v>0</v>
      </c>
      <c r="S10" s="98">
        <f>SUMIFS(DISTR_FIN_0[%DISTR],DISTR_FIN_0[SS],Tb_DISTR.FIN[[#This Row],[Nº  SS]],DISTR_FIN_0[MÊS],'DISTR-FIN'!S$2)</f>
        <v>0</v>
      </c>
      <c r="T10" s="98">
        <f>SUMIFS(DISTR_FIN_0[%DISTR],DISTR_FIN_0[SS],Tb_DISTR.FIN[[#This Row],[Nº  SS]],DISTR_FIN_0[MÊS],'DISTR-FIN'!T$2)</f>
        <v>0</v>
      </c>
      <c r="U10" s="98">
        <f>SUMIFS(DISTR_FIN_0[%DISTR],DISTR_FIN_0[SS],Tb_DISTR.FIN[[#This Row],[Nº  SS]],DISTR_FIN_0[MÊS],'DISTR-FIN'!U$2)</f>
        <v>0</v>
      </c>
      <c r="V10" s="194">
        <f>SUMIFS(DISTR_FIN_0[%DISTR],DISTR_FIN_0[SS],Tb_DISTR.FIN[[#This Row],[Nº  SS]],DISTR_FIN_0[MÊS],'DISTR-FIN'!V$2)</f>
        <v>0</v>
      </c>
      <c r="W10" s="194">
        <f>SUMIFS(DISTR_FIN_0[%DISTR],DISTR_FIN_0[SS],Tb_DISTR.FIN[[#This Row],[Nº  SS]],DISTR_FIN_0[MÊS],'DISTR-FIN'!W$2)</f>
        <v>0</v>
      </c>
      <c r="X10" s="150"/>
      <c r="Y10" s="146">
        <f>SUM(Tb_DISTR.FIN[[#This Row],[PLAN]:[ENTR.]])</f>
        <v>0</v>
      </c>
      <c r="Z10" s="185" t="s">
        <v>148</v>
      </c>
      <c r="AA10" s="186" t="s">
        <v>149</v>
      </c>
      <c r="AB10" s="186" t="s">
        <v>149</v>
      </c>
      <c r="AC10" s="187" t="s">
        <v>150</v>
      </c>
      <c r="AD10" s="187" t="s">
        <v>150</v>
      </c>
      <c r="AE10" s="187" t="s">
        <v>150</v>
      </c>
      <c r="AF10" s="194"/>
      <c r="AG10" s="194"/>
      <c r="AH10" s="194"/>
      <c r="AI10" s="194"/>
      <c r="AJ10" s="194"/>
      <c r="AK10" s="194"/>
      <c r="AL10" s="194"/>
      <c r="AM10" s="213" t="s">
        <v>151</v>
      </c>
    </row>
    <row r="11" spans="1:39" x14ac:dyDescent="0.3">
      <c r="A11" t="s">
        <v>55</v>
      </c>
      <c r="B11" t="str">
        <f>_xlfn.XLOOKUP(Tb_DISTR.FIN[[#This Row],[Nº  SS]],tb_Distr[SS],tb_Distr[DESCRIÇÃO],"",0,1)</f>
        <v>GALPÃO UPCGN-1</v>
      </c>
      <c r="C11" t="str">
        <f>_xlfn.XLOOKUP(Tb_DISTR.FIN[[#This Row],[Nº  SS]],TB_CR.ACOMP[Nº  SS],TB_CR.ACOMP[TOMADOR],"",0,1)</f>
        <v>UTGC</v>
      </c>
      <c r="D11" s="228">
        <f>_xlfn.XLOOKUP(Tb_DISTR.FIN[[#This Row],[Nº  SS]],Tb_ValorSS[Nº  SS],Tb_ValorSS[R$ APROVADO],"",0,1)</f>
        <v>718931.28384000005</v>
      </c>
      <c r="E11" s="102">
        <f>SUM(Tb_DISTR.FIN[[#This Row],[SET.25]:[DEZ.26]])</f>
        <v>1</v>
      </c>
      <c r="F11" s="98">
        <f>SUMIFS(DISTR_FIN_0[%DISTR],DISTR_FIN_0[SS],Tb_DISTR.FIN[[#This Row],[Nº  SS]],DISTR_FIN_0[MÊS],'DISTR-FIN'!F$2)</f>
        <v>0.10754250835634356</v>
      </c>
      <c r="G11" s="98">
        <f>SUMIFS(DISTR_FIN_0[%DISTR],DISTR_FIN_0[SS],Tb_DISTR.FIN[[#This Row],[Nº  SS]],DISTR_FIN_0[MÊS],'DISTR-FIN'!G$2)</f>
        <v>0.5</v>
      </c>
      <c r="H11" s="98">
        <f>SUMIFS(DISTR_FIN_0[%DISTR],DISTR_FIN_0[SS],Tb_DISTR.FIN[[#This Row],[Nº  SS]],DISTR_FIN_0[MÊS],'DISTR-FIN'!H$2)</f>
        <v>0.39245749164365645</v>
      </c>
      <c r="I11" s="98">
        <f>SUMIFS(DISTR_FIN_0[%DISTR],DISTR_FIN_0[SS],Tb_DISTR.FIN[[#This Row],[Nº  SS]],DISTR_FIN_0[MÊS],'DISTR-FIN'!I$2)</f>
        <v>0</v>
      </c>
      <c r="J11" s="98">
        <f>SUMIFS(DISTR_FIN_0[%DISTR],DISTR_FIN_0[SS],Tb_DISTR.FIN[[#This Row],[Nº  SS]],DISTR_FIN_0[MÊS],'DISTR-FIN'!J$2)</f>
        <v>0</v>
      </c>
      <c r="K11" s="98">
        <f>SUMIFS(DISTR_FIN_0[%DISTR],DISTR_FIN_0[SS],Tb_DISTR.FIN[[#This Row],[Nº  SS]],DISTR_FIN_0[MÊS],'DISTR-FIN'!K$2)</f>
        <v>0</v>
      </c>
      <c r="L11" s="98">
        <f>SUMIFS(DISTR_FIN_0[%DISTR],DISTR_FIN_0[SS],Tb_DISTR.FIN[[#This Row],[Nº  SS]],DISTR_FIN_0[MÊS],'DISTR-FIN'!L$2)</f>
        <v>0</v>
      </c>
      <c r="M11" s="98">
        <f>SUMIFS(DISTR_FIN_0[%DISTR],DISTR_FIN_0[SS],Tb_DISTR.FIN[[#This Row],[Nº  SS]],DISTR_FIN_0[MÊS],'DISTR-FIN'!M$2)</f>
        <v>0</v>
      </c>
      <c r="N11" s="98">
        <f>SUMIFS(DISTR_FIN_0[%DISTR],DISTR_FIN_0[SS],Tb_DISTR.FIN[[#This Row],[Nº  SS]],DISTR_FIN_0[MÊS],'DISTR-FIN'!N$2)</f>
        <v>0</v>
      </c>
      <c r="O11" s="98">
        <f>SUMIFS(DISTR_FIN_0[%DISTR],DISTR_FIN_0[SS],Tb_DISTR.FIN[[#This Row],[Nº  SS]],DISTR_FIN_0[MÊS],'DISTR-FIN'!O$2)</f>
        <v>0</v>
      </c>
      <c r="P11" s="98">
        <f>SUMIFS(DISTR_FIN_0[%DISTR],DISTR_FIN_0[SS],Tb_DISTR.FIN[[#This Row],[Nº  SS]],DISTR_FIN_0[MÊS],'DISTR-FIN'!P$2)</f>
        <v>0</v>
      </c>
      <c r="Q11" s="98">
        <f>SUMIFS(DISTR_FIN_0[%DISTR],DISTR_FIN_0[SS],Tb_DISTR.FIN[[#This Row],[Nº  SS]],DISTR_FIN_0[MÊS],'DISTR-FIN'!Q$2)</f>
        <v>0</v>
      </c>
      <c r="R11" s="98">
        <f>SUMIFS(DISTR_FIN_0[%DISTR],DISTR_FIN_0[SS],Tb_DISTR.FIN[[#This Row],[Nº  SS]],DISTR_FIN_0[MÊS],'DISTR-FIN'!R$2)</f>
        <v>0</v>
      </c>
      <c r="S11" s="98">
        <f>SUMIFS(DISTR_FIN_0[%DISTR],DISTR_FIN_0[SS],Tb_DISTR.FIN[[#This Row],[Nº  SS]],DISTR_FIN_0[MÊS],'DISTR-FIN'!S$2)</f>
        <v>0</v>
      </c>
      <c r="T11" s="98">
        <f>SUMIFS(DISTR_FIN_0[%DISTR],DISTR_FIN_0[SS],Tb_DISTR.FIN[[#This Row],[Nº  SS]],DISTR_FIN_0[MÊS],'DISTR-FIN'!T$2)</f>
        <v>0</v>
      </c>
      <c r="U11" s="98">
        <f>SUMIFS(DISTR_FIN_0[%DISTR],DISTR_FIN_0[SS],Tb_DISTR.FIN[[#This Row],[Nº  SS]],DISTR_FIN_0[MÊS],'DISTR-FIN'!U$2)</f>
        <v>0</v>
      </c>
      <c r="V11" s="194">
        <f>SUMIFS(DISTR_FIN_0[%DISTR],DISTR_FIN_0[SS],Tb_DISTR.FIN[[#This Row],[Nº  SS]],DISTR_FIN_0[MÊS],'DISTR-FIN'!V$2)</f>
        <v>0</v>
      </c>
      <c r="W11" s="194">
        <f>SUMIFS(DISTR_FIN_0[%DISTR],DISTR_FIN_0[SS],Tb_DISTR.FIN[[#This Row],[Nº  SS]],DISTR_FIN_0[MÊS],'DISTR-FIN'!W$2)</f>
        <v>0</v>
      </c>
      <c r="X11" s="150"/>
      <c r="Y11" s="146">
        <f>SUM(Tb_DISTR.FIN[[#This Row],[PLAN]:[ENTR.]])</f>
        <v>0</v>
      </c>
      <c r="Z11" s="196" t="s">
        <v>147</v>
      </c>
      <c r="AA11" s="185" t="s">
        <v>148</v>
      </c>
      <c r="AB11" s="185" t="s">
        <v>148</v>
      </c>
      <c r="AC11" s="186" t="s">
        <v>149</v>
      </c>
      <c r="AD11" s="194"/>
      <c r="AE11" s="194"/>
      <c r="AF11" s="194"/>
      <c r="AG11" s="194"/>
      <c r="AH11" s="194"/>
      <c r="AI11" s="194"/>
      <c r="AJ11" s="194"/>
      <c r="AK11" s="194"/>
      <c r="AL11" s="194"/>
      <c r="AM11" s="186" t="s">
        <v>149</v>
      </c>
    </row>
    <row r="12" spans="1:39" x14ac:dyDescent="0.3">
      <c r="A12" t="s">
        <v>56</v>
      </c>
      <c r="B12" t="str">
        <f>_xlfn.XLOOKUP(Tb_DISTR.FIN[[#This Row],[Nº  SS]],tb_Distr[SS],tb_Distr[DESCRIÇÃO],"",0,1)</f>
        <v>GALPÃO ESTOQUE</v>
      </c>
      <c r="C12" t="str">
        <f>_xlfn.XLOOKUP(Tb_DISTR.FIN[[#This Row],[Nº  SS]],TB_CR.ACOMP[Nº  SS],TB_CR.ACOMP[TOMADOR],"",0,1)</f>
        <v>UTGC</v>
      </c>
      <c r="D12" s="255">
        <f>_xlfn.XLOOKUP(Tb_DISTR.FIN[[#This Row],[Nº  SS]],Tb_ValorSS[Nº  SS],Tb_ValorSS[R$ APROVADO],"",0,1)</f>
        <v>1144868.57748</v>
      </c>
      <c r="E12" s="101">
        <f>SUM(Tb_DISTR.FIN[[#This Row],[SET.25]:[DEZ.26]])</f>
        <v>1</v>
      </c>
      <c r="F12" s="98">
        <f>SUMIFS(DISTR_FIN_0[%DISTR],DISTR_FIN_0[SS],Tb_DISTR.FIN[[#This Row],[Nº  SS]],DISTR_FIN_0[MÊS],'DISTR-FIN'!F$2)</f>
        <v>0</v>
      </c>
      <c r="G12" s="98">
        <f>SUMIFS(DISTR_FIN_0[%DISTR],DISTR_FIN_0[SS],Tb_DISTR.FIN[[#This Row],[Nº  SS]],DISTR_FIN_0[MÊS],'DISTR-FIN'!G$2)</f>
        <v>0.1</v>
      </c>
      <c r="H12" s="98">
        <f>SUMIFS(DISTR_FIN_0[%DISTR],DISTR_FIN_0[SS],Tb_DISTR.FIN[[#This Row],[Nº  SS]],DISTR_FIN_0[MÊS],'DISTR-FIN'!H$2)</f>
        <v>0.2</v>
      </c>
      <c r="I12" s="98">
        <f>SUMIFS(DISTR_FIN_0[%DISTR],DISTR_FIN_0[SS],Tb_DISTR.FIN[[#This Row],[Nº  SS]],DISTR_FIN_0[MÊS],'DISTR-FIN'!I$2)</f>
        <v>0</v>
      </c>
      <c r="J12" s="98">
        <f>SUMIFS(DISTR_FIN_0[%DISTR],DISTR_FIN_0[SS],Tb_DISTR.FIN[[#This Row],[Nº  SS]],DISTR_FIN_0[MÊS],'DISTR-FIN'!J$2)</f>
        <v>0.1</v>
      </c>
      <c r="K12" s="98">
        <f>SUMIFS(DISTR_FIN_0[%DISTR],DISTR_FIN_0[SS],Tb_DISTR.FIN[[#This Row],[Nº  SS]],DISTR_FIN_0[MÊS],'DISTR-FIN'!K$2)</f>
        <v>0</v>
      </c>
      <c r="L12" s="98">
        <f>SUMIFS(DISTR_FIN_0[%DISTR],DISTR_FIN_0[SS],Tb_DISTR.FIN[[#This Row],[Nº  SS]],DISTR_FIN_0[MÊS],'DISTR-FIN'!L$2)</f>
        <v>0.4</v>
      </c>
      <c r="M12" s="98">
        <f>SUMIFS(DISTR_FIN_0[%DISTR],DISTR_FIN_0[SS],Tb_DISTR.FIN[[#This Row],[Nº  SS]],DISTR_FIN_0[MÊS],'DISTR-FIN'!M$2)</f>
        <v>0.2</v>
      </c>
      <c r="N12" s="98">
        <f>SUMIFS(DISTR_FIN_0[%DISTR],DISTR_FIN_0[SS],Tb_DISTR.FIN[[#This Row],[Nº  SS]],DISTR_FIN_0[MÊS],'DISTR-FIN'!N$2)</f>
        <v>0</v>
      </c>
      <c r="O12" s="98">
        <f>SUMIFS(DISTR_FIN_0[%DISTR],DISTR_FIN_0[SS],Tb_DISTR.FIN[[#This Row],[Nº  SS]],DISTR_FIN_0[MÊS],'DISTR-FIN'!O$2)</f>
        <v>0</v>
      </c>
      <c r="P12" s="98">
        <f>SUMIFS(DISTR_FIN_0[%DISTR],DISTR_FIN_0[SS],Tb_DISTR.FIN[[#This Row],[Nº  SS]],DISTR_FIN_0[MÊS],'DISTR-FIN'!P$2)</f>
        <v>0</v>
      </c>
      <c r="Q12" s="98">
        <f>SUMIFS(DISTR_FIN_0[%DISTR],DISTR_FIN_0[SS],Tb_DISTR.FIN[[#This Row],[Nº  SS]],DISTR_FIN_0[MÊS],'DISTR-FIN'!Q$2)</f>
        <v>0</v>
      </c>
      <c r="R12" s="98">
        <f>SUMIFS(DISTR_FIN_0[%DISTR],DISTR_FIN_0[SS],Tb_DISTR.FIN[[#This Row],[Nº  SS]],DISTR_FIN_0[MÊS],'DISTR-FIN'!R$2)</f>
        <v>0</v>
      </c>
      <c r="S12" s="98">
        <f>SUMIFS(DISTR_FIN_0[%DISTR],DISTR_FIN_0[SS],Tb_DISTR.FIN[[#This Row],[Nº  SS]],DISTR_FIN_0[MÊS],'DISTR-FIN'!S$2)</f>
        <v>0</v>
      </c>
      <c r="T12" s="98">
        <f>SUMIFS(DISTR_FIN_0[%DISTR],DISTR_FIN_0[SS],Tb_DISTR.FIN[[#This Row],[Nº  SS]],DISTR_FIN_0[MÊS],'DISTR-FIN'!T$2)</f>
        <v>0</v>
      </c>
      <c r="U12" s="98">
        <f>SUMIFS(DISTR_FIN_0[%DISTR],DISTR_FIN_0[SS],Tb_DISTR.FIN[[#This Row],[Nº  SS]],DISTR_FIN_0[MÊS],'DISTR-FIN'!U$2)</f>
        <v>0</v>
      </c>
      <c r="V12" s="194">
        <f>SUMIFS(DISTR_FIN_0[%DISTR],DISTR_FIN_0[SS],Tb_DISTR.FIN[[#This Row],[Nº  SS]],DISTR_FIN_0[MÊS],'DISTR-FIN'!V$2)</f>
        <v>0</v>
      </c>
      <c r="W12" s="194">
        <f>SUMIFS(DISTR_FIN_0[%DISTR],DISTR_FIN_0[SS],Tb_DISTR.FIN[[#This Row],[Nº  SS]],DISTR_FIN_0[MÊS],'DISTR-FIN'!W$2)</f>
        <v>0</v>
      </c>
      <c r="X12" s="150"/>
      <c r="Y12" s="146">
        <f>SUM(Tb_DISTR.FIN[[#This Row],[PLAN]:[ENTR.]])</f>
        <v>0</v>
      </c>
      <c r="Z12" s="185" t="s">
        <v>148</v>
      </c>
      <c r="AA12" s="186" t="s">
        <v>149</v>
      </c>
      <c r="AB12" s="188" t="s">
        <v>151</v>
      </c>
      <c r="AC12" s="190" t="s">
        <v>153</v>
      </c>
      <c r="AD12" s="191" t="s">
        <v>154</v>
      </c>
      <c r="AE12" s="194"/>
      <c r="AF12" s="194"/>
      <c r="AG12" s="194"/>
      <c r="AH12" s="194"/>
      <c r="AI12" s="194"/>
      <c r="AJ12" s="194"/>
      <c r="AK12" s="194"/>
      <c r="AL12" s="194"/>
      <c r="AM12" s="191" t="s">
        <v>154</v>
      </c>
    </row>
    <row r="13" spans="1:39" x14ac:dyDescent="0.3">
      <c r="A13" s="123" t="s">
        <v>57</v>
      </c>
      <c r="B13" s="123" t="str">
        <f>_xlfn.XLOOKUP(Tb_DISTR.FIN[[#This Row],[Nº  SS]],tb_Distr[SS],tb_Distr[DESCRIÇÃO],"",0,1)</f>
        <v>SANITÁRIOS</v>
      </c>
      <c r="C13" s="123" t="str">
        <f>_xlfn.XLOOKUP(Tb_DISTR.FIN[[#This Row],[Nº  SS]],TB_CR.ACOMP[Nº  SS],TB_CR.ACOMP[TOMADOR],"",0,1)</f>
        <v>EDIVIT</v>
      </c>
      <c r="D13" s="230">
        <f>_xlfn.XLOOKUP(Tb_DISTR.FIN[[#This Row],[Nº  SS]],Tb_ValorSS[Nº  SS],Tb_ValorSS[R$ APROVADO],"",0,1)</f>
        <v>0</v>
      </c>
      <c r="E13" s="136">
        <f>SUM(Tb_DISTR.FIN[[#This Row],[SET.25]:[DEZ.26]])</f>
        <v>0</v>
      </c>
      <c r="F13" s="201">
        <f>SUMIFS(DISTR_FIN_0[%DISTR],DISTR_FIN_0[SS],Tb_DISTR.FIN[[#This Row],[Nº  SS]],DISTR_FIN_0[MÊS],'DISTR-FIN'!F$2)</f>
        <v>0</v>
      </c>
      <c r="G13" s="201">
        <f>SUMIFS(DISTR_FIN_0[%DISTR],DISTR_FIN_0[SS],Tb_DISTR.FIN[[#This Row],[Nº  SS]],DISTR_FIN_0[MÊS],'DISTR-FIN'!G$2)</f>
        <v>0</v>
      </c>
      <c r="H13" s="201">
        <f>SUMIFS(DISTR_FIN_0[%DISTR],DISTR_FIN_0[SS],Tb_DISTR.FIN[[#This Row],[Nº  SS]],DISTR_FIN_0[MÊS],'DISTR-FIN'!H$2)</f>
        <v>0</v>
      </c>
      <c r="I13" s="201">
        <f>SUMIFS(DISTR_FIN_0[%DISTR],DISTR_FIN_0[SS],Tb_DISTR.FIN[[#This Row],[Nº  SS]],DISTR_FIN_0[MÊS],'DISTR-FIN'!I$2)</f>
        <v>0</v>
      </c>
      <c r="J13" s="201">
        <f>SUMIFS(DISTR_FIN_0[%DISTR],DISTR_FIN_0[SS],Tb_DISTR.FIN[[#This Row],[Nº  SS]],DISTR_FIN_0[MÊS],'DISTR-FIN'!J$2)</f>
        <v>0</v>
      </c>
      <c r="K13" s="201">
        <f>SUMIFS(DISTR_FIN_0[%DISTR],DISTR_FIN_0[SS],Tb_DISTR.FIN[[#This Row],[Nº  SS]],DISTR_FIN_0[MÊS],'DISTR-FIN'!K$2)</f>
        <v>0</v>
      </c>
      <c r="L13" s="201">
        <f>SUMIFS(DISTR_FIN_0[%DISTR],DISTR_FIN_0[SS],Tb_DISTR.FIN[[#This Row],[Nº  SS]],DISTR_FIN_0[MÊS],'DISTR-FIN'!L$2)</f>
        <v>0</v>
      </c>
      <c r="M13" s="201">
        <f>SUMIFS(DISTR_FIN_0[%DISTR],DISTR_FIN_0[SS],Tb_DISTR.FIN[[#This Row],[Nº  SS]],DISTR_FIN_0[MÊS],'DISTR-FIN'!M$2)</f>
        <v>0</v>
      </c>
      <c r="N13" s="201">
        <f>SUMIFS(DISTR_FIN_0[%DISTR],DISTR_FIN_0[SS],Tb_DISTR.FIN[[#This Row],[Nº  SS]],DISTR_FIN_0[MÊS],'DISTR-FIN'!N$2)</f>
        <v>0</v>
      </c>
      <c r="O13" s="201">
        <f>SUMIFS(DISTR_FIN_0[%DISTR],DISTR_FIN_0[SS],Tb_DISTR.FIN[[#This Row],[Nº  SS]],DISTR_FIN_0[MÊS],'DISTR-FIN'!O$2)</f>
        <v>0</v>
      </c>
      <c r="P13" s="201">
        <f>SUMIFS(DISTR_FIN_0[%DISTR],DISTR_FIN_0[SS],Tb_DISTR.FIN[[#This Row],[Nº  SS]],DISTR_FIN_0[MÊS],'DISTR-FIN'!P$2)</f>
        <v>0</v>
      </c>
      <c r="Q13" s="201">
        <f>SUMIFS(DISTR_FIN_0[%DISTR],DISTR_FIN_0[SS],Tb_DISTR.FIN[[#This Row],[Nº  SS]],DISTR_FIN_0[MÊS],'DISTR-FIN'!Q$2)</f>
        <v>0</v>
      </c>
      <c r="R13" s="201">
        <f>SUMIFS(DISTR_FIN_0[%DISTR],DISTR_FIN_0[SS],Tb_DISTR.FIN[[#This Row],[Nº  SS]],DISTR_FIN_0[MÊS],'DISTR-FIN'!R$2)</f>
        <v>0</v>
      </c>
      <c r="S13" s="201">
        <f>SUMIFS(DISTR_FIN_0[%DISTR],DISTR_FIN_0[SS],Tb_DISTR.FIN[[#This Row],[Nº  SS]],DISTR_FIN_0[MÊS],'DISTR-FIN'!S$2)</f>
        <v>0</v>
      </c>
      <c r="T13" s="201">
        <f>SUMIFS(DISTR_FIN_0[%DISTR],DISTR_FIN_0[SS],Tb_DISTR.FIN[[#This Row],[Nº  SS]],DISTR_FIN_0[MÊS],'DISTR-FIN'!T$2)</f>
        <v>0</v>
      </c>
      <c r="U13" s="201">
        <f>SUMIFS(DISTR_FIN_0[%DISTR],DISTR_FIN_0[SS],Tb_DISTR.FIN[[#This Row],[Nº  SS]],DISTR_FIN_0[MÊS],'DISTR-FIN'!U$2)</f>
        <v>0</v>
      </c>
      <c r="V13" s="349">
        <f>SUMIFS(DISTR_FIN_0[%DISTR],DISTR_FIN_0[SS],Tb_DISTR.FIN[[#This Row],[Nº  SS]],DISTR_FIN_0[MÊS],'DISTR-FIN'!V$2)</f>
        <v>0</v>
      </c>
      <c r="W13" s="349">
        <f>SUMIFS(DISTR_FIN_0[%DISTR],DISTR_FIN_0[SS],Tb_DISTR.FIN[[#This Row],[Nº  SS]],DISTR_FIN_0[MÊS],'DISTR-FIN'!W$2)</f>
        <v>0</v>
      </c>
      <c r="X13" s="150"/>
      <c r="Y13" s="147">
        <f>SUM(Tb_DISTR.FIN[[#This Row],[PLAN]:[ENTR.]])</f>
        <v>0</v>
      </c>
      <c r="Z13" s="197"/>
      <c r="AA13" s="197"/>
      <c r="AB13" s="197"/>
      <c r="AC13" s="197"/>
      <c r="AD13" s="197"/>
      <c r="AE13" s="197"/>
      <c r="AF13" s="197"/>
      <c r="AG13" s="197"/>
      <c r="AH13" s="197"/>
      <c r="AI13" s="197"/>
      <c r="AJ13" s="197"/>
      <c r="AK13" s="197"/>
      <c r="AL13" s="197"/>
      <c r="AM13" s="197"/>
    </row>
    <row r="14" spans="1:39" x14ac:dyDescent="0.3">
      <c r="A14" t="s">
        <v>58</v>
      </c>
      <c r="B14" t="str">
        <f>_xlfn.XLOOKUP(Tb_DISTR.FIN[[#This Row],[Nº  SS]],tb_Distr[SS],tb_Distr[DESCRIÇÃO],"",0,1)</f>
        <v>TORRE RESFR</v>
      </c>
      <c r="C14" t="str">
        <f>_xlfn.XLOOKUP(Tb_DISTR.FIN[[#This Row],[Nº  SS]],TB_CR.ACOMP[Nº  SS],TB_CR.ACOMP[TOMADOR],"",0,1)</f>
        <v>EDIVIT</v>
      </c>
      <c r="D14" s="228">
        <f>_xlfn.XLOOKUP(Tb_DISTR.FIN[[#This Row],[Nº  SS]],Tb_ValorSS[Nº  SS],Tb_ValorSS[R$ APROVADO],"",0,1)</f>
        <v>1662818.2901999999</v>
      </c>
      <c r="E14" s="101">
        <f>SUM(Tb_DISTR.FIN[[#This Row],[SET.25]:[DEZ.26]])</f>
        <v>1</v>
      </c>
      <c r="F14" s="98">
        <f>SUMIFS(DISTR_FIN_0[%DISTR],DISTR_FIN_0[SS],Tb_DISTR.FIN[[#This Row],[Nº  SS]],DISTR_FIN_0[MÊS],'DISTR-FIN'!F$2)</f>
        <v>0</v>
      </c>
      <c r="G14" s="98">
        <f>SUMIFS(DISTR_FIN_0[%DISTR],DISTR_FIN_0[SS],Tb_DISTR.FIN[[#This Row],[Nº  SS]],DISTR_FIN_0[MÊS],'DISTR-FIN'!G$2)</f>
        <v>0.1</v>
      </c>
      <c r="H14" s="98">
        <f>SUMIFS(DISTR_FIN_0[%DISTR],DISTR_FIN_0[SS],Tb_DISTR.FIN[[#This Row],[Nº  SS]],DISTR_FIN_0[MÊS],'DISTR-FIN'!H$2)</f>
        <v>0.2</v>
      </c>
      <c r="I14" s="98">
        <f>SUMIFS(DISTR_FIN_0[%DISTR],DISTR_FIN_0[SS],Tb_DISTR.FIN[[#This Row],[Nº  SS]],DISTR_FIN_0[MÊS],'DISTR-FIN'!I$2)</f>
        <v>0.27</v>
      </c>
      <c r="J14" s="98">
        <f>SUMIFS(DISTR_FIN_0[%DISTR],DISTR_FIN_0[SS],Tb_DISTR.FIN[[#This Row],[Nº  SS]],DISTR_FIN_0[MÊS],'DISTR-FIN'!J$2)</f>
        <v>0.08</v>
      </c>
      <c r="K14" s="98">
        <f>SUMIFS(DISTR_FIN_0[%DISTR],DISTR_FIN_0[SS],Tb_DISTR.FIN[[#This Row],[Nº  SS]],DISTR_FIN_0[MÊS],'DISTR-FIN'!K$2)</f>
        <v>7.0000000000000007E-2</v>
      </c>
      <c r="L14" s="98">
        <f>SUMIFS(DISTR_FIN_0[%DISTR],DISTR_FIN_0[SS],Tb_DISTR.FIN[[#This Row],[Nº  SS]],DISTR_FIN_0[MÊS],'DISTR-FIN'!L$2)</f>
        <v>0</v>
      </c>
      <c r="M14" s="98">
        <f>SUMIFS(DISTR_FIN_0[%DISTR],DISTR_FIN_0[SS],Tb_DISTR.FIN[[#This Row],[Nº  SS]],DISTR_FIN_0[MÊS],'DISTR-FIN'!M$2)</f>
        <v>0.14000000000000001</v>
      </c>
      <c r="N14" s="98">
        <f>SUMIFS(DISTR_FIN_0[%DISTR],DISTR_FIN_0[SS],Tb_DISTR.FIN[[#This Row],[Nº  SS]],DISTR_FIN_0[MÊS],'DISTR-FIN'!N$2)</f>
        <v>0.14000000000000001</v>
      </c>
      <c r="O14" s="98">
        <f>SUMIFS(DISTR_FIN_0[%DISTR],DISTR_FIN_0[SS],Tb_DISTR.FIN[[#This Row],[Nº  SS]],DISTR_FIN_0[MÊS],'DISTR-FIN'!O$2)</f>
        <v>0</v>
      </c>
      <c r="P14" s="98">
        <f>SUMIFS(DISTR_FIN_0[%DISTR],DISTR_FIN_0[SS],Tb_DISTR.FIN[[#This Row],[Nº  SS]],DISTR_FIN_0[MÊS],'DISTR-FIN'!P$2)</f>
        <v>0</v>
      </c>
      <c r="Q14" s="98">
        <f>SUMIFS(DISTR_FIN_0[%DISTR],DISTR_FIN_0[SS],Tb_DISTR.FIN[[#This Row],[Nº  SS]],DISTR_FIN_0[MÊS],'DISTR-FIN'!Q$2)</f>
        <v>0</v>
      </c>
      <c r="R14" s="98">
        <f>SUMIFS(DISTR_FIN_0[%DISTR],DISTR_FIN_0[SS],Tb_DISTR.FIN[[#This Row],[Nº  SS]],DISTR_FIN_0[MÊS],'DISTR-FIN'!R$2)</f>
        <v>0</v>
      </c>
      <c r="S14" s="98">
        <f>SUMIFS(DISTR_FIN_0[%DISTR],DISTR_FIN_0[SS],Tb_DISTR.FIN[[#This Row],[Nº  SS]],DISTR_FIN_0[MÊS],'DISTR-FIN'!S$2)</f>
        <v>0</v>
      </c>
      <c r="T14" s="98">
        <f>SUMIFS(DISTR_FIN_0[%DISTR],DISTR_FIN_0[SS],Tb_DISTR.FIN[[#This Row],[Nº  SS]],DISTR_FIN_0[MÊS],'DISTR-FIN'!T$2)</f>
        <v>0</v>
      </c>
      <c r="U14" s="98">
        <f>SUMIFS(DISTR_FIN_0[%DISTR],DISTR_FIN_0[SS],Tb_DISTR.FIN[[#This Row],[Nº  SS]],DISTR_FIN_0[MÊS],'DISTR-FIN'!U$2)</f>
        <v>0</v>
      </c>
      <c r="V14" s="194">
        <f>SUMIFS(DISTR_FIN_0[%DISTR],DISTR_FIN_0[SS],Tb_DISTR.FIN[[#This Row],[Nº  SS]],DISTR_FIN_0[MÊS],'DISTR-FIN'!V$2)</f>
        <v>0</v>
      </c>
      <c r="W14" s="194">
        <f>SUMIFS(DISTR_FIN_0[%DISTR],DISTR_FIN_0[SS],Tb_DISTR.FIN[[#This Row],[Nº  SS]],DISTR_FIN_0[MÊS],'DISTR-FIN'!W$2)</f>
        <v>0</v>
      </c>
      <c r="X14" s="150"/>
      <c r="Y14" s="146">
        <f>SUM(Tb_DISTR.FIN[[#This Row],[PLAN]:[ENTR.]])</f>
        <v>0</v>
      </c>
      <c r="Z14" s="185" t="s">
        <v>148</v>
      </c>
      <c r="AA14" s="186" t="s">
        <v>149</v>
      </c>
      <c r="AB14" s="187" t="s">
        <v>150</v>
      </c>
      <c r="AC14" s="187" t="s">
        <v>150</v>
      </c>
      <c r="AD14" s="187" t="s">
        <v>150</v>
      </c>
      <c r="AE14" s="187" t="s">
        <v>150</v>
      </c>
      <c r="AF14" s="213" t="s">
        <v>151</v>
      </c>
      <c r="AG14" s="214" t="s">
        <v>152</v>
      </c>
      <c r="AH14" s="216" t="s">
        <v>154</v>
      </c>
      <c r="AI14" s="216" t="s">
        <v>154</v>
      </c>
      <c r="AJ14" s="217" t="s">
        <v>155</v>
      </c>
      <c r="AK14" s="194"/>
      <c r="AL14" s="194"/>
      <c r="AM14" s="217" t="s">
        <v>155</v>
      </c>
    </row>
    <row r="15" spans="1:39" x14ac:dyDescent="0.3">
      <c r="A15" t="s">
        <v>59</v>
      </c>
      <c r="B15" t="str">
        <f>_xlfn.XLOOKUP(Tb_DISTR.FIN[[#This Row],[Nº  SS]],tb_Distr[SS],tb_Distr[DESCRIÇÃO],"",0,1)</f>
        <v>ACÚSTICO</v>
      </c>
      <c r="C15" t="str">
        <f>_xlfn.XLOOKUP(Tb_DISTR.FIN[[#This Row],[Nº  SS]],TB_CR.ACOMP[Nº  SS],TB_CR.ACOMP[TOMADOR],"",0,1)</f>
        <v>EDIVIT</v>
      </c>
      <c r="D15" s="228">
        <f>_xlfn.XLOOKUP(Tb_DISTR.FIN[[#This Row],[Nº  SS]],Tb_ValorSS[Nº  SS],Tb_ValorSS[R$ APROVADO],"",0,1)</f>
        <v>228497.33</v>
      </c>
      <c r="E15" s="102">
        <f>SUM(Tb_DISTR.FIN[[#This Row],[SET.25]:[DEZ.26]])</f>
        <v>1</v>
      </c>
      <c r="F15" s="98">
        <f>SUMIFS(DISTR_FIN_0[%DISTR],DISTR_FIN_0[SS],Tb_DISTR.FIN[[#This Row],[Nº  SS]],DISTR_FIN_0[MÊS],'DISTR-FIN'!F$2)</f>
        <v>0</v>
      </c>
      <c r="G15" s="98">
        <f>SUMIFS(DISTR_FIN_0[%DISTR],DISTR_FIN_0[SS],Tb_DISTR.FIN[[#This Row],[Nº  SS]],DISTR_FIN_0[MÊS],'DISTR-FIN'!G$2)</f>
        <v>0.30000000000000004</v>
      </c>
      <c r="H15" s="98">
        <f>SUMIFS(DISTR_FIN_0[%DISTR],DISTR_FIN_0[SS],Tb_DISTR.FIN[[#This Row],[Nº  SS]],DISTR_FIN_0[MÊS],'DISTR-FIN'!H$2)</f>
        <v>0.2</v>
      </c>
      <c r="I15" s="98">
        <f>SUMIFS(DISTR_FIN_0[%DISTR],DISTR_FIN_0[SS],Tb_DISTR.FIN[[#This Row],[Nº  SS]],DISTR_FIN_0[MÊS],'DISTR-FIN'!I$2)</f>
        <v>0.15</v>
      </c>
      <c r="J15" s="98">
        <f>SUMIFS(DISTR_FIN_0[%DISTR],DISTR_FIN_0[SS],Tb_DISTR.FIN[[#This Row],[Nº  SS]],DISTR_FIN_0[MÊS],'DISTR-FIN'!J$2)</f>
        <v>0.35</v>
      </c>
      <c r="K15" s="98">
        <f>SUMIFS(DISTR_FIN_0[%DISTR],DISTR_FIN_0[SS],Tb_DISTR.FIN[[#This Row],[Nº  SS]],DISTR_FIN_0[MÊS],'DISTR-FIN'!K$2)</f>
        <v>0</v>
      </c>
      <c r="L15" s="98">
        <f>SUMIFS(DISTR_FIN_0[%DISTR],DISTR_FIN_0[SS],Tb_DISTR.FIN[[#This Row],[Nº  SS]],DISTR_FIN_0[MÊS],'DISTR-FIN'!L$2)</f>
        <v>0</v>
      </c>
      <c r="M15" s="98">
        <f>SUMIFS(DISTR_FIN_0[%DISTR],DISTR_FIN_0[SS],Tb_DISTR.FIN[[#This Row],[Nº  SS]],DISTR_FIN_0[MÊS],'DISTR-FIN'!M$2)</f>
        <v>0</v>
      </c>
      <c r="N15" s="98">
        <f>SUMIFS(DISTR_FIN_0[%DISTR],DISTR_FIN_0[SS],Tb_DISTR.FIN[[#This Row],[Nº  SS]],DISTR_FIN_0[MÊS],'DISTR-FIN'!N$2)</f>
        <v>0</v>
      </c>
      <c r="O15" s="98">
        <f>SUMIFS(DISTR_FIN_0[%DISTR],DISTR_FIN_0[SS],Tb_DISTR.FIN[[#This Row],[Nº  SS]],DISTR_FIN_0[MÊS],'DISTR-FIN'!O$2)</f>
        <v>0</v>
      </c>
      <c r="P15" s="98">
        <f>SUMIFS(DISTR_FIN_0[%DISTR],DISTR_FIN_0[SS],Tb_DISTR.FIN[[#This Row],[Nº  SS]],DISTR_FIN_0[MÊS],'DISTR-FIN'!P$2)</f>
        <v>0</v>
      </c>
      <c r="Q15" s="98">
        <f>SUMIFS(DISTR_FIN_0[%DISTR],DISTR_FIN_0[SS],Tb_DISTR.FIN[[#This Row],[Nº  SS]],DISTR_FIN_0[MÊS],'DISTR-FIN'!Q$2)</f>
        <v>0</v>
      </c>
      <c r="R15" s="98">
        <f>SUMIFS(DISTR_FIN_0[%DISTR],DISTR_FIN_0[SS],Tb_DISTR.FIN[[#This Row],[Nº  SS]],DISTR_FIN_0[MÊS],'DISTR-FIN'!R$2)</f>
        <v>0</v>
      </c>
      <c r="S15" s="98">
        <f>SUMIFS(DISTR_FIN_0[%DISTR],DISTR_FIN_0[SS],Tb_DISTR.FIN[[#This Row],[Nº  SS]],DISTR_FIN_0[MÊS],'DISTR-FIN'!S$2)</f>
        <v>0</v>
      </c>
      <c r="T15" s="98">
        <f>SUMIFS(DISTR_FIN_0[%DISTR],DISTR_FIN_0[SS],Tb_DISTR.FIN[[#This Row],[Nº  SS]],DISTR_FIN_0[MÊS],'DISTR-FIN'!T$2)</f>
        <v>0</v>
      </c>
      <c r="U15" s="98">
        <f>SUMIFS(DISTR_FIN_0[%DISTR],DISTR_FIN_0[SS],Tb_DISTR.FIN[[#This Row],[Nº  SS]],DISTR_FIN_0[MÊS],'DISTR-FIN'!U$2)</f>
        <v>0</v>
      </c>
      <c r="V15" s="194">
        <f>SUMIFS(DISTR_FIN_0[%DISTR],DISTR_FIN_0[SS],Tb_DISTR.FIN[[#This Row],[Nº  SS]],DISTR_FIN_0[MÊS],'DISTR-FIN'!V$2)</f>
        <v>0</v>
      </c>
      <c r="W15" s="194">
        <f>SUMIFS(DISTR_FIN_0[%DISTR],DISTR_FIN_0[SS],Tb_DISTR.FIN[[#This Row],[Nº  SS]],DISTR_FIN_0[MÊS],'DISTR-FIN'!W$2)</f>
        <v>0</v>
      </c>
      <c r="X15" s="150"/>
      <c r="Y15" s="146">
        <f>SUM(Tb_DISTR.FIN[[#This Row],[PLAN]:[ENTR.]])</f>
        <v>0</v>
      </c>
      <c r="Z15" s="185" t="s">
        <v>148</v>
      </c>
      <c r="AA15" s="185" t="s">
        <v>148</v>
      </c>
      <c r="AB15" s="186" t="s">
        <v>149</v>
      </c>
      <c r="AC15" s="213" t="s">
        <v>151</v>
      </c>
      <c r="AD15" s="187" t="s">
        <v>150</v>
      </c>
      <c r="AE15" s="194"/>
      <c r="AF15" s="194"/>
      <c r="AG15" s="194"/>
      <c r="AH15" s="194"/>
      <c r="AI15" s="194"/>
      <c r="AJ15" s="194"/>
      <c r="AK15" s="194"/>
      <c r="AL15" s="194"/>
      <c r="AM15" s="213" t="s">
        <v>151</v>
      </c>
    </row>
    <row r="16" spans="1:39" x14ac:dyDescent="0.3">
      <c r="A16" s="122" t="s">
        <v>60</v>
      </c>
      <c r="B16" s="122" t="str">
        <f>_xlfn.XLOOKUP(Tb_DISTR.FIN[[#This Row],[Nº  SS]],tb_Distr[SS],tb_Distr[DESCRIÇÃO],"",0,1)</f>
        <v>LUMINOSIDADE</v>
      </c>
      <c r="C16" s="122" t="str">
        <f>_xlfn.XLOOKUP(Tb_DISTR.FIN[[#This Row],[Nº  SS]],TB_CR.ACOMP[Nº  SS],TB_CR.ACOMP[TOMADOR],"",0,1)</f>
        <v>EDIVIT</v>
      </c>
      <c r="D16" s="229">
        <f>_xlfn.XLOOKUP(Tb_DISTR.FIN[[#This Row],[Nº  SS]],Tb_ValorSS[Nº  SS],Tb_ValorSS[R$ APROVADO],"",0,1)</f>
        <v>1233914.5200000003</v>
      </c>
      <c r="E16" s="101">
        <f>SUM(Tb_DISTR.FIN[[#This Row],[SET.25]:[DEZ.26]])</f>
        <v>1</v>
      </c>
      <c r="F16" s="98">
        <f>SUMIFS(DISTR_FIN_0[%DISTR],DISTR_FIN_0[SS],Tb_DISTR.FIN[[#This Row],[Nº  SS]],DISTR_FIN_0[MÊS],'DISTR-FIN'!F$2)</f>
        <v>0</v>
      </c>
      <c r="G16" s="98">
        <f>SUMIFS(DISTR_FIN_0[%DISTR],DISTR_FIN_0[SS],Tb_DISTR.FIN[[#This Row],[Nº  SS]],DISTR_FIN_0[MÊS],'DISTR-FIN'!G$2)</f>
        <v>0</v>
      </c>
      <c r="H16" s="98">
        <f>SUMIFS(DISTR_FIN_0[%DISTR],DISTR_FIN_0[SS],Tb_DISTR.FIN[[#This Row],[Nº  SS]],DISTR_FIN_0[MÊS],'DISTR-FIN'!H$2)</f>
        <v>0.30000000000000004</v>
      </c>
      <c r="I16" s="98">
        <f>SUMIFS(DISTR_FIN_0[%DISTR],DISTR_FIN_0[SS],Tb_DISTR.FIN[[#This Row],[Nº  SS]],DISTR_FIN_0[MÊS],'DISTR-FIN'!I$2)</f>
        <v>0.08</v>
      </c>
      <c r="J16" s="98">
        <f>SUMIFS(DISTR_FIN_0[%DISTR],DISTR_FIN_0[SS],Tb_DISTR.FIN[[#This Row],[Nº  SS]],DISTR_FIN_0[MÊS],'DISTR-FIN'!J$2)</f>
        <v>0.1</v>
      </c>
      <c r="K16" s="98">
        <f>SUMIFS(DISTR_FIN_0[%DISTR],DISTR_FIN_0[SS],Tb_DISTR.FIN[[#This Row],[Nº  SS]],DISTR_FIN_0[MÊS],'DISTR-FIN'!K$2)</f>
        <v>0.1</v>
      </c>
      <c r="L16" s="98">
        <f>SUMIFS(DISTR_FIN_0[%DISTR],DISTR_FIN_0[SS],Tb_DISTR.FIN[[#This Row],[Nº  SS]],DISTR_FIN_0[MÊS],'DISTR-FIN'!L$2)</f>
        <v>0.09</v>
      </c>
      <c r="M16" s="98">
        <f>SUMIFS(DISTR_FIN_0[%DISTR],DISTR_FIN_0[SS],Tb_DISTR.FIN[[#This Row],[Nº  SS]],DISTR_FIN_0[MÊS],'DISTR-FIN'!M$2)</f>
        <v>0.09</v>
      </c>
      <c r="N16" s="98">
        <f>SUMIFS(DISTR_FIN_0[%DISTR],DISTR_FIN_0[SS],Tb_DISTR.FIN[[#This Row],[Nº  SS]],DISTR_FIN_0[MÊS],'DISTR-FIN'!N$2)</f>
        <v>0.09</v>
      </c>
      <c r="O16" s="98">
        <f>SUMIFS(DISTR_FIN_0[%DISTR],DISTR_FIN_0[SS],Tb_DISTR.FIN[[#This Row],[Nº  SS]],DISTR_FIN_0[MÊS],'DISTR-FIN'!O$2)</f>
        <v>0.15000000000000002</v>
      </c>
      <c r="P16" s="98">
        <f>SUMIFS(DISTR_FIN_0[%DISTR],DISTR_FIN_0[SS],Tb_DISTR.FIN[[#This Row],[Nº  SS]],DISTR_FIN_0[MÊS],'DISTR-FIN'!P$2)</f>
        <v>0</v>
      </c>
      <c r="Q16" s="98">
        <f>SUMIFS(DISTR_FIN_0[%DISTR],DISTR_FIN_0[SS],Tb_DISTR.FIN[[#This Row],[Nº  SS]],DISTR_FIN_0[MÊS],'DISTR-FIN'!Q$2)</f>
        <v>0</v>
      </c>
      <c r="R16" s="98">
        <f>SUMIFS(DISTR_FIN_0[%DISTR],DISTR_FIN_0[SS],Tb_DISTR.FIN[[#This Row],[Nº  SS]],DISTR_FIN_0[MÊS],'DISTR-FIN'!R$2)</f>
        <v>0</v>
      </c>
      <c r="S16" s="98">
        <f>SUMIFS(DISTR_FIN_0[%DISTR],DISTR_FIN_0[SS],Tb_DISTR.FIN[[#This Row],[Nº  SS]],DISTR_FIN_0[MÊS],'DISTR-FIN'!S$2)</f>
        <v>0</v>
      </c>
      <c r="T16" s="98">
        <f>SUMIFS(DISTR_FIN_0[%DISTR],DISTR_FIN_0[SS],Tb_DISTR.FIN[[#This Row],[Nº  SS]],DISTR_FIN_0[MÊS],'DISTR-FIN'!T$2)</f>
        <v>0</v>
      </c>
      <c r="U16" s="98">
        <f>SUMIFS(DISTR_FIN_0[%DISTR],DISTR_FIN_0[SS],Tb_DISTR.FIN[[#This Row],[Nº  SS]],DISTR_FIN_0[MÊS],'DISTR-FIN'!U$2)</f>
        <v>0</v>
      </c>
      <c r="V16" s="194">
        <f>SUMIFS(DISTR_FIN_0[%DISTR],DISTR_FIN_0[SS],Tb_DISTR.FIN[[#This Row],[Nº  SS]],DISTR_FIN_0[MÊS],'DISTR-FIN'!V$2)</f>
        <v>0</v>
      </c>
      <c r="W16" s="194">
        <f>SUMIFS(DISTR_FIN_0[%DISTR],DISTR_FIN_0[SS],Tb_DISTR.FIN[[#This Row],[Nº  SS]],DISTR_FIN_0[MÊS],'DISTR-FIN'!W$2)</f>
        <v>0</v>
      </c>
      <c r="X16" s="150"/>
      <c r="Y16" s="154">
        <f>SUM(Tb_DISTR.FIN[[#This Row],[PLAN]:[ENTR.]])</f>
        <v>0</v>
      </c>
      <c r="Z16" s="186" t="s">
        <v>149</v>
      </c>
      <c r="AA16" s="186" t="s">
        <v>149</v>
      </c>
      <c r="AB16" s="187" t="s">
        <v>150</v>
      </c>
      <c r="AC16" s="188" t="s">
        <v>151</v>
      </c>
      <c r="AD16" s="189" t="s">
        <v>152</v>
      </c>
      <c r="AE16" s="190" t="s">
        <v>153</v>
      </c>
      <c r="AF16" s="191" t="s">
        <v>154</v>
      </c>
      <c r="AG16" s="192" t="s">
        <v>155</v>
      </c>
      <c r="AH16" s="193" t="s">
        <v>156</v>
      </c>
      <c r="AI16" s="198"/>
      <c r="AJ16" s="198"/>
      <c r="AK16" s="198"/>
      <c r="AL16" s="198"/>
      <c r="AM16" s="193" t="s">
        <v>156</v>
      </c>
    </row>
    <row r="17" spans="1:39" s="96" customFormat="1" x14ac:dyDescent="0.3">
      <c r="A17" s="122" t="s">
        <v>61</v>
      </c>
      <c r="B17" s="122" t="str">
        <f>_xlfn.XLOOKUP(Tb_DISTR.FIN[[#This Row],[Nº  SS]],tb_Distr[SS],tb_Distr[DESCRIÇÃO],"",0,1)</f>
        <v>SALA CISC</v>
      </c>
      <c r="C17" s="122" t="str">
        <f>_xlfn.XLOOKUP(Tb_DISTR.FIN[[#This Row],[Nº  SS]],TB_CR.ACOMP[Nº  SS],TB_CR.ACOMP[TOMADOR],"",0,1)</f>
        <v>UTGC</v>
      </c>
      <c r="D17" s="229">
        <f>_xlfn.XLOOKUP(Tb_DISTR.FIN[[#This Row],[Nº  SS]],Tb_ValorSS[Nº  SS],Tb_ValorSS[R$ APROVADO],"",0,1)</f>
        <v>196612.97435999999</v>
      </c>
      <c r="E17" s="102">
        <f>SUM(Tb_DISTR.FIN[[#This Row],[SET.25]:[DEZ.26]])</f>
        <v>1</v>
      </c>
      <c r="F17" s="98">
        <f>SUMIFS(DISTR_FIN_0[%DISTR],DISTR_FIN_0[SS],Tb_DISTR.FIN[[#This Row],[Nº  SS]],DISTR_FIN_0[MÊS],'DISTR-FIN'!F$2)</f>
        <v>0</v>
      </c>
      <c r="G17" s="98">
        <f>SUMIFS(DISTR_FIN_0[%DISTR],DISTR_FIN_0[SS],Tb_DISTR.FIN[[#This Row],[Nº  SS]],DISTR_FIN_0[MÊS],'DISTR-FIN'!G$2)</f>
        <v>0</v>
      </c>
      <c r="H17" s="98">
        <f>SUMIFS(DISTR_FIN_0[%DISTR],DISTR_FIN_0[SS],Tb_DISTR.FIN[[#This Row],[Nº  SS]],DISTR_FIN_0[MÊS],'DISTR-FIN'!H$2)</f>
        <v>0.30000000000000004</v>
      </c>
      <c r="I17" s="98">
        <f>SUMIFS(DISTR_FIN_0[%DISTR],DISTR_FIN_0[SS],Tb_DISTR.FIN[[#This Row],[Nº  SS]],DISTR_FIN_0[MÊS],'DISTR-FIN'!I$2)</f>
        <v>0</v>
      </c>
      <c r="J17" s="98">
        <f>SUMIFS(DISTR_FIN_0[%DISTR],DISTR_FIN_0[SS],Tb_DISTR.FIN[[#This Row],[Nº  SS]],DISTR_FIN_0[MÊS],'DISTR-FIN'!J$2)</f>
        <v>0</v>
      </c>
      <c r="K17" s="98">
        <f>SUMIFS(DISTR_FIN_0[%DISTR],DISTR_FIN_0[SS],Tb_DISTR.FIN[[#This Row],[Nº  SS]],DISTR_FIN_0[MÊS],'DISTR-FIN'!K$2)</f>
        <v>0.7</v>
      </c>
      <c r="L17" s="98">
        <f>SUMIFS(DISTR_FIN_0[%DISTR],DISTR_FIN_0[SS],Tb_DISTR.FIN[[#This Row],[Nº  SS]],DISTR_FIN_0[MÊS],'DISTR-FIN'!L$2)</f>
        <v>0</v>
      </c>
      <c r="M17" s="98">
        <f>SUMIFS(DISTR_FIN_0[%DISTR],DISTR_FIN_0[SS],Tb_DISTR.FIN[[#This Row],[Nº  SS]],DISTR_FIN_0[MÊS],'DISTR-FIN'!M$2)</f>
        <v>0</v>
      </c>
      <c r="N17" s="98">
        <f>SUMIFS(DISTR_FIN_0[%DISTR],DISTR_FIN_0[SS],Tb_DISTR.FIN[[#This Row],[Nº  SS]],DISTR_FIN_0[MÊS],'DISTR-FIN'!N$2)</f>
        <v>0</v>
      </c>
      <c r="O17" s="98">
        <f>SUMIFS(DISTR_FIN_0[%DISTR],DISTR_FIN_0[SS],Tb_DISTR.FIN[[#This Row],[Nº  SS]],DISTR_FIN_0[MÊS],'DISTR-FIN'!O$2)</f>
        <v>0</v>
      </c>
      <c r="P17" s="98">
        <f>SUMIFS(DISTR_FIN_0[%DISTR],DISTR_FIN_0[SS],Tb_DISTR.FIN[[#This Row],[Nº  SS]],DISTR_FIN_0[MÊS],'DISTR-FIN'!P$2)</f>
        <v>0</v>
      </c>
      <c r="Q17" s="98">
        <f>SUMIFS(DISTR_FIN_0[%DISTR],DISTR_FIN_0[SS],Tb_DISTR.FIN[[#This Row],[Nº  SS]],DISTR_FIN_0[MÊS],'DISTR-FIN'!Q$2)</f>
        <v>0</v>
      </c>
      <c r="R17" s="98">
        <f>SUMIFS(DISTR_FIN_0[%DISTR],DISTR_FIN_0[SS],Tb_DISTR.FIN[[#This Row],[Nº  SS]],DISTR_FIN_0[MÊS],'DISTR-FIN'!R$2)</f>
        <v>0</v>
      </c>
      <c r="S17" s="98">
        <f>SUMIFS(DISTR_FIN_0[%DISTR],DISTR_FIN_0[SS],Tb_DISTR.FIN[[#This Row],[Nº  SS]],DISTR_FIN_0[MÊS],'DISTR-FIN'!S$2)</f>
        <v>0</v>
      </c>
      <c r="T17" s="98">
        <f>SUMIFS(DISTR_FIN_0[%DISTR],DISTR_FIN_0[SS],Tb_DISTR.FIN[[#This Row],[Nº  SS]],DISTR_FIN_0[MÊS],'DISTR-FIN'!T$2)</f>
        <v>0</v>
      </c>
      <c r="U17" s="98">
        <f>SUMIFS(DISTR_FIN_0[%DISTR],DISTR_FIN_0[SS],Tb_DISTR.FIN[[#This Row],[Nº  SS]],DISTR_FIN_0[MÊS],'DISTR-FIN'!U$2)</f>
        <v>0</v>
      </c>
      <c r="V17" s="194">
        <f>SUMIFS(DISTR_FIN_0[%DISTR],DISTR_FIN_0[SS],Tb_DISTR.FIN[[#This Row],[Nº  SS]],DISTR_FIN_0[MÊS],'DISTR-FIN'!V$2)</f>
        <v>0</v>
      </c>
      <c r="W17" s="194">
        <f>SUMIFS(DISTR_FIN_0[%DISTR],DISTR_FIN_0[SS],Tb_DISTR.FIN[[#This Row],[Nº  SS]],DISTR_FIN_0[MÊS],'DISTR-FIN'!W$2)</f>
        <v>0</v>
      </c>
      <c r="X17" s="150"/>
      <c r="Y17" s="154">
        <f>SUM(Tb_DISTR.FIN[[#This Row],[PLAN]:[ENTR.]])</f>
        <v>0</v>
      </c>
      <c r="Z17" s="186" t="s">
        <v>149</v>
      </c>
      <c r="AA17" s="186" t="s">
        <v>149</v>
      </c>
      <c r="AB17" s="189" t="s">
        <v>152</v>
      </c>
      <c r="AC17" s="189" t="s">
        <v>152</v>
      </c>
      <c r="AD17" s="189" t="s">
        <v>152</v>
      </c>
      <c r="AE17" s="198"/>
      <c r="AF17" s="198"/>
      <c r="AG17" s="198"/>
      <c r="AH17" s="198"/>
      <c r="AI17" s="198"/>
      <c r="AJ17" s="198"/>
      <c r="AK17" s="198"/>
      <c r="AL17" s="198"/>
      <c r="AM17" s="189" t="s">
        <v>152</v>
      </c>
    </row>
    <row r="18" spans="1:39" x14ac:dyDescent="0.3">
      <c r="A18" t="s">
        <v>62</v>
      </c>
      <c r="B18" t="str">
        <f>_xlfn.XLOOKUP(Tb_DISTR.FIN[[#This Row],[Nº  SS]],tb_Distr[SS],tb_Distr[DESCRIÇÃO],"",0,1)</f>
        <v>SINALIZAÇÃO ESC</v>
      </c>
      <c r="C18" t="str">
        <f>_xlfn.XLOOKUP(Tb_DISTR.FIN[[#This Row],[Nº  SS]],TB_CR.ACOMP[Nº  SS],TB_CR.ACOMP[TOMADOR],"",0,1)</f>
        <v>EDIVIT</v>
      </c>
      <c r="D18" s="228">
        <f>_xlfn.XLOOKUP(Tb_DISTR.FIN[[#This Row],[Nº  SS]],Tb_ValorSS[Nº  SS],Tb_ValorSS[R$ APROVADO],"",0,1)</f>
        <v>90327.897311399996</v>
      </c>
      <c r="E18" s="101">
        <f>SUM(Tb_DISTR.FIN[[#This Row],[SET.25]:[DEZ.26]])</f>
        <v>1</v>
      </c>
      <c r="F18" s="98">
        <f>SUMIFS(DISTR_FIN_0[%DISTR],DISTR_FIN_0[SS],Tb_DISTR.FIN[[#This Row],[Nº  SS]],DISTR_FIN_0[MÊS],'DISTR-FIN'!F$2)</f>
        <v>0</v>
      </c>
      <c r="G18" s="98">
        <f>SUMIFS(DISTR_FIN_0[%DISTR],DISTR_FIN_0[SS],Tb_DISTR.FIN[[#This Row],[Nº  SS]],DISTR_FIN_0[MÊS],'DISTR-FIN'!G$2)</f>
        <v>0</v>
      </c>
      <c r="H18" s="98">
        <f>SUMIFS(DISTR_FIN_0[%DISTR],DISTR_FIN_0[SS],Tb_DISTR.FIN[[#This Row],[Nº  SS]],DISTR_FIN_0[MÊS],'DISTR-FIN'!H$2)</f>
        <v>0.75000000000000011</v>
      </c>
      <c r="I18" s="98">
        <f>SUMIFS(DISTR_FIN_0[%DISTR],DISTR_FIN_0[SS],Tb_DISTR.FIN[[#This Row],[Nº  SS]],DISTR_FIN_0[MÊS],'DISTR-FIN'!I$2)</f>
        <v>0.25</v>
      </c>
      <c r="J18" s="98">
        <f>SUMIFS(DISTR_FIN_0[%DISTR],DISTR_FIN_0[SS],Tb_DISTR.FIN[[#This Row],[Nº  SS]],DISTR_FIN_0[MÊS],'DISTR-FIN'!J$2)</f>
        <v>0</v>
      </c>
      <c r="K18" s="98">
        <f>SUMIFS(DISTR_FIN_0[%DISTR],DISTR_FIN_0[SS],Tb_DISTR.FIN[[#This Row],[Nº  SS]],DISTR_FIN_0[MÊS],'DISTR-FIN'!K$2)</f>
        <v>0</v>
      </c>
      <c r="L18" s="98">
        <f>SUMIFS(DISTR_FIN_0[%DISTR],DISTR_FIN_0[SS],Tb_DISTR.FIN[[#This Row],[Nº  SS]],DISTR_FIN_0[MÊS],'DISTR-FIN'!L$2)</f>
        <v>0</v>
      </c>
      <c r="M18" s="98">
        <f>SUMIFS(DISTR_FIN_0[%DISTR],DISTR_FIN_0[SS],Tb_DISTR.FIN[[#This Row],[Nº  SS]],DISTR_FIN_0[MÊS],'DISTR-FIN'!M$2)</f>
        <v>0</v>
      </c>
      <c r="N18" s="98">
        <f>SUMIFS(DISTR_FIN_0[%DISTR],DISTR_FIN_0[SS],Tb_DISTR.FIN[[#This Row],[Nº  SS]],DISTR_FIN_0[MÊS],'DISTR-FIN'!N$2)</f>
        <v>0</v>
      </c>
      <c r="O18" s="98">
        <f>SUMIFS(DISTR_FIN_0[%DISTR],DISTR_FIN_0[SS],Tb_DISTR.FIN[[#This Row],[Nº  SS]],DISTR_FIN_0[MÊS],'DISTR-FIN'!O$2)</f>
        <v>0</v>
      </c>
      <c r="P18" s="98">
        <f>SUMIFS(DISTR_FIN_0[%DISTR],DISTR_FIN_0[SS],Tb_DISTR.FIN[[#This Row],[Nº  SS]],DISTR_FIN_0[MÊS],'DISTR-FIN'!P$2)</f>
        <v>0</v>
      </c>
      <c r="Q18" s="98">
        <f>SUMIFS(DISTR_FIN_0[%DISTR],DISTR_FIN_0[SS],Tb_DISTR.FIN[[#This Row],[Nº  SS]],DISTR_FIN_0[MÊS],'DISTR-FIN'!Q$2)</f>
        <v>0</v>
      </c>
      <c r="R18" s="98">
        <f>SUMIFS(DISTR_FIN_0[%DISTR],DISTR_FIN_0[SS],Tb_DISTR.FIN[[#This Row],[Nº  SS]],DISTR_FIN_0[MÊS],'DISTR-FIN'!R$2)</f>
        <v>0</v>
      </c>
      <c r="S18" s="98">
        <f>SUMIFS(DISTR_FIN_0[%DISTR],DISTR_FIN_0[SS],Tb_DISTR.FIN[[#This Row],[Nº  SS]],DISTR_FIN_0[MÊS],'DISTR-FIN'!S$2)</f>
        <v>0</v>
      </c>
      <c r="T18" s="98">
        <f>SUMIFS(DISTR_FIN_0[%DISTR],DISTR_FIN_0[SS],Tb_DISTR.FIN[[#This Row],[Nº  SS]],DISTR_FIN_0[MÊS],'DISTR-FIN'!T$2)</f>
        <v>0</v>
      </c>
      <c r="U18" s="98">
        <f>SUMIFS(DISTR_FIN_0[%DISTR],DISTR_FIN_0[SS],Tb_DISTR.FIN[[#This Row],[Nº  SS]],DISTR_FIN_0[MÊS],'DISTR-FIN'!U$2)</f>
        <v>0</v>
      </c>
      <c r="V18" s="194">
        <f>SUMIFS(DISTR_FIN_0[%DISTR],DISTR_FIN_0[SS],Tb_DISTR.FIN[[#This Row],[Nº  SS]],DISTR_FIN_0[MÊS],'DISTR-FIN'!V$2)</f>
        <v>0</v>
      </c>
      <c r="W18" s="194">
        <f>SUMIFS(DISTR_FIN_0[%DISTR],DISTR_FIN_0[SS],Tb_DISTR.FIN[[#This Row],[Nº  SS]],DISTR_FIN_0[MÊS],'DISTR-FIN'!W$2)</f>
        <v>0</v>
      </c>
      <c r="X18" s="150"/>
      <c r="Y18" s="146">
        <f>SUM(Tb_DISTR.FIN[[#This Row],[PLAN]:[ENTR.]])</f>
        <v>0</v>
      </c>
      <c r="Z18" s="186" t="s">
        <v>149</v>
      </c>
      <c r="AA18" s="186" t="s">
        <v>149</v>
      </c>
      <c r="AB18" s="186" t="s">
        <v>149</v>
      </c>
      <c r="AC18" s="186" t="s">
        <v>149</v>
      </c>
      <c r="AD18" s="187" t="s">
        <v>150</v>
      </c>
      <c r="AE18" s="194"/>
      <c r="AF18" s="194"/>
      <c r="AG18" s="194"/>
      <c r="AH18" s="194"/>
      <c r="AI18" s="194"/>
      <c r="AJ18" s="194"/>
      <c r="AK18" s="194"/>
      <c r="AL18" s="194"/>
      <c r="AM18" s="187" t="s">
        <v>150</v>
      </c>
    </row>
    <row r="19" spans="1:39" x14ac:dyDescent="0.3">
      <c r="A19" t="s">
        <v>63</v>
      </c>
      <c r="B19" t="str">
        <f>_xlfn.XLOOKUP(Tb_DISTR.FIN[[#This Row],[Nº  SS]],tb_Distr[SS],tb_Distr[DESCRIÇÃO],"",0,1)</f>
        <v>DISP. CONTÊINER</v>
      </c>
      <c r="C19" t="str">
        <f>_xlfn.XLOOKUP(Tb_DISTR.FIN[[#This Row],[Nº  SS]],TB_CR.ACOMP[Nº  SS],TB_CR.ACOMP[TOMADOR],"",0,1)</f>
        <v>UTGC</v>
      </c>
      <c r="D19" s="228">
        <f>_xlfn.XLOOKUP(Tb_DISTR.FIN[[#This Row],[Nº  SS]],Tb_ValorSS[Nº  SS],Tb_ValorSS[R$ APROVADO],"",0,1)</f>
        <v>9890.6360400000012</v>
      </c>
      <c r="E19" s="102">
        <f>SUM(Tb_DISTR.FIN[[#This Row],[SET.25]:[DEZ.26]])</f>
        <v>0.99999999999999989</v>
      </c>
      <c r="F19" s="98">
        <f>SUMIFS(DISTR_FIN_0[%DISTR],DISTR_FIN_0[SS],Tb_DISTR.FIN[[#This Row],[Nº  SS]],DISTR_FIN_0[MÊS],'DISTR-FIN'!F$2)</f>
        <v>0</v>
      </c>
      <c r="G19" s="98">
        <f>SUMIFS(DISTR_FIN_0[%DISTR],DISTR_FIN_0[SS],Tb_DISTR.FIN[[#This Row],[Nº  SS]],DISTR_FIN_0[MÊS],'DISTR-FIN'!G$2)</f>
        <v>0</v>
      </c>
      <c r="H19" s="98">
        <f>SUMIFS(DISTR_FIN_0[%DISTR],DISTR_FIN_0[SS],Tb_DISTR.FIN[[#This Row],[Nº  SS]],DISTR_FIN_0[MÊS],'DISTR-FIN'!H$2)</f>
        <v>0.34753041641594751</v>
      </c>
      <c r="I19" s="98">
        <f>SUMIFS(DISTR_FIN_0[%DISTR],DISTR_FIN_0[SS],Tb_DISTR.FIN[[#This Row],[Nº  SS]],DISTR_FIN_0[MÊS],'DISTR-FIN'!I$2)</f>
        <v>0.32623479179202619</v>
      </c>
      <c r="J19" s="98">
        <f>SUMIFS(DISTR_FIN_0[%DISTR],DISTR_FIN_0[SS],Tb_DISTR.FIN[[#This Row],[Nº  SS]],DISTR_FIN_0[MÊS],'DISTR-FIN'!J$2)</f>
        <v>0.32623479179202619</v>
      </c>
      <c r="K19" s="98">
        <f>SUMIFS(DISTR_FIN_0[%DISTR],DISTR_FIN_0[SS],Tb_DISTR.FIN[[#This Row],[Nº  SS]],DISTR_FIN_0[MÊS],'DISTR-FIN'!K$2)</f>
        <v>0</v>
      </c>
      <c r="L19" s="98">
        <f>SUMIFS(DISTR_FIN_0[%DISTR],DISTR_FIN_0[SS],Tb_DISTR.FIN[[#This Row],[Nº  SS]],DISTR_FIN_0[MÊS],'DISTR-FIN'!L$2)</f>
        <v>0</v>
      </c>
      <c r="M19" s="98">
        <f>SUMIFS(DISTR_FIN_0[%DISTR],DISTR_FIN_0[SS],Tb_DISTR.FIN[[#This Row],[Nº  SS]],DISTR_FIN_0[MÊS],'DISTR-FIN'!M$2)</f>
        <v>0</v>
      </c>
      <c r="N19" s="98">
        <f>SUMIFS(DISTR_FIN_0[%DISTR],DISTR_FIN_0[SS],Tb_DISTR.FIN[[#This Row],[Nº  SS]],DISTR_FIN_0[MÊS],'DISTR-FIN'!N$2)</f>
        <v>0</v>
      </c>
      <c r="O19" s="98">
        <f>SUMIFS(DISTR_FIN_0[%DISTR],DISTR_FIN_0[SS],Tb_DISTR.FIN[[#This Row],[Nº  SS]],DISTR_FIN_0[MÊS],'DISTR-FIN'!O$2)</f>
        <v>0</v>
      </c>
      <c r="P19" s="98">
        <f>SUMIFS(DISTR_FIN_0[%DISTR],DISTR_FIN_0[SS],Tb_DISTR.FIN[[#This Row],[Nº  SS]],DISTR_FIN_0[MÊS],'DISTR-FIN'!P$2)</f>
        <v>0</v>
      </c>
      <c r="Q19" s="98">
        <f>SUMIFS(DISTR_FIN_0[%DISTR],DISTR_FIN_0[SS],Tb_DISTR.FIN[[#This Row],[Nº  SS]],DISTR_FIN_0[MÊS],'DISTR-FIN'!Q$2)</f>
        <v>0</v>
      </c>
      <c r="R19" s="98">
        <f>SUMIFS(DISTR_FIN_0[%DISTR],DISTR_FIN_0[SS],Tb_DISTR.FIN[[#This Row],[Nº  SS]],DISTR_FIN_0[MÊS],'DISTR-FIN'!R$2)</f>
        <v>0</v>
      </c>
      <c r="S19" s="98">
        <f>SUMIFS(DISTR_FIN_0[%DISTR],DISTR_FIN_0[SS],Tb_DISTR.FIN[[#This Row],[Nº  SS]],DISTR_FIN_0[MÊS],'DISTR-FIN'!S$2)</f>
        <v>0</v>
      </c>
      <c r="T19" s="98">
        <f>SUMIFS(DISTR_FIN_0[%DISTR],DISTR_FIN_0[SS],Tb_DISTR.FIN[[#This Row],[Nº  SS]],DISTR_FIN_0[MÊS],'DISTR-FIN'!T$2)</f>
        <v>0</v>
      </c>
      <c r="U19" s="98">
        <f>SUMIFS(DISTR_FIN_0[%DISTR],DISTR_FIN_0[SS],Tb_DISTR.FIN[[#This Row],[Nº  SS]],DISTR_FIN_0[MÊS],'DISTR-FIN'!U$2)</f>
        <v>0</v>
      </c>
      <c r="V19" s="194">
        <f>SUMIFS(DISTR_FIN_0[%DISTR],DISTR_FIN_0[SS],Tb_DISTR.FIN[[#This Row],[Nº  SS]],DISTR_FIN_0[MÊS],'DISTR-FIN'!V$2)</f>
        <v>0</v>
      </c>
      <c r="W19" s="194">
        <f>SUMIFS(DISTR_FIN_0[%DISTR],DISTR_FIN_0[SS],Tb_DISTR.FIN[[#This Row],[Nº  SS]],DISTR_FIN_0[MÊS],'DISTR-FIN'!W$2)</f>
        <v>0</v>
      </c>
      <c r="X19" s="150"/>
      <c r="Y19" s="146">
        <f>SUM(Tb_DISTR.FIN[[#This Row],[PLAN]:[ENTR.]])</f>
        <v>0</v>
      </c>
      <c r="Z19" s="186" t="s">
        <v>149</v>
      </c>
      <c r="AA19" s="186" t="s">
        <v>149</v>
      </c>
      <c r="AB19" s="186" t="s">
        <v>149</v>
      </c>
      <c r="AC19" s="187" t="s">
        <v>150</v>
      </c>
      <c r="AD19" s="213" t="s">
        <v>151</v>
      </c>
      <c r="AE19" s="194"/>
      <c r="AF19" s="194"/>
      <c r="AG19" s="194"/>
      <c r="AH19" s="194"/>
      <c r="AI19" s="194"/>
      <c r="AJ19" s="194"/>
      <c r="AK19" s="194"/>
      <c r="AL19" s="194"/>
      <c r="AM19" s="227"/>
    </row>
    <row r="20" spans="1:39" x14ac:dyDescent="0.3">
      <c r="A20" s="123" t="s">
        <v>163</v>
      </c>
      <c r="B20" s="123" t="str">
        <f>_xlfn.XLOOKUP(Tb_DISTR.FIN[[#This Row],[Nº  SS]],tb_Distr[SS],tb_Distr[DESCRIÇÃO],"",0,1)</f>
        <v>ILUM. VIÁRIA</v>
      </c>
      <c r="C20" s="123" t="str">
        <f>_xlfn.XLOOKUP(Tb_DISTR.FIN[[#This Row],[Nº  SS]],TB_CR.ACOMP[Nº  SS],TB_CR.ACOMP[TOMADOR],"",0,1)</f>
        <v>UTGC</v>
      </c>
      <c r="D20" s="230">
        <f>_xlfn.XLOOKUP(Tb_DISTR.FIN[[#This Row],[Nº  SS]],Tb_ValorSS[Nº  SS],Tb_ValorSS[R$ APROVADO],"",0,1)</f>
        <v>0</v>
      </c>
      <c r="E20" s="136">
        <f>SUM(Tb_DISTR.FIN[[#This Row],[SET.25]:[DEZ.26]])</f>
        <v>0</v>
      </c>
      <c r="F20" s="201">
        <f>SUMIFS(DISTR_FIN_0[%DISTR],DISTR_FIN_0[SS],Tb_DISTR.FIN[[#This Row],[Nº  SS]],DISTR_FIN_0[MÊS],'DISTR-FIN'!F$2)</f>
        <v>0</v>
      </c>
      <c r="G20" s="201">
        <f>SUMIFS(DISTR_FIN_0[%DISTR],DISTR_FIN_0[SS],Tb_DISTR.FIN[[#This Row],[Nº  SS]],DISTR_FIN_0[MÊS],'DISTR-FIN'!G$2)</f>
        <v>0</v>
      </c>
      <c r="H20" s="201">
        <f>SUMIFS(DISTR_FIN_0[%DISTR],DISTR_FIN_0[SS],Tb_DISTR.FIN[[#This Row],[Nº  SS]],DISTR_FIN_0[MÊS],'DISTR-FIN'!H$2)</f>
        <v>0</v>
      </c>
      <c r="I20" s="201">
        <f>SUMIFS(DISTR_FIN_0[%DISTR],DISTR_FIN_0[SS],Tb_DISTR.FIN[[#This Row],[Nº  SS]],DISTR_FIN_0[MÊS],'DISTR-FIN'!I$2)</f>
        <v>0</v>
      </c>
      <c r="J20" s="201">
        <f>SUMIFS(DISTR_FIN_0[%DISTR],DISTR_FIN_0[SS],Tb_DISTR.FIN[[#This Row],[Nº  SS]],DISTR_FIN_0[MÊS],'DISTR-FIN'!J$2)</f>
        <v>0</v>
      </c>
      <c r="K20" s="201">
        <f>SUMIFS(DISTR_FIN_0[%DISTR],DISTR_FIN_0[SS],Tb_DISTR.FIN[[#This Row],[Nº  SS]],DISTR_FIN_0[MÊS],'DISTR-FIN'!K$2)</f>
        <v>0</v>
      </c>
      <c r="L20" s="201">
        <f>SUMIFS(DISTR_FIN_0[%DISTR],DISTR_FIN_0[SS],Tb_DISTR.FIN[[#This Row],[Nº  SS]],DISTR_FIN_0[MÊS],'DISTR-FIN'!L$2)</f>
        <v>0</v>
      </c>
      <c r="M20" s="201">
        <f>SUMIFS(DISTR_FIN_0[%DISTR],DISTR_FIN_0[SS],Tb_DISTR.FIN[[#This Row],[Nº  SS]],DISTR_FIN_0[MÊS],'DISTR-FIN'!M$2)</f>
        <v>0</v>
      </c>
      <c r="N20" s="201">
        <f>SUMIFS(DISTR_FIN_0[%DISTR],DISTR_FIN_0[SS],Tb_DISTR.FIN[[#This Row],[Nº  SS]],DISTR_FIN_0[MÊS],'DISTR-FIN'!N$2)</f>
        <v>0</v>
      </c>
      <c r="O20" s="201">
        <f>SUMIFS(DISTR_FIN_0[%DISTR],DISTR_FIN_0[SS],Tb_DISTR.FIN[[#This Row],[Nº  SS]],DISTR_FIN_0[MÊS],'DISTR-FIN'!O$2)</f>
        <v>0</v>
      </c>
      <c r="P20" s="201">
        <f>SUMIFS(DISTR_FIN_0[%DISTR],DISTR_FIN_0[SS],Tb_DISTR.FIN[[#This Row],[Nº  SS]],DISTR_FIN_0[MÊS],'DISTR-FIN'!P$2)</f>
        <v>0</v>
      </c>
      <c r="Q20" s="201">
        <f>SUMIFS(DISTR_FIN_0[%DISTR],DISTR_FIN_0[SS],Tb_DISTR.FIN[[#This Row],[Nº  SS]],DISTR_FIN_0[MÊS],'DISTR-FIN'!Q$2)</f>
        <v>0</v>
      </c>
      <c r="R20" s="201">
        <f>SUMIFS(DISTR_FIN_0[%DISTR],DISTR_FIN_0[SS],Tb_DISTR.FIN[[#This Row],[Nº  SS]],DISTR_FIN_0[MÊS],'DISTR-FIN'!R$2)</f>
        <v>0</v>
      </c>
      <c r="S20" s="201">
        <f>SUMIFS(DISTR_FIN_0[%DISTR],DISTR_FIN_0[SS],Tb_DISTR.FIN[[#This Row],[Nº  SS]],DISTR_FIN_0[MÊS],'DISTR-FIN'!S$2)</f>
        <v>0</v>
      </c>
      <c r="T20" s="201">
        <f>SUMIFS(DISTR_FIN_0[%DISTR],DISTR_FIN_0[SS],Tb_DISTR.FIN[[#This Row],[Nº  SS]],DISTR_FIN_0[MÊS],'DISTR-FIN'!T$2)</f>
        <v>0</v>
      </c>
      <c r="U20" s="201">
        <f>SUMIFS(DISTR_FIN_0[%DISTR],DISTR_FIN_0[SS],Tb_DISTR.FIN[[#This Row],[Nº  SS]],DISTR_FIN_0[MÊS],'DISTR-FIN'!U$2)</f>
        <v>0</v>
      </c>
      <c r="V20" s="349">
        <f>SUMIFS(DISTR_FIN_0[%DISTR],DISTR_FIN_0[SS],Tb_DISTR.FIN[[#This Row],[Nº  SS]],DISTR_FIN_0[MÊS],'DISTR-FIN'!V$2)</f>
        <v>0</v>
      </c>
      <c r="W20" s="349">
        <f>SUMIFS(DISTR_FIN_0[%DISTR],DISTR_FIN_0[SS],Tb_DISTR.FIN[[#This Row],[Nº  SS]],DISTR_FIN_0[MÊS],'DISTR-FIN'!W$2)</f>
        <v>0</v>
      </c>
      <c r="X20" s="150"/>
      <c r="Y20" s="147">
        <f>SUM(Tb_DISTR.FIN[[#This Row],[PLAN]:[ENTR.]])</f>
        <v>0</v>
      </c>
      <c r="Z20" s="197"/>
      <c r="AA20" s="197"/>
      <c r="AB20" s="197"/>
      <c r="AC20" s="197"/>
      <c r="AD20" s="197"/>
      <c r="AE20" s="197"/>
      <c r="AF20" s="197"/>
      <c r="AG20" s="197"/>
      <c r="AH20" s="197"/>
      <c r="AI20" s="197"/>
      <c r="AJ20" s="197"/>
      <c r="AK20" s="197"/>
      <c r="AL20" s="197"/>
      <c r="AM20" s="197"/>
    </row>
    <row r="21" spans="1:39" x14ac:dyDescent="0.3">
      <c r="A21" s="122" t="s">
        <v>164</v>
      </c>
      <c r="B21" s="122" t="str">
        <f>_xlfn.XLOOKUP(Tb_DISTR.FIN[[#This Row],[Nº  SS]],tb_Distr[SS],tb_Distr[DESCRIÇÃO],"",0,1)</f>
        <v>SALA CISC</v>
      </c>
      <c r="C21" s="122" t="str">
        <f>_xlfn.XLOOKUP(Tb_DISTR.FIN[[#This Row],[Nº  SS]],TB_CR.ACOMP[Nº  SS],TB_CR.ACOMP[TOMADOR],"",0,1)</f>
        <v>UTGSUL</v>
      </c>
      <c r="D21" s="229">
        <f>_xlfn.XLOOKUP(Tb_DISTR.FIN[[#This Row],[Nº  SS]],Tb_ValorSS[Nº  SS],Tb_ValorSS[R$ APROVADO],"",0,1)</f>
        <v>117731.57525999998</v>
      </c>
      <c r="E21" s="102">
        <f>SUM(Tb_DISTR.FIN[[#This Row],[SET.25]:[DEZ.26]])</f>
        <v>1</v>
      </c>
      <c r="F21" s="98">
        <f>SUMIFS(DISTR_FIN_0[%DISTR],DISTR_FIN_0[SS],Tb_DISTR.FIN[[#This Row],[Nº  SS]],DISTR_FIN_0[MÊS],'DISTR-FIN'!F$2)</f>
        <v>0</v>
      </c>
      <c r="G21" s="98">
        <f>SUMIFS(DISTR_FIN_0[%DISTR],DISTR_FIN_0[SS],Tb_DISTR.FIN[[#This Row],[Nº  SS]],DISTR_FIN_0[MÊS],'DISTR-FIN'!G$2)</f>
        <v>0</v>
      </c>
      <c r="H21" s="98">
        <f>SUMIFS(DISTR_FIN_0[%DISTR],DISTR_FIN_0[SS],Tb_DISTR.FIN[[#This Row],[Nº  SS]],DISTR_FIN_0[MÊS],'DISTR-FIN'!H$2)</f>
        <v>0.1</v>
      </c>
      <c r="I21" s="98">
        <f>SUMIFS(DISTR_FIN_0[%DISTR],DISTR_FIN_0[SS],Tb_DISTR.FIN[[#This Row],[Nº  SS]],DISTR_FIN_0[MÊS],'DISTR-FIN'!I$2)</f>
        <v>0.65</v>
      </c>
      <c r="J21" s="98">
        <f>SUMIFS(DISTR_FIN_0[%DISTR],DISTR_FIN_0[SS],Tb_DISTR.FIN[[#This Row],[Nº  SS]],DISTR_FIN_0[MÊS],'DISTR-FIN'!J$2)</f>
        <v>0.25</v>
      </c>
      <c r="K21" s="98">
        <f>SUMIFS(DISTR_FIN_0[%DISTR],DISTR_FIN_0[SS],Tb_DISTR.FIN[[#This Row],[Nº  SS]],DISTR_FIN_0[MÊS],'DISTR-FIN'!K$2)</f>
        <v>0</v>
      </c>
      <c r="L21" s="98">
        <f>SUMIFS(DISTR_FIN_0[%DISTR],DISTR_FIN_0[SS],Tb_DISTR.FIN[[#This Row],[Nº  SS]],DISTR_FIN_0[MÊS],'DISTR-FIN'!L$2)</f>
        <v>0</v>
      </c>
      <c r="M21" s="98">
        <f>SUMIFS(DISTR_FIN_0[%DISTR],DISTR_FIN_0[SS],Tb_DISTR.FIN[[#This Row],[Nº  SS]],DISTR_FIN_0[MÊS],'DISTR-FIN'!M$2)</f>
        <v>0</v>
      </c>
      <c r="N21" s="98">
        <f>SUMIFS(DISTR_FIN_0[%DISTR],DISTR_FIN_0[SS],Tb_DISTR.FIN[[#This Row],[Nº  SS]],DISTR_FIN_0[MÊS],'DISTR-FIN'!N$2)</f>
        <v>0</v>
      </c>
      <c r="O21" s="98">
        <f>SUMIFS(DISTR_FIN_0[%DISTR],DISTR_FIN_0[SS],Tb_DISTR.FIN[[#This Row],[Nº  SS]],DISTR_FIN_0[MÊS],'DISTR-FIN'!O$2)</f>
        <v>0</v>
      </c>
      <c r="P21" s="98">
        <f>SUMIFS(DISTR_FIN_0[%DISTR],DISTR_FIN_0[SS],Tb_DISTR.FIN[[#This Row],[Nº  SS]],DISTR_FIN_0[MÊS],'DISTR-FIN'!P$2)</f>
        <v>0</v>
      </c>
      <c r="Q21" s="98">
        <f>SUMIFS(DISTR_FIN_0[%DISTR],DISTR_FIN_0[SS],Tb_DISTR.FIN[[#This Row],[Nº  SS]],DISTR_FIN_0[MÊS],'DISTR-FIN'!Q$2)</f>
        <v>0</v>
      </c>
      <c r="R21" s="98">
        <f>SUMIFS(DISTR_FIN_0[%DISTR],DISTR_FIN_0[SS],Tb_DISTR.FIN[[#This Row],[Nº  SS]],DISTR_FIN_0[MÊS],'DISTR-FIN'!R$2)</f>
        <v>0</v>
      </c>
      <c r="S21" s="98">
        <f>SUMIFS(DISTR_FIN_0[%DISTR],DISTR_FIN_0[SS],Tb_DISTR.FIN[[#This Row],[Nº  SS]],DISTR_FIN_0[MÊS],'DISTR-FIN'!S$2)</f>
        <v>0</v>
      </c>
      <c r="T21" s="98">
        <f>SUMIFS(DISTR_FIN_0[%DISTR],DISTR_FIN_0[SS],Tb_DISTR.FIN[[#This Row],[Nº  SS]],DISTR_FIN_0[MÊS],'DISTR-FIN'!T$2)</f>
        <v>0</v>
      </c>
      <c r="U21" s="98">
        <f>SUMIFS(DISTR_FIN_0[%DISTR],DISTR_FIN_0[SS],Tb_DISTR.FIN[[#This Row],[Nº  SS]],DISTR_FIN_0[MÊS],'DISTR-FIN'!U$2)</f>
        <v>0</v>
      </c>
      <c r="V21" s="194">
        <f>SUMIFS(DISTR_FIN_0[%DISTR],DISTR_FIN_0[SS],Tb_DISTR.FIN[[#This Row],[Nº  SS]],DISTR_FIN_0[MÊS],'DISTR-FIN'!V$2)</f>
        <v>0</v>
      </c>
      <c r="W21" s="194">
        <f>SUMIFS(DISTR_FIN_0[%DISTR],DISTR_FIN_0[SS],Tb_DISTR.FIN[[#This Row],[Nº  SS]],DISTR_FIN_0[MÊS],'DISTR-FIN'!W$2)</f>
        <v>0</v>
      </c>
      <c r="X21" s="150"/>
      <c r="Y21" s="154">
        <f>SUM(Tb_DISTR.FIN[[#This Row],[PLAN]:[ENTR.]])</f>
        <v>0</v>
      </c>
      <c r="Z21" s="186" t="s">
        <v>149</v>
      </c>
      <c r="AA21" s="187" t="s">
        <v>150</v>
      </c>
      <c r="AB21" s="187" t="s">
        <v>150</v>
      </c>
      <c r="AC21" s="187" t="s">
        <v>150</v>
      </c>
      <c r="AD21" s="213" t="s">
        <v>151</v>
      </c>
      <c r="AE21" s="198"/>
      <c r="AF21" s="198"/>
      <c r="AG21" s="198"/>
      <c r="AH21" s="198"/>
      <c r="AI21" s="198"/>
      <c r="AJ21" s="198"/>
      <c r="AK21" s="198"/>
      <c r="AL21" s="198"/>
      <c r="AM21" s="188" t="s">
        <v>151</v>
      </c>
    </row>
    <row r="22" spans="1:39" x14ac:dyDescent="0.3">
      <c r="A22" s="122" t="s">
        <v>165</v>
      </c>
      <c r="B22" s="122" t="str">
        <f>_xlfn.XLOOKUP(Tb_DISTR.FIN[[#This Row],[Nº  SS]],tb_Distr[SS],tb_Distr[DESCRIÇÃO],"",0,1)</f>
        <v>RMV. TELHAS</v>
      </c>
      <c r="C22" s="122" t="str">
        <f>_xlfn.XLOOKUP(Tb_DISTR.FIN[[#This Row],[Nº  SS]],TB_CR.ACOMP[Nº  SS],TB_CR.ACOMP[TOMADOR],"",0,1)</f>
        <v>UTGC</v>
      </c>
      <c r="D22" s="229">
        <f>_xlfn.XLOOKUP(Tb_DISTR.FIN[[#This Row],[Nº  SS]],Tb_ValorSS[Nº  SS],Tb_ValorSS[R$ APROVADO],"",0,1)</f>
        <v>9395.5402799999993</v>
      </c>
      <c r="E22" s="101">
        <f>SUM(Tb_DISTR.FIN[[#This Row],[SET.25]:[DEZ.26]])</f>
        <v>1</v>
      </c>
      <c r="F22" s="98">
        <f>SUMIFS(DISTR_FIN_0[%DISTR],DISTR_FIN_0[SS],Tb_DISTR.FIN[[#This Row],[Nº  SS]],DISTR_FIN_0[MÊS],'DISTR-FIN'!F$2)</f>
        <v>0</v>
      </c>
      <c r="G22" s="98">
        <f>SUMIFS(DISTR_FIN_0[%DISTR],DISTR_FIN_0[SS],Tb_DISTR.FIN[[#This Row],[Nº  SS]],DISTR_FIN_0[MÊS],'DISTR-FIN'!G$2)</f>
        <v>0</v>
      </c>
      <c r="H22" s="98">
        <f>SUMIFS(DISTR_FIN_0[%DISTR],DISTR_FIN_0[SS],Tb_DISTR.FIN[[#This Row],[Nº  SS]],DISTR_FIN_0[MÊS],'DISTR-FIN'!H$2)</f>
        <v>0.1</v>
      </c>
      <c r="I22" s="98">
        <f>SUMIFS(DISTR_FIN_0[%DISTR],DISTR_FIN_0[SS],Tb_DISTR.FIN[[#This Row],[Nº  SS]],DISTR_FIN_0[MÊS],'DISTR-FIN'!I$2)</f>
        <v>0.9</v>
      </c>
      <c r="J22" s="98">
        <f>SUMIFS(DISTR_FIN_0[%DISTR],DISTR_FIN_0[SS],Tb_DISTR.FIN[[#This Row],[Nº  SS]],DISTR_FIN_0[MÊS],'DISTR-FIN'!J$2)</f>
        <v>0</v>
      </c>
      <c r="K22" s="98">
        <f>SUMIFS(DISTR_FIN_0[%DISTR],DISTR_FIN_0[SS],Tb_DISTR.FIN[[#This Row],[Nº  SS]],DISTR_FIN_0[MÊS],'DISTR-FIN'!K$2)</f>
        <v>0</v>
      </c>
      <c r="L22" s="98">
        <f>SUMIFS(DISTR_FIN_0[%DISTR],DISTR_FIN_0[SS],Tb_DISTR.FIN[[#This Row],[Nº  SS]],DISTR_FIN_0[MÊS],'DISTR-FIN'!L$2)</f>
        <v>0</v>
      </c>
      <c r="M22" s="98">
        <f>SUMIFS(DISTR_FIN_0[%DISTR],DISTR_FIN_0[SS],Tb_DISTR.FIN[[#This Row],[Nº  SS]],DISTR_FIN_0[MÊS],'DISTR-FIN'!M$2)</f>
        <v>0</v>
      </c>
      <c r="N22" s="98">
        <f>SUMIFS(DISTR_FIN_0[%DISTR],DISTR_FIN_0[SS],Tb_DISTR.FIN[[#This Row],[Nº  SS]],DISTR_FIN_0[MÊS],'DISTR-FIN'!N$2)</f>
        <v>0</v>
      </c>
      <c r="O22" s="98">
        <f>SUMIFS(DISTR_FIN_0[%DISTR],DISTR_FIN_0[SS],Tb_DISTR.FIN[[#This Row],[Nº  SS]],DISTR_FIN_0[MÊS],'DISTR-FIN'!O$2)</f>
        <v>0</v>
      </c>
      <c r="P22" s="98">
        <f>SUMIFS(DISTR_FIN_0[%DISTR],DISTR_FIN_0[SS],Tb_DISTR.FIN[[#This Row],[Nº  SS]],DISTR_FIN_0[MÊS],'DISTR-FIN'!P$2)</f>
        <v>0</v>
      </c>
      <c r="Q22" s="98">
        <f>SUMIFS(DISTR_FIN_0[%DISTR],DISTR_FIN_0[SS],Tb_DISTR.FIN[[#This Row],[Nº  SS]],DISTR_FIN_0[MÊS],'DISTR-FIN'!Q$2)</f>
        <v>0</v>
      </c>
      <c r="R22" s="98">
        <f>SUMIFS(DISTR_FIN_0[%DISTR],DISTR_FIN_0[SS],Tb_DISTR.FIN[[#This Row],[Nº  SS]],DISTR_FIN_0[MÊS],'DISTR-FIN'!R$2)</f>
        <v>0</v>
      </c>
      <c r="S22" s="98">
        <f>SUMIFS(DISTR_FIN_0[%DISTR],DISTR_FIN_0[SS],Tb_DISTR.FIN[[#This Row],[Nº  SS]],DISTR_FIN_0[MÊS],'DISTR-FIN'!S$2)</f>
        <v>0</v>
      </c>
      <c r="T22" s="98">
        <f>SUMIFS(DISTR_FIN_0[%DISTR],DISTR_FIN_0[SS],Tb_DISTR.FIN[[#This Row],[Nº  SS]],DISTR_FIN_0[MÊS],'DISTR-FIN'!T$2)</f>
        <v>0</v>
      </c>
      <c r="U22" s="98">
        <f>SUMIFS(DISTR_FIN_0[%DISTR],DISTR_FIN_0[SS],Tb_DISTR.FIN[[#This Row],[Nº  SS]],DISTR_FIN_0[MÊS],'DISTR-FIN'!U$2)</f>
        <v>0</v>
      </c>
      <c r="V22" s="194">
        <f>SUMIFS(DISTR_FIN_0[%DISTR],DISTR_FIN_0[SS],Tb_DISTR.FIN[[#This Row],[Nº  SS]],DISTR_FIN_0[MÊS],'DISTR-FIN'!V$2)</f>
        <v>0</v>
      </c>
      <c r="W22" s="194">
        <f>SUMIFS(DISTR_FIN_0[%DISTR],DISTR_FIN_0[SS],Tb_DISTR.FIN[[#This Row],[Nº  SS]],DISTR_FIN_0[MÊS],'DISTR-FIN'!W$2)</f>
        <v>0</v>
      </c>
      <c r="X22" s="150"/>
      <c r="Y22" s="154">
        <f>SUM(Tb_DISTR.FIN[[#This Row],[PLAN]:[ENTR.]])</f>
        <v>0</v>
      </c>
      <c r="Z22" s="186" t="s">
        <v>149</v>
      </c>
      <c r="AA22" s="187" t="s">
        <v>150</v>
      </c>
      <c r="AB22" s="187" t="s">
        <v>150</v>
      </c>
      <c r="AC22" s="198"/>
      <c r="AD22" s="198"/>
      <c r="AE22" s="198"/>
      <c r="AF22" s="198"/>
      <c r="AG22" s="198"/>
      <c r="AH22" s="198"/>
      <c r="AI22" s="198"/>
      <c r="AJ22" s="198"/>
      <c r="AK22" s="198"/>
      <c r="AL22" s="198"/>
      <c r="AM22" s="187" t="s">
        <v>150</v>
      </c>
    </row>
    <row r="23" spans="1:39" x14ac:dyDescent="0.3">
      <c r="A23" s="122" t="s">
        <v>166</v>
      </c>
      <c r="B23" s="122" t="str">
        <f>_xlfn.XLOOKUP(Tb_DISTR.FIN[[#This Row],[Nº  SS]],tb_Distr[SS],tb_Distr[DESCRIÇÃO],"",0,1)</f>
        <v>RUÍDOS TORRE RESF</v>
      </c>
      <c r="C23" s="122" t="str">
        <f>_xlfn.XLOOKUP(Tb_DISTR.FIN[[#This Row],[Nº  SS]],TB_CR.ACOMP[Nº  SS],TB_CR.ACOMP[TOMADOR],"",0,1)</f>
        <v>EDIVIT</v>
      </c>
      <c r="D23" s="229">
        <f>_xlfn.XLOOKUP(Tb_DISTR.FIN[[#This Row],[Nº  SS]],Tb_ValorSS[Nº  SS],Tb_ValorSS[R$ APROVADO],"",0,1)</f>
        <v>403913.19</v>
      </c>
      <c r="E23" s="102">
        <f>SUM(Tb_DISTR.FIN[[#This Row],[SET.25]:[DEZ.26]])</f>
        <v>1</v>
      </c>
      <c r="F23" s="98">
        <f>SUMIFS(DISTR_FIN_0[%DISTR],DISTR_FIN_0[SS],Tb_DISTR.FIN[[#This Row],[Nº  SS]],DISTR_FIN_0[MÊS],'DISTR-FIN'!F$2)</f>
        <v>0</v>
      </c>
      <c r="G23" s="98">
        <f>SUMIFS(DISTR_FIN_0[%DISTR],DISTR_FIN_0[SS],Tb_DISTR.FIN[[#This Row],[Nº  SS]],DISTR_FIN_0[MÊS],'DISTR-FIN'!G$2)</f>
        <v>0</v>
      </c>
      <c r="H23" s="98">
        <f>SUMIFS(DISTR_FIN_0[%DISTR],DISTR_FIN_0[SS],Tb_DISTR.FIN[[#This Row],[Nº  SS]],DISTR_FIN_0[MÊS],'DISTR-FIN'!H$2)</f>
        <v>6.1302207041072365E-2</v>
      </c>
      <c r="I23" s="98">
        <f>SUMIFS(DISTR_FIN_0[%DISTR],DISTR_FIN_0[SS],Tb_DISTR.FIN[[#This Row],[Nº  SS]],DISTR_FIN_0[MÊS],'DISTR-FIN'!I$2)</f>
        <v>0.12260441408214473</v>
      </c>
      <c r="J23" s="98">
        <f>SUMIFS(DISTR_FIN_0[%DISTR],DISTR_FIN_0[SS],Tb_DISTR.FIN[[#This Row],[Nº  SS]],DISTR_FIN_0[MÊS],'DISTR-FIN'!J$2)</f>
        <v>0.1471253018501327</v>
      </c>
      <c r="K23" s="98">
        <f>SUMIFS(DISTR_FIN_0[%DISTR],DISTR_FIN_0[SS],Tb_DISTR.FIN[[#This Row],[Nº  SS]],DISTR_FIN_0[MÊS],'DISTR-FIN'!K$2)</f>
        <v>0.29575000000000001</v>
      </c>
      <c r="L23" s="98">
        <f>SUMIFS(DISTR_FIN_0[%DISTR],DISTR_FIN_0[SS],Tb_DISTR.FIN[[#This Row],[Nº  SS]],DISTR_FIN_0[MÊS],'DISTR-FIN'!L$2)</f>
        <v>0</v>
      </c>
      <c r="M23" s="98">
        <f>SUMIFS(DISTR_FIN_0[%DISTR],DISTR_FIN_0[SS],Tb_DISTR.FIN[[#This Row],[Nº  SS]],DISTR_FIN_0[MÊS],'DISTR-FIN'!M$2)</f>
        <v>0.37321807702665027</v>
      </c>
      <c r="N23" s="98">
        <f>SUMIFS(DISTR_FIN_0[%DISTR],DISTR_FIN_0[SS],Tb_DISTR.FIN[[#This Row],[Nº  SS]],DISTR_FIN_0[MÊS],'DISTR-FIN'!N$2)</f>
        <v>0</v>
      </c>
      <c r="O23" s="98">
        <f>SUMIFS(DISTR_FIN_0[%DISTR],DISTR_FIN_0[SS],Tb_DISTR.FIN[[#This Row],[Nº  SS]],DISTR_FIN_0[MÊS],'DISTR-FIN'!O$2)</f>
        <v>0</v>
      </c>
      <c r="P23" s="98">
        <f>SUMIFS(DISTR_FIN_0[%DISTR],DISTR_FIN_0[SS],Tb_DISTR.FIN[[#This Row],[Nº  SS]],DISTR_FIN_0[MÊS],'DISTR-FIN'!P$2)</f>
        <v>0</v>
      </c>
      <c r="Q23" s="98">
        <f>SUMIFS(DISTR_FIN_0[%DISTR],DISTR_FIN_0[SS],Tb_DISTR.FIN[[#This Row],[Nº  SS]],DISTR_FIN_0[MÊS],'DISTR-FIN'!Q$2)</f>
        <v>0</v>
      </c>
      <c r="R23" s="98">
        <f>SUMIFS(DISTR_FIN_0[%DISTR],DISTR_FIN_0[SS],Tb_DISTR.FIN[[#This Row],[Nº  SS]],DISTR_FIN_0[MÊS],'DISTR-FIN'!R$2)</f>
        <v>0</v>
      </c>
      <c r="S23" s="98">
        <f>SUMIFS(DISTR_FIN_0[%DISTR],DISTR_FIN_0[SS],Tb_DISTR.FIN[[#This Row],[Nº  SS]],DISTR_FIN_0[MÊS],'DISTR-FIN'!S$2)</f>
        <v>0</v>
      </c>
      <c r="T23" s="98">
        <f>SUMIFS(DISTR_FIN_0[%DISTR],DISTR_FIN_0[SS],Tb_DISTR.FIN[[#This Row],[Nº  SS]],DISTR_FIN_0[MÊS],'DISTR-FIN'!T$2)</f>
        <v>0</v>
      </c>
      <c r="U23" s="98">
        <f>SUMIFS(DISTR_FIN_0[%DISTR],DISTR_FIN_0[SS],Tb_DISTR.FIN[[#This Row],[Nº  SS]],DISTR_FIN_0[MÊS],'DISTR-FIN'!U$2)</f>
        <v>0</v>
      </c>
      <c r="V23" s="194">
        <f>SUMIFS(DISTR_FIN_0[%DISTR],DISTR_FIN_0[SS],Tb_DISTR.FIN[[#This Row],[Nº  SS]],DISTR_FIN_0[MÊS],'DISTR-FIN'!V$2)</f>
        <v>0</v>
      </c>
      <c r="W23" s="194">
        <f>SUMIFS(DISTR_FIN_0[%DISTR],DISTR_FIN_0[SS],Tb_DISTR.FIN[[#This Row],[Nº  SS]],DISTR_FIN_0[MÊS],'DISTR-FIN'!W$2)</f>
        <v>0</v>
      </c>
      <c r="X23" s="150"/>
      <c r="Y23" s="154">
        <f>SUM(Tb_DISTR.FIN[[#This Row],[PLAN]:[ENTR.]])</f>
        <v>0</v>
      </c>
      <c r="Z23" s="186" t="s">
        <v>149</v>
      </c>
      <c r="AA23" s="187" t="s">
        <v>150</v>
      </c>
      <c r="AB23" s="213" t="s">
        <v>151</v>
      </c>
      <c r="AC23" s="213" t="s">
        <v>151</v>
      </c>
      <c r="AD23" s="216" t="s">
        <v>154</v>
      </c>
      <c r="AE23" s="216" t="s">
        <v>154</v>
      </c>
      <c r="AF23" s="214" t="s">
        <v>152</v>
      </c>
      <c r="AG23" s="214" t="s">
        <v>152</v>
      </c>
      <c r="AH23" s="214" t="s">
        <v>152</v>
      </c>
      <c r="AI23" s="216" t="s">
        <v>154</v>
      </c>
      <c r="AJ23" s="216" t="s">
        <v>154</v>
      </c>
      <c r="AK23" s="198"/>
      <c r="AL23" s="198"/>
      <c r="AM23" s="216" t="s">
        <v>154</v>
      </c>
    </row>
    <row r="24" spans="1:39" x14ac:dyDescent="0.3">
      <c r="A24" s="123" t="s">
        <v>234</v>
      </c>
      <c r="B24" s="123" t="str">
        <f>_xlfn.XLOOKUP(Tb_DISTR.FIN[[#This Row],[Nº  SS]],tb_Distr[SS],tb_Distr[DESCRIÇÃO],"",0,1)</f>
        <v>ABAST POÇO</v>
      </c>
      <c r="C24" s="123" t="str">
        <f>_xlfn.XLOOKUP(Tb_DISTR.FIN[[#This Row],[Nº  SS]],TB_CR.ACOMP[Nº  SS],TB_CR.ACOMP[TOMADOR],"",0,1)</f>
        <v>UTGC</v>
      </c>
      <c r="D24" s="230">
        <f>_xlfn.XLOOKUP(Tb_DISTR.FIN[[#This Row],[Nº  SS]],Tb_ValorSS[Nº  SS],Tb_ValorSS[R$ APROVADO],"",0,1)</f>
        <v>0</v>
      </c>
      <c r="E24" s="136">
        <f>SUM(Tb_DISTR.FIN[[#This Row],[SET.25]:[DEZ.26]])</f>
        <v>0</v>
      </c>
      <c r="F24" s="201">
        <f>SUMIFS(DISTR_FIN_0[%DISTR],DISTR_FIN_0[SS],Tb_DISTR.FIN[[#This Row],[Nº  SS]],DISTR_FIN_0[MÊS],'DISTR-FIN'!F$2)</f>
        <v>0</v>
      </c>
      <c r="G24" s="201">
        <f>SUMIFS(DISTR_FIN_0[%DISTR],DISTR_FIN_0[SS],Tb_DISTR.FIN[[#This Row],[Nº  SS]],DISTR_FIN_0[MÊS],'DISTR-FIN'!G$2)</f>
        <v>0</v>
      </c>
      <c r="H24" s="201">
        <f>SUMIFS(DISTR_FIN_0[%DISTR],DISTR_FIN_0[SS],Tb_DISTR.FIN[[#This Row],[Nº  SS]],DISTR_FIN_0[MÊS],'DISTR-FIN'!H$2)</f>
        <v>0</v>
      </c>
      <c r="I24" s="201">
        <f>SUMIFS(DISTR_FIN_0[%DISTR],DISTR_FIN_0[SS],Tb_DISTR.FIN[[#This Row],[Nº  SS]],DISTR_FIN_0[MÊS],'DISTR-FIN'!I$2)</f>
        <v>0</v>
      </c>
      <c r="J24" s="201">
        <f>SUMIFS(DISTR_FIN_0[%DISTR],DISTR_FIN_0[SS],Tb_DISTR.FIN[[#This Row],[Nº  SS]],DISTR_FIN_0[MÊS],'DISTR-FIN'!J$2)</f>
        <v>0</v>
      </c>
      <c r="K24" s="201">
        <f>SUMIFS(DISTR_FIN_0[%DISTR],DISTR_FIN_0[SS],Tb_DISTR.FIN[[#This Row],[Nº  SS]],DISTR_FIN_0[MÊS],'DISTR-FIN'!K$2)</f>
        <v>0</v>
      </c>
      <c r="L24" s="201">
        <f>SUMIFS(DISTR_FIN_0[%DISTR],DISTR_FIN_0[SS],Tb_DISTR.FIN[[#This Row],[Nº  SS]],DISTR_FIN_0[MÊS],'DISTR-FIN'!L$2)</f>
        <v>0</v>
      </c>
      <c r="M24" s="201">
        <f>SUMIFS(DISTR_FIN_0[%DISTR],DISTR_FIN_0[SS],Tb_DISTR.FIN[[#This Row],[Nº  SS]],DISTR_FIN_0[MÊS],'DISTR-FIN'!M$2)</f>
        <v>0</v>
      </c>
      <c r="N24" s="201">
        <f>SUMIFS(DISTR_FIN_0[%DISTR],DISTR_FIN_0[SS],Tb_DISTR.FIN[[#This Row],[Nº  SS]],DISTR_FIN_0[MÊS],'DISTR-FIN'!N$2)</f>
        <v>0</v>
      </c>
      <c r="O24" s="201">
        <f>SUMIFS(DISTR_FIN_0[%DISTR],DISTR_FIN_0[SS],Tb_DISTR.FIN[[#This Row],[Nº  SS]],DISTR_FIN_0[MÊS],'DISTR-FIN'!O$2)</f>
        <v>0</v>
      </c>
      <c r="P24" s="201">
        <f>SUMIFS(DISTR_FIN_0[%DISTR],DISTR_FIN_0[SS],Tb_DISTR.FIN[[#This Row],[Nº  SS]],DISTR_FIN_0[MÊS],'DISTR-FIN'!P$2)</f>
        <v>0</v>
      </c>
      <c r="Q24" s="201">
        <f>SUMIFS(DISTR_FIN_0[%DISTR],DISTR_FIN_0[SS],Tb_DISTR.FIN[[#This Row],[Nº  SS]],DISTR_FIN_0[MÊS],'DISTR-FIN'!Q$2)</f>
        <v>0</v>
      </c>
      <c r="R24" s="201">
        <f>SUMIFS(DISTR_FIN_0[%DISTR],DISTR_FIN_0[SS],Tb_DISTR.FIN[[#This Row],[Nº  SS]],DISTR_FIN_0[MÊS],'DISTR-FIN'!R$2)</f>
        <v>0</v>
      </c>
      <c r="S24" s="201">
        <f>SUMIFS(DISTR_FIN_0[%DISTR],DISTR_FIN_0[SS],Tb_DISTR.FIN[[#This Row],[Nº  SS]],DISTR_FIN_0[MÊS],'DISTR-FIN'!S$2)</f>
        <v>0</v>
      </c>
      <c r="T24" s="201">
        <f>SUMIFS(DISTR_FIN_0[%DISTR],DISTR_FIN_0[SS],Tb_DISTR.FIN[[#This Row],[Nº  SS]],DISTR_FIN_0[MÊS],'DISTR-FIN'!T$2)</f>
        <v>0</v>
      </c>
      <c r="U24" s="201">
        <f>SUMIFS(DISTR_FIN_0[%DISTR],DISTR_FIN_0[SS],Tb_DISTR.FIN[[#This Row],[Nº  SS]],DISTR_FIN_0[MÊS],'DISTR-FIN'!U$2)</f>
        <v>0</v>
      </c>
      <c r="V24" s="349">
        <f>SUMIFS(DISTR_FIN_0[%DISTR],DISTR_FIN_0[SS],Tb_DISTR.FIN[[#This Row],[Nº  SS]],DISTR_FIN_0[MÊS],'DISTR-FIN'!V$2)</f>
        <v>0</v>
      </c>
      <c r="W24" s="349">
        <f>SUMIFS(DISTR_FIN_0[%DISTR],DISTR_FIN_0[SS],Tb_DISTR.FIN[[#This Row],[Nº  SS]],DISTR_FIN_0[MÊS],'DISTR-FIN'!W$2)</f>
        <v>0</v>
      </c>
      <c r="X24" s="153"/>
      <c r="Y24" s="147">
        <f>SUM(Tb_DISTR.FIN[[#This Row],[PLAN]:[ENTR.]])</f>
        <v>0</v>
      </c>
      <c r="Z24" s="197"/>
      <c r="AA24" s="197"/>
      <c r="AB24" s="197"/>
      <c r="AC24" s="197"/>
      <c r="AD24" s="197"/>
      <c r="AE24" s="197"/>
      <c r="AF24" s="197"/>
      <c r="AG24" s="197"/>
      <c r="AH24" s="197"/>
      <c r="AI24" s="197"/>
      <c r="AJ24" s="197"/>
      <c r="AK24" s="197"/>
      <c r="AL24" s="197"/>
      <c r="AM24" s="197"/>
    </row>
    <row r="25" spans="1:39" x14ac:dyDescent="0.3">
      <c r="A25" s="122" t="s">
        <v>240</v>
      </c>
      <c r="B25" s="122" t="str">
        <f>_xlfn.XLOOKUP(Tb_DISTR.FIN[[#This Row],[Nº  SS]],tb_Distr[SS],tb_Distr[DESCRIÇÃO],"",0,1)</f>
        <v>GALPÃO K-23</v>
      </c>
      <c r="C25" s="122" t="str">
        <f>_xlfn.XLOOKUP(Tb_DISTR.FIN[[#This Row],[Nº  SS]],TB_CR.ACOMP[Nº  SS],TB_CR.ACOMP[TOMADOR],"",0,1)</f>
        <v>UTGC</v>
      </c>
      <c r="D25" s="229">
        <f>_xlfn.XLOOKUP(Tb_DISTR.FIN[[#This Row],[Nº  SS]],Tb_ValorSS[Nº  SS],Tb_ValorSS[R$ APROVADO],"",0,1)</f>
        <v>1125967.97034</v>
      </c>
      <c r="E25" s="101">
        <f>SUM(Tb_DISTR.FIN[[#This Row],[SET.25]:[DEZ.26]])</f>
        <v>1</v>
      </c>
      <c r="F25" s="98">
        <f>SUMIFS(DISTR_FIN_0[%DISTR],DISTR_FIN_0[SS],Tb_DISTR.FIN[[#This Row],[Nº  SS]],DISTR_FIN_0[MÊS],'DISTR-FIN'!F$2)</f>
        <v>0</v>
      </c>
      <c r="G25" s="98">
        <f>SUMIFS(DISTR_FIN_0[%DISTR],DISTR_FIN_0[SS],Tb_DISTR.FIN[[#This Row],[Nº  SS]],DISTR_FIN_0[MÊS],'DISTR-FIN'!G$2)</f>
        <v>0</v>
      </c>
      <c r="H25" s="98">
        <f>SUMIFS(DISTR_FIN_0[%DISTR],DISTR_FIN_0[SS],Tb_DISTR.FIN[[#This Row],[Nº  SS]],DISTR_FIN_0[MÊS],'DISTR-FIN'!H$2)</f>
        <v>0</v>
      </c>
      <c r="I25" s="98">
        <f>SUMIFS(DISTR_FIN_0[%DISTR],DISTR_FIN_0[SS],Tb_DISTR.FIN[[#This Row],[Nº  SS]],DISTR_FIN_0[MÊS],'DISTR-FIN'!I$2)</f>
        <v>0.1</v>
      </c>
      <c r="J25" s="98">
        <f>SUMIFS(DISTR_FIN_0[%DISTR],DISTR_FIN_0[SS],Tb_DISTR.FIN[[#This Row],[Nº  SS]],DISTR_FIN_0[MÊS],'DISTR-FIN'!J$2)</f>
        <v>0.2</v>
      </c>
      <c r="K25" s="98">
        <f>SUMIFS(DISTR_FIN_0[%DISTR],DISTR_FIN_0[SS],Tb_DISTR.FIN[[#This Row],[Nº  SS]],DISTR_FIN_0[MÊS],'DISTR-FIN'!K$2)</f>
        <v>0.16</v>
      </c>
      <c r="L25" s="98">
        <f>SUMIFS(DISTR_FIN_0[%DISTR],DISTR_FIN_0[SS],Tb_DISTR.FIN[[#This Row],[Nº  SS]],DISTR_FIN_0[MÊS],'DISTR-FIN'!L$2)</f>
        <v>0.12</v>
      </c>
      <c r="M25" s="98">
        <f>SUMIFS(DISTR_FIN_0[%DISTR],DISTR_FIN_0[SS],Tb_DISTR.FIN[[#This Row],[Nº  SS]],DISTR_FIN_0[MÊS],'DISTR-FIN'!M$2)</f>
        <v>0.12</v>
      </c>
      <c r="N25" s="98">
        <f>SUMIFS(DISTR_FIN_0[%DISTR],DISTR_FIN_0[SS],Tb_DISTR.FIN[[#This Row],[Nº  SS]],DISTR_FIN_0[MÊS],'DISTR-FIN'!N$2)</f>
        <v>0.1</v>
      </c>
      <c r="O25" s="98">
        <f>SUMIFS(DISTR_FIN_0[%DISTR],DISTR_FIN_0[SS],Tb_DISTR.FIN[[#This Row],[Nº  SS]],DISTR_FIN_0[MÊS],'DISTR-FIN'!O$2)</f>
        <v>0.2</v>
      </c>
      <c r="P25" s="98">
        <f>SUMIFS(DISTR_FIN_0[%DISTR],DISTR_FIN_0[SS],Tb_DISTR.FIN[[#This Row],[Nº  SS]],DISTR_FIN_0[MÊS],'DISTR-FIN'!P$2)</f>
        <v>0</v>
      </c>
      <c r="Q25" s="98">
        <f>SUMIFS(DISTR_FIN_0[%DISTR],DISTR_FIN_0[SS],Tb_DISTR.FIN[[#This Row],[Nº  SS]],DISTR_FIN_0[MÊS],'DISTR-FIN'!Q$2)</f>
        <v>0</v>
      </c>
      <c r="R25" s="98">
        <f>SUMIFS(DISTR_FIN_0[%DISTR],DISTR_FIN_0[SS],Tb_DISTR.FIN[[#This Row],[Nº  SS]],DISTR_FIN_0[MÊS],'DISTR-FIN'!R$2)</f>
        <v>0</v>
      </c>
      <c r="S25" s="98">
        <f>SUMIFS(DISTR_FIN_0[%DISTR],DISTR_FIN_0[SS],Tb_DISTR.FIN[[#This Row],[Nº  SS]],DISTR_FIN_0[MÊS],'DISTR-FIN'!S$2)</f>
        <v>0</v>
      </c>
      <c r="T25" s="98">
        <f>SUMIFS(DISTR_FIN_0[%DISTR],DISTR_FIN_0[SS],Tb_DISTR.FIN[[#This Row],[Nº  SS]],DISTR_FIN_0[MÊS],'DISTR-FIN'!T$2)</f>
        <v>0</v>
      </c>
      <c r="U25" s="98">
        <f>SUMIFS(DISTR_FIN_0[%DISTR],DISTR_FIN_0[SS],Tb_DISTR.FIN[[#This Row],[Nº  SS]],DISTR_FIN_0[MÊS],'DISTR-FIN'!U$2)</f>
        <v>0</v>
      </c>
      <c r="V25" s="194">
        <f>SUMIFS(DISTR_FIN_0[%DISTR],DISTR_FIN_0[SS],Tb_DISTR.FIN[[#This Row],[Nº  SS]],DISTR_FIN_0[MÊS],'DISTR-FIN'!V$2)</f>
        <v>0</v>
      </c>
      <c r="W25" s="194">
        <f>SUMIFS(DISTR_FIN_0[%DISTR],DISTR_FIN_0[SS],Tb_DISTR.FIN[[#This Row],[Nº  SS]],DISTR_FIN_0[MÊS],'DISTR-FIN'!W$2)</f>
        <v>0</v>
      </c>
      <c r="X25" s="153"/>
      <c r="Y25" s="154">
        <f>SUM(Tb_DISTR.FIN[[#This Row],[PLAN]:[ENTR.]])</f>
        <v>0</v>
      </c>
      <c r="Z25" s="212" t="s">
        <v>150</v>
      </c>
      <c r="AA25" s="188" t="s">
        <v>151</v>
      </c>
      <c r="AB25" s="214" t="s">
        <v>152</v>
      </c>
      <c r="AC25" s="214" t="s">
        <v>152</v>
      </c>
      <c r="AD25" s="215" t="s">
        <v>153</v>
      </c>
      <c r="AE25" s="216" t="s">
        <v>154</v>
      </c>
      <c r="AF25" s="217" t="s">
        <v>155</v>
      </c>
      <c r="AG25" s="218" t="s">
        <v>156</v>
      </c>
      <c r="AH25" s="198"/>
      <c r="AI25" s="198"/>
      <c r="AJ25" s="198"/>
      <c r="AK25" s="198"/>
      <c r="AL25" s="198"/>
      <c r="AM25" s="218" t="s">
        <v>156</v>
      </c>
    </row>
    <row r="26" spans="1:39" x14ac:dyDescent="0.3">
      <c r="A26" s="122" t="s">
        <v>241</v>
      </c>
      <c r="B26" s="122" t="str">
        <f>_xlfn.XLOOKUP(Tb_DISTR.FIN[[#This Row],[Nº  SS]],tb_Distr[SS],tb_Distr[DESCRIÇÃO],"",0,1)</f>
        <v>GALPÃO K-12</v>
      </c>
      <c r="C26" s="122" t="str">
        <f>_xlfn.XLOOKUP(Tb_DISTR.FIN[[#This Row],[Nº  SS]],TB_CR.ACOMP[Nº  SS],TB_CR.ACOMP[TOMADOR],"",0,1)</f>
        <v>UTGC</v>
      </c>
      <c r="D26" s="229">
        <f>_xlfn.XLOOKUP(Tb_DISTR.FIN[[#This Row],[Nº  SS]],Tb_ValorSS[Nº  SS],Tb_ValorSS[R$ APROVADO],"",0,1)</f>
        <v>415472.31089999998</v>
      </c>
      <c r="E26" s="102">
        <f>SUM(Tb_DISTR.FIN[[#This Row],[SET.25]:[DEZ.26]])</f>
        <v>1</v>
      </c>
      <c r="F26" s="152">
        <f>SUMIFS(DISTR_FIN_0[%DISTR],DISTR_FIN_0[SS],Tb_DISTR.FIN[[#This Row],[Nº  SS]],DISTR_FIN_0[MÊS],'DISTR-FIN'!F$2)</f>
        <v>0</v>
      </c>
      <c r="G26" s="221">
        <f>SUMIFS(DISTR_FIN_0[%DISTR],DISTR_FIN_0[SS],Tb_DISTR.FIN[[#This Row],[Nº  SS]],DISTR_FIN_0[MÊS],'DISTR-FIN'!G$2)</f>
        <v>0</v>
      </c>
      <c r="H26" s="152">
        <f>SUMIFS(DISTR_FIN_0[%DISTR],DISTR_FIN_0[SS],Tb_DISTR.FIN[[#This Row],[Nº  SS]],DISTR_FIN_0[MÊS],'DISTR-FIN'!H$2)</f>
        <v>0</v>
      </c>
      <c r="I26" s="98">
        <f>SUMIFS(DISTR_FIN_0[%DISTR],DISTR_FIN_0[SS],Tb_DISTR.FIN[[#This Row],[Nº  SS]],DISTR_FIN_0[MÊS],'DISTR-FIN'!I$2)</f>
        <v>0.1</v>
      </c>
      <c r="J26" s="152">
        <f>SUMIFS(DISTR_FIN_0[%DISTR],DISTR_FIN_0[SS],Tb_DISTR.FIN[[#This Row],[Nº  SS]],DISTR_FIN_0[MÊS],'DISTR-FIN'!J$2)</f>
        <v>0.2</v>
      </c>
      <c r="K26" s="152">
        <f>SUMIFS(DISTR_FIN_0[%DISTR],DISTR_FIN_0[SS],Tb_DISTR.FIN[[#This Row],[Nº  SS]],DISTR_FIN_0[MÊS],'DISTR-FIN'!K$2)</f>
        <v>0.4</v>
      </c>
      <c r="L26" s="152">
        <f>SUMIFS(DISTR_FIN_0[%DISTR],DISTR_FIN_0[SS],Tb_DISTR.FIN[[#This Row],[Nº  SS]],DISTR_FIN_0[MÊS],'DISTR-FIN'!L$2)</f>
        <v>0</v>
      </c>
      <c r="M26" s="221">
        <f>SUMIFS(DISTR_FIN_0[%DISTR],DISTR_FIN_0[SS],Tb_DISTR.FIN[[#This Row],[Nº  SS]],DISTR_FIN_0[MÊS],'DISTR-FIN'!M$2)</f>
        <v>0.30000000000000004</v>
      </c>
      <c r="N26" s="152">
        <f>SUMIFS(DISTR_FIN_0[%DISTR],DISTR_FIN_0[SS],Tb_DISTR.FIN[[#This Row],[Nº  SS]],DISTR_FIN_0[MÊS],'DISTR-FIN'!N$2)</f>
        <v>0</v>
      </c>
      <c r="O26" s="152">
        <f>SUMIFS(DISTR_FIN_0[%DISTR],DISTR_FIN_0[SS],Tb_DISTR.FIN[[#This Row],[Nº  SS]],DISTR_FIN_0[MÊS],'DISTR-FIN'!O$2)</f>
        <v>0</v>
      </c>
      <c r="P26" s="152">
        <f>SUMIFS(DISTR_FIN_0[%DISTR],DISTR_FIN_0[SS],Tb_DISTR.FIN[[#This Row],[Nº  SS]],DISTR_FIN_0[MÊS],'DISTR-FIN'!P$2)</f>
        <v>0</v>
      </c>
      <c r="Q26" s="152">
        <f>SUMIFS(DISTR_FIN_0[%DISTR],DISTR_FIN_0[SS],Tb_DISTR.FIN[[#This Row],[Nº  SS]],DISTR_FIN_0[MÊS],'DISTR-FIN'!Q$2)</f>
        <v>0</v>
      </c>
      <c r="R26" s="152">
        <f>SUMIFS(DISTR_FIN_0[%DISTR],DISTR_FIN_0[SS],Tb_DISTR.FIN[[#This Row],[Nº  SS]],DISTR_FIN_0[MÊS],'DISTR-FIN'!R$2)</f>
        <v>0</v>
      </c>
      <c r="S26" s="152">
        <f>SUMIFS(DISTR_FIN_0[%DISTR],DISTR_FIN_0[SS],Tb_DISTR.FIN[[#This Row],[Nº  SS]],DISTR_FIN_0[MÊS],'DISTR-FIN'!S$2)</f>
        <v>0</v>
      </c>
      <c r="T26" s="152">
        <f>SUMIFS(DISTR_FIN_0[%DISTR],DISTR_FIN_0[SS],Tb_DISTR.FIN[[#This Row],[Nº  SS]],DISTR_FIN_0[MÊS],'DISTR-FIN'!T$2)</f>
        <v>0</v>
      </c>
      <c r="U26" s="194">
        <f>SUMIFS(DISTR_FIN_0[%DISTR],DISTR_FIN_0[SS],Tb_DISTR.FIN[[#This Row],[Nº  SS]],DISTR_FIN_0[MÊS],'DISTR-FIN'!U$2)</f>
        <v>0</v>
      </c>
      <c r="V26" s="194">
        <f>SUMIFS(DISTR_FIN_0[%DISTR],DISTR_FIN_0[SS],Tb_DISTR.FIN[[#This Row],[Nº  SS]],DISTR_FIN_0[MÊS],'DISTR-FIN'!V$2)</f>
        <v>0</v>
      </c>
      <c r="W26" s="194">
        <f>SUMIFS(DISTR_FIN_0[%DISTR],DISTR_FIN_0[SS],Tb_DISTR.FIN[[#This Row],[Nº  SS]],DISTR_FIN_0[MÊS],'DISTR-FIN'!W$2)</f>
        <v>0</v>
      </c>
      <c r="X26" s="153"/>
      <c r="Y26" s="222">
        <f>SUM(Tb_DISTR.FIN[[#This Row],[PLAN]:[ENTR.]])</f>
        <v>0</v>
      </c>
      <c r="Z26" s="187" t="s">
        <v>150</v>
      </c>
      <c r="AA26" s="188" t="s">
        <v>151</v>
      </c>
      <c r="AB26" s="214" t="s">
        <v>152</v>
      </c>
      <c r="AC26" s="214" t="s">
        <v>152</v>
      </c>
      <c r="AD26" s="214" t="s">
        <v>152</v>
      </c>
      <c r="AE26" s="216" t="s">
        <v>154</v>
      </c>
      <c r="AF26" s="226"/>
      <c r="AG26" s="226"/>
      <c r="AH26" s="226"/>
      <c r="AI26" s="226"/>
      <c r="AJ26" s="226"/>
      <c r="AK26" s="226"/>
      <c r="AL26" s="226"/>
      <c r="AM26" s="216" t="s">
        <v>154</v>
      </c>
    </row>
    <row r="27" spans="1:39" x14ac:dyDescent="0.3">
      <c r="A27" s="122" t="s">
        <v>242</v>
      </c>
      <c r="B27" s="122" t="str">
        <f>_xlfn.XLOOKUP(Tb_DISTR.FIN[[#This Row],[Nº  SS]],tb_Distr[SS],tb_Distr[DESCRIÇÃO],"",0,1)</f>
        <v>GALPÃO K-48</v>
      </c>
      <c r="C27" s="122" t="str">
        <f>_xlfn.XLOOKUP(Tb_DISTR.FIN[[#This Row],[Nº  SS]],TB_CR.ACOMP[Nº  SS],TB_CR.ACOMP[TOMADOR],"",0,1)</f>
        <v>UTGC</v>
      </c>
      <c r="D27" s="256">
        <f>_xlfn.XLOOKUP(Tb_DISTR.FIN[[#This Row],[Nº  SS]],Tb_ValorSS[Nº  SS],Tb_ValorSS[R$ APROVADO],"",0,1)</f>
        <v>1219896.0657000002</v>
      </c>
      <c r="E27" s="101">
        <f>SUM(Tb_DISTR.FIN[[#This Row],[SET.25]:[DEZ.26]])</f>
        <v>0.99999999999999989</v>
      </c>
      <c r="F27" s="98">
        <f>SUMIFS(DISTR_FIN_0[%DISTR],DISTR_FIN_0[SS],Tb_DISTR.FIN[[#This Row],[Nº  SS]],DISTR_FIN_0[MÊS],'DISTR-FIN'!F$2)</f>
        <v>0</v>
      </c>
      <c r="G27" s="98">
        <f>SUMIFS(DISTR_FIN_0[%DISTR],DISTR_FIN_0[SS],Tb_DISTR.FIN[[#This Row],[Nº  SS]],DISTR_FIN_0[MÊS],'DISTR-FIN'!G$2)</f>
        <v>0</v>
      </c>
      <c r="H27" s="98">
        <f>SUMIFS(DISTR_FIN_0[%DISTR],DISTR_FIN_0[SS],Tb_DISTR.FIN[[#This Row],[Nº  SS]],DISTR_FIN_0[MÊS],'DISTR-FIN'!H$2)</f>
        <v>0</v>
      </c>
      <c r="I27" s="98">
        <f>SUMIFS(DISTR_FIN_0[%DISTR],DISTR_FIN_0[SS],Tb_DISTR.FIN[[#This Row],[Nº  SS]],DISTR_FIN_0[MÊS],'DISTR-FIN'!I$2)</f>
        <v>0.1</v>
      </c>
      <c r="J27" s="98">
        <f>SUMIFS(DISTR_FIN_0[%DISTR],DISTR_FIN_0[SS],Tb_DISTR.FIN[[#This Row],[Nº  SS]],DISTR_FIN_0[MÊS],'DISTR-FIN'!J$2)</f>
        <v>0.25</v>
      </c>
      <c r="K27" s="98">
        <f>SUMIFS(DISTR_FIN_0[%DISTR],DISTR_FIN_0[SS],Tb_DISTR.FIN[[#This Row],[Nº  SS]],DISTR_FIN_0[MÊS],'DISTR-FIN'!K$2)</f>
        <v>0.09</v>
      </c>
      <c r="L27" s="98">
        <f>SUMIFS(DISTR_FIN_0[%DISTR],DISTR_FIN_0[SS],Tb_DISTR.FIN[[#This Row],[Nº  SS]],DISTR_FIN_0[MÊS],'DISTR-FIN'!L$2)</f>
        <v>0.1</v>
      </c>
      <c r="M27" s="98">
        <f>SUMIFS(DISTR_FIN_0[%DISTR],DISTR_FIN_0[SS],Tb_DISTR.FIN[[#This Row],[Nº  SS]],DISTR_FIN_0[MÊS],'DISTR-FIN'!M$2)</f>
        <v>0.12</v>
      </c>
      <c r="N27" s="98">
        <f>SUMIFS(DISTR_FIN_0[%DISTR],DISTR_FIN_0[SS],Tb_DISTR.FIN[[#This Row],[Nº  SS]],DISTR_FIN_0[MÊS],'DISTR-FIN'!N$2)</f>
        <v>0.12</v>
      </c>
      <c r="O27" s="98">
        <f>SUMIFS(DISTR_FIN_0[%DISTR],DISTR_FIN_0[SS],Tb_DISTR.FIN[[#This Row],[Nº  SS]],DISTR_FIN_0[MÊS],'DISTR-FIN'!O$2)</f>
        <v>0.22</v>
      </c>
      <c r="P27" s="98">
        <f>SUMIFS(DISTR_FIN_0[%DISTR],DISTR_FIN_0[SS],Tb_DISTR.FIN[[#This Row],[Nº  SS]],DISTR_FIN_0[MÊS],'DISTR-FIN'!P$2)</f>
        <v>0</v>
      </c>
      <c r="Q27" s="98">
        <f>SUMIFS(DISTR_FIN_0[%DISTR],DISTR_FIN_0[SS],Tb_DISTR.FIN[[#This Row],[Nº  SS]],DISTR_FIN_0[MÊS],'DISTR-FIN'!Q$2)</f>
        <v>0</v>
      </c>
      <c r="R27" s="98">
        <f>SUMIFS(DISTR_FIN_0[%DISTR],DISTR_FIN_0[SS],Tb_DISTR.FIN[[#This Row],[Nº  SS]],DISTR_FIN_0[MÊS],'DISTR-FIN'!R$2)</f>
        <v>0</v>
      </c>
      <c r="S27" s="98">
        <f>SUMIFS(DISTR_FIN_0[%DISTR],DISTR_FIN_0[SS],Tb_DISTR.FIN[[#This Row],[Nº  SS]],DISTR_FIN_0[MÊS],'DISTR-FIN'!S$2)</f>
        <v>0</v>
      </c>
      <c r="T27" s="98">
        <f>SUMIFS(DISTR_FIN_0[%DISTR],DISTR_FIN_0[SS],Tb_DISTR.FIN[[#This Row],[Nº  SS]],DISTR_FIN_0[MÊS],'DISTR-FIN'!T$2)</f>
        <v>0</v>
      </c>
      <c r="U27" s="98">
        <f>SUMIFS(DISTR_FIN_0[%DISTR],DISTR_FIN_0[SS],Tb_DISTR.FIN[[#This Row],[Nº  SS]],DISTR_FIN_0[MÊS],'DISTR-FIN'!U$2)</f>
        <v>0</v>
      </c>
      <c r="V27" s="194">
        <f>SUMIFS(DISTR_FIN_0[%DISTR],DISTR_FIN_0[SS],Tb_DISTR.FIN[[#This Row],[Nº  SS]],DISTR_FIN_0[MÊS],'DISTR-FIN'!V$2)</f>
        <v>0</v>
      </c>
      <c r="W27" s="194">
        <f>SUMIFS(DISTR_FIN_0[%DISTR],DISTR_FIN_0[SS],Tb_DISTR.FIN[[#This Row],[Nº  SS]],DISTR_FIN_0[MÊS],'DISTR-FIN'!W$2)</f>
        <v>0</v>
      </c>
      <c r="X27" s="153"/>
      <c r="Y27" s="147">
        <f>SUM(Tb_DISTR.FIN[[#This Row],[PLAN]:[ENTR.]])</f>
        <v>0</v>
      </c>
      <c r="Z27" s="187" t="s">
        <v>150</v>
      </c>
      <c r="AA27" s="188" t="s">
        <v>151</v>
      </c>
      <c r="AB27" s="215" t="s">
        <v>153</v>
      </c>
      <c r="AC27" s="188" t="s">
        <v>151</v>
      </c>
      <c r="AD27" s="214" t="s">
        <v>152</v>
      </c>
      <c r="AE27" s="216" t="s">
        <v>154</v>
      </c>
      <c r="AF27" s="217" t="s">
        <v>155</v>
      </c>
      <c r="AG27" s="218" t="s">
        <v>156</v>
      </c>
      <c r="AH27" s="198"/>
      <c r="AI27" s="198"/>
      <c r="AJ27" s="198"/>
      <c r="AK27" s="198"/>
      <c r="AL27" s="198"/>
      <c r="AM27" s="218" t="s">
        <v>156</v>
      </c>
    </row>
    <row r="28" spans="1:39" x14ac:dyDescent="0.3">
      <c r="A28" s="122" t="s">
        <v>243</v>
      </c>
      <c r="B28" s="122" t="str">
        <f>_xlfn.XLOOKUP(Tb_DISTR.FIN[[#This Row],[Nº  SS]],tb_Distr[SS],tb_Distr[DESCRIÇÃO],"",0,1)</f>
        <v>COBERTURA K-32</v>
      </c>
      <c r="C28" s="122" t="str">
        <f>_xlfn.XLOOKUP(Tb_DISTR.FIN[[#This Row],[Nº  SS]],TB_CR.ACOMP[Nº  SS],TB_CR.ACOMP[TOMADOR],"",0,1)</f>
        <v>UTGC</v>
      </c>
      <c r="D28" s="229">
        <f>_xlfn.XLOOKUP(Tb_DISTR.FIN[[#This Row],[Nº  SS]],Tb_ValorSS[Nº  SS],Tb_ValorSS[R$ APROVADO],"",0,1)</f>
        <v>139993.07525999998</v>
      </c>
      <c r="E28" s="102">
        <f>SUM(Tb_DISTR.FIN[[#This Row],[SET.25]:[DEZ.26]])</f>
        <v>1</v>
      </c>
      <c r="F28" s="152">
        <f>SUMIFS(DISTR_FIN_0[%DISTR],DISTR_FIN_0[SS],Tb_DISTR.FIN[[#This Row],[Nº  SS]],DISTR_FIN_0[MÊS],'DISTR-FIN'!F$2)</f>
        <v>0</v>
      </c>
      <c r="G28" s="221">
        <f>SUMIFS(DISTR_FIN_0[%DISTR],DISTR_FIN_0[SS],Tb_DISTR.FIN[[#This Row],[Nº  SS]],DISTR_FIN_0[MÊS],'DISTR-FIN'!G$2)</f>
        <v>0</v>
      </c>
      <c r="H28" s="152">
        <f>SUMIFS(DISTR_FIN_0[%DISTR],DISTR_FIN_0[SS],Tb_DISTR.FIN[[#This Row],[Nº  SS]],DISTR_FIN_0[MÊS],'DISTR-FIN'!H$2)</f>
        <v>0</v>
      </c>
      <c r="I28" s="98">
        <f>SUMIFS(DISTR_FIN_0[%DISTR],DISTR_FIN_0[SS],Tb_DISTR.FIN[[#This Row],[Nº  SS]],DISTR_FIN_0[MÊS],'DISTR-FIN'!I$2)</f>
        <v>0.1</v>
      </c>
      <c r="J28" s="152">
        <f>SUMIFS(DISTR_FIN_0[%DISTR],DISTR_FIN_0[SS],Tb_DISTR.FIN[[#This Row],[Nº  SS]],DISTR_FIN_0[MÊS],'DISTR-FIN'!J$2)</f>
        <v>0.2</v>
      </c>
      <c r="K28" s="152">
        <f>SUMIFS(DISTR_FIN_0[%DISTR],DISTR_FIN_0[SS],Tb_DISTR.FIN[[#This Row],[Nº  SS]],DISTR_FIN_0[MÊS],'DISTR-FIN'!K$2)</f>
        <v>0</v>
      </c>
      <c r="L28" s="152">
        <f>SUMIFS(DISTR_FIN_0[%DISTR],DISTR_FIN_0[SS],Tb_DISTR.FIN[[#This Row],[Nº  SS]],DISTR_FIN_0[MÊS],'DISTR-FIN'!L$2)</f>
        <v>0.15</v>
      </c>
      <c r="M28" s="221">
        <f>SUMIFS(DISTR_FIN_0[%DISTR],DISTR_FIN_0[SS],Tb_DISTR.FIN[[#This Row],[Nº  SS]],DISTR_FIN_0[MÊS],'DISTR-FIN'!M$2)</f>
        <v>0.3</v>
      </c>
      <c r="N28" s="152">
        <f>SUMIFS(DISTR_FIN_0[%DISTR],DISTR_FIN_0[SS],Tb_DISTR.FIN[[#This Row],[Nº  SS]],DISTR_FIN_0[MÊS],'DISTR-FIN'!N$2)</f>
        <v>0.25</v>
      </c>
      <c r="O28" s="152">
        <f>SUMIFS(DISTR_FIN_0[%DISTR],DISTR_FIN_0[SS],Tb_DISTR.FIN[[#This Row],[Nº  SS]],DISTR_FIN_0[MÊS],'DISTR-FIN'!O$2)</f>
        <v>0</v>
      </c>
      <c r="P28" s="152">
        <f>SUMIFS(DISTR_FIN_0[%DISTR],DISTR_FIN_0[SS],Tb_DISTR.FIN[[#This Row],[Nº  SS]],DISTR_FIN_0[MÊS],'DISTR-FIN'!P$2)</f>
        <v>0</v>
      </c>
      <c r="Q28" s="152">
        <f>SUMIFS(DISTR_FIN_0[%DISTR],DISTR_FIN_0[SS],Tb_DISTR.FIN[[#This Row],[Nº  SS]],DISTR_FIN_0[MÊS],'DISTR-FIN'!Q$2)</f>
        <v>0</v>
      </c>
      <c r="R28" s="152">
        <f>SUMIFS(DISTR_FIN_0[%DISTR],DISTR_FIN_0[SS],Tb_DISTR.FIN[[#This Row],[Nº  SS]],DISTR_FIN_0[MÊS],'DISTR-FIN'!R$2)</f>
        <v>0</v>
      </c>
      <c r="S28" s="152">
        <f>SUMIFS(DISTR_FIN_0[%DISTR],DISTR_FIN_0[SS],Tb_DISTR.FIN[[#This Row],[Nº  SS]],DISTR_FIN_0[MÊS],'DISTR-FIN'!S$2)</f>
        <v>0</v>
      </c>
      <c r="T28" s="152">
        <f>SUMIFS(DISTR_FIN_0[%DISTR],DISTR_FIN_0[SS],Tb_DISTR.FIN[[#This Row],[Nº  SS]],DISTR_FIN_0[MÊS],'DISTR-FIN'!T$2)</f>
        <v>0</v>
      </c>
      <c r="U28" s="194">
        <f>SUMIFS(DISTR_FIN_0[%DISTR],DISTR_FIN_0[SS],Tb_DISTR.FIN[[#This Row],[Nº  SS]],DISTR_FIN_0[MÊS],'DISTR-FIN'!U$2)</f>
        <v>0</v>
      </c>
      <c r="V28" s="194">
        <f>SUMIFS(DISTR_FIN_0[%DISTR],DISTR_FIN_0[SS],Tb_DISTR.FIN[[#This Row],[Nº  SS]],DISTR_FIN_0[MÊS],'DISTR-FIN'!V$2)</f>
        <v>0</v>
      </c>
      <c r="W28" s="194">
        <f>SUMIFS(DISTR_FIN_0[%DISTR],DISTR_FIN_0[SS],Tb_DISTR.FIN[[#This Row],[Nº  SS]],DISTR_FIN_0[MÊS],'DISTR-FIN'!W$2)</f>
        <v>0</v>
      </c>
      <c r="X28" s="153"/>
      <c r="Y28" s="222">
        <f>SUM(Tb_DISTR.FIN[[#This Row],[PLAN]:[ENTR.]])</f>
        <v>0</v>
      </c>
      <c r="Z28" s="187" t="s">
        <v>150</v>
      </c>
      <c r="AA28" s="213" t="s">
        <v>151</v>
      </c>
      <c r="AB28" s="215" t="s">
        <v>153</v>
      </c>
      <c r="AC28" s="216" t="s">
        <v>154</v>
      </c>
      <c r="AD28" s="217" t="s">
        <v>155</v>
      </c>
      <c r="AE28" s="226"/>
      <c r="AF28" s="226"/>
      <c r="AG28" s="226"/>
      <c r="AH28" s="226"/>
      <c r="AI28" s="226"/>
      <c r="AJ28" s="226"/>
      <c r="AK28" s="226"/>
      <c r="AL28" s="226"/>
      <c r="AM28" s="217" t="s">
        <v>155</v>
      </c>
    </row>
    <row r="29" spans="1:39" x14ac:dyDescent="0.3">
      <c r="A29" s="122" t="s">
        <v>244</v>
      </c>
      <c r="B29" s="122" t="str">
        <f>_xlfn.XLOOKUP(Tb_DISTR.FIN[[#This Row],[Nº  SS]],tb_Distr[SS],tb_Distr[DESCRIÇÃO],"",0,1)</f>
        <v>PISO ELEVADO</v>
      </c>
      <c r="C29" s="122" t="str">
        <f>_xlfn.XLOOKUP(Tb_DISTR.FIN[[#This Row],[Nº  SS]],TB_CR.ACOMP[Nº  SS],TB_CR.ACOMP[TOMADOR],"",0,1)</f>
        <v>EDIVIT</v>
      </c>
      <c r="D29" s="256">
        <f>_xlfn.XLOOKUP(Tb_DISTR.FIN[[#This Row],[Nº  SS]],Tb_ValorSS[Nº  SS],Tb_ValorSS[R$ APROVADO],"",0,1)</f>
        <v>41370.68</v>
      </c>
      <c r="E29" s="350">
        <f>SUM(Tb_DISTR.FIN[[#This Row],[SET.25]:[DEZ.26]])</f>
        <v>1</v>
      </c>
      <c r="F29" s="98">
        <f>SUMIFS(DISTR_FIN_0[%DISTR],DISTR_FIN_0[SS],Tb_DISTR.FIN[[#This Row],[Nº  SS]],DISTR_FIN_0[MÊS],'DISTR-FIN'!F$2)</f>
        <v>0</v>
      </c>
      <c r="G29" s="98">
        <f>SUMIFS(DISTR_FIN_0[%DISTR],DISTR_FIN_0[SS],Tb_DISTR.FIN[[#This Row],[Nº  SS]],DISTR_FIN_0[MÊS],'DISTR-FIN'!G$2)</f>
        <v>0</v>
      </c>
      <c r="H29" s="98">
        <f>SUMIFS(DISTR_FIN_0[%DISTR],DISTR_FIN_0[SS],Tb_DISTR.FIN[[#This Row],[Nº  SS]],DISTR_FIN_0[MÊS],'DISTR-FIN'!H$2)</f>
        <v>0</v>
      </c>
      <c r="I29" s="98">
        <f>SUMIFS(DISTR_FIN_0[%DISTR],DISTR_FIN_0[SS],Tb_DISTR.FIN[[#This Row],[Nº  SS]],DISTR_FIN_0[MÊS],'DISTR-FIN'!I$2)</f>
        <v>0</v>
      </c>
      <c r="J29" s="98">
        <f>SUMIFS(DISTR_FIN_0[%DISTR],DISTR_FIN_0[SS],Tb_DISTR.FIN[[#This Row],[Nº  SS]],DISTR_FIN_0[MÊS],'DISTR-FIN'!J$2)</f>
        <v>0</v>
      </c>
      <c r="K29" s="98">
        <f>SUMIFS(DISTR_FIN_0[%DISTR],DISTR_FIN_0[SS],Tb_DISTR.FIN[[#This Row],[Nº  SS]],DISTR_FIN_0[MÊS],'DISTR-FIN'!K$2)</f>
        <v>0.1</v>
      </c>
      <c r="L29" s="98">
        <f>SUMIFS(DISTR_FIN_0[%DISTR],DISTR_FIN_0[SS],Tb_DISTR.FIN[[#This Row],[Nº  SS]],DISTR_FIN_0[MÊS],'DISTR-FIN'!L$2)</f>
        <v>0.35</v>
      </c>
      <c r="M29" s="98">
        <f>SUMIFS(DISTR_FIN_0[%DISTR],DISTR_FIN_0[SS],Tb_DISTR.FIN[[#This Row],[Nº  SS]],DISTR_FIN_0[MÊS],'DISTR-FIN'!M$2)</f>
        <v>0.55000000000000004</v>
      </c>
      <c r="N29" s="98">
        <f>SUMIFS(DISTR_FIN_0[%DISTR],DISTR_FIN_0[SS],Tb_DISTR.FIN[[#This Row],[Nº  SS]],DISTR_FIN_0[MÊS],'DISTR-FIN'!N$2)</f>
        <v>0</v>
      </c>
      <c r="O29" s="98">
        <f>SUMIFS(DISTR_FIN_0[%DISTR],DISTR_FIN_0[SS],Tb_DISTR.FIN[[#This Row],[Nº  SS]],DISTR_FIN_0[MÊS],'DISTR-FIN'!O$2)</f>
        <v>0</v>
      </c>
      <c r="P29" s="98">
        <f>SUMIFS(DISTR_FIN_0[%DISTR],DISTR_FIN_0[SS],Tb_DISTR.FIN[[#This Row],[Nº  SS]],DISTR_FIN_0[MÊS],'DISTR-FIN'!P$2)</f>
        <v>0</v>
      </c>
      <c r="Q29" s="98">
        <f>SUMIFS(DISTR_FIN_0[%DISTR],DISTR_FIN_0[SS],Tb_DISTR.FIN[[#This Row],[Nº  SS]],DISTR_FIN_0[MÊS],'DISTR-FIN'!Q$2)</f>
        <v>0</v>
      </c>
      <c r="R29" s="98">
        <f>SUMIFS(DISTR_FIN_0[%DISTR],DISTR_FIN_0[SS],Tb_DISTR.FIN[[#This Row],[Nº  SS]],DISTR_FIN_0[MÊS],'DISTR-FIN'!R$2)</f>
        <v>0</v>
      </c>
      <c r="S29" s="98">
        <f>SUMIFS(DISTR_FIN_0[%DISTR],DISTR_FIN_0[SS],Tb_DISTR.FIN[[#This Row],[Nº  SS]],DISTR_FIN_0[MÊS],'DISTR-FIN'!S$2)</f>
        <v>0</v>
      </c>
      <c r="T29" s="98">
        <f>SUMIFS(DISTR_FIN_0[%DISTR],DISTR_FIN_0[SS],Tb_DISTR.FIN[[#This Row],[Nº  SS]],DISTR_FIN_0[MÊS],'DISTR-FIN'!T$2)</f>
        <v>0</v>
      </c>
      <c r="U29" s="98">
        <f>SUMIFS(DISTR_FIN_0[%DISTR],DISTR_FIN_0[SS],Tb_DISTR.FIN[[#This Row],[Nº  SS]],DISTR_FIN_0[MÊS],'DISTR-FIN'!U$2)</f>
        <v>0</v>
      </c>
      <c r="V29" s="194">
        <f>SUMIFS(DISTR_FIN_0[%DISTR],DISTR_FIN_0[SS],Tb_DISTR.FIN[[#This Row],[Nº  SS]],DISTR_FIN_0[MÊS],'DISTR-FIN'!V$2)</f>
        <v>0</v>
      </c>
      <c r="W29" s="194">
        <f>SUMIFS(DISTR_FIN_0[%DISTR],DISTR_FIN_0[SS],Tb_DISTR.FIN[[#This Row],[Nº  SS]],DISTR_FIN_0[MÊS],'DISTR-FIN'!W$2)</f>
        <v>0</v>
      </c>
      <c r="X29" s="153"/>
      <c r="Y29" s="147">
        <f>SUM(Tb_DISTR.FIN[[#This Row],[PLAN]:[ENTR.]])</f>
        <v>0</v>
      </c>
      <c r="Z29" s="214" t="s">
        <v>152</v>
      </c>
      <c r="AA29" s="215" t="s">
        <v>153</v>
      </c>
      <c r="AB29" s="215" t="s">
        <v>153</v>
      </c>
      <c r="AC29" s="216" t="s">
        <v>154</v>
      </c>
      <c r="AD29" s="216" t="s">
        <v>154</v>
      </c>
      <c r="AE29" s="198"/>
      <c r="AF29" s="198"/>
      <c r="AG29" s="198"/>
      <c r="AH29" s="198"/>
      <c r="AI29" s="198"/>
      <c r="AJ29" s="198"/>
      <c r="AK29" s="198"/>
      <c r="AL29" s="198"/>
      <c r="AM29" s="216" t="s">
        <v>154</v>
      </c>
    </row>
    <row r="30" spans="1:39" x14ac:dyDescent="0.3">
      <c r="A30" s="122" t="s">
        <v>250</v>
      </c>
      <c r="B30" s="122" t="str">
        <f>_xlfn.XLOOKUP(Tb_DISTR.FIN[[#This Row],[Nº  SS]],tb_Distr[SS],tb_Distr[DESCRIÇÃO],"",0,1)</f>
        <v>ADEQUAÇÃO PORTARIA</v>
      </c>
      <c r="C30" s="122" t="str">
        <f>_xlfn.XLOOKUP(Tb_DISTR.FIN[[#This Row],[Nº  SS]],TB_CR.ACOMP[Nº  SS],TB_CR.ACOMP[TOMADOR],"",0,1)</f>
        <v>UTGC</v>
      </c>
      <c r="D30" s="229">
        <f>_xlfn.XLOOKUP(Tb_DISTR.FIN[[#This Row],[Nº  SS]],Tb_ValorSS[Nº  SS],Tb_ValorSS[R$ APROVADO],"",0,1)</f>
        <v>82273.161240000001</v>
      </c>
      <c r="E30" s="102">
        <f>SUM(Tb_DISTR.FIN[[#This Row],[SET.25]:[DEZ.26]])</f>
        <v>1</v>
      </c>
      <c r="F30" s="152">
        <f>SUMIFS(DISTR_FIN_0[%DISTR],DISTR_FIN_0[SS],Tb_DISTR.FIN[[#This Row],[Nº  SS]],DISTR_FIN_0[MÊS],'DISTR-FIN'!F$2)</f>
        <v>0</v>
      </c>
      <c r="G30" s="223">
        <f>SUMIFS(DISTR_FIN_0[%DISTR],DISTR_FIN_0[SS],Tb_DISTR.FIN[[#This Row],[Nº  SS]],DISTR_FIN_0[MÊS],'DISTR-FIN'!G$2)</f>
        <v>0</v>
      </c>
      <c r="H30" s="152">
        <f>SUMIFS(DISTR_FIN_0[%DISTR],DISTR_FIN_0[SS],Tb_DISTR.FIN[[#This Row],[Nº  SS]],DISTR_FIN_0[MÊS],'DISTR-FIN'!H$2)</f>
        <v>0</v>
      </c>
      <c r="I30" s="224">
        <f>SUMIFS(DISTR_FIN_0[%DISTR],DISTR_FIN_0[SS],Tb_DISTR.FIN[[#This Row],[Nº  SS]],DISTR_FIN_0[MÊS],'DISTR-FIN'!I$2)</f>
        <v>1</v>
      </c>
      <c r="J30" s="152">
        <f>SUMIFS(DISTR_FIN_0[%DISTR],DISTR_FIN_0[SS],Tb_DISTR.FIN[[#This Row],[Nº  SS]],DISTR_FIN_0[MÊS],'DISTR-FIN'!J$2)</f>
        <v>0</v>
      </c>
      <c r="K30" s="152">
        <f>SUMIFS(DISTR_FIN_0[%DISTR],DISTR_FIN_0[SS],Tb_DISTR.FIN[[#This Row],[Nº  SS]],DISTR_FIN_0[MÊS],'DISTR-FIN'!K$2)</f>
        <v>0</v>
      </c>
      <c r="L30" s="152">
        <f>SUMIFS(DISTR_FIN_0[%DISTR],DISTR_FIN_0[SS],Tb_DISTR.FIN[[#This Row],[Nº  SS]],DISTR_FIN_0[MÊS],'DISTR-FIN'!L$2)</f>
        <v>0</v>
      </c>
      <c r="M30" s="223">
        <f>SUMIFS(DISTR_FIN_0[%DISTR],DISTR_FIN_0[SS],Tb_DISTR.FIN[[#This Row],[Nº  SS]],DISTR_FIN_0[MÊS],'DISTR-FIN'!M$2)</f>
        <v>0</v>
      </c>
      <c r="N30" s="152">
        <f>SUMIFS(DISTR_FIN_0[%DISTR],DISTR_FIN_0[SS],Tb_DISTR.FIN[[#This Row],[Nº  SS]],DISTR_FIN_0[MÊS],'DISTR-FIN'!N$2)</f>
        <v>0</v>
      </c>
      <c r="O30" s="152">
        <f>SUMIFS(DISTR_FIN_0[%DISTR],DISTR_FIN_0[SS],Tb_DISTR.FIN[[#This Row],[Nº  SS]],DISTR_FIN_0[MÊS],'DISTR-FIN'!O$2)</f>
        <v>0</v>
      </c>
      <c r="P30" s="152">
        <f>SUMIFS(DISTR_FIN_0[%DISTR],DISTR_FIN_0[SS],Tb_DISTR.FIN[[#This Row],[Nº  SS]],DISTR_FIN_0[MÊS],'DISTR-FIN'!P$2)</f>
        <v>0</v>
      </c>
      <c r="Q30" s="152">
        <f>SUMIFS(DISTR_FIN_0[%DISTR],DISTR_FIN_0[SS],Tb_DISTR.FIN[[#This Row],[Nº  SS]],DISTR_FIN_0[MÊS],'DISTR-FIN'!Q$2)</f>
        <v>0</v>
      </c>
      <c r="R30" s="152">
        <f>SUMIFS(DISTR_FIN_0[%DISTR],DISTR_FIN_0[SS],Tb_DISTR.FIN[[#This Row],[Nº  SS]],DISTR_FIN_0[MÊS],'DISTR-FIN'!R$2)</f>
        <v>0</v>
      </c>
      <c r="S30" s="152">
        <f>SUMIFS(DISTR_FIN_0[%DISTR],DISTR_FIN_0[SS],Tb_DISTR.FIN[[#This Row],[Nº  SS]],DISTR_FIN_0[MÊS],'DISTR-FIN'!S$2)</f>
        <v>0</v>
      </c>
      <c r="T30" s="152">
        <f>SUMIFS(DISTR_FIN_0[%DISTR],DISTR_FIN_0[SS],Tb_DISTR.FIN[[#This Row],[Nº  SS]],DISTR_FIN_0[MÊS],'DISTR-FIN'!T$2)</f>
        <v>0</v>
      </c>
      <c r="U30" s="194">
        <f>SUMIFS(DISTR_FIN_0[%DISTR],DISTR_FIN_0[SS],Tb_DISTR.FIN[[#This Row],[Nº  SS]],DISTR_FIN_0[MÊS],'DISTR-FIN'!U$2)</f>
        <v>0</v>
      </c>
      <c r="V30" s="194">
        <f>SUMIFS(DISTR_FIN_0[%DISTR],DISTR_FIN_0[SS],Tb_DISTR.FIN[[#This Row],[Nº  SS]],DISTR_FIN_0[MÊS],'DISTR-FIN'!V$2)</f>
        <v>0</v>
      </c>
      <c r="W30" s="194">
        <f>SUMIFS(DISTR_FIN_0[%DISTR],DISTR_FIN_0[SS],Tb_DISTR.FIN[[#This Row],[Nº  SS]],DISTR_FIN_0[MÊS],'DISTR-FIN'!W$2)</f>
        <v>0</v>
      </c>
      <c r="X30" s="153"/>
      <c r="Y30" s="225">
        <f>SUM(Tb_DISTR.FIN[[#This Row],[PLAN]:[ENTR.]])</f>
        <v>0</v>
      </c>
      <c r="Z30" s="187" t="s">
        <v>150</v>
      </c>
      <c r="AA30" s="187" t="s">
        <v>150</v>
      </c>
      <c r="AB30" s="187" t="s">
        <v>150</v>
      </c>
      <c r="AC30" s="226"/>
      <c r="AD30" s="226"/>
      <c r="AE30" s="226"/>
      <c r="AF30" s="226"/>
      <c r="AG30" s="226"/>
      <c r="AH30" s="226"/>
      <c r="AI30" s="226"/>
      <c r="AJ30" s="226"/>
      <c r="AK30" s="226"/>
      <c r="AL30" s="226"/>
      <c r="AM30" s="187" t="s">
        <v>150</v>
      </c>
    </row>
    <row r="31" spans="1:39" x14ac:dyDescent="0.3">
      <c r="A31" s="122" t="s">
        <v>417</v>
      </c>
      <c r="B31" s="122" t="str">
        <f>_xlfn.XLOOKUP(Tb_DISTR.FIN[[#This Row],[Nº  SS]],tb_Distr[SS],tb_Distr[DESCRIÇÃO],"",0,1)</f>
        <v>GALPÃO UPCGN-2</v>
      </c>
      <c r="C31" s="122" t="str">
        <f>_xlfn.XLOOKUP(Tb_DISTR.FIN[[#This Row],[Nº  SS]],TB_CR.ACOMP[Nº  SS],TB_CR.ACOMP[TOMADOR],"",0,1)</f>
        <v>UTGC</v>
      </c>
      <c r="D31" s="256">
        <f>_xlfn.XLOOKUP(Tb_DISTR.FIN[[#This Row],[Nº  SS]],Tb_ValorSS[Nº  SS],Tb_ValorSS[R$ APROVADO],"",0,1)</f>
        <v>128609.1378</v>
      </c>
      <c r="E31" s="350">
        <f>SUM(Tb_DISTR.FIN[[#This Row],[SET.25]:[DEZ.26]])</f>
        <v>1</v>
      </c>
      <c r="F31" s="98">
        <f>SUMIFS(DISTR_FIN_0[%DISTR],DISTR_FIN_0[SS],Tb_DISTR.FIN[[#This Row],[Nº  SS]],DISTR_FIN_0[MÊS],'DISTR-FIN'!F$2)</f>
        <v>0</v>
      </c>
      <c r="G31" s="98">
        <f>SUMIFS(DISTR_FIN_0[%DISTR],DISTR_FIN_0[SS],Tb_DISTR.FIN[[#This Row],[Nº  SS]],DISTR_FIN_0[MÊS],'DISTR-FIN'!G$2)</f>
        <v>0</v>
      </c>
      <c r="H31" s="98">
        <f>SUMIFS(DISTR_FIN_0[%DISTR],DISTR_FIN_0[SS],Tb_DISTR.FIN[[#This Row],[Nº  SS]],DISTR_FIN_0[MÊS],'DISTR-FIN'!H$2)</f>
        <v>0</v>
      </c>
      <c r="I31" s="98">
        <f>SUMIFS(DISTR_FIN_0[%DISTR],DISTR_FIN_0[SS],Tb_DISTR.FIN[[#This Row],[Nº  SS]],DISTR_FIN_0[MÊS],'DISTR-FIN'!I$2)</f>
        <v>0</v>
      </c>
      <c r="J31" s="98">
        <f>SUMIFS(DISTR_FIN_0[%DISTR],DISTR_FIN_0[SS],Tb_DISTR.FIN[[#This Row],[Nº  SS]],DISTR_FIN_0[MÊS],'DISTR-FIN'!J$2)</f>
        <v>0</v>
      </c>
      <c r="K31" s="98">
        <f>SUMIFS(DISTR_FIN_0[%DISTR],DISTR_FIN_0[SS],Tb_DISTR.FIN[[#This Row],[Nº  SS]],DISTR_FIN_0[MÊS],'DISTR-FIN'!K$2)</f>
        <v>1</v>
      </c>
      <c r="L31" s="98">
        <f>SUMIFS(DISTR_FIN_0[%DISTR],DISTR_FIN_0[SS],Tb_DISTR.FIN[[#This Row],[Nº  SS]],DISTR_FIN_0[MÊS],'DISTR-FIN'!L$2)</f>
        <v>0</v>
      </c>
      <c r="M31" s="98">
        <f>SUMIFS(DISTR_FIN_0[%DISTR],DISTR_FIN_0[SS],Tb_DISTR.FIN[[#This Row],[Nº  SS]],DISTR_FIN_0[MÊS],'DISTR-FIN'!M$2)</f>
        <v>0</v>
      </c>
      <c r="N31" s="98">
        <f>SUMIFS(DISTR_FIN_0[%DISTR],DISTR_FIN_0[SS],Tb_DISTR.FIN[[#This Row],[Nº  SS]],DISTR_FIN_0[MÊS],'DISTR-FIN'!N$2)</f>
        <v>0</v>
      </c>
      <c r="O31" s="98">
        <f>SUMIFS(DISTR_FIN_0[%DISTR],DISTR_FIN_0[SS],Tb_DISTR.FIN[[#This Row],[Nº  SS]],DISTR_FIN_0[MÊS],'DISTR-FIN'!O$2)</f>
        <v>0</v>
      </c>
      <c r="P31" s="98">
        <f>SUMIFS(DISTR_FIN_0[%DISTR],DISTR_FIN_0[SS],Tb_DISTR.FIN[[#This Row],[Nº  SS]],DISTR_FIN_0[MÊS],'DISTR-FIN'!P$2)</f>
        <v>0</v>
      </c>
      <c r="Q31" s="98">
        <f>SUMIFS(DISTR_FIN_0[%DISTR],DISTR_FIN_0[SS],Tb_DISTR.FIN[[#This Row],[Nº  SS]],DISTR_FIN_0[MÊS],'DISTR-FIN'!Q$2)</f>
        <v>0</v>
      </c>
      <c r="R31" s="98">
        <f>SUMIFS(DISTR_FIN_0[%DISTR],DISTR_FIN_0[SS],Tb_DISTR.FIN[[#This Row],[Nº  SS]],DISTR_FIN_0[MÊS],'DISTR-FIN'!R$2)</f>
        <v>0</v>
      </c>
      <c r="S31" s="98">
        <f>SUMIFS(DISTR_FIN_0[%DISTR],DISTR_FIN_0[SS],Tb_DISTR.FIN[[#This Row],[Nº  SS]],DISTR_FIN_0[MÊS],'DISTR-FIN'!S$2)</f>
        <v>0</v>
      </c>
      <c r="T31" s="98">
        <f>SUMIFS(DISTR_FIN_0[%DISTR],DISTR_FIN_0[SS],Tb_DISTR.FIN[[#This Row],[Nº  SS]],DISTR_FIN_0[MÊS],'DISTR-FIN'!T$2)</f>
        <v>0</v>
      </c>
      <c r="U31" s="98">
        <f>SUMIFS(DISTR_FIN_0[%DISTR],DISTR_FIN_0[SS],Tb_DISTR.FIN[[#This Row],[Nº  SS]],DISTR_FIN_0[MÊS],'DISTR-FIN'!U$2)</f>
        <v>0</v>
      </c>
      <c r="V31" s="194">
        <f>SUMIFS(DISTR_FIN_0[%DISTR],DISTR_FIN_0[SS],Tb_DISTR.FIN[[#This Row],[Nº  SS]],DISTR_FIN_0[MÊS],'DISTR-FIN'!V$2)</f>
        <v>0</v>
      </c>
      <c r="W31" s="194">
        <f>SUMIFS(DISTR_FIN_0[%DISTR],DISTR_FIN_0[SS],Tb_DISTR.FIN[[#This Row],[Nº  SS]],DISTR_FIN_0[MÊS],'DISTR-FIN'!W$2)</f>
        <v>0</v>
      </c>
      <c r="X31" s="153"/>
      <c r="Y31" s="147">
        <f>SUM(Tb_DISTR.FIN[[#This Row],[PLAN]:[ENTR.]])</f>
        <v>0</v>
      </c>
      <c r="Z31" s="214" t="s">
        <v>152</v>
      </c>
      <c r="AA31" s="214" t="s">
        <v>152</v>
      </c>
      <c r="AB31" s="214" t="s">
        <v>152</v>
      </c>
      <c r="AC31" s="198"/>
      <c r="AD31" s="198"/>
      <c r="AE31" s="198"/>
      <c r="AF31" s="198"/>
      <c r="AG31" s="198"/>
      <c r="AH31" s="198"/>
      <c r="AI31" s="198"/>
      <c r="AJ31" s="198"/>
      <c r="AK31" s="198"/>
      <c r="AL31" s="198"/>
      <c r="AM31" s="214" t="s">
        <v>152</v>
      </c>
    </row>
    <row r="32" spans="1:39" x14ac:dyDescent="0.3">
      <c r="A32" s="122" t="s">
        <v>416</v>
      </c>
      <c r="B32" s="122" t="str">
        <f>_xlfn.XLOOKUP(Tb_DISTR.FIN[[#This Row],[Nº  SS]],tb_Distr[SS],tb_Distr[DESCRIÇÃO],"",0,1)</f>
        <v>PISO ELEVADO - PORTARIA</v>
      </c>
      <c r="C32" s="122" t="str">
        <f>_xlfn.XLOOKUP(Tb_DISTR.FIN[[#This Row],[Nº  SS]],TB_CR.ACOMP[Nº  SS],TB_CR.ACOMP[TOMADOR],"",0,1)</f>
        <v>EDIVIT</v>
      </c>
      <c r="D32" s="256">
        <f>_xlfn.XLOOKUP(Tb_DISTR.FIN[[#This Row],[Nº  SS]],Tb_ValorSS[Nº  SS],Tb_ValorSS[R$ APROVADO],"",0,1)</f>
        <v>1114645.1777999999</v>
      </c>
      <c r="E32" s="350">
        <f>SUM(Tb_DISTR.FIN[[#This Row],[SET.25]:[DEZ.26]])</f>
        <v>1</v>
      </c>
      <c r="F32" s="98">
        <f>SUMIFS(DISTR_FIN_0[%DISTR],DISTR_FIN_0[SS],Tb_DISTR.FIN[[#This Row],[Nº  SS]],DISTR_FIN_0[MÊS],'DISTR-FIN'!F$2)</f>
        <v>0</v>
      </c>
      <c r="G32" s="98">
        <f>SUMIFS(DISTR_FIN_0[%DISTR],DISTR_FIN_0[SS],Tb_DISTR.FIN[[#This Row],[Nº  SS]],DISTR_FIN_0[MÊS],'DISTR-FIN'!G$2)</f>
        <v>0</v>
      </c>
      <c r="H32" s="98">
        <f>SUMIFS(DISTR_FIN_0[%DISTR],DISTR_FIN_0[SS],Tb_DISTR.FIN[[#This Row],[Nº  SS]],DISTR_FIN_0[MÊS],'DISTR-FIN'!H$2)</f>
        <v>0</v>
      </c>
      <c r="I32" s="98">
        <f>SUMIFS(DISTR_FIN_0[%DISTR],DISTR_FIN_0[SS],Tb_DISTR.FIN[[#This Row],[Nº  SS]],DISTR_FIN_0[MÊS],'DISTR-FIN'!I$2)</f>
        <v>0</v>
      </c>
      <c r="J32" s="98">
        <f>SUMIFS(DISTR_FIN_0[%DISTR],DISTR_FIN_0[SS],Tb_DISTR.FIN[[#This Row],[Nº  SS]],DISTR_FIN_0[MÊS],'DISTR-FIN'!J$2)</f>
        <v>0</v>
      </c>
      <c r="K32" s="98">
        <f>SUMIFS(DISTR_FIN_0[%DISTR],DISTR_FIN_0[SS],Tb_DISTR.FIN[[#This Row],[Nº  SS]],DISTR_FIN_0[MÊS],'DISTR-FIN'!K$2)</f>
        <v>0.1</v>
      </c>
      <c r="L32" s="98">
        <f>SUMIFS(DISTR_FIN_0[%DISTR],DISTR_FIN_0[SS],Tb_DISTR.FIN[[#This Row],[Nº  SS]],DISTR_FIN_0[MÊS],'DISTR-FIN'!L$2)</f>
        <v>0.2</v>
      </c>
      <c r="M32" s="98">
        <f>SUMIFS(DISTR_FIN_0[%DISTR],DISTR_FIN_0[SS],Tb_DISTR.FIN[[#This Row],[Nº  SS]],DISTR_FIN_0[MÊS],'DISTR-FIN'!M$2)</f>
        <v>0.08</v>
      </c>
      <c r="N32" s="98">
        <f>SUMIFS(DISTR_FIN_0[%DISTR],DISTR_FIN_0[SS],Tb_DISTR.FIN[[#This Row],[Nº  SS]],DISTR_FIN_0[MÊS],'DISTR-FIN'!N$2)</f>
        <v>0.09</v>
      </c>
      <c r="O32" s="98">
        <f>SUMIFS(DISTR_FIN_0[%DISTR],DISTR_FIN_0[SS],Tb_DISTR.FIN[[#This Row],[Nº  SS]],DISTR_FIN_0[MÊS],'DISTR-FIN'!O$2)</f>
        <v>0.09</v>
      </c>
      <c r="P32" s="98">
        <f>SUMIFS(DISTR_FIN_0[%DISTR],DISTR_FIN_0[SS],Tb_DISTR.FIN[[#This Row],[Nº  SS]],DISTR_FIN_0[MÊS],'DISTR-FIN'!P$2)</f>
        <v>0.09</v>
      </c>
      <c r="Q32" s="98">
        <f>SUMIFS(DISTR_FIN_0[%DISTR],DISTR_FIN_0[SS],Tb_DISTR.FIN[[#This Row],[Nº  SS]],DISTR_FIN_0[MÊS],'DISTR-FIN'!Q$2)</f>
        <v>0.09</v>
      </c>
      <c r="R32" s="98">
        <f>SUMIFS(DISTR_FIN_0[%DISTR],DISTR_FIN_0[SS],Tb_DISTR.FIN[[#This Row],[Nº  SS]],DISTR_FIN_0[MÊS],'DISTR-FIN'!R$2)</f>
        <v>0.08</v>
      </c>
      <c r="S32" s="98">
        <f>SUMIFS(DISTR_FIN_0[%DISTR],DISTR_FIN_0[SS],Tb_DISTR.FIN[[#This Row],[Nº  SS]],DISTR_FIN_0[MÊS],'DISTR-FIN'!S$2)</f>
        <v>0.18</v>
      </c>
      <c r="T32" s="98">
        <f>SUMIFS(DISTR_FIN_0[%DISTR],DISTR_FIN_0[SS],Tb_DISTR.FIN[[#This Row],[Nº  SS]],DISTR_FIN_0[MÊS],'DISTR-FIN'!T$2)</f>
        <v>0</v>
      </c>
      <c r="U32" s="98">
        <f>SUMIFS(DISTR_FIN_0[%DISTR],DISTR_FIN_0[SS],Tb_DISTR.FIN[[#This Row],[Nº  SS]],DISTR_FIN_0[MÊS],'DISTR-FIN'!U$2)</f>
        <v>0</v>
      </c>
      <c r="V32" s="194">
        <f>SUMIFS(DISTR_FIN_0[%DISTR],DISTR_FIN_0[SS],Tb_DISTR.FIN[[#This Row],[Nº  SS]],DISTR_FIN_0[MÊS],'DISTR-FIN'!V$2)</f>
        <v>0</v>
      </c>
      <c r="W32" s="194">
        <f>SUMIFS(DISTR_FIN_0[%DISTR],DISTR_FIN_0[SS],Tb_DISTR.FIN[[#This Row],[Nº  SS]],DISTR_FIN_0[MÊS],'DISTR-FIN'!W$2)</f>
        <v>0</v>
      </c>
      <c r="X32" s="153"/>
      <c r="Y32" s="147">
        <f>SUM(Tb_DISTR.FIN[[#This Row],[PLAN]:[ENTR.]])</f>
        <v>0</v>
      </c>
      <c r="Z32" s="214" t="s">
        <v>152</v>
      </c>
      <c r="AA32" s="215" t="s">
        <v>153</v>
      </c>
      <c r="AB32" s="216" t="s">
        <v>154</v>
      </c>
      <c r="AC32" s="217" t="s">
        <v>155</v>
      </c>
      <c r="AD32" s="218" t="s">
        <v>156</v>
      </c>
      <c r="AE32" s="219" t="s">
        <v>157</v>
      </c>
      <c r="AF32" s="220" t="s">
        <v>158</v>
      </c>
      <c r="AG32" s="209" t="s">
        <v>159</v>
      </c>
      <c r="AH32" s="210" t="s">
        <v>160</v>
      </c>
      <c r="AI32" s="227"/>
      <c r="AJ32" s="351"/>
      <c r="AK32" s="227"/>
      <c r="AL32" s="227"/>
      <c r="AM32" s="210" t="s">
        <v>160</v>
      </c>
    </row>
    <row r="33" spans="1:39" x14ac:dyDescent="0.3">
      <c r="A33" s="122" t="s">
        <v>445</v>
      </c>
      <c r="B33" s="122" t="str">
        <f>_xlfn.XLOOKUP(Tb_DISTR.FIN[[#This Row],[Nº  SS]],tb_Distr[SS],tb_Distr[DESCRIÇÃO],"",0,1)</f>
        <v>CANTEIRO DA INOVA</v>
      </c>
      <c r="C33" s="122" t="str">
        <f>_xlfn.XLOOKUP(Tb_DISTR.FIN[[#This Row],[Nº  SS]],TB_CR.ACOMP[Nº  SS],TB_CR.ACOMP[TOMADOR],"",0,1)</f>
        <v>UTGC</v>
      </c>
      <c r="D33" s="256">
        <f>_xlfn.XLOOKUP(Tb_DISTR.FIN[[#This Row],[Nº  SS]],Tb_ValorSS[Nº  SS],Tb_ValorSS[R$ APROVADO],"",0,1)</f>
        <v>91628.333999999988</v>
      </c>
      <c r="E33" s="350">
        <f>SUM(Tb_DISTR.FIN[[#This Row],[SET.25]:[DEZ.26]])</f>
        <v>1</v>
      </c>
      <c r="F33" s="98">
        <f>SUMIFS(DISTR_FIN_0[%DISTR],DISTR_FIN_0[SS],Tb_DISTR.FIN[[#This Row],[Nº  SS]],DISTR_FIN_0[MÊS],'DISTR-FIN'!F$2)</f>
        <v>0</v>
      </c>
      <c r="G33" s="98">
        <f>SUMIFS(DISTR_FIN_0[%DISTR],DISTR_FIN_0[SS],Tb_DISTR.FIN[[#This Row],[Nº  SS]],DISTR_FIN_0[MÊS],'DISTR-FIN'!G$2)</f>
        <v>0</v>
      </c>
      <c r="H33" s="98">
        <f>SUMIFS(DISTR_FIN_0[%DISTR],DISTR_FIN_0[SS],Tb_DISTR.FIN[[#This Row],[Nº  SS]],DISTR_FIN_0[MÊS],'DISTR-FIN'!H$2)</f>
        <v>0</v>
      </c>
      <c r="I33" s="98">
        <f>SUMIFS(DISTR_FIN_0[%DISTR],DISTR_FIN_0[SS],Tb_DISTR.FIN[[#This Row],[Nº  SS]],DISTR_FIN_0[MÊS],'DISTR-FIN'!I$2)</f>
        <v>0</v>
      </c>
      <c r="J33" s="98">
        <f>SUMIFS(DISTR_FIN_0[%DISTR],DISTR_FIN_0[SS],Tb_DISTR.FIN[[#This Row],[Nº  SS]],DISTR_FIN_0[MÊS],'DISTR-FIN'!J$2)</f>
        <v>0</v>
      </c>
      <c r="K33" s="98">
        <f>SUMIFS(DISTR_FIN_0[%DISTR],DISTR_FIN_0[SS],Tb_DISTR.FIN[[#This Row],[Nº  SS]],DISTR_FIN_0[MÊS],'DISTR-FIN'!K$2)</f>
        <v>0.37000000000000005</v>
      </c>
      <c r="L33" s="98">
        <f>SUMIFS(DISTR_FIN_0[%DISTR],DISTR_FIN_0[SS],Tb_DISTR.FIN[[#This Row],[Nº  SS]],DISTR_FIN_0[MÊS],'DISTR-FIN'!L$2)</f>
        <v>0.23</v>
      </c>
      <c r="M33" s="98">
        <f>SUMIFS(DISTR_FIN_0[%DISTR],DISTR_FIN_0[SS],Tb_DISTR.FIN[[#This Row],[Nº  SS]],DISTR_FIN_0[MÊS],'DISTR-FIN'!M$2)</f>
        <v>0.4</v>
      </c>
      <c r="N33" s="98">
        <f>SUMIFS(DISTR_FIN_0[%DISTR],DISTR_FIN_0[SS],Tb_DISTR.FIN[[#This Row],[Nº  SS]],DISTR_FIN_0[MÊS],'DISTR-FIN'!N$2)</f>
        <v>0</v>
      </c>
      <c r="O33" s="98">
        <f>SUMIFS(DISTR_FIN_0[%DISTR],DISTR_FIN_0[SS],Tb_DISTR.FIN[[#This Row],[Nº  SS]],DISTR_FIN_0[MÊS],'DISTR-FIN'!O$2)</f>
        <v>0</v>
      </c>
      <c r="P33" s="98">
        <f>SUMIFS(DISTR_FIN_0[%DISTR],DISTR_FIN_0[SS],Tb_DISTR.FIN[[#This Row],[Nº  SS]],DISTR_FIN_0[MÊS],'DISTR-FIN'!P$2)</f>
        <v>0</v>
      </c>
      <c r="Q33" s="98">
        <f>SUMIFS(DISTR_FIN_0[%DISTR],DISTR_FIN_0[SS],Tb_DISTR.FIN[[#This Row],[Nº  SS]],DISTR_FIN_0[MÊS],'DISTR-FIN'!Q$2)</f>
        <v>0</v>
      </c>
      <c r="R33" s="98">
        <f>SUMIFS(DISTR_FIN_0[%DISTR],DISTR_FIN_0[SS],Tb_DISTR.FIN[[#This Row],[Nº  SS]],DISTR_FIN_0[MÊS],'DISTR-FIN'!R$2)</f>
        <v>0</v>
      </c>
      <c r="S33" s="98">
        <f>SUMIFS(DISTR_FIN_0[%DISTR],DISTR_FIN_0[SS],Tb_DISTR.FIN[[#This Row],[Nº  SS]],DISTR_FIN_0[MÊS],'DISTR-FIN'!S$2)</f>
        <v>0</v>
      </c>
      <c r="T33" s="98">
        <f>SUMIFS(DISTR_FIN_0[%DISTR],DISTR_FIN_0[SS],Tb_DISTR.FIN[[#This Row],[Nº  SS]],DISTR_FIN_0[MÊS],'DISTR-FIN'!T$2)</f>
        <v>0</v>
      </c>
      <c r="U33" s="98">
        <f>SUMIFS(DISTR_FIN_0[%DISTR],DISTR_FIN_0[SS],Tb_DISTR.FIN[[#This Row],[Nº  SS]],DISTR_FIN_0[MÊS],'DISTR-FIN'!U$2)</f>
        <v>0</v>
      </c>
      <c r="V33" s="194">
        <f>SUMIFS(DISTR_FIN_0[%DISTR],DISTR_FIN_0[SS],Tb_DISTR.FIN[[#This Row],[Nº  SS]],DISTR_FIN_0[MÊS],'DISTR-FIN'!V$2)</f>
        <v>0</v>
      </c>
      <c r="W33" s="194">
        <f>SUMIFS(DISTR_FIN_0[%DISTR],DISTR_FIN_0[SS],Tb_DISTR.FIN[[#This Row],[Nº  SS]],DISTR_FIN_0[MÊS],'DISTR-FIN'!W$2)</f>
        <v>0</v>
      </c>
      <c r="X33" s="153"/>
      <c r="Y33" s="147">
        <f>SUM(Tb_DISTR.FIN[[#This Row],[PLAN]:[ENTR.]])</f>
        <v>0</v>
      </c>
      <c r="Z33" s="214" t="s">
        <v>152</v>
      </c>
      <c r="AA33" s="214" t="s">
        <v>152</v>
      </c>
      <c r="AB33" s="214" t="s">
        <v>152</v>
      </c>
      <c r="AC33" s="215" t="s">
        <v>153</v>
      </c>
      <c r="AD33" s="216" t="s">
        <v>154</v>
      </c>
      <c r="AE33" s="198"/>
      <c r="AF33" s="198"/>
      <c r="AG33" s="198"/>
      <c r="AH33" s="198"/>
      <c r="AI33" s="198"/>
      <c r="AJ33" s="198"/>
      <c r="AK33" s="198"/>
      <c r="AL33" s="198"/>
      <c r="AM33" s="216" t="s">
        <v>154</v>
      </c>
    </row>
    <row r="34" spans="1:39" x14ac:dyDescent="0.3">
      <c r="A34" s="122" t="s">
        <v>530</v>
      </c>
      <c r="B34" s="122" t="str">
        <f>_xlfn.XLOOKUP(Tb_DISTR.FIN[[#This Row],[Nº  SS]],tb_Distr[SS],tb_Distr[DESCRIÇÃO],"",0,1)</f>
        <v>DEPÓSITO DE PIG K-34</v>
      </c>
      <c r="C34" s="122" t="str">
        <f>_xlfn.XLOOKUP(Tb_DISTR.FIN[[#This Row],[Nº  SS]],TB_CR.ACOMP[Nº  SS],TB_CR.ACOMP[TOMADOR],"",0,1)</f>
        <v>UTGC</v>
      </c>
      <c r="D34" s="256">
        <f>_xlfn.XLOOKUP(Tb_DISTR.FIN[[#This Row],[Nº  SS]],Tb_ValorSS[Nº  SS],Tb_ValorSS[R$ APROVADO],"",0,1)</f>
        <v>467937.02681999997</v>
      </c>
      <c r="E34" s="350">
        <f>SUM(Tb_DISTR.FIN[[#This Row],[SET.25]:[DEZ.26]])</f>
        <v>1</v>
      </c>
      <c r="F34" s="98">
        <f>SUMIFS(DISTR_FIN_0[%DISTR],DISTR_FIN_0[SS],Tb_DISTR.FIN[[#This Row],[Nº  SS]],DISTR_FIN_0[MÊS],'DISTR-FIN'!F$2)</f>
        <v>0</v>
      </c>
      <c r="G34" s="98">
        <f>SUMIFS(DISTR_FIN_0[%DISTR],DISTR_FIN_0[SS],Tb_DISTR.FIN[[#This Row],[Nº  SS]],DISTR_FIN_0[MÊS],'DISTR-FIN'!G$2)</f>
        <v>0</v>
      </c>
      <c r="H34" s="98">
        <f>SUMIFS(DISTR_FIN_0[%DISTR],DISTR_FIN_0[SS],Tb_DISTR.FIN[[#This Row],[Nº  SS]],DISTR_FIN_0[MÊS],'DISTR-FIN'!H$2)</f>
        <v>0</v>
      </c>
      <c r="I34" s="98">
        <f>SUMIFS(DISTR_FIN_0[%DISTR],DISTR_FIN_0[SS],Tb_DISTR.FIN[[#This Row],[Nº  SS]],DISTR_FIN_0[MÊS],'DISTR-FIN'!I$2)</f>
        <v>0</v>
      </c>
      <c r="J34" s="98">
        <f>SUMIFS(DISTR_FIN_0[%DISTR],DISTR_FIN_0[SS],Tb_DISTR.FIN[[#This Row],[Nº  SS]],DISTR_FIN_0[MÊS],'DISTR-FIN'!J$2)</f>
        <v>0</v>
      </c>
      <c r="K34" s="98">
        <f>SUMIFS(DISTR_FIN_0[%DISTR],DISTR_FIN_0[SS],Tb_DISTR.FIN[[#This Row],[Nº  SS]],DISTR_FIN_0[MÊS],'DISTR-FIN'!K$2)</f>
        <v>0.1</v>
      </c>
      <c r="L34" s="98">
        <f>SUMIFS(DISTR_FIN_0[%DISTR],DISTR_FIN_0[SS],Tb_DISTR.FIN[[#This Row],[Nº  SS]],DISTR_FIN_0[MÊS],'DISTR-FIN'!L$2)</f>
        <v>0</v>
      </c>
      <c r="M34" s="98">
        <f>SUMIFS(DISTR_FIN_0[%DISTR],DISTR_FIN_0[SS],Tb_DISTR.FIN[[#This Row],[Nº  SS]],DISTR_FIN_0[MÊS],'DISTR-FIN'!M$2)</f>
        <v>0.25</v>
      </c>
      <c r="N34" s="98">
        <f>SUMIFS(DISTR_FIN_0[%DISTR],DISTR_FIN_0[SS],Tb_DISTR.FIN[[#This Row],[Nº  SS]],DISTR_FIN_0[MÊS],'DISTR-FIN'!N$2)</f>
        <v>0.23</v>
      </c>
      <c r="O34" s="98">
        <f>SUMIFS(DISTR_FIN_0[%DISTR],DISTR_FIN_0[SS],Tb_DISTR.FIN[[#This Row],[Nº  SS]],DISTR_FIN_0[MÊS],'DISTR-FIN'!O$2)</f>
        <v>0.13</v>
      </c>
      <c r="P34" s="98">
        <f>SUMIFS(DISTR_FIN_0[%DISTR],DISTR_FIN_0[SS],Tb_DISTR.FIN[[#This Row],[Nº  SS]],DISTR_FIN_0[MÊS],'DISTR-FIN'!P$2)</f>
        <v>0.13</v>
      </c>
      <c r="Q34" s="98">
        <f>SUMIFS(DISTR_FIN_0[%DISTR],DISTR_FIN_0[SS],Tb_DISTR.FIN[[#This Row],[Nº  SS]],DISTR_FIN_0[MÊS],'DISTR-FIN'!Q$2)</f>
        <v>0.16</v>
      </c>
      <c r="R34" s="98">
        <f>SUMIFS(DISTR_FIN_0[%DISTR],DISTR_FIN_0[SS],Tb_DISTR.FIN[[#This Row],[Nº  SS]],DISTR_FIN_0[MÊS],'DISTR-FIN'!R$2)</f>
        <v>0</v>
      </c>
      <c r="S34" s="98">
        <f>SUMIFS(DISTR_FIN_0[%DISTR],DISTR_FIN_0[SS],Tb_DISTR.FIN[[#This Row],[Nº  SS]],DISTR_FIN_0[MÊS],'DISTR-FIN'!S$2)</f>
        <v>0</v>
      </c>
      <c r="T34" s="98">
        <f>SUMIFS(DISTR_FIN_0[%DISTR],DISTR_FIN_0[SS],Tb_DISTR.FIN[[#This Row],[Nº  SS]],DISTR_FIN_0[MÊS],'DISTR-FIN'!T$2)</f>
        <v>0</v>
      </c>
      <c r="U34" s="98">
        <f>SUMIFS(DISTR_FIN_0[%DISTR],DISTR_FIN_0[SS],Tb_DISTR.FIN[[#This Row],[Nº  SS]],DISTR_FIN_0[MÊS],'DISTR-FIN'!U$2)</f>
        <v>0</v>
      </c>
      <c r="V34" s="194">
        <f>SUMIFS(DISTR_FIN_0[%DISTR],DISTR_FIN_0[SS],Tb_DISTR.FIN[[#This Row],[Nº  SS]],DISTR_FIN_0[MÊS],'DISTR-FIN'!V$2)</f>
        <v>0</v>
      </c>
      <c r="W34" s="194">
        <f>SUMIFS(DISTR_FIN_0[%DISTR],DISTR_FIN_0[SS],Tb_DISTR.FIN[[#This Row],[Nº  SS]],DISTR_FIN_0[MÊS],'DISTR-FIN'!W$2)</f>
        <v>0</v>
      </c>
      <c r="X34" s="153"/>
      <c r="Y34" s="147">
        <f>SUM(Tb_DISTR.FIN[[#This Row],[PLAN]:[ENTR.]])</f>
        <v>0</v>
      </c>
      <c r="Z34" s="214" t="s">
        <v>152</v>
      </c>
      <c r="AA34" s="216" t="s">
        <v>154</v>
      </c>
      <c r="AB34" s="217" t="s">
        <v>155</v>
      </c>
      <c r="AC34" s="216" t="s">
        <v>154</v>
      </c>
      <c r="AD34" s="217" t="s">
        <v>155</v>
      </c>
      <c r="AE34" s="218" t="s">
        <v>156</v>
      </c>
      <c r="AF34" s="219" t="s">
        <v>157</v>
      </c>
      <c r="AG34" s="220" t="s">
        <v>158</v>
      </c>
      <c r="AH34" s="198"/>
      <c r="AI34" s="198"/>
      <c r="AJ34" s="198"/>
      <c r="AK34" s="198"/>
      <c r="AL34" s="198"/>
      <c r="AM34" s="220" t="s">
        <v>158</v>
      </c>
    </row>
    <row r="35" spans="1:39" x14ac:dyDescent="0.3">
      <c r="A35" s="122" t="s">
        <v>531</v>
      </c>
      <c r="B35" s="122" t="str">
        <f>_xlfn.XLOOKUP(Tb_DISTR.FIN[[#This Row],[Nº  SS]],tb_Distr[SS],tb_Distr[DESCRIÇÃO],"",0,1)</f>
        <v>GALPÃO K-56</v>
      </c>
      <c r="C35" s="122" t="str">
        <f>_xlfn.XLOOKUP(Tb_DISTR.FIN[[#This Row],[Nº  SS]],TB_CR.ACOMP[Nº  SS],TB_CR.ACOMP[TOMADOR],"",0,1)</f>
        <v>UTGC</v>
      </c>
      <c r="D35" s="256">
        <f>_xlfn.XLOOKUP(Tb_DISTR.FIN[[#This Row],[Nº  SS]],Tb_ValorSS[Nº  SS],Tb_ValorSS[R$ APROVADO],"",0,1)</f>
        <v>565513.33679999993</v>
      </c>
      <c r="E35" s="350">
        <f>SUM(Tb_DISTR.FIN[[#This Row],[SET.25]:[DEZ.26]])</f>
        <v>1</v>
      </c>
      <c r="F35" s="98">
        <f>SUMIFS(DISTR_FIN_0[%DISTR],DISTR_FIN_0[SS],Tb_DISTR.FIN[[#This Row],[Nº  SS]],DISTR_FIN_0[MÊS],'DISTR-FIN'!F$2)</f>
        <v>0</v>
      </c>
      <c r="G35" s="98">
        <f>SUMIFS(DISTR_FIN_0[%DISTR],DISTR_FIN_0[SS],Tb_DISTR.FIN[[#This Row],[Nº  SS]],DISTR_FIN_0[MÊS],'DISTR-FIN'!G$2)</f>
        <v>0</v>
      </c>
      <c r="H35" s="98">
        <f>SUMIFS(DISTR_FIN_0[%DISTR],DISTR_FIN_0[SS],Tb_DISTR.FIN[[#This Row],[Nº  SS]],DISTR_FIN_0[MÊS],'DISTR-FIN'!H$2)</f>
        <v>0</v>
      </c>
      <c r="I35" s="98">
        <f>SUMIFS(DISTR_FIN_0[%DISTR],DISTR_FIN_0[SS],Tb_DISTR.FIN[[#This Row],[Nº  SS]],DISTR_FIN_0[MÊS],'DISTR-FIN'!I$2)</f>
        <v>0</v>
      </c>
      <c r="J35" s="98">
        <f>SUMIFS(DISTR_FIN_0[%DISTR],DISTR_FIN_0[SS],Tb_DISTR.FIN[[#This Row],[Nº  SS]],DISTR_FIN_0[MÊS],'DISTR-FIN'!J$2)</f>
        <v>0</v>
      </c>
      <c r="K35" s="98">
        <f>SUMIFS(DISTR_FIN_0[%DISTR],DISTR_FIN_0[SS],Tb_DISTR.FIN[[#This Row],[Nº  SS]],DISTR_FIN_0[MÊS],'DISTR-FIN'!K$2)</f>
        <v>0</v>
      </c>
      <c r="L35" s="98">
        <f>SUMIFS(DISTR_FIN_0[%DISTR],DISTR_FIN_0[SS],Tb_DISTR.FIN[[#This Row],[Nº  SS]],DISTR_FIN_0[MÊS],'DISTR-FIN'!L$2)</f>
        <v>0.1</v>
      </c>
      <c r="M35" s="98">
        <f>SUMIFS(DISTR_FIN_0[%DISTR],DISTR_FIN_0[SS],Tb_DISTR.FIN[[#This Row],[Nº  SS]],DISTR_FIN_0[MÊS],'DISTR-FIN'!M$2)</f>
        <v>0</v>
      </c>
      <c r="N35" s="98">
        <f>SUMIFS(DISTR_FIN_0[%DISTR],DISTR_FIN_0[SS],Tb_DISTR.FIN[[#This Row],[Nº  SS]],DISTR_FIN_0[MÊS],'DISTR-FIN'!N$2)</f>
        <v>0.30000000000000004</v>
      </c>
      <c r="O35" s="98">
        <f>SUMIFS(DISTR_FIN_0[%DISTR],DISTR_FIN_0[SS],Tb_DISTR.FIN[[#This Row],[Nº  SS]],DISTR_FIN_0[MÊS],'DISTR-FIN'!O$2)</f>
        <v>0.15</v>
      </c>
      <c r="P35" s="98">
        <f>SUMIFS(DISTR_FIN_0[%DISTR],DISTR_FIN_0[SS],Tb_DISTR.FIN[[#This Row],[Nº  SS]],DISTR_FIN_0[MÊS],'DISTR-FIN'!P$2)</f>
        <v>0.2</v>
      </c>
      <c r="Q35" s="98">
        <f>SUMIFS(DISTR_FIN_0[%DISTR],DISTR_FIN_0[SS],Tb_DISTR.FIN[[#This Row],[Nº  SS]],DISTR_FIN_0[MÊS],'DISTR-FIN'!Q$2)</f>
        <v>0.25</v>
      </c>
      <c r="R35" s="98">
        <f>SUMIFS(DISTR_FIN_0[%DISTR],DISTR_FIN_0[SS],Tb_DISTR.FIN[[#This Row],[Nº  SS]],DISTR_FIN_0[MÊS],'DISTR-FIN'!R$2)</f>
        <v>0</v>
      </c>
      <c r="S35" s="98">
        <f>SUMIFS(DISTR_FIN_0[%DISTR],DISTR_FIN_0[SS],Tb_DISTR.FIN[[#This Row],[Nº  SS]],DISTR_FIN_0[MÊS],'DISTR-FIN'!S$2)</f>
        <v>0</v>
      </c>
      <c r="T35" s="98">
        <f>SUMIFS(DISTR_FIN_0[%DISTR],DISTR_FIN_0[SS],Tb_DISTR.FIN[[#This Row],[Nº  SS]],DISTR_FIN_0[MÊS],'DISTR-FIN'!T$2)</f>
        <v>0</v>
      </c>
      <c r="U35" s="98">
        <f>SUMIFS(DISTR_FIN_0[%DISTR],DISTR_FIN_0[SS],Tb_DISTR.FIN[[#This Row],[Nº  SS]],DISTR_FIN_0[MÊS],'DISTR-FIN'!U$2)</f>
        <v>0</v>
      </c>
      <c r="V35" s="194">
        <f>SUMIFS(DISTR_FIN_0[%DISTR],DISTR_FIN_0[SS],Tb_DISTR.FIN[[#This Row],[Nº  SS]],DISTR_FIN_0[MÊS],'DISTR-FIN'!V$2)</f>
        <v>0</v>
      </c>
      <c r="W35" s="194">
        <f>SUMIFS(DISTR_FIN_0[%DISTR],DISTR_FIN_0[SS],Tb_DISTR.FIN[[#This Row],[Nº  SS]],DISTR_FIN_0[MÊS],'DISTR-FIN'!W$2)</f>
        <v>0</v>
      </c>
      <c r="X35" s="153"/>
      <c r="Y35" s="147">
        <f>SUM(Tb_DISTR.FIN[[#This Row],[PLAN]:[ENTR.]])</f>
        <v>0</v>
      </c>
      <c r="Z35" s="215" t="s">
        <v>153</v>
      </c>
      <c r="AA35" s="217" t="s">
        <v>155</v>
      </c>
      <c r="AB35" s="217" t="s">
        <v>155</v>
      </c>
      <c r="AC35" s="218" t="s">
        <v>156</v>
      </c>
      <c r="AD35" s="219" t="s">
        <v>157</v>
      </c>
      <c r="AE35" s="220" t="s">
        <v>158</v>
      </c>
      <c r="AF35" s="198"/>
      <c r="AG35" s="198"/>
      <c r="AH35" s="198"/>
      <c r="AI35" s="198"/>
      <c r="AJ35" s="198"/>
      <c r="AK35" s="198"/>
      <c r="AL35" s="198"/>
      <c r="AM35" s="220" t="s">
        <v>158</v>
      </c>
    </row>
    <row r="36" spans="1:39" x14ac:dyDescent="0.3">
      <c r="A36" s="122" t="s">
        <v>532</v>
      </c>
      <c r="B36" s="122" t="str">
        <f>_xlfn.XLOOKUP(Tb_DISTR.FIN[[#This Row],[Nº  SS]],tb_Distr[SS],tb_Distr[DESCRIÇÃO],"",0,1)</f>
        <v>GALPÃO K-26</v>
      </c>
      <c r="C36" s="122" t="str">
        <f>_xlfn.XLOOKUP(Tb_DISTR.FIN[[#This Row],[Nº  SS]],TB_CR.ACOMP[Nº  SS],TB_CR.ACOMP[TOMADOR],"",0,1)</f>
        <v>UTGC</v>
      </c>
      <c r="D36" s="256">
        <f>_xlfn.XLOOKUP(Tb_DISTR.FIN[[#This Row],[Nº  SS]],Tb_ValorSS[Nº  SS],Tb_ValorSS[R$ APROVADO],"",0,1)</f>
        <v>348499.33019999997</v>
      </c>
      <c r="E36" s="350">
        <f>SUM(Tb_DISTR.FIN[[#This Row],[SET.25]:[DEZ.26]])</f>
        <v>0.99999999999999989</v>
      </c>
      <c r="F36" s="98">
        <f>SUMIFS(DISTR_FIN_0[%DISTR],DISTR_FIN_0[SS],Tb_DISTR.FIN[[#This Row],[Nº  SS]],DISTR_FIN_0[MÊS],'DISTR-FIN'!F$2)</f>
        <v>0</v>
      </c>
      <c r="G36" s="98">
        <f>SUMIFS(DISTR_FIN_0[%DISTR],DISTR_FIN_0[SS],Tb_DISTR.FIN[[#This Row],[Nº  SS]],DISTR_FIN_0[MÊS],'DISTR-FIN'!G$2)</f>
        <v>0</v>
      </c>
      <c r="H36" s="98">
        <f>SUMIFS(DISTR_FIN_0[%DISTR],DISTR_FIN_0[SS],Tb_DISTR.FIN[[#This Row],[Nº  SS]],DISTR_FIN_0[MÊS],'DISTR-FIN'!H$2)</f>
        <v>0</v>
      </c>
      <c r="I36" s="98">
        <f>SUMIFS(DISTR_FIN_0[%DISTR],DISTR_FIN_0[SS],Tb_DISTR.FIN[[#This Row],[Nº  SS]],DISTR_FIN_0[MÊS],'DISTR-FIN'!I$2)</f>
        <v>0</v>
      </c>
      <c r="J36" s="98">
        <f>SUMIFS(DISTR_FIN_0[%DISTR],DISTR_FIN_0[SS],Tb_DISTR.FIN[[#This Row],[Nº  SS]],DISTR_FIN_0[MÊS],'DISTR-FIN'!J$2)</f>
        <v>0</v>
      </c>
      <c r="K36" s="98">
        <f>SUMIFS(DISTR_FIN_0[%DISTR],DISTR_FIN_0[SS],Tb_DISTR.FIN[[#This Row],[Nº  SS]],DISTR_FIN_0[MÊS],'DISTR-FIN'!K$2)</f>
        <v>0.1</v>
      </c>
      <c r="L36" s="98">
        <f>SUMIFS(DISTR_FIN_0[%DISTR],DISTR_FIN_0[SS],Tb_DISTR.FIN[[#This Row],[Nº  SS]],DISTR_FIN_0[MÊS],'DISTR-FIN'!L$2)</f>
        <v>0</v>
      </c>
      <c r="M36" s="98">
        <f>SUMIFS(DISTR_FIN_0[%DISTR],DISTR_FIN_0[SS],Tb_DISTR.FIN[[#This Row],[Nº  SS]],DISTR_FIN_0[MÊS],'DISTR-FIN'!M$2)</f>
        <v>0.2</v>
      </c>
      <c r="N36" s="98">
        <f>SUMIFS(DISTR_FIN_0[%DISTR],DISTR_FIN_0[SS],Tb_DISTR.FIN[[#This Row],[Nº  SS]],DISTR_FIN_0[MÊS],'DISTR-FIN'!N$2)</f>
        <v>0.09</v>
      </c>
      <c r="O36" s="98">
        <f>SUMIFS(DISTR_FIN_0[%DISTR],DISTR_FIN_0[SS],Tb_DISTR.FIN[[#This Row],[Nº  SS]],DISTR_FIN_0[MÊS],'DISTR-FIN'!O$2)</f>
        <v>0.09</v>
      </c>
      <c r="P36" s="98">
        <f>SUMIFS(DISTR_FIN_0[%DISTR],DISTR_FIN_0[SS],Tb_DISTR.FIN[[#This Row],[Nº  SS]],DISTR_FIN_0[MÊS],'DISTR-FIN'!P$2)</f>
        <v>0.09</v>
      </c>
      <c r="Q36" s="98">
        <f>SUMIFS(DISTR_FIN_0[%DISTR],DISTR_FIN_0[SS],Tb_DISTR.FIN[[#This Row],[Nº  SS]],DISTR_FIN_0[MÊS],'DISTR-FIN'!Q$2)</f>
        <v>0.09</v>
      </c>
      <c r="R36" s="98">
        <f>SUMIFS(DISTR_FIN_0[%DISTR],DISTR_FIN_0[SS],Tb_DISTR.FIN[[#This Row],[Nº  SS]],DISTR_FIN_0[MÊS],'DISTR-FIN'!R$2)</f>
        <v>0.09</v>
      </c>
      <c r="S36" s="98">
        <f>SUMIFS(DISTR_FIN_0[%DISTR],DISTR_FIN_0[SS],Tb_DISTR.FIN[[#This Row],[Nº  SS]],DISTR_FIN_0[MÊS],'DISTR-FIN'!S$2)</f>
        <v>0.08</v>
      </c>
      <c r="T36" s="98">
        <f>SUMIFS(DISTR_FIN_0[%DISTR],DISTR_FIN_0[SS],Tb_DISTR.FIN[[#This Row],[Nº  SS]],DISTR_FIN_0[MÊS],'DISTR-FIN'!T$2)</f>
        <v>0.17</v>
      </c>
      <c r="U36" s="98">
        <f>SUMIFS(DISTR_FIN_0[%DISTR],DISTR_FIN_0[SS],Tb_DISTR.FIN[[#This Row],[Nº  SS]],DISTR_FIN_0[MÊS],'DISTR-FIN'!U$2)</f>
        <v>0</v>
      </c>
      <c r="V36" s="98">
        <f>SUMIFS(DISTR_FIN_0[%DISTR],DISTR_FIN_0[SS],Tb_DISTR.FIN[[#This Row],[Nº  SS]],DISTR_FIN_0[MÊS],'DISTR-FIN'!V$2)</f>
        <v>0</v>
      </c>
      <c r="W36" s="98">
        <f>SUMIFS(DISTR_FIN_0[%DISTR],DISTR_FIN_0[SS],Tb_DISTR.FIN[[#This Row],[Nº  SS]],DISTR_FIN_0[MÊS],'DISTR-FIN'!W$2)</f>
        <v>0</v>
      </c>
      <c r="X36" s="153"/>
      <c r="Y36" s="147">
        <f>SUM(Tb_DISTR.FIN[[#This Row],[PLAN]:[ENTR.]])</f>
        <v>0</v>
      </c>
      <c r="Z36" s="214" t="s">
        <v>152</v>
      </c>
      <c r="AA36" s="216" t="s">
        <v>154</v>
      </c>
      <c r="AB36" s="217" t="s">
        <v>155</v>
      </c>
      <c r="AC36" s="218" t="s">
        <v>156</v>
      </c>
      <c r="AD36" s="219" t="s">
        <v>157</v>
      </c>
      <c r="AE36" s="220" t="s">
        <v>158</v>
      </c>
      <c r="AF36" s="209" t="s">
        <v>159</v>
      </c>
      <c r="AG36" s="210" t="s">
        <v>160</v>
      </c>
      <c r="AH36" s="211" t="s">
        <v>161</v>
      </c>
      <c r="AI36" s="198"/>
      <c r="AJ36" s="198"/>
      <c r="AK36" s="198"/>
      <c r="AL36" s="198"/>
      <c r="AM36" s="211" t="s">
        <v>161</v>
      </c>
    </row>
    <row r="37" spans="1:39" x14ac:dyDescent="0.3">
      <c r="A37" s="123" t="s">
        <v>621</v>
      </c>
      <c r="B37" s="123" t="str">
        <f>_xlfn.XLOOKUP(Tb_DISTR.FIN[[#This Row],[Nº  SS]],tb_Distr[SS],tb_Distr[DESCRIÇÃO],"",0,1)</f>
        <v>TELHADO K-24</v>
      </c>
      <c r="C37" s="123" t="str">
        <f>_xlfn.XLOOKUP(Tb_DISTR.FIN[[#This Row],[Nº  SS]],TB_CR.ACOMP[Nº  SS],TB_CR.ACOMP[TOMADOR],"",0,1)</f>
        <v>UTGC</v>
      </c>
      <c r="D37" s="230">
        <f>_xlfn.XLOOKUP(Tb_DISTR.FIN[[#This Row],[Nº  SS]],Tb_ValorSS[Nº  SS],Tb_ValorSS[R$ APROVADO],"",0,1)</f>
        <v>0</v>
      </c>
      <c r="E37" s="136">
        <f>SUM(Tb_DISTR.FIN[[#This Row],[SET.25]:[DEZ.26]])</f>
        <v>0</v>
      </c>
      <c r="F37" s="201">
        <f>SUMIFS(DISTR_FIN_0[%DISTR],DISTR_FIN_0[SS],Tb_DISTR.FIN[[#This Row],[Nº  SS]],DISTR_FIN_0[MÊS],'DISTR-FIN'!F$2)</f>
        <v>0</v>
      </c>
      <c r="G37" s="201">
        <f>SUMIFS(DISTR_FIN_0[%DISTR],DISTR_FIN_0[SS],Tb_DISTR.FIN[[#This Row],[Nº  SS]],DISTR_FIN_0[MÊS],'DISTR-FIN'!G$2)</f>
        <v>0</v>
      </c>
      <c r="H37" s="201">
        <f>SUMIFS(DISTR_FIN_0[%DISTR],DISTR_FIN_0[SS],Tb_DISTR.FIN[[#This Row],[Nº  SS]],DISTR_FIN_0[MÊS],'DISTR-FIN'!H$2)</f>
        <v>0</v>
      </c>
      <c r="I37" s="201">
        <f>SUMIFS(DISTR_FIN_0[%DISTR],DISTR_FIN_0[SS],Tb_DISTR.FIN[[#This Row],[Nº  SS]],DISTR_FIN_0[MÊS],'DISTR-FIN'!I$2)</f>
        <v>0</v>
      </c>
      <c r="J37" s="201">
        <f>SUMIFS(DISTR_FIN_0[%DISTR],DISTR_FIN_0[SS],Tb_DISTR.FIN[[#This Row],[Nº  SS]],DISTR_FIN_0[MÊS],'DISTR-FIN'!J$2)</f>
        <v>0</v>
      </c>
      <c r="K37" s="201">
        <f>SUMIFS(DISTR_FIN_0[%DISTR],DISTR_FIN_0[SS],Tb_DISTR.FIN[[#This Row],[Nº  SS]],DISTR_FIN_0[MÊS],'DISTR-FIN'!K$2)</f>
        <v>0</v>
      </c>
      <c r="L37" s="201">
        <f>SUMIFS(DISTR_FIN_0[%DISTR],DISTR_FIN_0[SS],Tb_DISTR.FIN[[#This Row],[Nº  SS]],DISTR_FIN_0[MÊS],'DISTR-FIN'!L$2)</f>
        <v>0</v>
      </c>
      <c r="M37" s="201">
        <f>SUMIFS(DISTR_FIN_0[%DISTR],DISTR_FIN_0[SS],Tb_DISTR.FIN[[#This Row],[Nº  SS]],DISTR_FIN_0[MÊS],'DISTR-FIN'!M$2)</f>
        <v>0</v>
      </c>
      <c r="N37" s="201">
        <f>SUMIFS(DISTR_FIN_0[%DISTR],DISTR_FIN_0[SS],Tb_DISTR.FIN[[#This Row],[Nº  SS]],DISTR_FIN_0[MÊS],'DISTR-FIN'!N$2)</f>
        <v>0</v>
      </c>
      <c r="O37" s="201">
        <f>SUMIFS(DISTR_FIN_0[%DISTR],DISTR_FIN_0[SS],Tb_DISTR.FIN[[#This Row],[Nº  SS]],DISTR_FIN_0[MÊS],'DISTR-FIN'!O$2)</f>
        <v>0</v>
      </c>
      <c r="P37" s="201">
        <f>SUMIFS(DISTR_FIN_0[%DISTR],DISTR_FIN_0[SS],Tb_DISTR.FIN[[#This Row],[Nº  SS]],DISTR_FIN_0[MÊS],'DISTR-FIN'!P$2)</f>
        <v>0</v>
      </c>
      <c r="Q37" s="201">
        <f>SUMIFS(DISTR_FIN_0[%DISTR],DISTR_FIN_0[SS],Tb_DISTR.FIN[[#This Row],[Nº  SS]],DISTR_FIN_0[MÊS],'DISTR-FIN'!Q$2)</f>
        <v>0</v>
      </c>
      <c r="R37" s="201">
        <f>SUMIFS(DISTR_FIN_0[%DISTR],DISTR_FIN_0[SS],Tb_DISTR.FIN[[#This Row],[Nº  SS]],DISTR_FIN_0[MÊS],'DISTR-FIN'!R$2)</f>
        <v>0</v>
      </c>
      <c r="S37" s="201">
        <f>SUMIFS(DISTR_FIN_0[%DISTR],DISTR_FIN_0[SS],Tb_DISTR.FIN[[#This Row],[Nº  SS]],DISTR_FIN_0[MÊS],'DISTR-FIN'!S$2)</f>
        <v>0</v>
      </c>
      <c r="T37" s="201">
        <f>SUMIFS(DISTR_FIN_0[%DISTR],DISTR_FIN_0[SS],Tb_DISTR.FIN[[#This Row],[Nº  SS]],DISTR_FIN_0[MÊS],'DISTR-FIN'!T$2)</f>
        <v>0</v>
      </c>
      <c r="U37" s="201">
        <f>SUMIFS(DISTR_FIN_0[%DISTR],DISTR_FIN_0[SS],Tb_DISTR.FIN[[#This Row],[Nº  SS]],DISTR_FIN_0[MÊS],'DISTR-FIN'!U$2)</f>
        <v>0</v>
      </c>
      <c r="V37" s="349">
        <f>SUMIFS(DISTR_FIN_0[%DISTR],DISTR_FIN_0[SS],Tb_DISTR.FIN[[#This Row],[Nº  SS]],DISTR_FIN_0[MÊS],'DISTR-FIN'!V$2)</f>
        <v>0</v>
      </c>
      <c r="W37" s="349">
        <f>SUMIFS(DISTR_FIN_0[%DISTR],DISTR_FIN_0[SS],Tb_DISTR.FIN[[#This Row],[Nº  SS]],DISTR_FIN_0[MÊS],'DISTR-FIN'!W$2)</f>
        <v>0</v>
      </c>
      <c r="X37" s="150"/>
      <c r="Y37" s="222">
        <f>SUM(Tb_DISTR.FIN[[#This Row],[PLAN]:[ENTR.]])</f>
        <v>0</v>
      </c>
      <c r="Z37" s="465"/>
      <c r="AA37" s="465"/>
      <c r="AB37" s="465"/>
      <c r="AC37" s="465"/>
      <c r="AD37" s="465"/>
      <c r="AE37" s="465"/>
      <c r="AF37" s="465"/>
      <c r="AG37" s="465"/>
      <c r="AH37" s="465"/>
      <c r="AI37" s="465"/>
      <c r="AJ37" s="465"/>
      <c r="AK37" s="465"/>
      <c r="AL37" s="197"/>
      <c r="AM37" s="465"/>
    </row>
    <row r="38" spans="1:39" x14ac:dyDescent="0.3">
      <c r="A38" s="122" t="s">
        <v>642</v>
      </c>
      <c r="B38" s="122" t="str">
        <f>_xlfn.XLOOKUP(Tb_DISTR.FIN[[#This Row],[Nº  SS]],tb_Distr[SS],tb_Distr[DESCRIÇÃO],"",0,1)</f>
        <v>CHILLERS</v>
      </c>
      <c r="C38" s="122" t="str">
        <f>_xlfn.XLOOKUP(Tb_DISTR.FIN[[#This Row],[Nº  SS]],TB_CR.ACOMP[Nº  SS],TB_CR.ACOMP[TOMADOR],"",0,1)</f>
        <v>EDIVIT</v>
      </c>
      <c r="D38" s="256">
        <f>_xlfn.XLOOKUP(Tb_DISTR.FIN[[#This Row],[Nº  SS]],Tb_ValorSS[Nº  SS],Tb_ValorSS[R$ APROVADO],"",0,1)</f>
        <v>416350.00763999997</v>
      </c>
      <c r="E38" s="350">
        <f>SUM(Tb_DISTR.FIN[[#This Row],[SET.25]:[DEZ.26]])</f>
        <v>1.0000000000000002</v>
      </c>
      <c r="F38" s="152">
        <f>SUMIFS(DISTR_FIN_0[%DISTR],DISTR_FIN_0[SS],Tb_DISTR.FIN[[#This Row],[Nº  SS]],DISTR_FIN_0[MÊS],'DISTR-FIN'!F$2)</f>
        <v>0</v>
      </c>
      <c r="G38" s="221">
        <f>SUMIFS(DISTR_FIN_0[%DISTR],DISTR_FIN_0[SS],Tb_DISTR.FIN[[#This Row],[Nº  SS]],DISTR_FIN_0[MÊS],'DISTR-FIN'!G$2)</f>
        <v>0</v>
      </c>
      <c r="H38" s="152">
        <f>SUMIFS(DISTR_FIN_0[%DISTR],DISTR_FIN_0[SS],Tb_DISTR.FIN[[#This Row],[Nº  SS]],DISTR_FIN_0[MÊS],'DISTR-FIN'!H$2)</f>
        <v>0</v>
      </c>
      <c r="I38" s="98">
        <f>SUMIFS(DISTR_FIN_0[%DISTR],DISTR_FIN_0[SS],Tb_DISTR.FIN[[#This Row],[Nº  SS]],DISTR_FIN_0[MÊS],'DISTR-FIN'!I$2)</f>
        <v>0</v>
      </c>
      <c r="J38" s="152">
        <f>SUMIFS(DISTR_FIN_0[%DISTR],DISTR_FIN_0[SS],Tb_DISTR.FIN[[#This Row],[Nº  SS]],DISTR_FIN_0[MÊS],'DISTR-FIN'!J$2)</f>
        <v>0</v>
      </c>
      <c r="K38" s="152">
        <f>SUMIFS(DISTR_FIN_0[%DISTR],DISTR_FIN_0[SS],Tb_DISTR.FIN[[#This Row],[Nº  SS]],DISTR_FIN_0[MÊS],'DISTR-FIN'!K$2)</f>
        <v>0</v>
      </c>
      <c r="L38" s="152">
        <f>SUMIFS(DISTR_FIN_0[%DISTR],DISTR_FIN_0[SS],Tb_DISTR.FIN[[#This Row],[Nº  SS]],DISTR_FIN_0[MÊS],'DISTR-FIN'!L$2)</f>
        <v>0.1</v>
      </c>
      <c r="M38" s="221">
        <f>SUMIFS(DISTR_FIN_0[%DISTR],DISTR_FIN_0[SS],Tb_DISTR.FIN[[#This Row],[Nº  SS]],DISTR_FIN_0[MÊS],'DISTR-FIN'!M$2)</f>
        <v>0.2</v>
      </c>
      <c r="N38" s="152">
        <f>SUMIFS(DISTR_FIN_0[%DISTR],DISTR_FIN_0[SS],Tb_DISTR.FIN[[#This Row],[Nº  SS]],DISTR_FIN_0[MÊS],'DISTR-FIN'!N$2)</f>
        <v>0.15</v>
      </c>
      <c r="O38" s="152">
        <f>SUMIFS(DISTR_FIN_0[%DISTR],DISTR_FIN_0[SS],Tb_DISTR.FIN[[#This Row],[Nº  SS]],DISTR_FIN_0[MÊS],'DISTR-FIN'!O$2)</f>
        <v>0.15</v>
      </c>
      <c r="P38" s="152">
        <f>SUMIFS(DISTR_FIN_0[%DISTR],DISTR_FIN_0[SS],Tb_DISTR.FIN[[#This Row],[Nº  SS]],DISTR_FIN_0[MÊS],'DISTR-FIN'!P$2)</f>
        <v>0.15</v>
      </c>
      <c r="Q38" s="152">
        <f>SUMIFS(DISTR_FIN_0[%DISTR],DISTR_FIN_0[SS],Tb_DISTR.FIN[[#This Row],[Nº  SS]],DISTR_FIN_0[MÊS],'DISTR-FIN'!Q$2)</f>
        <v>0.15</v>
      </c>
      <c r="R38" s="152">
        <f>SUMIFS(DISTR_FIN_0[%DISTR],DISTR_FIN_0[SS],Tb_DISTR.FIN[[#This Row],[Nº  SS]],DISTR_FIN_0[MÊS],'DISTR-FIN'!R$2)</f>
        <v>0.1</v>
      </c>
      <c r="S38" s="152">
        <f>SUMIFS(DISTR_FIN_0[%DISTR],DISTR_FIN_0[SS],Tb_DISTR.FIN[[#This Row],[Nº  SS]],DISTR_FIN_0[MÊS],'DISTR-FIN'!S$2)</f>
        <v>0</v>
      </c>
      <c r="T38" s="152">
        <f>SUMIFS(DISTR_FIN_0[%DISTR],DISTR_FIN_0[SS],Tb_DISTR.FIN[[#This Row],[Nº  SS]],DISTR_FIN_0[MÊS],'DISTR-FIN'!T$2)</f>
        <v>0</v>
      </c>
      <c r="U38" s="194">
        <f>SUMIFS(DISTR_FIN_0[%DISTR],DISTR_FIN_0[SS],Tb_DISTR.FIN[[#This Row],[Nº  SS]],DISTR_FIN_0[MÊS],'DISTR-FIN'!U$2)</f>
        <v>0</v>
      </c>
      <c r="V38" s="194">
        <f>SUMIFS(DISTR_FIN_0[%DISTR],DISTR_FIN_0[SS],Tb_DISTR.FIN[[#This Row],[Nº  SS]],DISTR_FIN_0[MÊS],'DISTR-FIN'!V$2)</f>
        <v>0</v>
      </c>
      <c r="W38" s="194">
        <f>SUMIFS(DISTR_FIN_0[%DISTR],DISTR_FIN_0[SS],Tb_DISTR.FIN[[#This Row],[Nº  SS]],DISTR_FIN_0[MÊS],'DISTR-FIN'!W$2)</f>
        <v>0</v>
      </c>
      <c r="X38" s="150"/>
      <c r="Y38" s="222">
        <f>SUM(Tb_DISTR.FIN[[#This Row],[PLAN]:[ENTR.]])</f>
        <v>0</v>
      </c>
      <c r="Z38" s="215" t="s">
        <v>153</v>
      </c>
      <c r="AA38" s="216" t="s">
        <v>154</v>
      </c>
      <c r="AB38" s="217" t="s">
        <v>155</v>
      </c>
      <c r="AC38" s="218" t="s">
        <v>156</v>
      </c>
      <c r="AD38" s="219" t="s">
        <v>157</v>
      </c>
      <c r="AE38" s="220" t="s">
        <v>158</v>
      </c>
      <c r="AF38" s="226"/>
      <c r="AG38" s="226"/>
      <c r="AH38" s="226"/>
      <c r="AI38" s="226"/>
      <c r="AJ38" s="226"/>
      <c r="AK38" s="226"/>
      <c r="AL38" s="198"/>
      <c r="AM38" s="209" t="s">
        <v>159</v>
      </c>
    </row>
    <row r="39" spans="1:39" x14ac:dyDescent="0.3">
      <c r="A39" s="123" t="s">
        <v>624</v>
      </c>
      <c r="B39" s="123" t="str">
        <f>_xlfn.XLOOKUP(Tb_DISTR.FIN[[#This Row],[Nº  SS]],tb_Distr[SS],tb_Distr[DESCRIÇÃO],"",0,1)</f>
        <v>CLIMATIZAÇÃO K-24</v>
      </c>
      <c r="C39" s="123" t="str">
        <f>_xlfn.XLOOKUP(Tb_DISTR.FIN[[#This Row],[Nº  SS]],TB_CR.ACOMP[Nº  SS],TB_CR.ACOMP[TOMADOR],"",0,1)</f>
        <v>UTGC</v>
      </c>
      <c r="D39" s="230">
        <f>_xlfn.XLOOKUP(Tb_DISTR.FIN[[#This Row],[Nº  SS]],Tb_ValorSS[Nº  SS],Tb_ValorSS[R$ APROVADO],"",0,1)</f>
        <v>0</v>
      </c>
      <c r="E39" s="136">
        <f>SUM(Tb_DISTR.FIN[[#This Row],[SET.25]:[DEZ.26]])</f>
        <v>0</v>
      </c>
      <c r="F39" s="201">
        <f>SUMIFS(DISTR_FIN_0[%DISTR],DISTR_FIN_0[SS],Tb_DISTR.FIN[[#This Row],[Nº  SS]],DISTR_FIN_0[MÊS],'DISTR-FIN'!F$2)</f>
        <v>0</v>
      </c>
      <c r="G39" s="201">
        <f>SUMIFS(DISTR_FIN_0[%DISTR],DISTR_FIN_0[SS],Tb_DISTR.FIN[[#This Row],[Nº  SS]],DISTR_FIN_0[MÊS],'DISTR-FIN'!G$2)</f>
        <v>0</v>
      </c>
      <c r="H39" s="201">
        <f>SUMIFS(DISTR_FIN_0[%DISTR],DISTR_FIN_0[SS],Tb_DISTR.FIN[[#This Row],[Nº  SS]],DISTR_FIN_0[MÊS],'DISTR-FIN'!H$2)</f>
        <v>0</v>
      </c>
      <c r="I39" s="201">
        <f>SUMIFS(DISTR_FIN_0[%DISTR],DISTR_FIN_0[SS],Tb_DISTR.FIN[[#This Row],[Nº  SS]],DISTR_FIN_0[MÊS],'DISTR-FIN'!I$2)</f>
        <v>0</v>
      </c>
      <c r="J39" s="201">
        <f>SUMIFS(DISTR_FIN_0[%DISTR],DISTR_FIN_0[SS],Tb_DISTR.FIN[[#This Row],[Nº  SS]],DISTR_FIN_0[MÊS],'DISTR-FIN'!J$2)</f>
        <v>0</v>
      </c>
      <c r="K39" s="201">
        <f>SUMIFS(DISTR_FIN_0[%DISTR],DISTR_FIN_0[SS],Tb_DISTR.FIN[[#This Row],[Nº  SS]],DISTR_FIN_0[MÊS],'DISTR-FIN'!K$2)</f>
        <v>0</v>
      </c>
      <c r="L39" s="201">
        <f>SUMIFS(DISTR_FIN_0[%DISTR],DISTR_FIN_0[SS],Tb_DISTR.FIN[[#This Row],[Nº  SS]],DISTR_FIN_0[MÊS],'DISTR-FIN'!L$2)</f>
        <v>0</v>
      </c>
      <c r="M39" s="201">
        <f>SUMIFS(DISTR_FIN_0[%DISTR],DISTR_FIN_0[SS],Tb_DISTR.FIN[[#This Row],[Nº  SS]],DISTR_FIN_0[MÊS],'DISTR-FIN'!M$2)</f>
        <v>0</v>
      </c>
      <c r="N39" s="201">
        <f>SUMIFS(DISTR_FIN_0[%DISTR],DISTR_FIN_0[SS],Tb_DISTR.FIN[[#This Row],[Nº  SS]],DISTR_FIN_0[MÊS],'DISTR-FIN'!N$2)</f>
        <v>0</v>
      </c>
      <c r="O39" s="201">
        <f>SUMIFS(DISTR_FIN_0[%DISTR],DISTR_FIN_0[SS],Tb_DISTR.FIN[[#This Row],[Nº  SS]],DISTR_FIN_0[MÊS],'DISTR-FIN'!O$2)</f>
        <v>0</v>
      </c>
      <c r="P39" s="201">
        <f>SUMIFS(DISTR_FIN_0[%DISTR],DISTR_FIN_0[SS],Tb_DISTR.FIN[[#This Row],[Nº  SS]],DISTR_FIN_0[MÊS],'DISTR-FIN'!P$2)</f>
        <v>0</v>
      </c>
      <c r="Q39" s="201">
        <f>SUMIFS(DISTR_FIN_0[%DISTR],DISTR_FIN_0[SS],Tb_DISTR.FIN[[#This Row],[Nº  SS]],DISTR_FIN_0[MÊS],'DISTR-FIN'!Q$2)</f>
        <v>0</v>
      </c>
      <c r="R39" s="201">
        <f>SUMIFS(DISTR_FIN_0[%DISTR],DISTR_FIN_0[SS],Tb_DISTR.FIN[[#This Row],[Nº  SS]],DISTR_FIN_0[MÊS],'DISTR-FIN'!R$2)</f>
        <v>0</v>
      </c>
      <c r="S39" s="201">
        <f>SUMIFS(DISTR_FIN_0[%DISTR],DISTR_FIN_0[SS],Tb_DISTR.FIN[[#This Row],[Nº  SS]],DISTR_FIN_0[MÊS],'DISTR-FIN'!S$2)</f>
        <v>0</v>
      </c>
      <c r="T39" s="201">
        <f>SUMIFS(DISTR_FIN_0[%DISTR],DISTR_FIN_0[SS],Tb_DISTR.FIN[[#This Row],[Nº  SS]],DISTR_FIN_0[MÊS],'DISTR-FIN'!T$2)</f>
        <v>0</v>
      </c>
      <c r="U39" s="201">
        <f>SUMIFS(DISTR_FIN_0[%DISTR],DISTR_FIN_0[SS],Tb_DISTR.FIN[[#This Row],[Nº  SS]],DISTR_FIN_0[MÊS],'DISTR-FIN'!U$2)</f>
        <v>0</v>
      </c>
      <c r="V39" s="349">
        <f>SUMIFS(DISTR_FIN_0[%DISTR],DISTR_FIN_0[SS],Tb_DISTR.FIN[[#This Row],[Nº  SS]],DISTR_FIN_0[MÊS],'DISTR-FIN'!V$2)</f>
        <v>0</v>
      </c>
      <c r="W39" s="349">
        <f>SUMIFS(DISTR_FIN_0[%DISTR],DISTR_FIN_0[SS],Tb_DISTR.FIN[[#This Row],[Nº  SS]],DISTR_FIN_0[MÊS],'DISTR-FIN'!W$2)</f>
        <v>0</v>
      </c>
      <c r="X39" s="150"/>
      <c r="Y39" s="222">
        <f>SUM(Tb_DISTR.FIN[[#This Row],[PLAN]:[ENTR.]])</f>
        <v>0</v>
      </c>
      <c r="Z39" s="465"/>
      <c r="AA39" s="465"/>
      <c r="AB39" s="465"/>
      <c r="AC39" s="465"/>
      <c r="AD39" s="465"/>
      <c r="AE39" s="465"/>
      <c r="AF39" s="465"/>
      <c r="AG39" s="465"/>
      <c r="AH39" s="465"/>
      <c r="AI39" s="465"/>
      <c r="AJ39" s="465"/>
      <c r="AK39" s="465"/>
      <c r="AL39" s="197"/>
      <c r="AM39" s="465"/>
    </row>
    <row r="40" spans="1:39" x14ac:dyDescent="0.3">
      <c r="A40" s="123" t="s">
        <v>3281</v>
      </c>
      <c r="B40" s="123" t="str">
        <f>_xlfn.XLOOKUP(Tb_DISTR.FIN[[#This Row],[Nº  SS]],tb_Distr[SS],tb_Distr[DESCRIÇÃO],"",0,1)</f>
        <v>COBERTURA K-39</v>
      </c>
      <c r="C40" s="123" t="str">
        <f>_xlfn.XLOOKUP(Tb_DISTR.FIN[[#This Row],[Nº  SS]],TB_CR.ACOMP[Nº  SS],TB_CR.ACOMP[TOMADOR],"",0,1)</f>
        <v>UTGC</v>
      </c>
      <c r="D40" s="230">
        <f>_xlfn.XLOOKUP(Tb_DISTR.FIN[[#This Row],[Nº  SS]],Tb_ValorSS[Nº  SS],Tb_ValorSS[R$ APROVADO],"",0,1)</f>
        <v>0</v>
      </c>
      <c r="E40" s="136">
        <f>SUM(Tb_DISTR.FIN[[#This Row],[SET.25]:[DEZ.26]])</f>
        <v>0</v>
      </c>
      <c r="F40" s="201">
        <f>SUMIFS(DISTR_FIN_0[%DISTR],DISTR_FIN_0[SS],Tb_DISTR.FIN[[#This Row],[Nº  SS]],DISTR_FIN_0[MÊS],'DISTR-FIN'!F$2)</f>
        <v>0</v>
      </c>
      <c r="G40" s="201">
        <f>SUMIFS(DISTR_FIN_0[%DISTR],DISTR_FIN_0[SS],Tb_DISTR.FIN[[#This Row],[Nº  SS]],DISTR_FIN_0[MÊS],'DISTR-FIN'!G$2)</f>
        <v>0</v>
      </c>
      <c r="H40" s="201">
        <f>SUMIFS(DISTR_FIN_0[%DISTR],DISTR_FIN_0[SS],Tb_DISTR.FIN[[#This Row],[Nº  SS]],DISTR_FIN_0[MÊS],'DISTR-FIN'!H$2)</f>
        <v>0</v>
      </c>
      <c r="I40" s="201">
        <f>SUMIFS(DISTR_FIN_0[%DISTR],DISTR_FIN_0[SS],Tb_DISTR.FIN[[#This Row],[Nº  SS]],DISTR_FIN_0[MÊS],'DISTR-FIN'!I$2)</f>
        <v>0</v>
      </c>
      <c r="J40" s="201">
        <f>SUMIFS(DISTR_FIN_0[%DISTR],DISTR_FIN_0[SS],Tb_DISTR.FIN[[#This Row],[Nº  SS]],DISTR_FIN_0[MÊS],'DISTR-FIN'!J$2)</f>
        <v>0</v>
      </c>
      <c r="K40" s="201">
        <f>SUMIFS(DISTR_FIN_0[%DISTR],DISTR_FIN_0[SS],Tb_DISTR.FIN[[#This Row],[Nº  SS]],DISTR_FIN_0[MÊS],'DISTR-FIN'!K$2)</f>
        <v>0</v>
      </c>
      <c r="L40" s="201">
        <f>SUMIFS(DISTR_FIN_0[%DISTR],DISTR_FIN_0[SS],Tb_DISTR.FIN[[#This Row],[Nº  SS]],DISTR_FIN_0[MÊS],'DISTR-FIN'!L$2)</f>
        <v>0</v>
      </c>
      <c r="M40" s="201">
        <f>SUMIFS(DISTR_FIN_0[%DISTR],DISTR_FIN_0[SS],Tb_DISTR.FIN[[#This Row],[Nº  SS]],DISTR_FIN_0[MÊS],'DISTR-FIN'!M$2)</f>
        <v>0</v>
      </c>
      <c r="N40" s="201">
        <f>SUMIFS(DISTR_FIN_0[%DISTR],DISTR_FIN_0[SS],Tb_DISTR.FIN[[#This Row],[Nº  SS]],DISTR_FIN_0[MÊS],'DISTR-FIN'!N$2)</f>
        <v>0</v>
      </c>
      <c r="O40" s="201">
        <f>SUMIFS(DISTR_FIN_0[%DISTR],DISTR_FIN_0[SS],Tb_DISTR.FIN[[#This Row],[Nº  SS]],DISTR_FIN_0[MÊS],'DISTR-FIN'!O$2)</f>
        <v>0</v>
      </c>
      <c r="P40" s="201">
        <f>SUMIFS(DISTR_FIN_0[%DISTR],DISTR_FIN_0[SS],Tb_DISTR.FIN[[#This Row],[Nº  SS]],DISTR_FIN_0[MÊS],'DISTR-FIN'!P$2)</f>
        <v>0</v>
      </c>
      <c r="Q40" s="201">
        <f>SUMIFS(DISTR_FIN_0[%DISTR],DISTR_FIN_0[SS],Tb_DISTR.FIN[[#This Row],[Nº  SS]],DISTR_FIN_0[MÊS],'DISTR-FIN'!Q$2)</f>
        <v>0</v>
      </c>
      <c r="R40" s="201">
        <f>SUMIFS(DISTR_FIN_0[%DISTR],DISTR_FIN_0[SS],Tb_DISTR.FIN[[#This Row],[Nº  SS]],DISTR_FIN_0[MÊS],'DISTR-FIN'!R$2)</f>
        <v>0</v>
      </c>
      <c r="S40" s="201">
        <f>SUMIFS(DISTR_FIN_0[%DISTR],DISTR_FIN_0[SS],Tb_DISTR.FIN[[#This Row],[Nº  SS]],DISTR_FIN_0[MÊS],'DISTR-FIN'!S$2)</f>
        <v>0</v>
      </c>
      <c r="T40" s="201">
        <f>SUMIFS(DISTR_FIN_0[%DISTR],DISTR_FIN_0[SS],Tb_DISTR.FIN[[#This Row],[Nº  SS]],DISTR_FIN_0[MÊS],'DISTR-FIN'!T$2)</f>
        <v>0</v>
      </c>
      <c r="U40" s="201">
        <f>SUMIFS(DISTR_FIN_0[%DISTR],DISTR_FIN_0[SS],Tb_DISTR.FIN[[#This Row],[Nº  SS]],DISTR_FIN_0[MÊS],'DISTR-FIN'!U$2)</f>
        <v>0</v>
      </c>
      <c r="V40" s="349">
        <f>SUMIFS(DISTR_FIN_0[%DISTR],DISTR_FIN_0[SS],Tb_DISTR.FIN[[#This Row],[Nº  SS]],DISTR_FIN_0[MÊS],'DISTR-FIN'!V$2)</f>
        <v>0</v>
      </c>
      <c r="W40" s="349">
        <f>SUMIFS(DISTR_FIN_0[%DISTR],DISTR_FIN_0[SS],Tb_DISTR.FIN[[#This Row],[Nº  SS]],DISTR_FIN_0[MÊS],'DISTR-FIN'!W$2)</f>
        <v>0</v>
      </c>
      <c r="X40" s="153"/>
      <c r="Y40" s="225">
        <f>SUM(Tb_DISTR.FIN[[#This Row],[PLAN]:[ENTR.]])</f>
        <v>0</v>
      </c>
      <c r="Z40" s="465"/>
      <c r="AA40" s="465"/>
      <c r="AB40" s="465"/>
      <c r="AC40" s="465"/>
      <c r="AD40" s="465"/>
      <c r="AE40" s="465"/>
      <c r="AF40" s="465"/>
      <c r="AG40" s="465"/>
      <c r="AH40" s="465"/>
      <c r="AI40" s="465"/>
      <c r="AJ40" s="465"/>
      <c r="AK40" s="465"/>
      <c r="AL40" s="197"/>
      <c r="AM40" s="465"/>
    </row>
    <row r="41" spans="1:39" ht="6" customHeight="1" x14ac:dyDescent="0.3">
      <c r="F41" s="99"/>
    </row>
    <row r="42" spans="1:39" x14ac:dyDescent="0.3">
      <c r="F42" s="99"/>
      <c r="R42" s="325"/>
      <c r="S42" s="325"/>
      <c r="T42" s="325"/>
      <c r="V42" s="325"/>
      <c r="X42" s="325"/>
      <c r="Y42" s="208"/>
      <c r="Z42" s="325" t="s">
        <v>207</v>
      </c>
      <c r="AB42" s="209" t="s">
        <v>147</v>
      </c>
      <c r="AC42" s="210" t="s">
        <v>148</v>
      </c>
      <c r="AD42" s="211" t="s">
        <v>149</v>
      </c>
      <c r="AE42" s="212" t="s">
        <v>150</v>
      </c>
      <c r="AF42" s="213" t="s">
        <v>151</v>
      </c>
      <c r="AG42" s="214" t="s">
        <v>152</v>
      </c>
      <c r="AH42" s="215" t="s">
        <v>153</v>
      </c>
      <c r="AI42" s="216" t="s">
        <v>154</v>
      </c>
      <c r="AJ42" s="217" t="s">
        <v>155</v>
      </c>
      <c r="AK42" s="218" t="s">
        <v>156</v>
      </c>
      <c r="AL42" s="219" t="s">
        <v>157</v>
      </c>
      <c r="AM42" s="220" t="s">
        <v>158</v>
      </c>
    </row>
    <row r="43" spans="1:39" x14ac:dyDescent="0.3">
      <c r="F43" s="99"/>
      <c r="AB43" s="209" t="s">
        <v>159</v>
      </c>
      <c r="AC43" s="210" t="s">
        <v>160</v>
      </c>
      <c r="AD43" s="211" t="s">
        <v>161</v>
      </c>
      <c r="AE43" s="212" t="s">
        <v>162</v>
      </c>
      <c r="AF43" s="213" t="s">
        <v>520</v>
      </c>
      <c r="AG43" s="214" t="s">
        <v>521</v>
      </c>
      <c r="AH43" s="215" t="s">
        <v>522</v>
      </c>
      <c r="AI43" s="216" t="s">
        <v>523</v>
      </c>
      <c r="AJ43" s="217" t="s">
        <v>524</v>
      </c>
      <c r="AK43" s="218" t="s">
        <v>525</v>
      </c>
      <c r="AL43" s="219" t="s">
        <v>526</v>
      </c>
      <c r="AM43" s="220" t="s">
        <v>527</v>
      </c>
    </row>
    <row r="44" spans="1:39" x14ac:dyDescent="0.3">
      <c r="F44" s="99"/>
    </row>
    <row r="45" spans="1:39" x14ac:dyDescent="0.3">
      <c r="F45" s="99"/>
    </row>
    <row r="46" spans="1:39" x14ac:dyDescent="0.3">
      <c r="B46" s="51"/>
    </row>
    <row r="47" spans="1:39" x14ac:dyDescent="0.3">
      <c r="F47" s="99"/>
    </row>
    <row r="48" spans="1:39" x14ac:dyDescent="0.3">
      <c r="F48" s="99"/>
    </row>
  </sheetData>
  <sheetProtection autoFilter="0" pivotTables="0"/>
  <phoneticPr fontId="2" type="noConversion"/>
  <conditionalFormatting sqref="A4">
    <cfRule type="duplicateValues" dxfId="244" priority="257"/>
  </conditionalFormatting>
  <conditionalFormatting sqref="A8">
    <cfRule type="duplicateValues" dxfId="243" priority="256"/>
  </conditionalFormatting>
  <conditionalFormatting sqref="A5:A7 A9:A11 A13:A17">
    <cfRule type="duplicateValues" dxfId="242" priority="258"/>
  </conditionalFormatting>
  <conditionalFormatting sqref="A12">
    <cfRule type="duplicateValues" dxfId="241" priority="255"/>
  </conditionalFormatting>
  <conditionalFormatting sqref="F4:V24 F26:V26 F28:V28 F30:V30">
    <cfRule type="cellIs" dxfId="240" priority="253" operator="lessThan">
      <formula>0</formula>
    </cfRule>
  </conditionalFormatting>
  <conditionalFormatting sqref="AD13:AM13 AD11:AL11 AE5:AL7 AE9:AL9 AF10:AL10 AF17:AL17 AI16:AL16 AE15:AL15 AK14:AL14">
    <cfRule type="cellIs" dxfId="239" priority="239" operator="lessThan">
      <formula>0</formula>
    </cfRule>
  </conditionalFormatting>
  <conditionalFormatting sqref="AJ4:AL4">
    <cfRule type="cellIs" dxfId="238" priority="238" operator="lessThan">
      <formula>0</formula>
    </cfRule>
  </conditionalFormatting>
  <conditionalFormatting sqref="A18:A19">
    <cfRule type="duplicateValues" dxfId="237" priority="243"/>
  </conditionalFormatting>
  <conditionalFormatting sqref="AE21:AL21">
    <cfRule type="cellIs" dxfId="236" priority="230" operator="lessThan">
      <formula>0</formula>
    </cfRule>
  </conditionalFormatting>
  <conditionalFormatting sqref="AE8:AL8">
    <cfRule type="cellIs" dxfId="235" priority="237" operator="lessThan">
      <formula>0</formula>
    </cfRule>
  </conditionalFormatting>
  <conditionalFormatting sqref="AE12:AL12">
    <cfRule type="cellIs" dxfId="234" priority="236" operator="lessThan">
      <formula>0</formula>
    </cfRule>
  </conditionalFormatting>
  <conditionalFormatting sqref="Y18:Y19">
    <cfRule type="cellIs" dxfId="233" priority="222" operator="lessThan">
      <formula>0</formula>
    </cfRule>
  </conditionalFormatting>
  <conditionalFormatting sqref="AE18:AL19">
    <cfRule type="cellIs" dxfId="232" priority="234" operator="lessThan">
      <formula>0</formula>
    </cfRule>
  </conditionalFormatting>
  <conditionalFormatting sqref="Z20">
    <cfRule type="cellIs" dxfId="231" priority="233" operator="lessThan">
      <formula>0</formula>
    </cfRule>
  </conditionalFormatting>
  <conditionalFormatting sqref="AA20:AB20 AD20:AM20">
    <cfRule type="cellIs" dxfId="230" priority="232" operator="lessThan">
      <formula>0</formula>
    </cfRule>
  </conditionalFormatting>
  <conditionalFormatting sqref="AC20">
    <cfRule type="cellIs" dxfId="229" priority="231" operator="lessThan">
      <formula>0</formula>
    </cfRule>
  </conditionalFormatting>
  <conditionalFormatting sqref="AD22:AL22">
    <cfRule type="cellIs" dxfId="228" priority="229" operator="lessThan">
      <formula>0</formula>
    </cfRule>
  </conditionalFormatting>
  <conditionalFormatting sqref="AC22">
    <cfRule type="cellIs" dxfId="227" priority="228" operator="lessThan">
      <formula>0</formula>
    </cfRule>
  </conditionalFormatting>
  <conditionalFormatting sqref="AK23:AL23">
    <cfRule type="cellIs" dxfId="226" priority="227" operator="lessThan">
      <formula>0</formula>
    </cfRule>
  </conditionalFormatting>
  <conditionalFormatting sqref="Y5:Y7 Y9:Y11 Y13:Y17">
    <cfRule type="cellIs" dxfId="225" priority="226" operator="lessThan">
      <formula>0</formula>
    </cfRule>
  </conditionalFormatting>
  <conditionalFormatting sqref="Y4">
    <cfRule type="cellIs" dxfId="224" priority="225" operator="lessThan">
      <formula>0</formula>
    </cfRule>
  </conditionalFormatting>
  <conditionalFormatting sqref="Y8">
    <cfRule type="cellIs" dxfId="223" priority="224" operator="lessThan">
      <formula>0</formula>
    </cfRule>
  </conditionalFormatting>
  <conditionalFormatting sqref="Y12">
    <cfRule type="cellIs" dxfId="222" priority="223" operator="lessThan">
      <formula>0</formula>
    </cfRule>
  </conditionalFormatting>
  <conditionalFormatting sqref="Y20">
    <cfRule type="cellIs" dxfId="221" priority="221" operator="lessThan">
      <formula>0</formula>
    </cfRule>
  </conditionalFormatting>
  <conditionalFormatting sqref="Y21">
    <cfRule type="cellIs" dxfId="220" priority="220" operator="lessThan">
      <formula>0</formula>
    </cfRule>
  </conditionalFormatting>
  <conditionalFormatting sqref="Y22">
    <cfRule type="cellIs" dxfId="219" priority="219" operator="lessThan">
      <formula>0</formula>
    </cfRule>
  </conditionalFormatting>
  <conditionalFormatting sqref="Y23">
    <cfRule type="cellIs" dxfId="218" priority="218" operator="lessThan">
      <formula>0</formula>
    </cfRule>
  </conditionalFormatting>
  <conditionalFormatting sqref="A20">
    <cfRule type="duplicateValues" dxfId="217" priority="217"/>
  </conditionalFormatting>
  <conditionalFormatting sqref="A21">
    <cfRule type="duplicateValues" dxfId="216" priority="214"/>
  </conditionalFormatting>
  <conditionalFormatting sqref="A22">
    <cfRule type="duplicateValues" dxfId="215" priority="210"/>
  </conditionalFormatting>
  <conditionalFormatting sqref="A23">
    <cfRule type="duplicateValues" dxfId="214" priority="206"/>
  </conditionalFormatting>
  <conditionalFormatting sqref="Z24">
    <cfRule type="cellIs" dxfId="213" priority="190" operator="lessThan">
      <formula>0</formula>
    </cfRule>
  </conditionalFormatting>
  <conditionalFormatting sqref="AA24:AB24 AD24:AM24 AF26:AL26 AF28:AL28 AD30:AL30">
    <cfRule type="cellIs" dxfId="212" priority="189" operator="lessThan">
      <formula>0</formula>
    </cfRule>
  </conditionalFormatting>
  <conditionalFormatting sqref="AC24 AC30">
    <cfRule type="cellIs" dxfId="211" priority="188" operator="lessThan">
      <formula>0</formula>
    </cfRule>
  </conditionalFormatting>
  <conditionalFormatting sqref="Y24 Y26 Y28 Y30">
    <cfRule type="cellIs" dxfId="210" priority="187" operator="lessThan">
      <formula>0</formula>
    </cfRule>
  </conditionalFormatting>
  <conditionalFormatting sqref="A24 A26 A28 A30">
    <cfRule type="duplicateValues" dxfId="209" priority="186"/>
  </conditionalFormatting>
  <conditionalFormatting sqref="AE17">
    <cfRule type="cellIs" dxfId="208" priority="180" operator="lessThan">
      <formula>0</formula>
    </cfRule>
  </conditionalFormatting>
  <conditionalFormatting sqref="Z13">
    <cfRule type="cellIs" dxfId="207" priority="177" operator="lessThan">
      <formula>0</formula>
    </cfRule>
  </conditionalFormatting>
  <conditionalFormatting sqref="AA13:AB13">
    <cfRule type="cellIs" dxfId="206" priority="176" operator="lessThan">
      <formula>0</formula>
    </cfRule>
  </conditionalFormatting>
  <conditionalFormatting sqref="AC13">
    <cfRule type="cellIs" dxfId="205" priority="175" operator="lessThan">
      <formula>0</formula>
    </cfRule>
  </conditionalFormatting>
  <conditionalFormatting sqref="F4:V24 F26:V26 F28:V28 F30:V30">
    <cfRule type="cellIs" dxfId="204" priority="156" operator="lessThan">
      <formula>0</formula>
    </cfRule>
  </conditionalFormatting>
  <conditionalFormatting sqref="F4:V24 F26:V26 F28:V28 F30:V30">
    <cfRule type="cellIs" dxfId="203" priority="153" operator="lessThan">
      <formula>0</formula>
    </cfRule>
  </conditionalFormatting>
  <conditionalFormatting sqref="F25:V25">
    <cfRule type="cellIs" dxfId="202" priority="116" operator="lessThan">
      <formula>0</formula>
    </cfRule>
  </conditionalFormatting>
  <conditionalFormatting sqref="AH25:AL25">
    <cfRule type="cellIs" dxfId="201" priority="114" operator="lessThan">
      <formula>0</formula>
    </cfRule>
  </conditionalFormatting>
  <conditionalFormatting sqref="Y25">
    <cfRule type="cellIs" dxfId="200" priority="112" operator="lessThan">
      <formula>0</formula>
    </cfRule>
  </conditionalFormatting>
  <conditionalFormatting sqref="A25">
    <cfRule type="duplicateValues" dxfId="199" priority="111"/>
  </conditionalFormatting>
  <conditionalFormatting sqref="F25:V25">
    <cfRule type="cellIs" dxfId="198" priority="110" operator="lessThan">
      <formula>0</formula>
    </cfRule>
  </conditionalFormatting>
  <conditionalFormatting sqref="F25:V25">
    <cfRule type="cellIs" dxfId="197" priority="109" operator="lessThan">
      <formula>0</formula>
    </cfRule>
  </conditionalFormatting>
  <conditionalFormatting sqref="F27:V27">
    <cfRule type="cellIs" dxfId="196" priority="108" operator="lessThan">
      <formula>0</formula>
    </cfRule>
  </conditionalFormatting>
  <conditionalFormatting sqref="AH27:AL27">
    <cfRule type="cellIs" dxfId="195" priority="106" operator="lessThan">
      <formula>0</formula>
    </cfRule>
  </conditionalFormatting>
  <conditionalFormatting sqref="Y27">
    <cfRule type="cellIs" dxfId="194" priority="104" operator="lessThan">
      <formula>0</formula>
    </cfRule>
  </conditionalFormatting>
  <conditionalFormatting sqref="A27">
    <cfRule type="duplicateValues" dxfId="193" priority="103"/>
  </conditionalFormatting>
  <conditionalFormatting sqref="F27:V27">
    <cfRule type="cellIs" dxfId="192" priority="102" operator="lessThan">
      <formula>0</formula>
    </cfRule>
  </conditionalFormatting>
  <conditionalFormatting sqref="F27:V27">
    <cfRule type="cellIs" dxfId="191" priority="101" operator="lessThan">
      <formula>0</formula>
    </cfRule>
  </conditionalFormatting>
  <conditionalFormatting sqref="F29:V29">
    <cfRule type="cellIs" dxfId="190" priority="100" operator="lessThan">
      <formula>0</formula>
    </cfRule>
  </conditionalFormatting>
  <conditionalFormatting sqref="AE29:AL29">
    <cfRule type="cellIs" dxfId="189" priority="98" operator="lessThan">
      <formula>0</formula>
    </cfRule>
  </conditionalFormatting>
  <conditionalFormatting sqref="Y29">
    <cfRule type="cellIs" dxfId="188" priority="96" operator="lessThan">
      <formula>0</formula>
    </cfRule>
  </conditionalFormatting>
  <conditionalFormatting sqref="A29">
    <cfRule type="duplicateValues" dxfId="187" priority="95"/>
  </conditionalFormatting>
  <conditionalFormatting sqref="F29:V29">
    <cfRule type="cellIs" dxfId="186" priority="94" operator="lessThan">
      <formula>0</formula>
    </cfRule>
  </conditionalFormatting>
  <conditionalFormatting sqref="F29:V29">
    <cfRule type="cellIs" dxfId="185" priority="93" operator="lessThan">
      <formula>0</formula>
    </cfRule>
  </conditionalFormatting>
  <conditionalFormatting sqref="F31:V32">
    <cfRule type="cellIs" dxfId="184" priority="92" operator="lessThan">
      <formula>0</formula>
    </cfRule>
  </conditionalFormatting>
  <conditionalFormatting sqref="AD31:AL31">
    <cfRule type="cellIs" dxfId="183" priority="90" operator="lessThan">
      <formula>0</formula>
    </cfRule>
  </conditionalFormatting>
  <conditionalFormatting sqref="AC31">
    <cfRule type="cellIs" dxfId="182" priority="89" operator="lessThan">
      <formula>0</formula>
    </cfRule>
  </conditionalFormatting>
  <conditionalFormatting sqref="Y31:Y32">
    <cfRule type="cellIs" dxfId="181" priority="88" operator="lessThan">
      <formula>0</formula>
    </cfRule>
  </conditionalFormatting>
  <conditionalFormatting sqref="A31:A32">
    <cfRule type="duplicateValues" dxfId="180" priority="87"/>
  </conditionalFormatting>
  <conditionalFormatting sqref="F31:V32">
    <cfRule type="cellIs" dxfId="179" priority="86" operator="lessThan">
      <formula>0</formula>
    </cfRule>
  </conditionalFormatting>
  <conditionalFormatting sqref="F31:V32">
    <cfRule type="cellIs" dxfId="178" priority="85" operator="lessThan">
      <formula>0</formula>
    </cfRule>
  </conditionalFormatting>
  <conditionalFormatting sqref="F33:V33">
    <cfRule type="cellIs" dxfId="177" priority="84" operator="lessThan">
      <formula>0</formula>
    </cfRule>
  </conditionalFormatting>
  <conditionalFormatting sqref="AE33:AL33">
    <cfRule type="cellIs" dxfId="176" priority="82" operator="lessThan">
      <formula>0</formula>
    </cfRule>
  </conditionalFormatting>
  <conditionalFormatting sqref="Y33">
    <cfRule type="cellIs" dxfId="175" priority="80" operator="lessThan">
      <formula>0</formula>
    </cfRule>
  </conditionalFormatting>
  <conditionalFormatting sqref="A33">
    <cfRule type="duplicateValues" dxfId="174" priority="79"/>
  </conditionalFormatting>
  <conditionalFormatting sqref="F33:V33">
    <cfRule type="cellIs" dxfId="173" priority="78" operator="lessThan">
      <formula>0</formula>
    </cfRule>
  </conditionalFormatting>
  <conditionalFormatting sqref="F33:V33">
    <cfRule type="cellIs" dxfId="172" priority="77" operator="lessThan">
      <formula>0</formula>
    </cfRule>
  </conditionalFormatting>
  <conditionalFormatting sqref="AE28">
    <cfRule type="cellIs" dxfId="171" priority="76" operator="lessThan">
      <formula>0</formula>
    </cfRule>
  </conditionalFormatting>
  <conditionalFormatting sqref="AF35:AL35 AH34:AL34 AI36:AL40">
    <cfRule type="cellIs" dxfId="170" priority="56" operator="lessThan">
      <formula>0</formula>
    </cfRule>
  </conditionalFormatting>
  <conditionalFormatting sqref="Y34:Y40">
    <cfRule type="cellIs" dxfId="169" priority="55" operator="lessThan">
      <formula>0</formula>
    </cfRule>
  </conditionalFormatting>
  <conditionalFormatting sqref="F34:V36 F38:V38">
    <cfRule type="cellIs" dxfId="168" priority="53" operator="lessThan">
      <formula>0</formula>
    </cfRule>
  </conditionalFormatting>
  <conditionalFormatting sqref="F34:V36 F38:V38">
    <cfRule type="cellIs" dxfId="167" priority="52" operator="lessThan">
      <formula>0</formula>
    </cfRule>
  </conditionalFormatting>
  <conditionalFormatting sqref="F34:V36 F38:V38">
    <cfRule type="cellIs" dxfId="166" priority="57" operator="lessThan">
      <formula>0</formula>
    </cfRule>
  </conditionalFormatting>
  <conditionalFormatting sqref="A34:A36 A38">
    <cfRule type="duplicateValues" dxfId="165" priority="54"/>
  </conditionalFormatting>
  <conditionalFormatting sqref="W34:W35">
    <cfRule type="cellIs" dxfId="164" priority="26" operator="lessThan">
      <formula>0</formula>
    </cfRule>
  </conditionalFormatting>
  <conditionalFormatting sqref="W34:W35">
    <cfRule type="cellIs" dxfId="163" priority="25" operator="lessThan">
      <formula>0</formula>
    </cfRule>
  </conditionalFormatting>
  <conditionalFormatting sqref="W4:W24 W26 W28 W30">
    <cfRule type="cellIs" dxfId="162" priority="45" operator="lessThan">
      <formula>0</formula>
    </cfRule>
  </conditionalFormatting>
  <conditionalFormatting sqref="W4:W24 W26 W28 W30">
    <cfRule type="cellIs" dxfId="161" priority="44" operator="lessThan">
      <formula>0</formula>
    </cfRule>
  </conditionalFormatting>
  <conditionalFormatting sqref="W4:W24 W26 W28 W30">
    <cfRule type="cellIs" dxfId="160" priority="43" operator="lessThan">
      <formula>0</formula>
    </cfRule>
  </conditionalFormatting>
  <conditionalFormatting sqref="W25">
    <cfRule type="cellIs" dxfId="159" priority="42" operator="lessThan">
      <formula>0</formula>
    </cfRule>
  </conditionalFormatting>
  <conditionalFormatting sqref="W25">
    <cfRule type="cellIs" dxfId="158" priority="41" operator="lessThan">
      <formula>0</formula>
    </cfRule>
  </conditionalFormatting>
  <conditionalFormatting sqref="W25">
    <cfRule type="cellIs" dxfId="157" priority="40" operator="lessThan">
      <formula>0</formula>
    </cfRule>
  </conditionalFormatting>
  <conditionalFormatting sqref="W27">
    <cfRule type="cellIs" dxfId="156" priority="39" operator="lessThan">
      <formula>0</formula>
    </cfRule>
  </conditionalFormatting>
  <conditionalFormatting sqref="W27">
    <cfRule type="cellIs" dxfId="155" priority="38" operator="lessThan">
      <formula>0</formula>
    </cfRule>
  </conditionalFormatting>
  <conditionalFormatting sqref="W27">
    <cfRule type="cellIs" dxfId="154" priority="37" operator="lessThan">
      <formula>0</formula>
    </cfRule>
  </conditionalFormatting>
  <conditionalFormatting sqref="W29">
    <cfRule type="cellIs" dxfId="153" priority="36" operator="lessThan">
      <formula>0</formula>
    </cfRule>
  </conditionalFormatting>
  <conditionalFormatting sqref="W29">
    <cfRule type="cellIs" dxfId="152" priority="35" operator="lessThan">
      <formula>0</formula>
    </cfRule>
  </conditionalFormatting>
  <conditionalFormatting sqref="W29">
    <cfRule type="cellIs" dxfId="151" priority="34" operator="lessThan">
      <formula>0</formula>
    </cfRule>
  </conditionalFormatting>
  <conditionalFormatting sqref="W31:W32">
    <cfRule type="cellIs" dxfId="150" priority="33" operator="lessThan">
      <formula>0</formula>
    </cfRule>
  </conditionalFormatting>
  <conditionalFormatting sqref="W31:W32">
    <cfRule type="cellIs" dxfId="149" priority="32" operator="lessThan">
      <formula>0</formula>
    </cfRule>
  </conditionalFormatting>
  <conditionalFormatting sqref="W31:W32">
    <cfRule type="cellIs" dxfId="148" priority="31" operator="lessThan">
      <formula>0</formula>
    </cfRule>
  </conditionalFormatting>
  <conditionalFormatting sqref="W33">
    <cfRule type="cellIs" dxfId="147" priority="30" operator="lessThan">
      <formula>0</formula>
    </cfRule>
  </conditionalFormatting>
  <conditionalFormatting sqref="W33">
    <cfRule type="cellIs" dxfId="146" priority="29" operator="lessThan">
      <formula>0</formula>
    </cfRule>
  </conditionalFormatting>
  <conditionalFormatting sqref="W33">
    <cfRule type="cellIs" dxfId="145" priority="28" operator="lessThan">
      <formula>0</formula>
    </cfRule>
  </conditionalFormatting>
  <conditionalFormatting sqref="W34:W35">
    <cfRule type="cellIs" dxfId="144" priority="27" operator="lessThan">
      <formula>0</formula>
    </cfRule>
  </conditionalFormatting>
  <conditionalFormatting sqref="W36 W38">
    <cfRule type="cellIs" dxfId="143" priority="23" operator="lessThan">
      <formula>0</formula>
    </cfRule>
  </conditionalFormatting>
  <conditionalFormatting sqref="W36 W38">
    <cfRule type="cellIs" dxfId="142" priority="22" operator="lessThan">
      <formula>0</formula>
    </cfRule>
  </conditionalFormatting>
  <conditionalFormatting sqref="W36 W38">
    <cfRule type="cellIs" dxfId="141" priority="24" operator="lessThan">
      <formula>0</formula>
    </cfRule>
  </conditionalFormatting>
  <conditionalFormatting sqref="F37:V37">
    <cfRule type="cellIs" dxfId="140" priority="21" operator="lessThan">
      <formula>0</formula>
    </cfRule>
  </conditionalFormatting>
  <conditionalFormatting sqref="A37">
    <cfRule type="duplicateValues" dxfId="139" priority="20"/>
  </conditionalFormatting>
  <conditionalFormatting sqref="F37:V37">
    <cfRule type="cellIs" dxfId="138" priority="19" operator="lessThan">
      <formula>0</formula>
    </cfRule>
  </conditionalFormatting>
  <conditionalFormatting sqref="F37:V37">
    <cfRule type="cellIs" dxfId="137" priority="18" operator="lessThan">
      <formula>0</formula>
    </cfRule>
  </conditionalFormatting>
  <conditionalFormatting sqref="W37">
    <cfRule type="cellIs" dxfId="136" priority="17" operator="lessThan">
      <formula>0</formula>
    </cfRule>
  </conditionalFormatting>
  <conditionalFormatting sqref="W37">
    <cfRule type="cellIs" dxfId="135" priority="16" operator="lessThan">
      <formula>0</formula>
    </cfRule>
  </conditionalFormatting>
  <conditionalFormatting sqref="W37">
    <cfRule type="cellIs" dxfId="134" priority="15" operator="lessThan">
      <formula>0</formula>
    </cfRule>
  </conditionalFormatting>
  <conditionalFormatting sqref="F39:V39">
    <cfRule type="cellIs" dxfId="133" priority="14" operator="lessThan">
      <formula>0</formula>
    </cfRule>
  </conditionalFormatting>
  <conditionalFormatting sqref="A39">
    <cfRule type="duplicateValues" dxfId="132" priority="13"/>
  </conditionalFormatting>
  <conditionalFormatting sqref="F39:V39">
    <cfRule type="cellIs" dxfId="131" priority="12" operator="lessThan">
      <formula>0</formula>
    </cfRule>
  </conditionalFormatting>
  <conditionalFormatting sqref="F39:V39">
    <cfRule type="cellIs" dxfId="130" priority="11" operator="lessThan">
      <formula>0</formula>
    </cfRule>
  </conditionalFormatting>
  <conditionalFormatting sqref="W39">
    <cfRule type="cellIs" dxfId="129" priority="10" operator="lessThan">
      <formula>0</formula>
    </cfRule>
  </conditionalFormatting>
  <conditionalFormatting sqref="W39">
    <cfRule type="cellIs" dxfId="128" priority="9" operator="lessThan">
      <formula>0</formula>
    </cfRule>
  </conditionalFormatting>
  <conditionalFormatting sqref="W39">
    <cfRule type="cellIs" dxfId="127" priority="8" operator="lessThan">
      <formula>0</formula>
    </cfRule>
  </conditionalFormatting>
  <conditionalFormatting sqref="F40:V40">
    <cfRule type="cellIs" dxfId="126" priority="7" operator="lessThan">
      <formula>0</formula>
    </cfRule>
  </conditionalFormatting>
  <conditionalFormatting sqref="A40">
    <cfRule type="duplicateValues" dxfId="125" priority="6"/>
  </conditionalFormatting>
  <conditionalFormatting sqref="F40:V40">
    <cfRule type="cellIs" dxfId="124" priority="5" operator="lessThan">
      <formula>0</formula>
    </cfRule>
  </conditionalFormatting>
  <conditionalFormatting sqref="F40:V40">
    <cfRule type="cellIs" dxfId="123" priority="4" operator="lessThan">
      <formula>0</formula>
    </cfRule>
  </conditionalFormatting>
  <conditionalFormatting sqref="W40">
    <cfRule type="cellIs" dxfId="122" priority="3" operator="lessThan">
      <formula>0</formula>
    </cfRule>
  </conditionalFormatting>
  <conditionalFormatting sqref="W40">
    <cfRule type="cellIs" dxfId="121" priority="2" operator="lessThan">
      <formula>0</formula>
    </cfRule>
  </conditionalFormatting>
  <conditionalFormatting sqref="W40">
    <cfRule type="cellIs" dxfId="120" priority="1" operator="lessThan">
      <formula>0</formula>
    </cfRule>
  </conditionalFormatting>
  <pageMargins left="0.511811024" right="0.511811024" top="0.78740157499999996" bottom="0.78740157499999996" header="0.31496062000000002" footer="0.31496062000000002"/>
  <pageSetup paperSize="9" orientation="portrait" horizontalDpi="1200" verticalDpi="120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D3893-8E43-4D7C-95D6-16DB924A3D0B}">
  <dimension ref="A1:AN1745"/>
  <sheetViews>
    <sheetView zoomScale="120" zoomScaleNormal="120" workbookViewId="0">
      <selection activeCell="A2" sqref="A2"/>
    </sheetView>
  </sheetViews>
  <sheetFormatPr defaultColWidth="9.109375" defaultRowHeight="13.2" x14ac:dyDescent="0.3"/>
  <cols>
    <col min="1" max="1" width="15.88671875" style="364" customWidth="1"/>
    <col min="2" max="2" width="13.44140625" style="364" customWidth="1"/>
    <col min="3" max="3" width="15.88671875" style="364" customWidth="1"/>
    <col min="4" max="4" width="15.109375" style="364" customWidth="1"/>
    <col min="5" max="7" width="13.88671875" style="364" customWidth="1"/>
    <col min="8" max="9" width="51.6640625" style="364" customWidth="1"/>
    <col min="10" max="10" width="8.88671875" style="364" customWidth="1"/>
    <col min="11" max="11" width="51.6640625" style="364" customWidth="1"/>
    <col min="12" max="12" width="17.88671875" style="364" customWidth="1"/>
    <col min="13" max="13" width="15.33203125" style="364" customWidth="1"/>
    <col min="14" max="14" width="17" style="364" customWidth="1"/>
    <col min="15" max="15" width="24.44140625" style="364" customWidth="1"/>
    <col min="16" max="16" width="8.88671875" style="364" customWidth="1"/>
    <col min="17" max="21" width="51.6640625" style="364" customWidth="1"/>
    <col min="22" max="22" width="14.5546875" style="364" customWidth="1"/>
    <col min="23" max="23" width="19.44140625" style="364" customWidth="1"/>
    <col min="24" max="24" width="25" style="364" customWidth="1"/>
    <col min="25" max="25" width="20.33203125" style="364" customWidth="1"/>
    <col min="26" max="26" width="15.109375" style="364" customWidth="1"/>
    <col min="27" max="27" width="15.33203125" style="364" customWidth="1"/>
    <col min="28" max="28" width="15.5546875" style="364" customWidth="1"/>
    <col min="29" max="29" width="16.33203125" style="364" customWidth="1"/>
    <col min="30" max="30" width="14.5546875" style="364" customWidth="1"/>
    <col min="31" max="31" width="21" style="364" customWidth="1"/>
    <col min="32" max="32" width="27" style="364" customWidth="1"/>
    <col min="33" max="33" width="20.44140625" style="364" customWidth="1"/>
    <col min="34" max="34" width="28.33203125" style="364" customWidth="1"/>
    <col min="35" max="35" width="14.6640625" style="364" customWidth="1"/>
    <col min="36" max="38" width="18.6640625" style="364" customWidth="1"/>
    <col min="39" max="39" width="51.6640625" style="364" customWidth="1"/>
    <col min="40" max="40" width="18.6640625" style="364" customWidth="1"/>
    <col min="41" max="16384" width="9.109375" style="364"/>
  </cols>
  <sheetData>
    <row r="1" spans="1:40" ht="25.5" customHeight="1" x14ac:dyDescent="0.3">
      <c r="A1" s="372" t="s">
        <v>2953</v>
      </c>
      <c r="B1" s="372" t="s">
        <v>2952</v>
      </c>
      <c r="C1" s="372" t="s">
        <v>2951</v>
      </c>
      <c r="D1" s="372" t="s">
        <v>2950</v>
      </c>
      <c r="E1" s="372" t="s">
        <v>2949</v>
      </c>
      <c r="F1" s="372" t="s">
        <v>2948</v>
      </c>
      <c r="G1" s="372" t="s">
        <v>2947</v>
      </c>
      <c r="H1" s="372" t="s">
        <v>2946</v>
      </c>
      <c r="I1" s="372" t="s">
        <v>2945</v>
      </c>
      <c r="J1" s="372" t="s">
        <v>2944</v>
      </c>
      <c r="K1" s="372" t="s">
        <v>2943</v>
      </c>
      <c r="L1" s="372" t="s">
        <v>2942</v>
      </c>
      <c r="M1" s="372" t="s">
        <v>2941</v>
      </c>
      <c r="N1" s="372" t="s">
        <v>2940</v>
      </c>
      <c r="O1" s="372" t="s">
        <v>2939</v>
      </c>
      <c r="P1" s="372" t="s">
        <v>2938</v>
      </c>
      <c r="Q1" s="372" t="s">
        <v>2937</v>
      </c>
      <c r="R1" s="372" t="s">
        <v>2936</v>
      </c>
      <c r="S1" s="372" t="s">
        <v>2935</v>
      </c>
      <c r="T1" s="372" t="s">
        <v>2934</v>
      </c>
      <c r="U1" s="372" t="s">
        <v>2933</v>
      </c>
      <c r="V1" s="372" t="s">
        <v>2932</v>
      </c>
      <c r="W1" s="372" t="s">
        <v>2931</v>
      </c>
      <c r="X1" s="372" t="s">
        <v>2930</v>
      </c>
      <c r="Y1" s="372" t="s">
        <v>2929</v>
      </c>
      <c r="Z1" s="372" t="s">
        <v>2928</v>
      </c>
      <c r="AA1" s="372" t="s">
        <v>2927</v>
      </c>
      <c r="AB1" s="372" t="s">
        <v>2926</v>
      </c>
      <c r="AC1" s="372" t="s">
        <v>2925</v>
      </c>
      <c r="AD1" s="372" t="s">
        <v>2924</v>
      </c>
      <c r="AE1" s="372" t="s">
        <v>2923</v>
      </c>
      <c r="AF1" s="372" t="s">
        <v>2922</v>
      </c>
      <c r="AG1" s="372" t="s">
        <v>2921</v>
      </c>
      <c r="AH1" s="372" t="s">
        <v>2920</v>
      </c>
      <c r="AI1" s="372" t="s">
        <v>2919</v>
      </c>
      <c r="AJ1" s="372" t="s">
        <v>2918</v>
      </c>
      <c r="AK1" s="372" t="s">
        <v>2917</v>
      </c>
      <c r="AL1" s="372" t="s">
        <v>660</v>
      </c>
      <c r="AM1" s="372" t="s">
        <v>2916</v>
      </c>
      <c r="AN1" s="372" t="s">
        <v>2915</v>
      </c>
    </row>
    <row r="2" spans="1:40" x14ac:dyDescent="0.3">
      <c r="A2" s="364" t="s">
        <v>2914</v>
      </c>
      <c r="B2" s="364" t="s">
        <v>661</v>
      </c>
      <c r="C2" s="364" t="s">
        <v>660</v>
      </c>
      <c r="D2" s="364" t="s">
        <v>87</v>
      </c>
      <c r="E2" s="364" t="s">
        <v>2893</v>
      </c>
      <c r="F2" s="364" t="s">
        <v>2893</v>
      </c>
      <c r="G2" s="364" t="s">
        <v>658</v>
      </c>
      <c r="H2" s="364" t="s">
        <v>2913</v>
      </c>
      <c r="I2" s="364" t="s">
        <v>2912</v>
      </c>
      <c r="J2" s="364" t="s">
        <v>88</v>
      </c>
      <c r="K2" s="364" t="s">
        <v>88</v>
      </c>
      <c r="L2" s="364" t="s">
        <v>88</v>
      </c>
      <c r="M2" s="364" t="s">
        <v>138</v>
      </c>
      <c r="N2" s="364" t="s">
        <v>654</v>
      </c>
      <c r="O2" s="364" t="s">
        <v>653</v>
      </c>
      <c r="P2" s="364" t="s">
        <v>88</v>
      </c>
      <c r="Q2" s="364" t="s">
        <v>88</v>
      </c>
      <c r="R2" s="364" t="s">
        <v>88</v>
      </c>
      <c r="S2" s="364" t="s">
        <v>88</v>
      </c>
      <c r="T2" s="364" t="s">
        <v>88</v>
      </c>
      <c r="U2" s="364" t="s">
        <v>88</v>
      </c>
      <c r="V2" s="364" t="s">
        <v>88</v>
      </c>
      <c r="W2" s="364" t="s">
        <v>88</v>
      </c>
      <c r="X2" s="364" t="s">
        <v>88</v>
      </c>
      <c r="Y2" s="364" t="s">
        <v>88</v>
      </c>
      <c r="Z2" s="364" t="s">
        <v>88</v>
      </c>
      <c r="AA2" s="364" t="s">
        <v>649</v>
      </c>
      <c r="AB2" s="364" t="s">
        <v>88</v>
      </c>
      <c r="AC2" s="364" t="s">
        <v>88</v>
      </c>
      <c r="AD2" s="364" t="s">
        <v>88</v>
      </c>
      <c r="AE2" s="364" t="s">
        <v>88</v>
      </c>
      <c r="AF2" s="364" t="s">
        <v>88</v>
      </c>
      <c r="AG2" s="364" t="s">
        <v>88</v>
      </c>
      <c r="AH2" s="364" t="s">
        <v>88</v>
      </c>
      <c r="AI2" s="364" t="s">
        <v>2911</v>
      </c>
      <c r="AJ2" s="364" t="s">
        <v>798</v>
      </c>
      <c r="AK2" s="364" t="s">
        <v>2466</v>
      </c>
      <c r="AL2" s="364" t="s">
        <v>2465</v>
      </c>
      <c r="AM2" s="364" t="s">
        <v>88</v>
      </c>
      <c r="AN2" s="364" t="s">
        <v>792</v>
      </c>
    </row>
    <row r="3" spans="1:40" x14ac:dyDescent="0.3">
      <c r="A3" s="364" t="s">
        <v>2910</v>
      </c>
      <c r="B3" s="364" t="s">
        <v>661</v>
      </c>
      <c r="C3" s="364" t="s">
        <v>660</v>
      </c>
      <c r="D3" s="364" t="s">
        <v>87</v>
      </c>
      <c r="E3" s="364" t="s">
        <v>2893</v>
      </c>
      <c r="F3" s="364" t="s">
        <v>2893</v>
      </c>
      <c r="G3" s="364" t="s">
        <v>658</v>
      </c>
      <c r="H3" s="364" t="s">
        <v>2909</v>
      </c>
      <c r="I3" s="364" t="s">
        <v>2908</v>
      </c>
      <c r="J3" s="364" t="s">
        <v>88</v>
      </c>
      <c r="K3" s="364" t="s">
        <v>88</v>
      </c>
      <c r="L3" s="364" t="s">
        <v>88</v>
      </c>
      <c r="M3" s="364" t="s">
        <v>138</v>
      </c>
      <c r="N3" s="364" t="s">
        <v>654</v>
      </c>
      <c r="O3" s="364" t="s">
        <v>653</v>
      </c>
      <c r="P3" s="364" t="s">
        <v>88</v>
      </c>
      <c r="Q3" s="364" t="s">
        <v>88</v>
      </c>
      <c r="R3" s="364" t="s">
        <v>88</v>
      </c>
      <c r="S3" s="364" t="s">
        <v>88</v>
      </c>
      <c r="T3" s="364" t="s">
        <v>88</v>
      </c>
      <c r="U3" s="364" t="s">
        <v>88</v>
      </c>
      <c r="V3" s="364" t="s">
        <v>88</v>
      </c>
      <c r="W3" s="364" t="s">
        <v>88</v>
      </c>
      <c r="X3" s="364" t="s">
        <v>88</v>
      </c>
      <c r="Y3" s="364" t="s">
        <v>88</v>
      </c>
      <c r="Z3" s="364" t="s">
        <v>88</v>
      </c>
      <c r="AA3" s="364" t="s">
        <v>649</v>
      </c>
      <c r="AB3" s="364" t="s">
        <v>88</v>
      </c>
      <c r="AC3" s="364" t="s">
        <v>88</v>
      </c>
      <c r="AD3" s="364" t="s">
        <v>88</v>
      </c>
      <c r="AE3" s="364" t="s">
        <v>88</v>
      </c>
      <c r="AF3" s="364" t="s">
        <v>88</v>
      </c>
      <c r="AG3" s="364" t="s">
        <v>88</v>
      </c>
      <c r="AH3" s="364" t="s">
        <v>88</v>
      </c>
      <c r="AI3" s="364" t="s">
        <v>2907</v>
      </c>
      <c r="AJ3" s="364" t="s">
        <v>798</v>
      </c>
      <c r="AK3" s="364" t="s">
        <v>2466</v>
      </c>
      <c r="AL3" s="364" t="s">
        <v>2465</v>
      </c>
      <c r="AM3" s="364" t="s">
        <v>88</v>
      </c>
      <c r="AN3" s="364" t="s">
        <v>792</v>
      </c>
    </row>
    <row r="4" spans="1:40" x14ac:dyDescent="0.3">
      <c r="A4" s="364" t="s">
        <v>2906</v>
      </c>
      <c r="B4" s="364" t="s">
        <v>661</v>
      </c>
      <c r="C4" s="364" t="s">
        <v>660</v>
      </c>
      <c r="D4" s="364" t="s">
        <v>87</v>
      </c>
      <c r="E4" s="364" t="s">
        <v>2893</v>
      </c>
      <c r="F4" s="364" t="s">
        <v>2893</v>
      </c>
      <c r="G4" s="364" t="s">
        <v>658</v>
      </c>
      <c r="H4" s="364" t="s">
        <v>2905</v>
      </c>
      <c r="I4" s="364" t="s">
        <v>2904</v>
      </c>
      <c r="J4" s="364" t="s">
        <v>88</v>
      </c>
      <c r="K4" s="364" t="s">
        <v>88</v>
      </c>
      <c r="L4" s="364" t="s">
        <v>88</v>
      </c>
      <c r="M4" s="364" t="s">
        <v>138</v>
      </c>
      <c r="N4" s="364" t="s">
        <v>654</v>
      </c>
      <c r="O4" s="364" t="s">
        <v>653</v>
      </c>
      <c r="P4" s="364" t="s">
        <v>88</v>
      </c>
      <c r="Q4" s="364" t="s">
        <v>88</v>
      </c>
      <c r="R4" s="364" t="s">
        <v>88</v>
      </c>
      <c r="S4" s="364" t="s">
        <v>88</v>
      </c>
      <c r="T4" s="364" t="s">
        <v>88</v>
      </c>
      <c r="U4" s="364" t="s">
        <v>88</v>
      </c>
      <c r="V4" s="364" t="s">
        <v>88</v>
      </c>
      <c r="W4" s="364" t="s">
        <v>88</v>
      </c>
      <c r="X4" s="364" t="s">
        <v>88</v>
      </c>
      <c r="Y4" s="364" t="s">
        <v>88</v>
      </c>
      <c r="Z4" s="364" t="s">
        <v>88</v>
      </c>
      <c r="AA4" s="364" t="s">
        <v>649</v>
      </c>
      <c r="AB4" s="364" t="s">
        <v>88</v>
      </c>
      <c r="AC4" s="364" t="s">
        <v>88</v>
      </c>
      <c r="AD4" s="364" t="s">
        <v>88</v>
      </c>
      <c r="AE4" s="364" t="s">
        <v>88</v>
      </c>
      <c r="AF4" s="364" t="s">
        <v>88</v>
      </c>
      <c r="AG4" s="364" t="s">
        <v>88</v>
      </c>
      <c r="AH4" s="364" t="s">
        <v>88</v>
      </c>
      <c r="AI4" s="364" t="s">
        <v>2903</v>
      </c>
      <c r="AJ4" s="364" t="s">
        <v>798</v>
      </c>
      <c r="AK4" s="364" t="s">
        <v>2466</v>
      </c>
      <c r="AL4" s="364" t="s">
        <v>2465</v>
      </c>
      <c r="AM4" s="364" t="s">
        <v>88</v>
      </c>
      <c r="AN4" s="364" t="s">
        <v>792</v>
      </c>
    </row>
    <row r="5" spans="1:40" x14ac:dyDescent="0.3">
      <c r="A5" s="364" t="s">
        <v>2902</v>
      </c>
      <c r="B5" s="364" t="s">
        <v>661</v>
      </c>
      <c r="C5" s="364" t="s">
        <v>660</v>
      </c>
      <c r="D5" s="364" t="s">
        <v>87</v>
      </c>
      <c r="E5" s="364" t="s">
        <v>2893</v>
      </c>
      <c r="F5" s="364" t="s">
        <v>2893</v>
      </c>
      <c r="G5" s="364" t="s">
        <v>658</v>
      </c>
      <c r="H5" s="364" t="s">
        <v>2901</v>
      </c>
      <c r="I5" s="364" t="s">
        <v>2900</v>
      </c>
      <c r="J5" s="364" t="s">
        <v>88</v>
      </c>
      <c r="K5" s="364" t="s">
        <v>88</v>
      </c>
      <c r="L5" s="364" t="s">
        <v>88</v>
      </c>
      <c r="M5" s="364" t="s">
        <v>138</v>
      </c>
      <c r="N5" s="364" t="s">
        <v>654</v>
      </c>
      <c r="O5" s="364" t="s">
        <v>653</v>
      </c>
      <c r="P5" s="364" t="s">
        <v>88</v>
      </c>
      <c r="Q5" s="364" t="s">
        <v>88</v>
      </c>
      <c r="R5" s="364" t="s">
        <v>88</v>
      </c>
      <c r="S5" s="364" t="s">
        <v>88</v>
      </c>
      <c r="T5" s="364" t="s">
        <v>88</v>
      </c>
      <c r="U5" s="364" t="s">
        <v>88</v>
      </c>
      <c r="V5" s="364" t="s">
        <v>88</v>
      </c>
      <c r="W5" s="364" t="s">
        <v>88</v>
      </c>
      <c r="X5" s="364" t="s">
        <v>88</v>
      </c>
      <c r="Y5" s="364" t="s">
        <v>88</v>
      </c>
      <c r="Z5" s="364" t="s">
        <v>88</v>
      </c>
      <c r="AA5" s="364" t="s">
        <v>649</v>
      </c>
      <c r="AB5" s="364" t="s">
        <v>88</v>
      </c>
      <c r="AC5" s="364" t="s">
        <v>88</v>
      </c>
      <c r="AD5" s="364" t="s">
        <v>88</v>
      </c>
      <c r="AE5" s="364" t="s">
        <v>88</v>
      </c>
      <c r="AF5" s="364" t="s">
        <v>88</v>
      </c>
      <c r="AG5" s="364" t="s">
        <v>88</v>
      </c>
      <c r="AH5" s="364" t="s">
        <v>88</v>
      </c>
      <c r="AI5" s="364" t="s">
        <v>2899</v>
      </c>
      <c r="AJ5" s="364" t="s">
        <v>1989</v>
      </c>
      <c r="AK5" s="364" t="s">
        <v>2466</v>
      </c>
      <c r="AL5" s="364" t="s">
        <v>2465</v>
      </c>
      <c r="AM5" s="364" t="s">
        <v>88</v>
      </c>
      <c r="AN5" s="364" t="s">
        <v>792</v>
      </c>
    </row>
    <row r="6" spans="1:40" x14ac:dyDescent="0.3">
      <c r="A6" s="364" t="s">
        <v>2898</v>
      </c>
      <c r="B6" s="364" t="s">
        <v>661</v>
      </c>
      <c r="C6" s="364" t="s">
        <v>660</v>
      </c>
      <c r="D6" s="364" t="s">
        <v>87</v>
      </c>
      <c r="E6" s="364" t="s">
        <v>2893</v>
      </c>
      <c r="F6" s="364" t="s">
        <v>2893</v>
      </c>
      <c r="G6" s="364" t="s">
        <v>658</v>
      </c>
      <c r="H6" s="364" t="s">
        <v>2897</v>
      </c>
      <c r="I6" s="364" t="s">
        <v>2896</v>
      </c>
      <c r="J6" s="364" t="s">
        <v>88</v>
      </c>
      <c r="K6" s="364" t="s">
        <v>88</v>
      </c>
      <c r="L6" s="364" t="s">
        <v>88</v>
      </c>
      <c r="M6" s="364" t="s">
        <v>138</v>
      </c>
      <c r="N6" s="364" t="s">
        <v>654</v>
      </c>
      <c r="O6" s="364" t="s">
        <v>653</v>
      </c>
      <c r="P6" s="364" t="s">
        <v>88</v>
      </c>
      <c r="Q6" s="364" t="s">
        <v>88</v>
      </c>
      <c r="R6" s="364" t="s">
        <v>88</v>
      </c>
      <c r="S6" s="364" t="s">
        <v>88</v>
      </c>
      <c r="T6" s="364" t="s">
        <v>88</v>
      </c>
      <c r="U6" s="364" t="s">
        <v>88</v>
      </c>
      <c r="V6" s="364" t="s">
        <v>88</v>
      </c>
      <c r="W6" s="364" t="s">
        <v>88</v>
      </c>
      <c r="X6" s="364" t="s">
        <v>88</v>
      </c>
      <c r="Y6" s="364" t="s">
        <v>88</v>
      </c>
      <c r="Z6" s="364" t="s">
        <v>88</v>
      </c>
      <c r="AA6" s="364" t="s">
        <v>649</v>
      </c>
      <c r="AB6" s="364" t="s">
        <v>88</v>
      </c>
      <c r="AC6" s="364" t="s">
        <v>88</v>
      </c>
      <c r="AD6" s="364" t="s">
        <v>88</v>
      </c>
      <c r="AE6" s="364" t="s">
        <v>88</v>
      </c>
      <c r="AF6" s="364" t="s">
        <v>88</v>
      </c>
      <c r="AG6" s="364" t="s">
        <v>88</v>
      </c>
      <c r="AH6" s="364" t="s">
        <v>88</v>
      </c>
      <c r="AI6" s="364" t="s">
        <v>2895</v>
      </c>
      <c r="AJ6" s="364" t="s">
        <v>1989</v>
      </c>
      <c r="AK6" s="364" t="s">
        <v>2466</v>
      </c>
      <c r="AL6" s="364" t="s">
        <v>2465</v>
      </c>
      <c r="AM6" s="364" t="s">
        <v>88</v>
      </c>
      <c r="AN6" s="364" t="s">
        <v>792</v>
      </c>
    </row>
    <row r="7" spans="1:40" x14ac:dyDescent="0.3">
      <c r="A7" s="364" t="s">
        <v>2894</v>
      </c>
      <c r="B7" s="364" t="s">
        <v>661</v>
      </c>
      <c r="C7" s="364" t="s">
        <v>660</v>
      </c>
      <c r="D7" s="364" t="s">
        <v>87</v>
      </c>
      <c r="E7" s="364" t="s">
        <v>2893</v>
      </c>
      <c r="F7" s="364" t="s">
        <v>2893</v>
      </c>
      <c r="G7" s="364" t="s">
        <v>658</v>
      </c>
      <c r="H7" s="364" t="s">
        <v>2892</v>
      </c>
      <c r="I7" s="364" t="s">
        <v>2891</v>
      </c>
      <c r="J7" s="364" t="s">
        <v>88</v>
      </c>
      <c r="K7" s="364" t="s">
        <v>88</v>
      </c>
      <c r="L7" s="364" t="s">
        <v>88</v>
      </c>
      <c r="M7" s="364" t="s">
        <v>138</v>
      </c>
      <c r="N7" s="364" t="s">
        <v>654</v>
      </c>
      <c r="O7" s="364" t="s">
        <v>653</v>
      </c>
      <c r="P7" s="364" t="s">
        <v>88</v>
      </c>
      <c r="Q7" s="364" t="s">
        <v>88</v>
      </c>
      <c r="R7" s="364" t="s">
        <v>88</v>
      </c>
      <c r="S7" s="364" t="s">
        <v>88</v>
      </c>
      <c r="T7" s="364" t="s">
        <v>88</v>
      </c>
      <c r="U7" s="364" t="s">
        <v>88</v>
      </c>
      <c r="V7" s="364" t="s">
        <v>88</v>
      </c>
      <c r="W7" s="364" t="s">
        <v>88</v>
      </c>
      <c r="X7" s="364" t="s">
        <v>88</v>
      </c>
      <c r="Y7" s="364" t="s">
        <v>88</v>
      </c>
      <c r="Z7" s="364" t="s">
        <v>88</v>
      </c>
      <c r="AA7" s="364" t="s">
        <v>649</v>
      </c>
      <c r="AB7" s="364" t="s">
        <v>88</v>
      </c>
      <c r="AC7" s="364" t="s">
        <v>88</v>
      </c>
      <c r="AD7" s="364" t="s">
        <v>88</v>
      </c>
      <c r="AE7" s="364" t="s">
        <v>88</v>
      </c>
      <c r="AF7" s="364" t="s">
        <v>88</v>
      </c>
      <c r="AG7" s="364" t="s">
        <v>88</v>
      </c>
      <c r="AH7" s="364" t="s">
        <v>88</v>
      </c>
      <c r="AI7" s="364" t="s">
        <v>2890</v>
      </c>
      <c r="AJ7" s="364" t="s">
        <v>1989</v>
      </c>
      <c r="AK7" s="364" t="s">
        <v>2466</v>
      </c>
      <c r="AL7" s="364" t="s">
        <v>2465</v>
      </c>
      <c r="AM7" s="364" t="s">
        <v>88</v>
      </c>
      <c r="AN7" s="364" t="s">
        <v>792</v>
      </c>
    </row>
    <row r="8" spans="1:40" x14ac:dyDescent="0.3">
      <c r="A8" s="364" t="s">
        <v>2889</v>
      </c>
      <c r="B8" s="364" t="s">
        <v>661</v>
      </c>
      <c r="C8" s="364" t="s">
        <v>660</v>
      </c>
      <c r="D8" s="364" t="s">
        <v>87</v>
      </c>
      <c r="E8" s="364" t="s">
        <v>2888</v>
      </c>
      <c r="F8" s="364" t="s">
        <v>2888</v>
      </c>
      <c r="G8" s="364" t="s">
        <v>658</v>
      </c>
      <c r="H8" s="364" t="s">
        <v>2887</v>
      </c>
      <c r="I8" s="364" t="s">
        <v>2886</v>
      </c>
      <c r="J8" s="364" t="s">
        <v>88</v>
      </c>
      <c r="K8" s="364" t="s">
        <v>88</v>
      </c>
      <c r="L8" s="364" t="s">
        <v>88</v>
      </c>
      <c r="M8" s="364" t="s">
        <v>138</v>
      </c>
      <c r="N8" s="364" t="s">
        <v>654</v>
      </c>
      <c r="O8" s="364" t="s">
        <v>653</v>
      </c>
      <c r="P8" s="364" t="s">
        <v>88</v>
      </c>
      <c r="Q8" s="364" t="s">
        <v>88</v>
      </c>
      <c r="R8" s="364" t="s">
        <v>88</v>
      </c>
      <c r="S8" s="364" t="s">
        <v>88</v>
      </c>
      <c r="T8" s="364" t="s">
        <v>88</v>
      </c>
      <c r="U8" s="364" t="s">
        <v>88</v>
      </c>
      <c r="V8" s="364" t="s">
        <v>88</v>
      </c>
      <c r="W8" s="364" t="s">
        <v>88</v>
      </c>
      <c r="X8" s="364" t="s">
        <v>88</v>
      </c>
      <c r="Y8" s="364" t="s">
        <v>88</v>
      </c>
      <c r="Z8" s="364" t="s">
        <v>88</v>
      </c>
      <c r="AA8" s="364" t="s">
        <v>649</v>
      </c>
      <c r="AB8" s="364" t="s">
        <v>88</v>
      </c>
      <c r="AC8" s="364" t="s">
        <v>88</v>
      </c>
      <c r="AD8" s="364" t="s">
        <v>88</v>
      </c>
      <c r="AE8" s="364" t="s">
        <v>88</v>
      </c>
      <c r="AF8" s="364" t="s">
        <v>88</v>
      </c>
      <c r="AG8" s="364" t="s">
        <v>88</v>
      </c>
      <c r="AH8" s="364" t="s">
        <v>88</v>
      </c>
      <c r="AI8" s="364" t="s">
        <v>2885</v>
      </c>
      <c r="AJ8" s="364" t="s">
        <v>798</v>
      </c>
      <c r="AK8" s="364" t="s">
        <v>2466</v>
      </c>
      <c r="AL8" s="364" t="s">
        <v>2884</v>
      </c>
      <c r="AM8" s="364" t="s">
        <v>88</v>
      </c>
      <c r="AN8" s="364" t="s">
        <v>792</v>
      </c>
    </row>
    <row r="9" spans="1:40" x14ac:dyDescent="0.3">
      <c r="A9" s="364" t="s">
        <v>2883</v>
      </c>
      <c r="B9" s="364" t="s">
        <v>661</v>
      </c>
      <c r="C9" s="364" t="s">
        <v>1420</v>
      </c>
      <c r="D9" s="364" t="s">
        <v>87</v>
      </c>
      <c r="E9" s="364" t="s">
        <v>2870</v>
      </c>
      <c r="F9" s="364" t="s">
        <v>744</v>
      </c>
      <c r="G9" s="364" t="s">
        <v>658</v>
      </c>
      <c r="H9" s="364" t="s">
        <v>2882</v>
      </c>
      <c r="I9" s="364" t="s">
        <v>2881</v>
      </c>
      <c r="J9" s="364" t="s">
        <v>198</v>
      </c>
      <c r="K9" s="364" t="s">
        <v>645</v>
      </c>
      <c r="L9" s="364" t="s">
        <v>188</v>
      </c>
      <c r="M9" s="364" t="s">
        <v>696</v>
      </c>
      <c r="N9" s="364" t="s">
        <v>654</v>
      </c>
      <c r="O9" s="364" t="s">
        <v>653</v>
      </c>
      <c r="P9" s="364" t="s">
        <v>198</v>
      </c>
      <c r="Q9" s="364" t="s">
        <v>652</v>
      </c>
      <c r="R9" s="364" t="s">
        <v>88</v>
      </c>
      <c r="S9" s="364" t="s">
        <v>88</v>
      </c>
      <c r="T9" s="364" t="s">
        <v>88</v>
      </c>
      <c r="U9" s="364" t="s">
        <v>88</v>
      </c>
      <c r="V9" s="364" t="s">
        <v>88</v>
      </c>
      <c r="W9" s="364" t="s">
        <v>88</v>
      </c>
      <c r="X9" s="364" t="s">
        <v>88</v>
      </c>
      <c r="Y9" s="364" t="s">
        <v>88</v>
      </c>
      <c r="Z9" s="364" t="s">
        <v>695</v>
      </c>
      <c r="AA9" s="364" t="s">
        <v>694</v>
      </c>
      <c r="AB9" s="364" t="s">
        <v>2880</v>
      </c>
      <c r="AC9" s="364" t="s">
        <v>2880</v>
      </c>
      <c r="AD9" s="364" t="s">
        <v>2880</v>
      </c>
      <c r="AE9" s="364" t="s">
        <v>88</v>
      </c>
      <c r="AF9" s="364" t="s">
        <v>2022</v>
      </c>
      <c r="AG9" s="364" t="s">
        <v>1415</v>
      </c>
      <c r="AH9" s="364" t="s">
        <v>2741</v>
      </c>
      <c r="AI9" s="364" t="s">
        <v>2879</v>
      </c>
      <c r="AJ9" s="364" t="s">
        <v>1446</v>
      </c>
      <c r="AK9" s="364" t="s">
        <v>2878</v>
      </c>
      <c r="AL9" s="364" t="s">
        <v>2465</v>
      </c>
      <c r="AM9" s="364" t="s">
        <v>645</v>
      </c>
      <c r="AN9" s="364" t="s">
        <v>1411</v>
      </c>
    </row>
    <row r="10" spans="1:40" x14ac:dyDescent="0.3">
      <c r="A10" s="364" t="s">
        <v>2883</v>
      </c>
      <c r="B10" s="364" t="s">
        <v>661</v>
      </c>
      <c r="C10" s="364" t="s">
        <v>1420</v>
      </c>
      <c r="D10" s="364" t="s">
        <v>87</v>
      </c>
      <c r="E10" s="364" t="s">
        <v>2870</v>
      </c>
      <c r="F10" s="364" t="s">
        <v>744</v>
      </c>
      <c r="G10" s="364" t="s">
        <v>658</v>
      </c>
      <c r="H10" s="364" t="s">
        <v>2882</v>
      </c>
      <c r="I10" s="364" t="s">
        <v>2881</v>
      </c>
      <c r="J10" s="364" t="s">
        <v>198</v>
      </c>
      <c r="K10" s="364" t="s">
        <v>645</v>
      </c>
      <c r="L10" s="364" t="s">
        <v>188</v>
      </c>
      <c r="M10" s="364" t="s">
        <v>696</v>
      </c>
      <c r="N10" s="364" t="s">
        <v>654</v>
      </c>
      <c r="O10" s="364" t="s">
        <v>653</v>
      </c>
      <c r="P10" s="364" t="s">
        <v>198</v>
      </c>
      <c r="Q10" s="364" t="s">
        <v>652</v>
      </c>
      <c r="R10" s="364" t="s">
        <v>88</v>
      </c>
      <c r="S10" s="364" t="s">
        <v>88</v>
      </c>
      <c r="T10" s="364" t="s">
        <v>88</v>
      </c>
      <c r="U10" s="364" t="s">
        <v>88</v>
      </c>
      <c r="V10" s="364" t="s">
        <v>88</v>
      </c>
      <c r="W10" s="364" t="s">
        <v>88</v>
      </c>
      <c r="X10" s="364" t="s">
        <v>88</v>
      </c>
      <c r="Y10" s="364" t="s">
        <v>88</v>
      </c>
      <c r="Z10" s="364" t="s">
        <v>695</v>
      </c>
      <c r="AA10" s="364" t="s">
        <v>694</v>
      </c>
      <c r="AB10" s="364" t="s">
        <v>2880</v>
      </c>
      <c r="AC10" s="364" t="s">
        <v>2880</v>
      </c>
      <c r="AD10" s="364" t="s">
        <v>2880</v>
      </c>
      <c r="AE10" s="364" t="s">
        <v>88</v>
      </c>
      <c r="AF10" s="364" t="s">
        <v>2505</v>
      </c>
      <c r="AG10" s="364" t="s">
        <v>1415</v>
      </c>
      <c r="AH10" s="364" t="s">
        <v>1461</v>
      </c>
      <c r="AI10" s="364" t="s">
        <v>2879</v>
      </c>
      <c r="AJ10" s="364" t="s">
        <v>1446</v>
      </c>
      <c r="AK10" s="364" t="s">
        <v>2878</v>
      </c>
      <c r="AL10" s="364" t="s">
        <v>2465</v>
      </c>
      <c r="AM10" s="364" t="s">
        <v>645</v>
      </c>
      <c r="AN10" s="364" t="s">
        <v>1411</v>
      </c>
    </row>
    <row r="11" spans="1:40" x14ac:dyDescent="0.3">
      <c r="A11" s="364" t="s">
        <v>2883</v>
      </c>
      <c r="B11" s="364" t="s">
        <v>661</v>
      </c>
      <c r="C11" s="364" t="s">
        <v>1420</v>
      </c>
      <c r="D11" s="364" t="s">
        <v>87</v>
      </c>
      <c r="E11" s="364" t="s">
        <v>2870</v>
      </c>
      <c r="F11" s="364" t="s">
        <v>744</v>
      </c>
      <c r="G11" s="364" t="s">
        <v>658</v>
      </c>
      <c r="H11" s="364" t="s">
        <v>2882</v>
      </c>
      <c r="I11" s="364" t="s">
        <v>2881</v>
      </c>
      <c r="J11" s="364" t="s">
        <v>198</v>
      </c>
      <c r="K11" s="364" t="s">
        <v>645</v>
      </c>
      <c r="L11" s="364" t="s">
        <v>188</v>
      </c>
      <c r="M11" s="364" t="s">
        <v>696</v>
      </c>
      <c r="N11" s="364" t="s">
        <v>654</v>
      </c>
      <c r="O11" s="364" t="s">
        <v>653</v>
      </c>
      <c r="P11" s="364" t="s">
        <v>198</v>
      </c>
      <c r="Q11" s="364" t="s">
        <v>652</v>
      </c>
      <c r="R11" s="364" t="s">
        <v>88</v>
      </c>
      <c r="S11" s="364" t="s">
        <v>88</v>
      </c>
      <c r="T11" s="364" t="s">
        <v>88</v>
      </c>
      <c r="U11" s="364" t="s">
        <v>88</v>
      </c>
      <c r="V11" s="364" t="s">
        <v>88</v>
      </c>
      <c r="W11" s="364" t="s">
        <v>88</v>
      </c>
      <c r="X11" s="364" t="s">
        <v>88</v>
      </c>
      <c r="Y11" s="364" t="s">
        <v>88</v>
      </c>
      <c r="Z11" s="364" t="s">
        <v>695</v>
      </c>
      <c r="AA11" s="364" t="s">
        <v>694</v>
      </c>
      <c r="AB11" s="364" t="s">
        <v>2880</v>
      </c>
      <c r="AC11" s="364" t="s">
        <v>2880</v>
      </c>
      <c r="AD11" s="364" t="s">
        <v>2880</v>
      </c>
      <c r="AE11" s="364" t="s">
        <v>88</v>
      </c>
      <c r="AF11" s="364" t="s">
        <v>2505</v>
      </c>
      <c r="AG11" s="364" t="s">
        <v>1415</v>
      </c>
      <c r="AH11" s="364" t="s">
        <v>1456</v>
      </c>
      <c r="AI11" s="364" t="s">
        <v>2879</v>
      </c>
      <c r="AJ11" s="364" t="s">
        <v>1446</v>
      </c>
      <c r="AK11" s="364" t="s">
        <v>2878</v>
      </c>
      <c r="AL11" s="364" t="s">
        <v>2465</v>
      </c>
      <c r="AM11" s="364" t="s">
        <v>645</v>
      </c>
      <c r="AN11" s="364" t="s">
        <v>1411</v>
      </c>
    </row>
    <row r="12" spans="1:40" x14ac:dyDescent="0.3">
      <c r="A12" s="364" t="s">
        <v>2871</v>
      </c>
      <c r="B12" s="364" t="s">
        <v>661</v>
      </c>
      <c r="C12" s="364" t="s">
        <v>1420</v>
      </c>
      <c r="D12" s="364" t="s">
        <v>90</v>
      </c>
      <c r="E12" s="364" t="s">
        <v>2870</v>
      </c>
      <c r="F12" s="364" t="s">
        <v>744</v>
      </c>
      <c r="G12" s="364" t="s">
        <v>658</v>
      </c>
      <c r="H12" s="364" t="s">
        <v>2869</v>
      </c>
      <c r="I12" s="364" t="s">
        <v>2867</v>
      </c>
      <c r="J12" s="364" t="s">
        <v>673</v>
      </c>
      <c r="K12" s="364" t="s">
        <v>668</v>
      </c>
      <c r="L12" s="364" t="s">
        <v>190</v>
      </c>
      <c r="M12" s="364" t="s">
        <v>725</v>
      </c>
      <c r="N12" s="364" t="s">
        <v>654</v>
      </c>
      <c r="O12" s="364" t="s">
        <v>653</v>
      </c>
      <c r="P12" s="364" t="s">
        <v>198</v>
      </c>
      <c r="Q12" s="364" t="s">
        <v>652</v>
      </c>
      <c r="R12" s="364" t="s">
        <v>88</v>
      </c>
      <c r="S12" s="364" t="s">
        <v>88</v>
      </c>
      <c r="T12" s="364" t="s">
        <v>2868</v>
      </c>
      <c r="U12" s="364" t="s">
        <v>2867</v>
      </c>
      <c r="V12" s="364" t="s">
        <v>88</v>
      </c>
      <c r="W12" s="364" t="s">
        <v>88</v>
      </c>
      <c r="X12" s="364" t="s">
        <v>88</v>
      </c>
      <c r="Y12" s="364" t="s">
        <v>88</v>
      </c>
      <c r="Z12" s="364" t="s">
        <v>724</v>
      </c>
      <c r="AA12" s="364" t="s">
        <v>649</v>
      </c>
      <c r="AB12" s="364" t="s">
        <v>2877</v>
      </c>
      <c r="AC12" s="364" t="s">
        <v>2877</v>
      </c>
      <c r="AD12" s="364" t="s">
        <v>2877</v>
      </c>
      <c r="AE12" s="364" t="s">
        <v>88</v>
      </c>
      <c r="AF12" s="364" t="s">
        <v>1416</v>
      </c>
      <c r="AG12" s="364" t="s">
        <v>1415</v>
      </c>
      <c r="AH12" s="364" t="s">
        <v>2118</v>
      </c>
      <c r="AI12" s="364" t="s">
        <v>2864</v>
      </c>
      <c r="AJ12" s="364" t="s">
        <v>648</v>
      </c>
      <c r="AK12" s="364" t="s">
        <v>2863</v>
      </c>
      <c r="AL12" s="364" t="s">
        <v>1412</v>
      </c>
      <c r="AM12" s="364" t="s">
        <v>668</v>
      </c>
      <c r="AN12" s="364" t="s">
        <v>1411</v>
      </c>
    </row>
    <row r="13" spans="1:40" x14ac:dyDescent="0.3">
      <c r="A13" s="364" t="s">
        <v>2871</v>
      </c>
      <c r="B13" s="364" t="s">
        <v>661</v>
      </c>
      <c r="C13" s="364" t="s">
        <v>1420</v>
      </c>
      <c r="D13" s="364" t="s">
        <v>90</v>
      </c>
      <c r="E13" s="364" t="s">
        <v>2870</v>
      </c>
      <c r="F13" s="364" t="s">
        <v>744</v>
      </c>
      <c r="G13" s="364" t="s">
        <v>658</v>
      </c>
      <c r="H13" s="364" t="s">
        <v>2869</v>
      </c>
      <c r="I13" s="364" t="s">
        <v>2867</v>
      </c>
      <c r="J13" s="364" t="s">
        <v>673</v>
      </c>
      <c r="K13" s="364" t="s">
        <v>668</v>
      </c>
      <c r="L13" s="364" t="s">
        <v>190</v>
      </c>
      <c r="M13" s="364" t="s">
        <v>718</v>
      </c>
      <c r="N13" s="364" t="s">
        <v>654</v>
      </c>
      <c r="O13" s="364" t="s">
        <v>653</v>
      </c>
      <c r="P13" s="364" t="s">
        <v>198</v>
      </c>
      <c r="Q13" s="364" t="s">
        <v>652</v>
      </c>
      <c r="R13" s="364" t="s">
        <v>88</v>
      </c>
      <c r="S13" s="364" t="s">
        <v>88</v>
      </c>
      <c r="T13" s="364" t="s">
        <v>2868</v>
      </c>
      <c r="U13" s="364" t="s">
        <v>2867</v>
      </c>
      <c r="V13" s="364" t="s">
        <v>88</v>
      </c>
      <c r="W13" s="364" t="s">
        <v>88</v>
      </c>
      <c r="X13" s="364" t="s">
        <v>88</v>
      </c>
      <c r="Y13" s="364" t="s">
        <v>88</v>
      </c>
      <c r="Z13" s="364" t="s">
        <v>717</v>
      </c>
      <c r="AA13" s="364" t="s">
        <v>649</v>
      </c>
      <c r="AB13" s="364" t="s">
        <v>2876</v>
      </c>
      <c r="AC13" s="364" t="s">
        <v>2876</v>
      </c>
      <c r="AD13" s="364" t="s">
        <v>2876</v>
      </c>
      <c r="AE13" s="364" t="s">
        <v>88</v>
      </c>
      <c r="AF13" s="364" t="s">
        <v>1416</v>
      </c>
      <c r="AG13" s="364" t="s">
        <v>1415</v>
      </c>
      <c r="AH13" s="364" t="s">
        <v>2007</v>
      </c>
      <c r="AI13" s="364" t="s">
        <v>2864</v>
      </c>
      <c r="AJ13" s="364" t="s">
        <v>648</v>
      </c>
      <c r="AK13" s="364" t="s">
        <v>2863</v>
      </c>
      <c r="AL13" s="364" t="s">
        <v>1412</v>
      </c>
      <c r="AM13" s="364" t="s">
        <v>668</v>
      </c>
      <c r="AN13" s="364" t="s">
        <v>1411</v>
      </c>
    </row>
    <row r="14" spans="1:40" x14ac:dyDescent="0.3">
      <c r="A14" s="364" t="s">
        <v>2871</v>
      </c>
      <c r="B14" s="364" t="s">
        <v>661</v>
      </c>
      <c r="C14" s="364" t="s">
        <v>1420</v>
      </c>
      <c r="D14" s="364" t="s">
        <v>90</v>
      </c>
      <c r="E14" s="364" t="s">
        <v>2870</v>
      </c>
      <c r="F14" s="364" t="s">
        <v>744</v>
      </c>
      <c r="G14" s="364" t="s">
        <v>658</v>
      </c>
      <c r="H14" s="364" t="s">
        <v>2869</v>
      </c>
      <c r="I14" s="364" t="s">
        <v>2867</v>
      </c>
      <c r="J14" s="364" t="s">
        <v>673</v>
      </c>
      <c r="K14" s="364" t="s">
        <v>668</v>
      </c>
      <c r="L14" s="364" t="s">
        <v>190</v>
      </c>
      <c r="M14" s="364" t="s">
        <v>55</v>
      </c>
      <c r="N14" s="364" t="s">
        <v>654</v>
      </c>
      <c r="O14" s="364" t="s">
        <v>653</v>
      </c>
      <c r="P14" s="364" t="s">
        <v>198</v>
      </c>
      <c r="Q14" s="364" t="s">
        <v>652</v>
      </c>
      <c r="R14" s="364" t="s">
        <v>88</v>
      </c>
      <c r="S14" s="364" t="s">
        <v>88</v>
      </c>
      <c r="T14" s="364" t="s">
        <v>2868</v>
      </c>
      <c r="U14" s="364" t="s">
        <v>2867</v>
      </c>
      <c r="V14" s="364" t="s">
        <v>88</v>
      </c>
      <c r="W14" s="364" t="s">
        <v>88</v>
      </c>
      <c r="X14" s="364" t="s">
        <v>88</v>
      </c>
      <c r="Y14" s="364" t="s">
        <v>88</v>
      </c>
      <c r="Z14" s="364" t="s">
        <v>719</v>
      </c>
      <c r="AA14" s="364" t="s">
        <v>649</v>
      </c>
      <c r="AB14" s="364" t="s">
        <v>2875</v>
      </c>
      <c r="AC14" s="364" t="s">
        <v>2875</v>
      </c>
      <c r="AD14" s="364" t="s">
        <v>2875</v>
      </c>
      <c r="AE14" s="364" t="s">
        <v>88</v>
      </c>
      <c r="AF14" s="364" t="s">
        <v>1416</v>
      </c>
      <c r="AG14" s="364" t="s">
        <v>1415</v>
      </c>
      <c r="AH14" s="364" t="s">
        <v>2123</v>
      </c>
      <c r="AI14" s="364" t="s">
        <v>2864</v>
      </c>
      <c r="AJ14" s="364" t="s">
        <v>648</v>
      </c>
      <c r="AK14" s="364" t="s">
        <v>2863</v>
      </c>
      <c r="AL14" s="364" t="s">
        <v>1412</v>
      </c>
      <c r="AM14" s="364" t="s">
        <v>668</v>
      </c>
      <c r="AN14" s="364" t="s">
        <v>1411</v>
      </c>
    </row>
    <row r="15" spans="1:40" x14ac:dyDescent="0.3">
      <c r="A15" s="364" t="s">
        <v>2871</v>
      </c>
      <c r="B15" s="364" t="s">
        <v>661</v>
      </c>
      <c r="C15" s="364" t="s">
        <v>1420</v>
      </c>
      <c r="D15" s="364" t="s">
        <v>90</v>
      </c>
      <c r="E15" s="364" t="s">
        <v>2870</v>
      </c>
      <c r="F15" s="364" t="s">
        <v>744</v>
      </c>
      <c r="G15" s="364" t="s">
        <v>658</v>
      </c>
      <c r="H15" s="364" t="s">
        <v>2869</v>
      </c>
      <c r="I15" s="364" t="s">
        <v>2867</v>
      </c>
      <c r="J15" s="364" t="s">
        <v>198</v>
      </c>
      <c r="K15" s="364" t="s">
        <v>645</v>
      </c>
      <c r="L15" s="364" t="s">
        <v>188</v>
      </c>
      <c r="M15" s="364" t="s">
        <v>655</v>
      </c>
      <c r="N15" s="364" t="s">
        <v>654</v>
      </c>
      <c r="O15" s="364" t="s">
        <v>653</v>
      </c>
      <c r="P15" s="364" t="s">
        <v>198</v>
      </c>
      <c r="Q15" s="364" t="s">
        <v>652</v>
      </c>
      <c r="R15" s="364" t="s">
        <v>88</v>
      </c>
      <c r="S15" s="364" t="s">
        <v>88</v>
      </c>
      <c r="T15" s="364" t="s">
        <v>2868</v>
      </c>
      <c r="U15" s="364" t="s">
        <v>2867</v>
      </c>
      <c r="V15" s="364" t="s">
        <v>88</v>
      </c>
      <c r="W15" s="364" t="s">
        <v>88</v>
      </c>
      <c r="X15" s="364" t="s">
        <v>88</v>
      </c>
      <c r="Y15" s="364" t="s">
        <v>88</v>
      </c>
      <c r="Z15" s="364" t="s">
        <v>651</v>
      </c>
      <c r="AA15" s="364" t="s">
        <v>650</v>
      </c>
      <c r="AB15" s="364" t="s">
        <v>2866</v>
      </c>
      <c r="AC15" s="364" t="s">
        <v>2866</v>
      </c>
      <c r="AD15" s="364" t="s">
        <v>2866</v>
      </c>
      <c r="AE15" s="364" t="s">
        <v>88</v>
      </c>
      <c r="AF15" s="364" t="s">
        <v>2874</v>
      </c>
      <c r="AG15" s="364" t="s">
        <v>1415</v>
      </c>
      <c r="AH15" s="364" t="s">
        <v>2123</v>
      </c>
      <c r="AI15" s="364" t="s">
        <v>2864</v>
      </c>
      <c r="AJ15" s="364" t="s">
        <v>648</v>
      </c>
      <c r="AK15" s="364" t="s">
        <v>2863</v>
      </c>
      <c r="AL15" s="364" t="s">
        <v>1412</v>
      </c>
      <c r="AM15" s="364" t="s">
        <v>645</v>
      </c>
      <c r="AN15" s="364" t="s">
        <v>1411</v>
      </c>
    </row>
    <row r="16" spans="1:40" x14ac:dyDescent="0.3">
      <c r="A16" s="364" t="s">
        <v>2871</v>
      </c>
      <c r="B16" s="364" t="s">
        <v>661</v>
      </c>
      <c r="C16" s="364" t="s">
        <v>1420</v>
      </c>
      <c r="D16" s="364" t="s">
        <v>90</v>
      </c>
      <c r="E16" s="364" t="s">
        <v>2870</v>
      </c>
      <c r="F16" s="364" t="s">
        <v>744</v>
      </c>
      <c r="G16" s="364" t="s">
        <v>658</v>
      </c>
      <c r="H16" s="364" t="s">
        <v>2869</v>
      </c>
      <c r="I16" s="364" t="s">
        <v>2867</v>
      </c>
      <c r="J16" s="364" t="s">
        <v>198</v>
      </c>
      <c r="K16" s="364" t="s">
        <v>645</v>
      </c>
      <c r="L16" s="364" t="s">
        <v>188</v>
      </c>
      <c r="M16" s="364" t="s">
        <v>655</v>
      </c>
      <c r="N16" s="364" t="s">
        <v>654</v>
      </c>
      <c r="O16" s="364" t="s">
        <v>653</v>
      </c>
      <c r="P16" s="364" t="s">
        <v>198</v>
      </c>
      <c r="Q16" s="364" t="s">
        <v>652</v>
      </c>
      <c r="R16" s="364" t="s">
        <v>88</v>
      </c>
      <c r="S16" s="364" t="s">
        <v>88</v>
      </c>
      <c r="T16" s="364" t="s">
        <v>2868</v>
      </c>
      <c r="U16" s="364" t="s">
        <v>2867</v>
      </c>
      <c r="V16" s="364" t="s">
        <v>88</v>
      </c>
      <c r="W16" s="364" t="s">
        <v>88</v>
      </c>
      <c r="X16" s="364" t="s">
        <v>88</v>
      </c>
      <c r="Y16" s="364" t="s">
        <v>88</v>
      </c>
      <c r="Z16" s="364" t="s">
        <v>651</v>
      </c>
      <c r="AA16" s="364" t="s">
        <v>650</v>
      </c>
      <c r="AB16" s="364" t="s">
        <v>2866</v>
      </c>
      <c r="AC16" s="364" t="s">
        <v>2866</v>
      </c>
      <c r="AD16" s="364" t="s">
        <v>2866</v>
      </c>
      <c r="AE16" s="364" t="s">
        <v>88</v>
      </c>
      <c r="AF16" s="364" t="s">
        <v>2873</v>
      </c>
      <c r="AG16" s="364" t="s">
        <v>1415</v>
      </c>
      <c r="AH16" s="364" t="s">
        <v>2508</v>
      </c>
      <c r="AI16" s="364" t="s">
        <v>2864</v>
      </c>
      <c r="AJ16" s="364" t="s">
        <v>648</v>
      </c>
      <c r="AK16" s="364" t="s">
        <v>2863</v>
      </c>
      <c r="AL16" s="364" t="s">
        <v>1412</v>
      </c>
      <c r="AM16" s="364" t="s">
        <v>645</v>
      </c>
      <c r="AN16" s="364" t="s">
        <v>1411</v>
      </c>
    </row>
    <row r="17" spans="1:40" x14ac:dyDescent="0.3">
      <c r="A17" s="364" t="s">
        <v>2871</v>
      </c>
      <c r="B17" s="364" t="s">
        <v>661</v>
      </c>
      <c r="C17" s="364" t="s">
        <v>1420</v>
      </c>
      <c r="D17" s="364" t="s">
        <v>90</v>
      </c>
      <c r="E17" s="364" t="s">
        <v>2870</v>
      </c>
      <c r="F17" s="364" t="s">
        <v>744</v>
      </c>
      <c r="G17" s="364" t="s">
        <v>658</v>
      </c>
      <c r="H17" s="364" t="s">
        <v>2869</v>
      </c>
      <c r="I17" s="364" t="s">
        <v>2867</v>
      </c>
      <c r="J17" s="364" t="s">
        <v>198</v>
      </c>
      <c r="K17" s="364" t="s">
        <v>645</v>
      </c>
      <c r="L17" s="364" t="s">
        <v>188</v>
      </c>
      <c r="M17" s="364" t="s">
        <v>655</v>
      </c>
      <c r="N17" s="364" t="s">
        <v>654</v>
      </c>
      <c r="O17" s="364" t="s">
        <v>653</v>
      </c>
      <c r="P17" s="364" t="s">
        <v>198</v>
      </c>
      <c r="Q17" s="364" t="s">
        <v>652</v>
      </c>
      <c r="R17" s="364" t="s">
        <v>88</v>
      </c>
      <c r="S17" s="364" t="s">
        <v>88</v>
      </c>
      <c r="T17" s="364" t="s">
        <v>2868</v>
      </c>
      <c r="U17" s="364" t="s">
        <v>2867</v>
      </c>
      <c r="V17" s="364" t="s">
        <v>88</v>
      </c>
      <c r="W17" s="364" t="s">
        <v>88</v>
      </c>
      <c r="X17" s="364" t="s">
        <v>88</v>
      </c>
      <c r="Y17" s="364" t="s">
        <v>88</v>
      </c>
      <c r="Z17" s="364" t="s">
        <v>651</v>
      </c>
      <c r="AA17" s="364" t="s">
        <v>650</v>
      </c>
      <c r="AB17" s="364" t="s">
        <v>2866</v>
      </c>
      <c r="AC17" s="364" t="s">
        <v>2866</v>
      </c>
      <c r="AD17" s="364" t="s">
        <v>2866</v>
      </c>
      <c r="AE17" s="364" t="s">
        <v>88</v>
      </c>
      <c r="AF17" s="364" t="s">
        <v>2872</v>
      </c>
      <c r="AG17" s="364" t="s">
        <v>1415</v>
      </c>
      <c r="AH17" s="364" t="s">
        <v>2007</v>
      </c>
      <c r="AI17" s="364" t="s">
        <v>2864</v>
      </c>
      <c r="AJ17" s="364" t="s">
        <v>648</v>
      </c>
      <c r="AK17" s="364" t="s">
        <v>2863</v>
      </c>
      <c r="AL17" s="364" t="s">
        <v>1412</v>
      </c>
      <c r="AM17" s="364" t="s">
        <v>645</v>
      </c>
      <c r="AN17" s="364" t="s">
        <v>1411</v>
      </c>
    </row>
    <row r="18" spans="1:40" x14ac:dyDescent="0.3">
      <c r="A18" s="364" t="s">
        <v>2871</v>
      </c>
      <c r="B18" s="364" t="s">
        <v>661</v>
      </c>
      <c r="C18" s="364" t="s">
        <v>1420</v>
      </c>
      <c r="D18" s="364" t="s">
        <v>90</v>
      </c>
      <c r="E18" s="364" t="s">
        <v>2870</v>
      </c>
      <c r="F18" s="364" t="s">
        <v>744</v>
      </c>
      <c r="G18" s="364" t="s">
        <v>658</v>
      </c>
      <c r="H18" s="364" t="s">
        <v>2869</v>
      </c>
      <c r="I18" s="364" t="s">
        <v>2867</v>
      </c>
      <c r="J18" s="364" t="s">
        <v>198</v>
      </c>
      <c r="K18" s="364" t="s">
        <v>645</v>
      </c>
      <c r="L18" s="364" t="s">
        <v>188</v>
      </c>
      <c r="M18" s="364" t="s">
        <v>655</v>
      </c>
      <c r="N18" s="364" t="s">
        <v>654</v>
      </c>
      <c r="O18" s="364" t="s">
        <v>653</v>
      </c>
      <c r="P18" s="364" t="s">
        <v>198</v>
      </c>
      <c r="Q18" s="364" t="s">
        <v>652</v>
      </c>
      <c r="R18" s="364" t="s">
        <v>88</v>
      </c>
      <c r="S18" s="364" t="s">
        <v>88</v>
      </c>
      <c r="T18" s="364" t="s">
        <v>2868</v>
      </c>
      <c r="U18" s="364" t="s">
        <v>2867</v>
      </c>
      <c r="V18" s="364" t="s">
        <v>88</v>
      </c>
      <c r="W18" s="364" t="s">
        <v>88</v>
      </c>
      <c r="X18" s="364" t="s">
        <v>88</v>
      </c>
      <c r="Y18" s="364" t="s">
        <v>88</v>
      </c>
      <c r="Z18" s="364" t="s">
        <v>651</v>
      </c>
      <c r="AA18" s="364" t="s">
        <v>650</v>
      </c>
      <c r="AB18" s="364" t="s">
        <v>2866</v>
      </c>
      <c r="AC18" s="364" t="s">
        <v>2866</v>
      </c>
      <c r="AD18" s="364" t="s">
        <v>2866</v>
      </c>
      <c r="AE18" s="364" t="s">
        <v>88</v>
      </c>
      <c r="AF18" s="364" t="s">
        <v>2132</v>
      </c>
      <c r="AG18" s="364" t="s">
        <v>1415</v>
      </c>
      <c r="AH18" s="364" t="s">
        <v>2118</v>
      </c>
      <c r="AI18" s="364" t="s">
        <v>2864</v>
      </c>
      <c r="AJ18" s="364" t="s">
        <v>648</v>
      </c>
      <c r="AK18" s="364" t="s">
        <v>2863</v>
      </c>
      <c r="AL18" s="364" t="s">
        <v>1412</v>
      </c>
      <c r="AM18" s="364" t="s">
        <v>645</v>
      </c>
      <c r="AN18" s="364" t="s">
        <v>1411</v>
      </c>
    </row>
    <row r="19" spans="1:40" x14ac:dyDescent="0.3">
      <c r="A19" s="364" t="s">
        <v>2871</v>
      </c>
      <c r="B19" s="364" t="s">
        <v>661</v>
      </c>
      <c r="C19" s="364" t="s">
        <v>1420</v>
      </c>
      <c r="D19" s="364" t="s">
        <v>90</v>
      </c>
      <c r="E19" s="364" t="s">
        <v>2870</v>
      </c>
      <c r="F19" s="364" t="s">
        <v>744</v>
      </c>
      <c r="G19" s="364" t="s">
        <v>658</v>
      </c>
      <c r="H19" s="364" t="s">
        <v>2869</v>
      </c>
      <c r="I19" s="364" t="s">
        <v>2867</v>
      </c>
      <c r="J19" s="364" t="s">
        <v>198</v>
      </c>
      <c r="K19" s="364" t="s">
        <v>645</v>
      </c>
      <c r="L19" s="364" t="s">
        <v>188</v>
      </c>
      <c r="M19" s="364" t="s">
        <v>655</v>
      </c>
      <c r="N19" s="364" t="s">
        <v>654</v>
      </c>
      <c r="O19" s="364" t="s">
        <v>653</v>
      </c>
      <c r="P19" s="364" t="s">
        <v>198</v>
      </c>
      <c r="Q19" s="364" t="s">
        <v>652</v>
      </c>
      <c r="R19" s="364" t="s">
        <v>88</v>
      </c>
      <c r="S19" s="364" t="s">
        <v>88</v>
      </c>
      <c r="T19" s="364" t="s">
        <v>2868</v>
      </c>
      <c r="U19" s="364" t="s">
        <v>2867</v>
      </c>
      <c r="V19" s="364" t="s">
        <v>88</v>
      </c>
      <c r="W19" s="364" t="s">
        <v>88</v>
      </c>
      <c r="X19" s="364" t="s">
        <v>88</v>
      </c>
      <c r="Y19" s="364" t="s">
        <v>88</v>
      </c>
      <c r="Z19" s="364" t="s">
        <v>651</v>
      </c>
      <c r="AA19" s="364" t="s">
        <v>650</v>
      </c>
      <c r="AB19" s="364" t="s">
        <v>2866</v>
      </c>
      <c r="AC19" s="364" t="s">
        <v>2866</v>
      </c>
      <c r="AD19" s="364" t="s">
        <v>2866</v>
      </c>
      <c r="AE19" s="364" t="s">
        <v>88</v>
      </c>
      <c r="AF19" s="364" t="s">
        <v>2872</v>
      </c>
      <c r="AG19" s="364" t="s">
        <v>1415</v>
      </c>
      <c r="AH19" s="364" t="s">
        <v>2019</v>
      </c>
      <c r="AI19" s="364" t="s">
        <v>2864</v>
      </c>
      <c r="AJ19" s="364" t="s">
        <v>648</v>
      </c>
      <c r="AK19" s="364" t="s">
        <v>2863</v>
      </c>
      <c r="AL19" s="364" t="s">
        <v>1412</v>
      </c>
      <c r="AM19" s="364" t="s">
        <v>645</v>
      </c>
      <c r="AN19" s="364" t="s">
        <v>1411</v>
      </c>
    </row>
    <row r="20" spans="1:40" x14ac:dyDescent="0.3">
      <c r="A20" s="364" t="s">
        <v>2871</v>
      </c>
      <c r="B20" s="364" t="s">
        <v>661</v>
      </c>
      <c r="C20" s="364" t="s">
        <v>1420</v>
      </c>
      <c r="D20" s="364" t="s">
        <v>90</v>
      </c>
      <c r="E20" s="364" t="s">
        <v>2870</v>
      </c>
      <c r="F20" s="364" t="s">
        <v>744</v>
      </c>
      <c r="G20" s="364" t="s">
        <v>658</v>
      </c>
      <c r="H20" s="364" t="s">
        <v>2869</v>
      </c>
      <c r="I20" s="364" t="s">
        <v>2867</v>
      </c>
      <c r="J20" s="364" t="s">
        <v>198</v>
      </c>
      <c r="K20" s="364" t="s">
        <v>645</v>
      </c>
      <c r="L20" s="364" t="s">
        <v>188</v>
      </c>
      <c r="M20" s="364" t="s">
        <v>655</v>
      </c>
      <c r="N20" s="364" t="s">
        <v>654</v>
      </c>
      <c r="O20" s="364" t="s">
        <v>653</v>
      </c>
      <c r="P20" s="364" t="s">
        <v>198</v>
      </c>
      <c r="Q20" s="364" t="s">
        <v>652</v>
      </c>
      <c r="R20" s="364" t="s">
        <v>88</v>
      </c>
      <c r="S20" s="364" t="s">
        <v>88</v>
      </c>
      <c r="T20" s="364" t="s">
        <v>2868</v>
      </c>
      <c r="U20" s="364" t="s">
        <v>2867</v>
      </c>
      <c r="V20" s="364" t="s">
        <v>88</v>
      </c>
      <c r="W20" s="364" t="s">
        <v>88</v>
      </c>
      <c r="X20" s="364" t="s">
        <v>88</v>
      </c>
      <c r="Y20" s="364" t="s">
        <v>88</v>
      </c>
      <c r="Z20" s="364" t="s">
        <v>651</v>
      </c>
      <c r="AA20" s="364" t="s">
        <v>650</v>
      </c>
      <c r="AB20" s="364" t="s">
        <v>2866</v>
      </c>
      <c r="AC20" s="364" t="s">
        <v>2866</v>
      </c>
      <c r="AD20" s="364" t="s">
        <v>2866</v>
      </c>
      <c r="AE20" s="364" t="s">
        <v>88</v>
      </c>
      <c r="AF20" s="364" t="s">
        <v>2021</v>
      </c>
      <c r="AG20" s="364" t="s">
        <v>1415</v>
      </c>
      <c r="AH20" s="364" t="s">
        <v>2014</v>
      </c>
      <c r="AI20" s="364" t="s">
        <v>2864</v>
      </c>
      <c r="AJ20" s="364" t="s">
        <v>648</v>
      </c>
      <c r="AK20" s="364" t="s">
        <v>2863</v>
      </c>
      <c r="AL20" s="364" t="s">
        <v>1412</v>
      </c>
      <c r="AM20" s="364" t="s">
        <v>645</v>
      </c>
      <c r="AN20" s="364" t="s">
        <v>1411</v>
      </c>
    </row>
    <row r="21" spans="1:40" x14ac:dyDescent="0.3">
      <c r="A21" s="364" t="s">
        <v>2871</v>
      </c>
      <c r="B21" s="364" t="s">
        <v>661</v>
      </c>
      <c r="C21" s="364" t="s">
        <v>1420</v>
      </c>
      <c r="D21" s="364" t="s">
        <v>90</v>
      </c>
      <c r="E21" s="364" t="s">
        <v>2870</v>
      </c>
      <c r="F21" s="364" t="s">
        <v>744</v>
      </c>
      <c r="G21" s="364" t="s">
        <v>658</v>
      </c>
      <c r="H21" s="364" t="s">
        <v>2869</v>
      </c>
      <c r="I21" s="364" t="s">
        <v>2867</v>
      </c>
      <c r="J21" s="364" t="s">
        <v>198</v>
      </c>
      <c r="K21" s="364" t="s">
        <v>645</v>
      </c>
      <c r="L21" s="364" t="s">
        <v>188</v>
      </c>
      <c r="M21" s="364" t="s">
        <v>655</v>
      </c>
      <c r="N21" s="364" t="s">
        <v>654</v>
      </c>
      <c r="O21" s="364" t="s">
        <v>653</v>
      </c>
      <c r="P21" s="364" t="s">
        <v>198</v>
      </c>
      <c r="Q21" s="364" t="s">
        <v>652</v>
      </c>
      <c r="R21" s="364" t="s">
        <v>88</v>
      </c>
      <c r="S21" s="364" t="s">
        <v>88</v>
      </c>
      <c r="T21" s="364" t="s">
        <v>2868</v>
      </c>
      <c r="U21" s="364" t="s">
        <v>2867</v>
      </c>
      <c r="V21" s="364" t="s">
        <v>88</v>
      </c>
      <c r="W21" s="364" t="s">
        <v>88</v>
      </c>
      <c r="X21" s="364" t="s">
        <v>88</v>
      </c>
      <c r="Y21" s="364" t="s">
        <v>88</v>
      </c>
      <c r="Z21" s="364" t="s">
        <v>651</v>
      </c>
      <c r="AA21" s="364" t="s">
        <v>650</v>
      </c>
      <c r="AB21" s="364" t="s">
        <v>2866</v>
      </c>
      <c r="AC21" s="364" t="s">
        <v>2866</v>
      </c>
      <c r="AD21" s="364" t="s">
        <v>2866</v>
      </c>
      <c r="AE21" s="364" t="s">
        <v>88</v>
      </c>
      <c r="AF21" s="364" t="s">
        <v>2865</v>
      </c>
      <c r="AG21" s="364" t="s">
        <v>1415</v>
      </c>
      <c r="AH21" s="364" t="s">
        <v>1427</v>
      </c>
      <c r="AI21" s="364" t="s">
        <v>2864</v>
      </c>
      <c r="AJ21" s="364" t="s">
        <v>648</v>
      </c>
      <c r="AK21" s="364" t="s">
        <v>2863</v>
      </c>
      <c r="AL21" s="364" t="s">
        <v>1412</v>
      </c>
      <c r="AM21" s="364" t="s">
        <v>645</v>
      </c>
      <c r="AN21" s="364" t="s">
        <v>1411</v>
      </c>
    </row>
    <row r="22" spans="1:40" x14ac:dyDescent="0.3">
      <c r="A22" s="364" t="s">
        <v>2862</v>
      </c>
      <c r="B22" s="364" t="s">
        <v>661</v>
      </c>
      <c r="C22" s="364" t="s">
        <v>796</v>
      </c>
      <c r="D22" s="364" t="s">
        <v>87</v>
      </c>
      <c r="E22" s="364" t="s">
        <v>812</v>
      </c>
      <c r="F22" s="364" t="s">
        <v>812</v>
      </c>
      <c r="G22" s="364" t="s">
        <v>658</v>
      </c>
      <c r="H22" s="364" t="s">
        <v>2861</v>
      </c>
      <c r="I22" s="364" t="s">
        <v>2860</v>
      </c>
      <c r="J22" s="364" t="s">
        <v>88</v>
      </c>
      <c r="K22" s="364" t="s">
        <v>88</v>
      </c>
      <c r="L22" s="364" t="s">
        <v>88</v>
      </c>
      <c r="M22" s="364" t="s">
        <v>138</v>
      </c>
      <c r="N22" s="364" t="s">
        <v>654</v>
      </c>
      <c r="O22" s="364" t="s">
        <v>653</v>
      </c>
      <c r="P22" s="364" t="s">
        <v>88</v>
      </c>
      <c r="Q22" s="364" t="s">
        <v>88</v>
      </c>
      <c r="R22" s="364" t="s">
        <v>88</v>
      </c>
      <c r="S22" s="364" t="s">
        <v>88</v>
      </c>
      <c r="T22" s="364" t="s">
        <v>88</v>
      </c>
      <c r="U22" s="364" t="s">
        <v>88</v>
      </c>
      <c r="V22" s="364" t="s">
        <v>88</v>
      </c>
      <c r="W22" s="364" t="s">
        <v>88</v>
      </c>
      <c r="X22" s="364" t="s">
        <v>88</v>
      </c>
      <c r="Y22" s="364" t="s">
        <v>88</v>
      </c>
      <c r="Z22" s="364" t="s">
        <v>88</v>
      </c>
      <c r="AA22" s="364" t="s">
        <v>649</v>
      </c>
      <c r="AB22" s="364" t="s">
        <v>88</v>
      </c>
      <c r="AC22" s="364" t="s">
        <v>88</v>
      </c>
      <c r="AD22" s="364" t="s">
        <v>88</v>
      </c>
      <c r="AE22" s="364" t="s">
        <v>88</v>
      </c>
      <c r="AF22" s="364" t="s">
        <v>88</v>
      </c>
      <c r="AG22" s="364" t="s">
        <v>88</v>
      </c>
      <c r="AH22" s="364" t="s">
        <v>88</v>
      </c>
      <c r="AI22" s="364" t="s">
        <v>2859</v>
      </c>
      <c r="AJ22" s="364" t="s">
        <v>1446</v>
      </c>
      <c r="AK22" s="364" t="s">
        <v>88</v>
      </c>
      <c r="AL22" s="364" t="s">
        <v>88</v>
      </c>
      <c r="AM22" s="364" t="s">
        <v>88</v>
      </c>
      <c r="AN22" s="364" t="s">
        <v>792</v>
      </c>
    </row>
    <row r="23" spans="1:40" x14ac:dyDescent="0.3">
      <c r="A23" s="364" t="s">
        <v>2858</v>
      </c>
      <c r="B23" s="364" t="s">
        <v>661</v>
      </c>
      <c r="C23" s="364" t="s">
        <v>660</v>
      </c>
      <c r="D23" s="364" t="s">
        <v>87</v>
      </c>
      <c r="E23" s="364" t="s">
        <v>2699</v>
      </c>
      <c r="F23" s="364" t="s">
        <v>812</v>
      </c>
      <c r="G23" s="364" t="s">
        <v>658</v>
      </c>
      <c r="H23" s="364" t="s">
        <v>2857</v>
      </c>
      <c r="I23" s="364" t="s">
        <v>2856</v>
      </c>
      <c r="J23" s="364" t="s">
        <v>88</v>
      </c>
      <c r="K23" s="364" t="s">
        <v>88</v>
      </c>
      <c r="L23" s="364" t="s">
        <v>88</v>
      </c>
      <c r="M23" s="364" t="s">
        <v>138</v>
      </c>
      <c r="N23" s="364" t="s">
        <v>654</v>
      </c>
      <c r="O23" s="364" t="s">
        <v>653</v>
      </c>
      <c r="P23" s="364" t="s">
        <v>88</v>
      </c>
      <c r="Q23" s="364" t="s">
        <v>88</v>
      </c>
      <c r="R23" s="364" t="s">
        <v>88</v>
      </c>
      <c r="S23" s="364" t="s">
        <v>88</v>
      </c>
      <c r="T23" s="364" t="s">
        <v>88</v>
      </c>
      <c r="U23" s="364" t="s">
        <v>88</v>
      </c>
      <c r="V23" s="364" t="s">
        <v>88</v>
      </c>
      <c r="W23" s="364" t="s">
        <v>88</v>
      </c>
      <c r="X23" s="364" t="s">
        <v>88</v>
      </c>
      <c r="Y23" s="364" t="s">
        <v>88</v>
      </c>
      <c r="Z23" s="364" t="s">
        <v>88</v>
      </c>
      <c r="AA23" s="364" t="s">
        <v>649</v>
      </c>
      <c r="AB23" s="364" t="s">
        <v>88</v>
      </c>
      <c r="AC23" s="364" t="s">
        <v>88</v>
      </c>
      <c r="AD23" s="364" t="s">
        <v>88</v>
      </c>
      <c r="AE23" s="364" t="s">
        <v>88</v>
      </c>
      <c r="AF23" s="364" t="s">
        <v>88</v>
      </c>
      <c r="AG23" s="364" t="s">
        <v>88</v>
      </c>
      <c r="AH23" s="364" t="s">
        <v>88</v>
      </c>
      <c r="AI23" s="364" t="s">
        <v>2855</v>
      </c>
      <c r="AJ23" s="364" t="s">
        <v>1446</v>
      </c>
      <c r="AK23" s="364" t="s">
        <v>2466</v>
      </c>
      <c r="AL23" s="364" t="s">
        <v>2465</v>
      </c>
      <c r="AM23" s="364" t="s">
        <v>88</v>
      </c>
      <c r="AN23" s="364" t="s">
        <v>792</v>
      </c>
    </row>
    <row r="24" spans="1:40" x14ac:dyDescent="0.3">
      <c r="A24" s="364" t="s">
        <v>2854</v>
      </c>
      <c r="B24" s="364" t="s">
        <v>661</v>
      </c>
      <c r="C24" s="364" t="s">
        <v>660</v>
      </c>
      <c r="D24" s="364" t="s">
        <v>87</v>
      </c>
      <c r="E24" s="364" t="s">
        <v>2699</v>
      </c>
      <c r="F24" s="364" t="s">
        <v>812</v>
      </c>
      <c r="G24" s="364" t="s">
        <v>658</v>
      </c>
      <c r="H24" s="364" t="s">
        <v>2853</v>
      </c>
      <c r="I24" s="364" t="s">
        <v>2852</v>
      </c>
      <c r="J24" s="364" t="s">
        <v>88</v>
      </c>
      <c r="K24" s="364" t="s">
        <v>88</v>
      </c>
      <c r="L24" s="364" t="s">
        <v>88</v>
      </c>
      <c r="M24" s="364" t="s">
        <v>138</v>
      </c>
      <c r="N24" s="364" t="s">
        <v>654</v>
      </c>
      <c r="O24" s="364" t="s">
        <v>653</v>
      </c>
      <c r="P24" s="364" t="s">
        <v>88</v>
      </c>
      <c r="Q24" s="364" t="s">
        <v>88</v>
      </c>
      <c r="R24" s="364" t="s">
        <v>88</v>
      </c>
      <c r="S24" s="364" t="s">
        <v>88</v>
      </c>
      <c r="T24" s="364" t="s">
        <v>88</v>
      </c>
      <c r="U24" s="364" t="s">
        <v>88</v>
      </c>
      <c r="V24" s="364" t="s">
        <v>88</v>
      </c>
      <c r="W24" s="364" t="s">
        <v>88</v>
      </c>
      <c r="X24" s="364" t="s">
        <v>88</v>
      </c>
      <c r="Y24" s="364" t="s">
        <v>88</v>
      </c>
      <c r="Z24" s="364" t="s">
        <v>88</v>
      </c>
      <c r="AA24" s="364" t="s">
        <v>649</v>
      </c>
      <c r="AB24" s="364" t="s">
        <v>88</v>
      </c>
      <c r="AC24" s="364" t="s">
        <v>88</v>
      </c>
      <c r="AD24" s="364" t="s">
        <v>88</v>
      </c>
      <c r="AE24" s="364" t="s">
        <v>88</v>
      </c>
      <c r="AF24" s="364" t="s">
        <v>88</v>
      </c>
      <c r="AG24" s="364" t="s">
        <v>88</v>
      </c>
      <c r="AH24" s="364" t="s">
        <v>88</v>
      </c>
      <c r="AI24" s="364" t="s">
        <v>2851</v>
      </c>
      <c r="AJ24" s="364" t="s">
        <v>798</v>
      </c>
      <c r="AK24" s="364" t="s">
        <v>2466</v>
      </c>
      <c r="AL24" s="364" t="s">
        <v>2465</v>
      </c>
      <c r="AM24" s="364" t="s">
        <v>88</v>
      </c>
      <c r="AN24" s="364" t="s">
        <v>792</v>
      </c>
    </row>
    <row r="25" spans="1:40" x14ac:dyDescent="0.3">
      <c r="A25" s="364" t="s">
        <v>2850</v>
      </c>
      <c r="B25" s="364" t="s">
        <v>661</v>
      </c>
      <c r="C25" s="364" t="s">
        <v>660</v>
      </c>
      <c r="D25" s="364" t="s">
        <v>90</v>
      </c>
      <c r="E25" s="364" t="s">
        <v>1004</v>
      </c>
      <c r="F25" s="364" t="s">
        <v>1004</v>
      </c>
      <c r="G25" s="364" t="s">
        <v>658</v>
      </c>
      <c r="H25" s="364" t="s">
        <v>2849</v>
      </c>
      <c r="I25" s="364" t="s">
        <v>2848</v>
      </c>
      <c r="J25" s="364" t="s">
        <v>673</v>
      </c>
      <c r="K25" s="364" t="s">
        <v>668</v>
      </c>
      <c r="L25" s="364" t="s">
        <v>190</v>
      </c>
      <c r="M25" s="364" t="s">
        <v>55</v>
      </c>
      <c r="N25" s="364" t="s">
        <v>654</v>
      </c>
      <c r="O25" s="364" t="s">
        <v>653</v>
      </c>
      <c r="P25" s="364" t="s">
        <v>198</v>
      </c>
      <c r="Q25" s="364" t="s">
        <v>652</v>
      </c>
      <c r="R25" s="364" t="s">
        <v>88</v>
      </c>
      <c r="S25" s="364" t="s">
        <v>88</v>
      </c>
      <c r="T25" s="364" t="s">
        <v>88</v>
      </c>
      <c r="U25" s="364" t="s">
        <v>88</v>
      </c>
      <c r="V25" s="364" t="s">
        <v>88</v>
      </c>
      <c r="W25" s="364" t="s">
        <v>88</v>
      </c>
      <c r="X25" s="364" t="s">
        <v>88</v>
      </c>
      <c r="Y25" s="364" t="s">
        <v>88</v>
      </c>
      <c r="Z25" s="364" t="s">
        <v>719</v>
      </c>
      <c r="AA25" s="364" t="s">
        <v>649</v>
      </c>
      <c r="AB25" s="364" t="s">
        <v>649</v>
      </c>
      <c r="AC25" s="364" t="s">
        <v>649</v>
      </c>
      <c r="AD25" s="364" t="s">
        <v>649</v>
      </c>
      <c r="AE25" s="364" t="s">
        <v>88</v>
      </c>
      <c r="AF25" s="364" t="s">
        <v>88</v>
      </c>
      <c r="AG25" s="364" t="s">
        <v>88</v>
      </c>
      <c r="AH25" s="364" t="s">
        <v>88</v>
      </c>
      <c r="AI25" s="364" t="s">
        <v>1155</v>
      </c>
      <c r="AJ25" s="364" t="s">
        <v>648</v>
      </c>
      <c r="AK25" s="364" t="s">
        <v>647</v>
      </c>
      <c r="AL25" s="364" t="s">
        <v>646</v>
      </c>
      <c r="AM25" s="364" t="s">
        <v>668</v>
      </c>
      <c r="AN25" s="364" t="s">
        <v>644</v>
      </c>
    </row>
    <row r="26" spans="1:40" x14ac:dyDescent="0.3">
      <c r="A26" s="364" t="s">
        <v>2847</v>
      </c>
      <c r="B26" s="364" t="s">
        <v>661</v>
      </c>
      <c r="C26" s="364" t="s">
        <v>660</v>
      </c>
      <c r="D26" s="364" t="s">
        <v>90</v>
      </c>
      <c r="E26" s="364" t="s">
        <v>740</v>
      </c>
      <c r="F26" s="364" t="s">
        <v>740</v>
      </c>
      <c r="G26" s="364" t="s">
        <v>658</v>
      </c>
      <c r="H26" s="364" t="s">
        <v>2846</v>
      </c>
      <c r="I26" s="364" t="s">
        <v>2845</v>
      </c>
      <c r="J26" s="364" t="s">
        <v>673</v>
      </c>
      <c r="K26" s="364" t="s">
        <v>668</v>
      </c>
      <c r="L26" s="364" t="s">
        <v>190</v>
      </c>
      <c r="M26" s="364" t="s">
        <v>55</v>
      </c>
      <c r="N26" s="364" t="s">
        <v>654</v>
      </c>
      <c r="O26" s="364" t="s">
        <v>653</v>
      </c>
      <c r="P26" s="364" t="s">
        <v>198</v>
      </c>
      <c r="Q26" s="364" t="s">
        <v>652</v>
      </c>
      <c r="R26" s="364" t="s">
        <v>88</v>
      </c>
      <c r="S26" s="364" t="s">
        <v>88</v>
      </c>
      <c r="T26" s="364" t="s">
        <v>88</v>
      </c>
      <c r="U26" s="364" t="s">
        <v>88</v>
      </c>
      <c r="V26" s="364" t="s">
        <v>88</v>
      </c>
      <c r="W26" s="364" t="s">
        <v>88</v>
      </c>
      <c r="X26" s="364" t="s">
        <v>88</v>
      </c>
      <c r="Y26" s="364" t="s">
        <v>88</v>
      </c>
      <c r="Z26" s="364" t="s">
        <v>719</v>
      </c>
      <c r="AA26" s="364" t="s">
        <v>649</v>
      </c>
      <c r="AB26" s="364" t="s">
        <v>649</v>
      </c>
      <c r="AC26" s="364" t="s">
        <v>649</v>
      </c>
      <c r="AD26" s="364" t="s">
        <v>649</v>
      </c>
      <c r="AE26" s="364" t="s">
        <v>88</v>
      </c>
      <c r="AF26" s="364" t="s">
        <v>88</v>
      </c>
      <c r="AG26" s="364" t="s">
        <v>88</v>
      </c>
      <c r="AH26" s="364" t="s">
        <v>88</v>
      </c>
      <c r="AI26" s="364" t="s">
        <v>1155</v>
      </c>
      <c r="AJ26" s="364" t="s">
        <v>648</v>
      </c>
      <c r="AK26" s="364" t="s">
        <v>647</v>
      </c>
      <c r="AL26" s="364" t="s">
        <v>646</v>
      </c>
      <c r="AM26" s="364" t="s">
        <v>668</v>
      </c>
      <c r="AN26" s="364" t="s">
        <v>644</v>
      </c>
    </row>
    <row r="27" spans="1:40" x14ac:dyDescent="0.3">
      <c r="A27" s="364" t="s">
        <v>2844</v>
      </c>
      <c r="B27" s="364" t="s">
        <v>661</v>
      </c>
      <c r="C27" s="364" t="s">
        <v>1160</v>
      </c>
      <c r="D27" s="364" t="s">
        <v>87</v>
      </c>
      <c r="E27" s="364" t="s">
        <v>868</v>
      </c>
      <c r="F27" s="364" t="s">
        <v>868</v>
      </c>
      <c r="G27" s="364" t="s">
        <v>658</v>
      </c>
      <c r="H27" s="364" t="s">
        <v>2843</v>
      </c>
      <c r="I27" s="364" t="s">
        <v>2842</v>
      </c>
      <c r="J27" s="364" t="s">
        <v>88</v>
      </c>
      <c r="K27" s="364" t="s">
        <v>88</v>
      </c>
      <c r="L27" s="364" t="s">
        <v>88</v>
      </c>
      <c r="M27" s="364" t="s">
        <v>138</v>
      </c>
      <c r="N27" s="364" t="s">
        <v>654</v>
      </c>
      <c r="O27" s="364" t="s">
        <v>653</v>
      </c>
      <c r="P27" s="364" t="s">
        <v>88</v>
      </c>
      <c r="Q27" s="364" t="s">
        <v>88</v>
      </c>
      <c r="R27" s="364" t="s">
        <v>88</v>
      </c>
      <c r="S27" s="364" t="s">
        <v>88</v>
      </c>
      <c r="T27" s="364" t="s">
        <v>88</v>
      </c>
      <c r="U27" s="364" t="s">
        <v>88</v>
      </c>
      <c r="V27" s="364" t="s">
        <v>88</v>
      </c>
      <c r="W27" s="364" t="s">
        <v>88</v>
      </c>
      <c r="X27" s="364" t="s">
        <v>88</v>
      </c>
      <c r="Y27" s="364" t="s">
        <v>88</v>
      </c>
      <c r="Z27" s="364" t="s">
        <v>88</v>
      </c>
      <c r="AA27" s="364" t="s">
        <v>649</v>
      </c>
      <c r="AB27" s="364" t="s">
        <v>88</v>
      </c>
      <c r="AC27" s="364" t="s">
        <v>88</v>
      </c>
      <c r="AD27" s="364" t="s">
        <v>88</v>
      </c>
      <c r="AE27" s="364" t="s">
        <v>88</v>
      </c>
      <c r="AF27" s="364" t="s">
        <v>88</v>
      </c>
      <c r="AG27" s="364" t="s">
        <v>88</v>
      </c>
      <c r="AH27" s="364" t="s">
        <v>88</v>
      </c>
      <c r="AI27" s="364" t="s">
        <v>2841</v>
      </c>
      <c r="AJ27" s="364" t="s">
        <v>798</v>
      </c>
      <c r="AK27" s="364" t="s">
        <v>88</v>
      </c>
      <c r="AL27" s="364" t="s">
        <v>88</v>
      </c>
      <c r="AM27" s="364" t="s">
        <v>88</v>
      </c>
      <c r="AN27" s="364" t="s">
        <v>792</v>
      </c>
    </row>
    <row r="28" spans="1:40" x14ac:dyDescent="0.3">
      <c r="A28" s="364" t="s">
        <v>2840</v>
      </c>
      <c r="B28" s="364" t="s">
        <v>661</v>
      </c>
      <c r="C28" s="364" t="s">
        <v>1160</v>
      </c>
      <c r="D28" s="364" t="s">
        <v>87</v>
      </c>
      <c r="E28" s="364" t="s">
        <v>868</v>
      </c>
      <c r="F28" s="364" t="s">
        <v>868</v>
      </c>
      <c r="G28" s="364" t="s">
        <v>658</v>
      </c>
      <c r="H28" s="364" t="s">
        <v>2839</v>
      </c>
      <c r="I28" s="364" t="s">
        <v>2838</v>
      </c>
      <c r="J28" s="364" t="s">
        <v>88</v>
      </c>
      <c r="K28" s="364" t="s">
        <v>88</v>
      </c>
      <c r="L28" s="364" t="s">
        <v>88</v>
      </c>
      <c r="M28" s="364" t="s">
        <v>138</v>
      </c>
      <c r="N28" s="364" t="s">
        <v>654</v>
      </c>
      <c r="O28" s="364" t="s">
        <v>653</v>
      </c>
      <c r="P28" s="364" t="s">
        <v>88</v>
      </c>
      <c r="Q28" s="364" t="s">
        <v>88</v>
      </c>
      <c r="R28" s="364" t="s">
        <v>88</v>
      </c>
      <c r="S28" s="364" t="s">
        <v>88</v>
      </c>
      <c r="T28" s="364" t="s">
        <v>88</v>
      </c>
      <c r="U28" s="364" t="s">
        <v>88</v>
      </c>
      <c r="V28" s="364" t="s">
        <v>88</v>
      </c>
      <c r="W28" s="364" t="s">
        <v>88</v>
      </c>
      <c r="X28" s="364" t="s">
        <v>88</v>
      </c>
      <c r="Y28" s="364" t="s">
        <v>88</v>
      </c>
      <c r="Z28" s="364" t="s">
        <v>88</v>
      </c>
      <c r="AA28" s="364" t="s">
        <v>649</v>
      </c>
      <c r="AB28" s="364" t="s">
        <v>88</v>
      </c>
      <c r="AC28" s="364" t="s">
        <v>88</v>
      </c>
      <c r="AD28" s="364" t="s">
        <v>88</v>
      </c>
      <c r="AE28" s="364" t="s">
        <v>88</v>
      </c>
      <c r="AF28" s="364" t="s">
        <v>88</v>
      </c>
      <c r="AG28" s="364" t="s">
        <v>88</v>
      </c>
      <c r="AH28" s="364" t="s">
        <v>88</v>
      </c>
      <c r="AI28" s="364" t="s">
        <v>2837</v>
      </c>
      <c r="AJ28" s="364" t="s">
        <v>798</v>
      </c>
      <c r="AK28" s="364" t="s">
        <v>2466</v>
      </c>
      <c r="AL28" s="364" t="s">
        <v>88</v>
      </c>
      <c r="AM28" s="364" t="s">
        <v>88</v>
      </c>
      <c r="AN28" s="364" t="s">
        <v>792</v>
      </c>
    </row>
    <row r="29" spans="1:40" x14ac:dyDescent="0.3">
      <c r="A29" s="364" t="s">
        <v>2836</v>
      </c>
      <c r="B29" s="364" t="s">
        <v>661</v>
      </c>
      <c r="C29" s="364" t="s">
        <v>660</v>
      </c>
      <c r="D29" s="364" t="s">
        <v>87</v>
      </c>
      <c r="E29" s="364" t="s">
        <v>868</v>
      </c>
      <c r="F29" s="364" t="s">
        <v>868</v>
      </c>
      <c r="G29" s="364" t="s">
        <v>658</v>
      </c>
      <c r="H29" s="364" t="s">
        <v>2835</v>
      </c>
      <c r="I29" s="364" t="s">
        <v>2834</v>
      </c>
      <c r="J29" s="364" t="s">
        <v>88</v>
      </c>
      <c r="K29" s="364" t="s">
        <v>88</v>
      </c>
      <c r="L29" s="364" t="s">
        <v>88</v>
      </c>
      <c r="M29" s="364" t="s">
        <v>138</v>
      </c>
      <c r="N29" s="364" t="s">
        <v>654</v>
      </c>
      <c r="O29" s="364" t="s">
        <v>653</v>
      </c>
      <c r="P29" s="364" t="s">
        <v>88</v>
      </c>
      <c r="Q29" s="364" t="s">
        <v>88</v>
      </c>
      <c r="R29" s="364" t="s">
        <v>88</v>
      </c>
      <c r="S29" s="364" t="s">
        <v>88</v>
      </c>
      <c r="T29" s="364" t="s">
        <v>88</v>
      </c>
      <c r="U29" s="364" t="s">
        <v>88</v>
      </c>
      <c r="V29" s="364" t="s">
        <v>88</v>
      </c>
      <c r="W29" s="364" t="s">
        <v>88</v>
      </c>
      <c r="X29" s="364" t="s">
        <v>88</v>
      </c>
      <c r="Y29" s="364" t="s">
        <v>88</v>
      </c>
      <c r="Z29" s="364" t="s">
        <v>88</v>
      </c>
      <c r="AA29" s="364" t="s">
        <v>649</v>
      </c>
      <c r="AB29" s="364" t="s">
        <v>88</v>
      </c>
      <c r="AC29" s="364" t="s">
        <v>88</v>
      </c>
      <c r="AD29" s="364" t="s">
        <v>88</v>
      </c>
      <c r="AE29" s="364" t="s">
        <v>88</v>
      </c>
      <c r="AF29" s="364" t="s">
        <v>88</v>
      </c>
      <c r="AG29" s="364" t="s">
        <v>88</v>
      </c>
      <c r="AH29" s="364" t="s">
        <v>88</v>
      </c>
      <c r="AI29" s="364" t="s">
        <v>2833</v>
      </c>
      <c r="AJ29" s="364" t="s">
        <v>798</v>
      </c>
      <c r="AK29" s="364" t="s">
        <v>2466</v>
      </c>
      <c r="AL29" s="364" t="s">
        <v>2465</v>
      </c>
      <c r="AM29" s="364" t="s">
        <v>88</v>
      </c>
      <c r="AN29" s="364" t="s">
        <v>792</v>
      </c>
    </row>
    <row r="30" spans="1:40" x14ac:dyDescent="0.3">
      <c r="A30" s="364" t="s">
        <v>2832</v>
      </c>
      <c r="B30" s="364" t="s">
        <v>661</v>
      </c>
      <c r="C30" s="364" t="s">
        <v>1160</v>
      </c>
      <c r="D30" s="364" t="s">
        <v>87</v>
      </c>
      <c r="E30" s="364" t="s">
        <v>868</v>
      </c>
      <c r="F30" s="364" t="s">
        <v>868</v>
      </c>
      <c r="G30" s="364" t="s">
        <v>658</v>
      </c>
      <c r="H30" s="364" t="s">
        <v>2831</v>
      </c>
      <c r="I30" s="364" t="s">
        <v>2830</v>
      </c>
      <c r="J30" s="364" t="s">
        <v>88</v>
      </c>
      <c r="K30" s="364" t="s">
        <v>88</v>
      </c>
      <c r="L30" s="364" t="s">
        <v>88</v>
      </c>
      <c r="M30" s="364" t="s">
        <v>138</v>
      </c>
      <c r="N30" s="364" t="s">
        <v>654</v>
      </c>
      <c r="O30" s="364" t="s">
        <v>653</v>
      </c>
      <c r="P30" s="364" t="s">
        <v>88</v>
      </c>
      <c r="Q30" s="364" t="s">
        <v>88</v>
      </c>
      <c r="R30" s="364" t="s">
        <v>88</v>
      </c>
      <c r="S30" s="364" t="s">
        <v>88</v>
      </c>
      <c r="T30" s="364" t="s">
        <v>88</v>
      </c>
      <c r="U30" s="364" t="s">
        <v>88</v>
      </c>
      <c r="V30" s="364" t="s">
        <v>88</v>
      </c>
      <c r="W30" s="364" t="s">
        <v>88</v>
      </c>
      <c r="X30" s="364" t="s">
        <v>88</v>
      </c>
      <c r="Y30" s="364" t="s">
        <v>88</v>
      </c>
      <c r="Z30" s="364" t="s">
        <v>88</v>
      </c>
      <c r="AA30" s="364" t="s">
        <v>649</v>
      </c>
      <c r="AB30" s="364" t="s">
        <v>88</v>
      </c>
      <c r="AC30" s="364" t="s">
        <v>88</v>
      </c>
      <c r="AD30" s="364" t="s">
        <v>88</v>
      </c>
      <c r="AE30" s="364" t="s">
        <v>88</v>
      </c>
      <c r="AF30" s="364" t="s">
        <v>88</v>
      </c>
      <c r="AG30" s="364" t="s">
        <v>88</v>
      </c>
      <c r="AH30" s="364" t="s">
        <v>88</v>
      </c>
      <c r="AI30" s="364" t="s">
        <v>2829</v>
      </c>
      <c r="AJ30" s="364" t="s">
        <v>798</v>
      </c>
      <c r="AK30" s="364" t="s">
        <v>88</v>
      </c>
      <c r="AL30" s="364" t="s">
        <v>88</v>
      </c>
      <c r="AM30" s="364" t="s">
        <v>88</v>
      </c>
      <c r="AN30" s="364" t="s">
        <v>792</v>
      </c>
    </row>
    <row r="31" spans="1:40" x14ac:dyDescent="0.3">
      <c r="A31" s="364" t="s">
        <v>2828</v>
      </c>
      <c r="B31" s="364" t="s">
        <v>661</v>
      </c>
      <c r="C31" s="364" t="s">
        <v>660</v>
      </c>
      <c r="D31" s="364" t="s">
        <v>90</v>
      </c>
      <c r="E31" s="364" t="s">
        <v>868</v>
      </c>
      <c r="F31" s="364" t="s">
        <v>868</v>
      </c>
      <c r="G31" s="364" t="s">
        <v>658</v>
      </c>
      <c r="H31" s="364" t="s">
        <v>2827</v>
      </c>
      <c r="I31" s="364" t="s">
        <v>2826</v>
      </c>
      <c r="J31" s="364" t="s">
        <v>673</v>
      </c>
      <c r="K31" s="364" t="s">
        <v>668</v>
      </c>
      <c r="L31" s="364" t="s">
        <v>190</v>
      </c>
      <c r="M31" s="364" t="s">
        <v>55</v>
      </c>
      <c r="N31" s="364" t="s">
        <v>654</v>
      </c>
      <c r="O31" s="364" t="s">
        <v>653</v>
      </c>
      <c r="P31" s="364" t="s">
        <v>198</v>
      </c>
      <c r="Q31" s="364" t="s">
        <v>652</v>
      </c>
      <c r="R31" s="364" t="s">
        <v>88</v>
      </c>
      <c r="S31" s="364" t="s">
        <v>88</v>
      </c>
      <c r="T31" s="364" t="s">
        <v>88</v>
      </c>
      <c r="U31" s="364" t="s">
        <v>88</v>
      </c>
      <c r="V31" s="364" t="s">
        <v>88</v>
      </c>
      <c r="W31" s="364" t="s">
        <v>88</v>
      </c>
      <c r="X31" s="364" t="s">
        <v>88</v>
      </c>
      <c r="Y31" s="364" t="s">
        <v>88</v>
      </c>
      <c r="Z31" s="364" t="s">
        <v>719</v>
      </c>
      <c r="AA31" s="364" t="s">
        <v>649</v>
      </c>
      <c r="AB31" s="364" t="s">
        <v>649</v>
      </c>
      <c r="AC31" s="364" t="s">
        <v>649</v>
      </c>
      <c r="AD31" s="364" t="s">
        <v>649</v>
      </c>
      <c r="AE31" s="364" t="s">
        <v>88</v>
      </c>
      <c r="AF31" s="364" t="s">
        <v>88</v>
      </c>
      <c r="AG31" s="364" t="s">
        <v>88</v>
      </c>
      <c r="AH31" s="364" t="s">
        <v>88</v>
      </c>
      <c r="AI31" s="364" t="s">
        <v>1155</v>
      </c>
      <c r="AJ31" s="364" t="s">
        <v>648</v>
      </c>
      <c r="AK31" s="364" t="s">
        <v>647</v>
      </c>
      <c r="AL31" s="364" t="s">
        <v>646</v>
      </c>
      <c r="AM31" s="364" t="s">
        <v>668</v>
      </c>
      <c r="AN31" s="364" t="s">
        <v>644</v>
      </c>
    </row>
    <row r="32" spans="1:40" x14ac:dyDescent="0.3">
      <c r="A32" s="364" t="s">
        <v>2825</v>
      </c>
      <c r="B32" s="364" t="s">
        <v>661</v>
      </c>
      <c r="C32" s="364" t="s">
        <v>660</v>
      </c>
      <c r="D32" s="364" t="s">
        <v>90</v>
      </c>
      <c r="E32" s="364" t="s">
        <v>1137</v>
      </c>
      <c r="F32" s="364" t="s">
        <v>1137</v>
      </c>
      <c r="G32" s="364" t="s">
        <v>658</v>
      </c>
      <c r="H32" s="364" t="s">
        <v>2824</v>
      </c>
      <c r="I32" s="364" t="s">
        <v>2823</v>
      </c>
      <c r="J32" s="364" t="s">
        <v>673</v>
      </c>
      <c r="K32" s="364" t="s">
        <v>668</v>
      </c>
      <c r="L32" s="364" t="s">
        <v>190</v>
      </c>
      <c r="M32" s="364" t="s">
        <v>55</v>
      </c>
      <c r="N32" s="364" t="s">
        <v>654</v>
      </c>
      <c r="O32" s="364" t="s">
        <v>653</v>
      </c>
      <c r="P32" s="364" t="s">
        <v>198</v>
      </c>
      <c r="Q32" s="364" t="s">
        <v>652</v>
      </c>
      <c r="R32" s="364" t="s">
        <v>88</v>
      </c>
      <c r="S32" s="364" t="s">
        <v>88</v>
      </c>
      <c r="T32" s="364" t="s">
        <v>88</v>
      </c>
      <c r="U32" s="364" t="s">
        <v>88</v>
      </c>
      <c r="V32" s="364" t="s">
        <v>88</v>
      </c>
      <c r="W32" s="364" t="s">
        <v>88</v>
      </c>
      <c r="X32" s="364" t="s">
        <v>88</v>
      </c>
      <c r="Y32" s="364" t="s">
        <v>88</v>
      </c>
      <c r="Z32" s="364" t="s">
        <v>719</v>
      </c>
      <c r="AA32" s="364" t="s">
        <v>649</v>
      </c>
      <c r="AB32" s="364" t="s">
        <v>649</v>
      </c>
      <c r="AC32" s="364" t="s">
        <v>649</v>
      </c>
      <c r="AD32" s="364" t="s">
        <v>649</v>
      </c>
      <c r="AE32" s="364" t="s">
        <v>88</v>
      </c>
      <c r="AF32" s="364" t="s">
        <v>88</v>
      </c>
      <c r="AG32" s="364" t="s">
        <v>88</v>
      </c>
      <c r="AH32" s="364" t="s">
        <v>88</v>
      </c>
      <c r="AI32" s="364" t="s">
        <v>1155</v>
      </c>
      <c r="AJ32" s="364" t="s">
        <v>648</v>
      </c>
      <c r="AK32" s="364" t="s">
        <v>647</v>
      </c>
      <c r="AL32" s="364" t="s">
        <v>646</v>
      </c>
      <c r="AM32" s="364" t="s">
        <v>668</v>
      </c>
      <c r="AN32" s="364" t="s">
        <v>644</v>
      </c>
    </row>
    <row r="33" spans="1:40" x14ac:dyDescent="0.3">
      <c r="A33" s="364" t="s">
        <v>2822</v>
      </c>
      <c r="B33" s="364" t="s">
        <v>661</v>
      </c>
      <c r="C33" s="364" t="s">
        <v>660</v>
      </c>
      <c r="D33" s="364" t="s">
        <v>90</v>
      </c>
      <c r="E33" s="364" t="s">
        <v>947</v>
      </c>
      <c r="F33" s="364" t="s">
        <v>947</v>
      </c>
      <c r="G33" s="364" t="s">
        <v>658</v>
      </c>
      <c r="H33" s="364" t="s">
        <v>2821</v>
      </c>
      <c r="I33" s="364" t="s">
        <v>2820</v>
      </c>
      <c r="J33" s="364" t="s">
        <v>673</v>
      </c>
      <c r="K33" s="364" t="s">
        <v>668</v>
      </c>
      <c r="L33" s="364" t="s">
        <v>190</v>
      </c>
      <c r="M33" s="364" t="s">
        <v>725</v>
      </c>
      <c r="N33" s="364" t="s">
        <v>654</v>
      </c>
      <c r="O33" s="364" t="s">
        <v>653</v>
      </c>
      <c r="P33" s="364" t="s">
        <v>198</v>
      </c>
      <c r="Q33" s="364" t="s">
        <v>652</v>
      </c>
      <c r="R33" s="364" t="s">
        <v>88</v>
      </c>
      <c r="S33" s="364" t="s">
        <v>88</v>
      </c>
      <c r="T33" s="364" t="s">
        <v>88</v>
      </c>
      <c r="U33" s="364" t="s">
        <v>88</v>
      </c>
      <c r="V33" s="364" t="s">
        <v>88</v>
      </c>
      <c r="W33" s="364" t="s">
        <v>88</v>
      </c>
      <c r="X33" s="364" t="s">
        <v>88</v>
      </c>
      <c r="Y33" s="364" t="s">
        <v>88</v>
      </c>
      <c r="Z33" s="364" t="s">
        <v>724</v>
      </c>
      <c r="AA33" s="364" t="s">
        <v>649</v>
      </c>
      <c r="AB33" s="364" t="s">
        <v>649</v>
      </c>
      <c r="AC33" s="364" t="s">
        <v>649</v>
      </c>
      <c r="AD33" s="364" t="s">
        <v>649</v>
      </c>
      <c r="AE33" s="364" t="s">
        <v>88</v>
      </c>
      <c r="AF33" s="364" t="s">
        <v>88</v>
      </c>
      <c r="AG33" s="364" t="s">
        <v>88</v>
      </c>
      <c r="AH33" s="364" t="s">
        <v>88</v>
      </c>
      <c r="AI33" s="364" t="s">
        <v>1155</v>
      </c>
      <c r="AJ33" s="364" t="s">
        <v>648</v>
      </c>
      <c r="AK33" s="364" t="s">
        <v>647</v>
      </c>
      <c r="AL33" s="364" t="s">
        <v>646</v>
      </c>
      <c r="AM33" s="364" t="s">
        <v>668</v>
      </c>
      <c r="AN33" s="364" t="s">
        <v>644</v>
      </c>
    </row>
    <row r="34" spans="1:40" x14ac:dyDescent="0.3">
      <c r="A34" s="364" t="s">
        <v>2822</v>
      </c>
      <c r="B34" s="364" t="s">
        <v>661</v>
      </c>
      <c r="C34" s="364" t="s">
        <v>660</v>
      </c>
      <c r="D34" s="364" t="s">
        <v>90</v>
      </c>
      <c r="E34" s="364" t="s">
        <v>947</v>
      </c>
      <c r="F34" s="364" t="s">
        <v>947</v>
      </c>
      <c r="G34" s="364" t="s">
        <v>658</v>
      </c>
      <c r="H34" s="364" t="s">
        <v>2821</v>
      </c>
      <c r="I34" s="364" t="s">
        <v>2820</v>
      </c>
      <c r="J34" s="364" t="s">
        <v>673</v>
      </c>
      <c r="K34" s="364" t="s">
        <v>668</v>
      </c>
      <c r="L34" s="364" t="s">
        <v>190</v>
      </c>
      <c r="M34" s="364" t="s">
        <v>718</v>
      </c>
      <c r="N34" s="364" t="s">
        <v>654</v>
      </c>
      <c r="O34" s="364" t="s">
        <v>653</v>
      </c>
      <c r="P34" s="364" t="s">
        <v>198</v>
      </c>
      <c r="Q34" s="364" t="s">
        <v>652</v>
      </c>
      <c r="R34" s="364" t="s">
        <v>88</v>
      </c>
      <c r="S34" s="364" t="s">
        <v>88</v>
      </c>
      <c r="T34" s="364" t="s">
        <v>88</v>
      </c>
      <c r="U34" s="364" t="s">
        <v>88</v>
      </c>
      <c r="V34" s="364" t="s">
        <v>88</v>
      </c>
      <c r="W34" s="364" t="s">
        <v>88</v>
      </c>
      <c r="X34" s="364" t="s">
        <v>88</v>
      </c>
      <c r="Y34" s="364" t="s">
        <v>88</v>
      </c>
      <c r="Z34" s="364" t="s">
        <v>717</v>
      </c>
      <c r="AA34" s="364" t="s">
        <v>649</v>
      </c>
      <c r="AB34" s="364" t="s">
        <v>649</v>
      </c>
      <c r="AC34" s="364" t="s">
        <v>649</v>
      </c>
      <c r="AD34" s="364" t="s">
        <v>649</v>
      </c>
      <c r="AE34" s="364" t="s">
        <v>88</v>
      </c>
      <c r="AF34" s="364" t="s">
        <v>88</v>
      </c>
      <c r="AG34" s="364" t="s">
        <v>88</v>
      </c>
      <c r="AH34" s="364" t="s">
        <v>88</v>
      </c>
      <c r="AI34" s="364" t="s">
        <v>1155</v>
      </c>
      <c r="AJ34" s="364" t="s">
        <v>648</v>
      </c>
      <c r="AK34" s="364" t="s">
        <v>647</v>
      </c>
      <c r="AL34" s="364" t="s">
        <v>646</v>
      </c>
      <c r="AM34" s="364" t="s">
        <v>668</v>
      </c>
      <c r="AN34" s="364" t="s">
        <v>644</v>
      </c>
    </row>
    <row r="35" spans="1:40" x14ac:dyDescent="0.3">
      <c r="A35" s="364" t="s">
        <v>2822</v>
      </c>
      <c r="B35" s="364" t="s">
        <v>661</v>
      </c>
      <c r="C35" s="364" t="s">
        <v>660</v>
      </c>
      <c r="D35" s="364" t="s">
        <v>90</v>
      </c>
      <c r="E35" s="364" t="s">
        <v>947</v>
      </c>
      <c r="F35" s="364" t="s">
        <v>947</v>
      </c>
      <c r="G35" s="364" t="s">
        <v>658</v>
      </c>
      <c r="H35" s="364" t="s">
        <v>2821</v>
      </c>
      <c r="I35" s="364" t="s">
        <v>2820</v>
      </c>
      <c r="J35" s="364" t="s">
        <v>673</v>
      </c>
      <c r="K35" s="364" t="s">
        <v>668</v>
      </c>
      <c r="L35" s="364" t="s">
        <v>190</v>
      </c>
      <c r="M35" s="364" t="s">
        <v>55</v>
      </c>
      <c r="N35" s="364" t="s">
        <v>654</v>
      </c>
      <c r="O35" s="364" t="s">
        <v>653</v>
      </c>
      <c r="P35" s="364" t="s">
        <v>198</v>
      </c>
      <c r="Q35" s="364" t="s">
        <v>652</v>
      </c>
      <c r="R35" s="364" t="s">
        <v>88</v>
      </c>
      <c r="S35" s="364" t="s">
        <v>88</v>
      </c>
      <c r="T35" s="364" t="s">
        <v>88</v>
      </c>
      <c r="U35" s="364" t="s">
        <v>88</v>
      </c>
      <c r="V35" s="364" t="s">
        <v>88</v>
      </c>
      <c r="W35" s="364" t="s">
        <v>88</v>
      </c>
      <c r="X35" s="364" t="s">
        <v>88</v>
      </c>
      <c r="Y35" s="364" t="s">
        <v>88</v>
      </c>
      <c r="Z35" s="364" t="s">
        <v>719</v>
      </c>
      <c r="AA35" s="364" t="s">
        <v>649</v>
      </c>
      <c r="AB35" s="364" t="s">
        <v>649</v>
      </c>
      <c r="AC35" s="364" t="s">
        <v>649</v>
      </c>
      <c r="AD35" s="364" t="s">
        <v>649</v>
      </c>
      <c r="AE35" s="364" t="s">
        <v>88</v>
      </c>
      <c r="AF35" s="364" t="s">
        <v>88</v>
      </c>
      <c r="AG35" s="364" t="s">
        <v>88</v>
      </c>
      <c r="AH35" s="364" t="s">
        <v>88</v>
      </c>
      <c r="AI35" s="364" t="s">
        <v>1155</v>
      </c>
      <c r="AJ35" s="364" t="s">
        <v>648</v>
      </c>
      <c r="AK35" s="364" t="s">
        <v>647</v>
      </c>
      <c r="AL35" s="364" t="s">
        <v>646</v>
      </c>
      <c r="AM35" s="364" t="s">
        <v>668</v>
      </c>
      <c r="AN35" s="364" t="s">
        <v>644</v>
      </c>
    </row>
    <row r="36" spans="1:40" x14ac:dyDescent="0.3">
      <c r="A36" s="364" t="s">
        <v>2819</v>
      </c>
      <c r="B36" s="364" t="s">
        <v>661</v>
      </c>
      <c r="C36" s="364" t="s">
        <v>1160</v>
      </c>
      <c r="D36" s="364" t="s">
        <v>87</v>
      </c>
      <c r="E36" s="364" t="s">
        <v>1132</v>
      </c>
      <c r="F36" s="364" t="s">
        <v>1132</v>
      </c>
      <c r="G36" s="364" t="s">
        <v>658</v>
      </c>
      <c r="H36" s="364" t="s">
        <v>2818</v>
      </c>
      <c r="I36" s="364" t="s">
        <v>2814</v>
      </c>
      <c r="J36" s="364" t="s">
        <v>88</v>
      </c>
      <c r="K36" s="364" t="s">
        <v>88</v>
      </c>
      <c r="L36" s="364" t="s">
        <v>88</v>
      </c>
      <c r="M36" s="364" t="s">
        <v>138</v>
      </c>
      <c r="N36" s="364" t="s">
        <v>654</v>
      </c>
      <c r="O36" s="364" t="s">
        <v>653</v>
      </c>
      <c r="P36" s="364" t="s">
        <v>88</v>
      </c>
      <c r="Q36" s="364" t="s">
        <v>88</v>
      </c>
      <c r="R36" s="364" t="s">
        <v>88</v>
      </c>
      <c r="S36" s="364" t="s">
        <v>88</v>
      </c>
      <c r="T36" s="364" t="s">
        <v>88</v>
      </c>
      <c r="U36" s="364" t="s">
        <v>88</v>
      </c>
      <c r="V36" s="364" t="s">
        <v>88</v>
      </c>
      <c r="W36" s="364" t="s">
        <v>88</v>
      </c>
      <c r="X36" s="364" t="s">
        <v>88</v>
      </c>
      <c r="Y36" s="364" t="s">
        <v>88</v>
      </c>
      <c r="Z36" s="364" t="s">
        <v>88</v>
      </c>
      <c r="AA36" s="364" t="s">
        <v>649</v>
      </c>
      <c r="AB36" s="364" t="s">
        <v>88</v>
      </c>
      <c r="AC36" s="364" t="s">
        <v>88</v>
      </c>
      <c r="AD36" s="364" t="s">
        <v>88</v>
      </c>
      <c r="AE36" s="364" t="s">
        <v>88</v>
      </c>
      <c r="AF36" s="364" t="s">
        <v>88</v>
      </c>
      <c r="AG36" s="364" t="s">
        <v>88</v>
      </c>
      <c r="AH36" s="364" t="s">
        <v>88</v>
      </c>
      <c r="AI36" s="364" t="s">
        <v>2817</v>
      </c>
      <c r="AJ36" s="364" t="s">
        <v>793</v>
      </c>
      <c r="AK36" s="364" t="s">
        <v>88</v>
      </c>
      <c r="AL36" s="364" t="s">
        <v>88</v>
      </c>
      <c r="AM36" s="364" t="s">
        <v>88</v>
      </c>
      <c r="AN36" s="364" t="s">
        <v>792</v>
      </c>
    </row>
    <row r="37" spans="1:40" x14ac:dyDescent="0.3">
      <c r="A37" s="364" t="s">
        <v>2816</v>
      </c>
      <c r="B37" s="364" t="s">
        <v>661</v>
      </c>
      <c r="C37" s="364" t="s">
        <v>1160</v>
      </c>
      <c r="D37" s="364" t="s">
        <v>87</v>
      </c>
      <c r="E37" s="364" t="s">
        <v>989</v>
      </c>
      <c r="F37" s="364" t="s">
        <v>989</v>
      </c>
      <c r="G37" s="364" t="s">
        <v>658</v>
      </c>
      <c r="H37" s="364" t="s">
        <v>2815</v>
      </c>
      <c r="I37" s="364" t="s">
        <v>2814</v>
      </c>
      <c r="J37" s="364" t="s">
        <v>88</v>
      </c>
      <c r="K37" s="364" t="s">
        <v>88</v>
      </c>
      <c r="L37" s="364" t="s">
        <v>88</v>
      </c>
      <c r="M37" s="364" t="s">
        <v>138</v>
      </c>
      <c r="N37" s="364" t="s">
        <v>654</v>
      </c>
      <c r="O37" s="364" t="s">
        <v>653</v>
      </c>
      <c r="P37" s="364" t="s">
        <v>88</v>
      </c>
      <c r="Q37" s="364" t="s">
        <v>88</v>
      </c>
      <c r="R37" s="364" t="s">
        <v>88</v>
      </c>
      <c r="S37" s="364" t="s">
        <v>88</v>
      </c>
      <c r="T37" s="364" t="s">
        <v>88</v>
      </c>
      <c r="U37" s="364" t="s">
        <v>88</v>
      </c>
      <c r="V37" s="364" t="s">
        <v>88</v>
      </c>
      <c r="W37" s="364" t="s">
        <v>88</v>
      </c>
      <c r="X37" s="364" t="s">
        <v>88</v>
      </c>
      <c r="Y37" s="364" t="s">
        <v>88</v>
      </c>
      <c r="Z37" s="364" t="s">
        <v>88</v>
      </c>
      <c r="AA37" s="364" t="s">
        <v>649</v>
      </c>
      <c r="AB37" s="364" t="s">
        <v>88</v>
      </c>
      <c r="AC37" s="364" t="s">
        <v>88</v>
      </c>
      <c r="AD37" s="364" t="s">
        <v>88</v>
      </c>
      <c r="AE37" s="364" t="s">
        <v>88</v>
      </c>
      <c r="AF37" s="364" t="s">
        <v>88</v>
      </c>
      <c r="AG37" s="364" t="s">
        <v>88</v>
      </c>
      <c r="AH37" s="364" t="s">
        <v>88</v>
      </c>
      <c r="AI37" s="364" t="s">
        <v>2813</v>
      </c>
      <c r="AJ37" s="364" t="s">
        <v>793</v>
      </c>
      <c r="AK37" s="364" t="s">
        <v>88</v>
      </c>
      <c r="AL37" s="364" t="s">
        <v>88</v>
      </c>
      <c r="AM37" s="364" t="s">
        <v>88</v>
      </c>
      <c r="AN37" s="364" t="s">
        <v>792</v>
      </c>
    </row>
    <row r="38" spans="1:40" x14ac:dyDescent="0.3">
      <c r="A38" s="364" t="s">
        <v>2812</v>
      </c>
      <c r="B38" s="364" t="s">
        <v>661</v>
      </c>
      <c r="C38" s="364" t="s">
        <v>1160</v>
      </c>
      <c r="D38" s="364" t="s">
        <v>87</v>
      </c>
      <c r="E38" s="364" t="s">
        <v>804</v>
      </c>
      <c r="F38" s="364" t="s">
        <v>1951</v>
      </c>
      <c r="G38" s="364" t="s">
        <v>658</v>
      </c>
      <c r="H38" s="364" t="s">
        <v>2811</v>
      </c>
      <c r="I38" s="364" t="s">
        <v>88</v>
      </c>
      <c r="J38" s="364" t="s">
        <v>88</v>
      </c>
      <c r="K38" s="364" t="s">
        <v>88</v>
      </c>
      <c r="L38" s="364" t="s">
        <v>88</v>
      </c>
      <c r="M38" s="364" t="s">
        <v>138</v>
      </c>
      <c r="N38" s="364" t="s">
        <v>654</v>
      </c>
      <c r="O38" s="364" t="s">
        <v>653</v>
      </c>
      <c r="P38" s="364" t="s">
        <v>88</v>
      </c>
      <c r="Q38" s="364" t="s">
        <v>88</v>
      </c>
      <c r="R38" s="364" t="s">
        <v>88</v>
      </c>
      <c r="S38" s="364" t="s">
        <v>88</v>
      </c>
      <c r="T38" s="364" t="s">
        <v>88</v>
      </c>
      <c r="U38" s="364" t="s">
        <v>88</v>
      </c>
      <c r="V38" s="364" t="s">
        <v>88</v>
      </c>
      <c r="W38" s="364" t="s">
        <v>88</v>
      </c>
      <c r="X38" s="364" t="s">
        <v>88</v>
      </c>
      <c r="Y38" s="364" t="s">
        <v>88</v>
      </c>
      <c r="Z38" s="364" t="s">
        <v>88</v>
      </c>
      <c r="AA38" s="364" t="s">
        <v>649</v>
      </c>
      <c r="AB38" s="364" t="s">
        <v>88</v>
      </c>
      <c r="AC38" s="364" t="s">
        <v>88</v>
      </c>
      <c r="AD38" s="364" t="s">
        <v>88</v>
      </c>
      <c r="AE38" s="364" t="s">
        <v>88</v>
      </c>
      <c r="AF38" s="364" t="s">
        <v>88</v>
      </c>
      <c r="AG38" s="364" t="s">
        <v>88</v>
      </c>
      <c r="AH38" s="364" t="s">
        <v>88</v>
      </c>
      <c r="AI38" s="364" t="s">
        <v>2810</v>
      </c>
      <c r="AJ38" s="364" t="s">
        <v>793</v>
      </c>
      <c r="AK38" s="364" t="s">
        <v>88</v>
      </c>
      <c r="AL38" s="364" t="s">
        <v>88</v>
      </c>
      <c r="AM38" s="364" t="s">
        <v>88</v>
      </c>
      <c r="AN38" s="364" t="s">
        <v>792</v>
      </c>
    </row>
    <row r="39" spans="1:40" x14ac:dyDescent="0.3">
      <c r="A39" s="364" t="s">
        <v>2809</v>
      </c>
      <c r="B39" s="364" t="s">
        <v>661</v>
      </c>
      <c r="C39" s="364" t="s">
        <v>1160</v>
      </c>
      <c r="D39" s="364" t="s">
        <v>87</v>
      </c>
      <c r="E39" s="364" t="s">
        <v>868</v>
      </c>
      <c r="F39" s="364" t="s">
        <v>868</v>
      </c>
      <c r="G39" s="364" t="s">
        <v>658</v>
      </c>
      <c r="H39" s="364" t="s">
        <v>2808</v>
      </c>
      <c r="I39" s="364" t="s">
        <v>2807</v>
      </c>
      <c r="J39" s="364" t="s">
        <v>88</v>
      </c>
      <c r="K39" s="364" t="s">
        <v>88</v>
      </c>
      <c r="L39" s="364" t="s">
        <v>88</v>
      </c>
      <c r="M39" s="364" t="s">
        <v>138</v>
      </c>
      <c r="N39" s="364" t="s">
        <v>654</v>
      </c>
      <c r="O39" s="364" t="s">
        <v>653</v>
      </c>
      <c r="P39" s="364" t="s">
        <v>88</v>
      </c>
      <c r="Q39" s="364" t="s">
        <v>88</v>
      </c>
      <c r="R39" s="364" t="s">
        <v>88</v>
      </c>
      <c r="S39" s="364" t="s">
        <v>88</v>
      </c>
      <c r="T39" s="364" t="s">
        <v>88</v>
      </c>
      <c r="U39" s="364" t="s">
        <v>88</v>
      </c>
      <c r="V39" s="364" t="s">
        <v>88</v>
      </c>
      <c r="W39" s="364" t="s">
        <v>88</v>
      </c>
      <c r="X39" s="364" t="s">
        <v>88</v>
      </c>
      <c r="Y39" s="364" t="s">
        <v>88</v>
      </c>
      <c r="Z39" s="364" t="s">
        <v>88</v>
      </c>
      <c r="AA39" s="364" t="s">
        <v>649</v>
      </c>
      <c r="AB39" s="364" t="s">
        <v>88</v>
      </c>
      <c r="AC39" s="364" t="s">
        <v>88</v>
      </c>
      <c r="AD39" s="364" t="s">
        <v>88</v>
      </c>
      <c r="AE39" s="364" t="s">
        <v>88</v>
      </c>
      <c r="AF39" s="364" t="s">
        <v>88</v>
      </c>
      <c r="AG39" s="364" t="s">
        <v>88</v>
      </c>
      <c r="AH39" s="364" t="s">
        <v>88</v>
      </c>
      <c r="AI39" s="364" t="s">
        <v>2806</v>
      </c>
      <c r="AJ39" s="364" t="s">
        <v>995</v>
      </c>
      <c r="AK39" s="364" t="s">
        <v>88</v>
      </c>
      <c r="AL39" s="364" t="s">
        <v>88</v>
      </c>
      <c r="AM39" s="364" t="s">
        <v>88</v>
      </c>
      <c r="AN39" s="364" t="s">
        <v>792</v>
      </c>
    </row>
    <row r="40" spans="1:40" x14ac:dyDescent="0.3">
      <c r="A40" s="364" t="s">
        <v>2805</v>
      </c>
      <c r="B40" s="364" t="s">
        <v>661</v>
      </c>
      <c r="C40" s="364" t="s">
        <v>1160</v>
      </c>
      <c r="D40" s="364" t="s">
        <v>87</v>
      </c>
      <c r="E40" s="364" t="s">
        <v>868</v>
      </c>
      <c r="F40" s="364" t="s">
        <v>868</v>
      </c>
      <c r="G40" s="364" t="s">
        <v>658</v>
      </c>
      <c r="H40" s="364" t="s">
        <v>2804</v>
      </c>
      <c r="I40" s="364" t="s">
        <v>88</v>
      </c>
      <c r="J40" s="364" t="s">
        <v>88</v>
      </c>
      <c r="K40" s="364" t="s">
        <v>88</v>
      </c>
      <c r="L40" s="364" t="s">
        <v>88</v>
      </c>
      <c r="M40" s="364" t="s">
        <v>138</v>
      </c>
      <c r="N40" s="364" t="s">
        <v>654</v>
      </c>
      <c r="O40" s="364" t="s">
        <v>653</v>
      </c>
      <c r="P40" s="364" t="s">
        <v>88</v>
      </c>
      <c r="Q40" s="364" t="s">
        <v>88</v>
      </c>
      <c r="R40" s="364" t="s">
        <v>88</v>
      </c>
      <c r="S40" s="364" t="s">
        <v>88</v>
      </c>
      <c r="T40" s="364" t="s">
        <v>88</v>
      </c>
      <c r="U40" s="364" t="s">
        <v>88</v>
      </c>
      <c r="V40" s="364" t="s">
        <v>88</v>
      </c>
      <c r="W40" s="364" t="s">
        <v>88</v>
      </c>
      <c r="X40" s="364" t="s">
        <v>88</v>
      </c>
      <c r="Y40" s="364" t="s">
        <v>88</v>
      </c>
      <c r="Z40" s="364" t="s">
        <v>88</v>
      </c>
      <c r="AA40" s="364" t="s">
        <v>649</v>
      </c>
      <c r="AB40" s="364" t="s">
        <v>88</v>
      </c>
      <c r="AC40" s="364" t="s">
        <v>88</v>
      </c>
      <c r="AD40" s="364" t="s">
        <v>88</v>
      </c>
      <c r="AE40" s="364" t="s">
        <v>88</v>
      </c>
      <c r="AF40" s="364" t="s">
        <v>88</v>
      </c>
      <c r="AG40" s="364" t="s">
        <v>88</v>
      </c>
      <c r="AH40" s="364" t="s">
        <v>88</v>
      </c>
      <c r="AI40" s="364" t="s">
        <v>2803</v>
      </c>
      <c r="AJ40" s="364" t="s">
        <v>798</v>
      </c>
      <c r="AK40" s="364" t="s">
        <v>88</v>
      </c>
      <c r="AL40" s="364" t="s">
        <v>88</v>
      </c>
      <c r="AM40" s="364" t="s">
        <v>88</v>
      </c>
      <c r="AN40" s="364" t="s">
        <v>792</v>
      </c>
    </row>
    <row r="41" spans="1:40" x14ac:dyDescent="0.3">
      <c r="A41" s="364" t="s">
        <v>2802</v>
      </c>
      <c r="B41" s="364" t="s">
        <v>661</v>
      </c>
      <c r="C41" s="364" t="s">
        <v>1160</v>
      </c>
      <c r="D41" s="364" t="s">
        <v>87</v>
      </c>
      <c r="E41" s="364" t="s">
        <v>868</v>
      </c>
      <c r="F41" s="364" t="s">
        <v>868</v>
      </c>
      <c r="G41" s="364" t="s">
        <v>658</v>
      </c>
      <c r="H41" s="364" t="s">
        <v>2801</v>
      </c>
      <c r="I41" s="364" t="s">
        <v>88</v>
      </c>
      <c r="J41" s="364" t="s">
        <v>88</v>
      </c>
      <c r="K41" s="364" t="s">
        <v>88</v>
      </c>
      <c r="L41" s="364" t="s">
        <v>88</v>
      </c>
      <c r="M41" s="364" t="s">
        <v>138</v>
      </c>
      <c r="N41" s="364" t="s">
        <v>654</v>
      </c>
      <c r="O41" s="364" t="s">
        <v>653</v>
      </c>
      <c r="P41" s="364" t="s">
        <v>88</v>
      </c>
      <c r="Q41" s="364" t="s">
        <v>88</v>
      </c>
      <c r="R41" s="364" t="s">
        <v>88</v>
      </c>
      <c r="S41" s="364" t="s">
        <v>88</v>
      </c>
      <c r="T41" s="364" t="s">
        <v>88</v>
      </c>
      <c r="U41" s="364" t="s">
        <v>88</v>
      </c>
      <c r="V41" s="364" t="s">
        <v>88</v>
      </c>
      <c r="W41" s="364" t="s">
        <v>88</v>
      </c>
      <c r="X41" s="364" t="s">
        <v>88</v>
      </c>
      <c r="Y41" s="364" t="s">
        <v>88</v>
      </c>
      <c r="Z41" s="364" t="s">
        <v>88</v>
      </c>
      <c r="AA41" s="364" t="s">
        <v>649</v>
      </c>
      <c r="AB41" s="364" t="s">
        <v>88</v>
      </c>
      <c r="AC41" s="364" t="s">
        <v>88</v>
      </c>
      <c r="AD41" s="364" t="s">
        <v>88</v>
      </c>
      <c r="AE41" s="364" t="s">
        <v>88</v>
      </c>
      <c r="AF41" s="364" t="s">
        <v>88</v>
      </c>
      <c r="AG41" s="364" t="s">
        <v>88</v>
      </c>
      <c r="AH41" s="364" t="s">
        <v>88</v>
      </c>
      <c r="AI41" s="364" t="s">
        <v>2800</v>
      </c>
      <c r="AJ41" s="364" t="s">
        <v>798</v>
      </c>
      <c r="AK41" s="364" t="s">
        <v>88</v>
      </c>
      <c r="AL41" s="364" t="s">
        <v>88</v>
      </c>
      <c r="AM41" s="364" t="s">
        <v>88</v>
      </c>
      <c r="AN41" s="364" t="s">
        <v>792</v>
      </c>
    </row>
    <row r="42" spans="1:40" x14ac:dyDescent="0.3">
      <c r="A42" s="364" t="s">
        <v>2799</v>
      </c>
      <c r="B42" s="364" t="s">
        <v>661</v>
      </c>
      <c r="C42" s="364" t="s">
        <v>1160</v>
      </c>
      <c r="D42" s="364" t="s">
        <v>87</v>
      </c>
      <c r="E42" s="364" t="s">
        <v>868</v>
      </c>
      <c r="F42" s="364" t="s">
        <v>868</v>
      </c>
      <c r="G42" s="364" t="s">
        <v>658</v>
      </c>
      <c r="H42" s="364" t="s">
        <v>2798</v>
      </c>
      <c r="I42" s="364" t="s">
        <v>88</v>
      </c>
      <c r="J42" s="364" t="s">
        <v>88</v>
      </c>
      <c r="K42" s="364" t="s">
        <v>88</v>
      </c>
      <c r="L42" s="364" t="s">
        <v>88</v>
      </c>
      <c r="M42" s="364" t="s">
        <v>138</v>
      </c>
      <c r="N42" s="364" t="s">
        <v>654</v>
      </c>
      <c r="O42" s="364" t="s">
        <v>653</v>
      </c>
      <c r="P42" s="364" t="s">
        <v>88</v>
      </c>
      <c r="Q42" s="364" t="s">
        <v>88</v>
      </c>
      <c r="R42" s="364" t="s">
        <v>88</v>
      </c>
      <c r="S42" s="364" t="s">
        <v>88</v>
      </c>
      <c r="T42" s="364" t="s">
        <v>88</v>
      </c>
      <c r="U42" s="364" t="s">
        <v>88</v>
      </c>
      <c r="V42" s="364" t="s">
        <v>88</v>
      </c>
      <c r="W42" s="364" t="s">
        <v>88</v>
      </c>
      <c r="X42" s="364" t="s">
        <v>88</v>
      </c>
      <c r="Y42" s="364" t="s">
        <v>88</v>
      </c>
      <c r="Z42" s="364" t="s">
        <v>88</v>
      </c>
      <c r="AA42" s="364" t="s">
        <v>649</v>
      </c>
      <c r="AB42" s="364" t="s">
        <v>88</v>
      </c>
      <c r="AC42" s="364" t="s">
        <v>88</v>
      </c>
      <c r="AD42" s="364" t="s">
        <v>88</v>
      </c>
      <c r="AE42" s="364" t="s">
        <v>88</v>
      </c>
      <c r="AF42" s="364" t="s">
        <v>88</v>
      </c>
      <c r="AG42" s="364" t="s">
        <v>88</v>
      </c>
      <c r="AH42" s="364" t="s">
        <v>88</v>
      </c>
      <c r="AI42" s="364" t="s">
        <v>2797</v>
      </c>
      <c r="AJ42" s="364" t="s">
        <v>798</v>
      </c>
      <c r="AK42" s="364" t="s">
        <v>88</v>
      </c>
      <c r="AL42" s="364" t="s">
        <v>88</v>
      </c>
      <c r="AM42" s="364" t="s">
        <v>88</v>
      </c>
      <c r="AN42" s="364" t="s">
        <v>792</v>
      </c>
    </row>
    <row r="43" spans="1:40" x14ac:dyDescent="0.3">
      <c r="A43" s="364" t="s">
        <v>2796</v>
      </c>
      <c r="B43" s="364" t="s">
        <v>661</v>
      </c>
      <c r="C43" s="364" t="s">
        <v>1160</v>
      </c>
      <c r="D43" s="364" t="s">
        <v>87</v>
      </c>
      <c r="E43" s="364" t="s">
        <v>868</v>
      </c>
      <c r="F43" s="364" t="s">
        <v>868</v>
      </c>
      <c r="G43" s="364" t="s">
        <v>658</v>
      </c>
      <c r="H43" s="364" t="s">
        <v>2795</v>
      </c>
      <c r="I43" s="364" t="s">
        <v>88</v>
      </c>
      <c r="J43" s="364" t="s">
        <v>88</v>
      </c>
      <c r="K43" s="364" t="s">
        <v>88</v>
      </c>
      <c r="L43" s="364" t="s">
        <v>88</v>
      </c>
      <c r="M43" s="364" t="s">
        <v>138</v>
      </c>
      <c r="N43" s="364" t="s">
        <v>654</v>
      </c>
      <c r="O43" s="364" t="s">
        <v>653</v>
      </c>
      <c r="P43" s="364" t="s">
        <v>88</v>
      </c>
      <c r="Q43" s="364" t="s">
        <v>88</v>
      </c>
      <c r="R43" s="364" t="s">
        <v>88</v>
      </c>
      <c r="S43" s="364" t="s">
        <v>88</v>
      </c>
      <c r="T43" s="364" t="s">
        <v>88</v>
      </c>
      <c r="U43" s="364" t="s">
        <v>88</v>
      </c>
      <c r="V43" s="364" t="s">
        <v>88</v>
      </c>
      <c r="W43" s="364" t="s">
        <v>88</v>
      </c>
      <c r="X43" s="364" t="s">
        <v>88</v>
      </c>
      <c r="Y43" s="364" t="s">
        <v>88</v>
      </c>
      <c r="Z43" s="364" t="s">
        <v>88</v>
      </c>
      <c r="AA43" s="364" t="s">
        <v>649</v>
      </c>
      <c r="AB43" s="364" t="s">
        <v>88</v>
      </c>
      <c r="AC43" s="364" t="s">
        <v>88</v>
      </c>
      <c r="AD43" s="364" t="s">
        <v>88</v>
      </c>
      <c r="AE43" s="364" t="s">
        <v>88</v>
      </c>
      <c r="AF43" s="364" t="s">
        <v>88</v>
      </c>
      <c r="AG43" s="364" t="s">
        <v>88</v>
      </c>
      <c r="AH43" s="364" t="s">
        <v>88</v>
      </c>
      <c r="AI43" s="364" t="s">
        <v>2794</v>
      </c>
      <c r="AJ43" s="364" t="s">
        <v>798</v>
      </c>
      <c r="AK43" s="364" t="s">
        <v>88</v>
      </c>
      <c r="AL43" s="364" t="s">
        <v>88</v>
      </c>
      <c r="AM43" s="364" t="s">
        <v>88</v>
      </c>
      <c r="AN43" s="364" t="s">
        <v>792</v>
      </c>
    </row>
    <row r="44" spans="1:40" x14ac:dyDescent="0.3">
      <c r="A44" s="364" t="s">
        <v>2793</v>
      </c>
      <c r="B44" s="364" t="s">
        <v>661</v>
      </c>
      <c r="C44" s="364" t="s">
        <v>1160</v>
      </c>
      <c r="D44" s="364" t="s">
        <v>87</v>
      </c>
      <c r="E44" s="364" t="s">
        <v>868</v>
      </c>
      <c r="F44" s="364" t="s">
        <v>868</v>
      </c>
      <c r="G44" s="364" t="s">
        <v>658</v>
      </c>
      <c r="H44" s="364" t="s">
        <v>2792</v>
      </c>
      <c r="I44" s="364" t="s">
        <v>88</v>
      </c>
      <c r="J44" s="364" t="s">
        <v>88</v>
      </c>
      <c r="K44" s="364" t="s">
        <v>88</v>
      </c>
      <c r="L44" s="364" t="s">
        <v>88</v>
      </c>
      <c r="M44" s="364" t="s">
        <v>138</v>
      </c>
      <c r="N44" s="364" t="s">
        <v>654</v>
      </c>
      <c r="O44" s="364" t="s">
        <v>653</v>
      </c>
      <c r="P44" s="364" t="s">
        <v>88</v>
      </c>
      <c r="Q44" s="364" t="s">
        <v>88</v>
      </c>
      <c r="R44" s="364" t="s">
        <v>88</v>
      </c>
      <c r="S44" s="364" t="s">
        <v>88</v>
      </c>
      <c r="T44" s="364" t="s">
        <v>88</v>
      </c>
      <c r="U44" s="364" t="s">
        <v>88</v>
      </c>
      <c r="V44" s="364" t="s">
        <v>88</v>
      </c>
      <c r="W44" s="364" t="s">
        <v>88</v>
      </c>
      <c r="X44" s="364" t="s">
        <v>88</v>
      </c>
      <c r="Y44" s="364" t="s">
        <v>88</v>
      </c>
      <c r="Z44" s="364" t="s">
        <v>88</v>
      </c>
      <c r="AA44" s="364" t="s">
        <v>649</v>
      </c>
      <c r="AB44" s="364" t="s">
        <v>88</v>
      </c>
      <c r="AC44" s="364" t="s">
        <v>88</v>
      </c>
      <c r="AD44" s="364" t="s">
        <v>88</v>
      </c>
      <c r="AE44" s="364" t="s">
        <v>88</v>
      </c>
      <c r="AF44" s="364" t="s">
        <v>88</v>
      </c>
      <c r="AG44" s="364" t="s">
        <v>88</v>
      </c>
      <c r="AH44" s="364" t="s">
        <v>88</v>
      </c>
      <c r="AI44" s="364" t="s">
        <v>2791</v>
      </c>
      <c r="AJ44" s="364" t="s">
        <v>798</v>
      </c>
      <c r="AK44" s="364" t="s">
        <v>88</v>
      </c>
      <c r="AL44" s="364" t="s">
        <v>88</v>
      </c>
      <c r="AM44" s="364" t="s">
        <v>88</v>
      </c>
      <c r="AN44" s="364" t="s">
        <v>792</v>
      </c>
    </row>
    <row r="45" spans="1:40" x14ac:dyDescent="0.3">
      <c r="A45" s="364" t="s">
        <v>2790</v>
      </c>
      <c r="B45" s="364" t="s">
        <v>661</v>
      </c>
      <c r="C45" s="364" t="s">
        <v>1160</v>
      </c>
      <c r="D45" s="364" t="s">
        <v>87</v>
      </c>
      <c r="E45" s="364" t="s">
        <v>868</v>
      </c>
      <c r="F45" s="364" t="s">
        <v>868</v>
      </c>
      <c r="G45" s="364" t="s">
        <v>658</v>
      </c>
      <c r="H45" s="364" t="s">
        <v>2789</v>
      </c>
      <c r="I45" s="364" t="s">
        <v>88</v>
      </c>
      <c r="J45" s="364" t="s">
        <v>88</v>
      </c>
      <c r="K45" s="364" t="s">
        <v>88</v>
      </c>
      <c r="L45" s="364" t="s">
        <v>88</v>
      </c>
      <c r="M45" s="364" t="s">
        <v>138</v>
      </c>
      <c r="N45" s="364" t="s">
        <v>654</v>
      </c>
      <c r="O45" s="364" t="s">
        <v>653</v>
      </c>
      <c r="P45" s="364" t="s">
        <v>88</v>
      </c>
      <c r="Q45" s="364" t="s">
        <v>88</v>
      </c>
      <c r="R45" s="364" t="s">
        <v>88</v>
      </c>
      <c r="S45" s="364" t="s">
        <v>88</v>
      </c>
      <c r="T45" s="364" t="s">
        <v>88</v>
      </c>
      <c r="U45" s="364" t="s">
        <v>88</v>
      </c>
      <c r="V45" s="364" t="s">
        <v>88</v>
      </c>
      <c r="W45" s="364" t="s">
        <v>88</v>
      </c>
      <c r="X45" s="364" t="s">
        <v>88</v>
      </c>
      <c r="Y45" s="364" t="s">
        <v>88</v>
      </c>
      <c r="Z45" s="364" t="s">
        <v>88</v>
      </c>
      <c r="AA45" s="364" t="s">
        <v>649</v>
      </c>
      <c r="AB45" s="364" t="s">
        <v>88</v>
      </c>
      <c r="AC45" s="364" t="s">
        <v>88</v>
      </c>
      <c r="AD45" s="364" t="s">
        <v>88</v>
      </c>
      <c r="AE45" s="364" t="s">
        <v>88</v>
      </c>
      <c r="AF45" s="364" t="s">
        <v>88</v>
      </c>
      <c r="AG45" s="364" t="s">
        <v>88</v>
      </c>
      <c r="AH45" s="364" t="s">
        <v>88</v>
      </c>
      <c r="AI45" s="364" t="s">
        <v>2788</v>
      </c>
      <c r="AJ45" s="364" t="s">
        <v>798</v>
      </c>
      <c r="AK45" s="364" t="s">
        <v>88</v>
      </c>
      <c r="AL45" s="364" t="s">
        <v>88</v>
      </c>
      <c r="AM45" s="364" t="s">
        <v>88</v>
      </c>
      <c r="AN45" s="364" t="s">
        <v>792</v>
      </c>
    </row>
    <row r="46" spans="1:40" x14ac:dyDescent="0.3">
      <c r="A46" s="364" t="s">
        <v>2787</v>
      </c>
      <c r="B46" s="364" t="s">
        <v>661</v>
      </c>
      <c r="C46" s="364" t="s">
        <v>1160</v>
      </c>
      <c r="D46" s="364" t="s">
        <v>87</v>
      </c>
      <c r="E46" s="364" t="s">
        <v>868</v>
      </c>
      <c r="F46" s="364" t="s">
        <v>868</v>
      </c>
      <c r="G46" s="364" t="s">
        <v>658</v>
      </c>
      <c r="H46" s="364" t="s">
        <v>2786</v>
      </c>
      <c r="I46" s="364" t="s">
        <v>88</v>
      </c>
      <c r="J46" s="364" t="s">
        <v>88</v>
      </c>
      <c r="K46" s="364" t="s">
        <v>88</v>
      </c>
      <c r="L46" s="364" t="s">
        <v>88</v>
      </c>
      <c r="M46" s="364" t="s">
        <v>138</v>
      </c>
      <c r="N46" s="364" t="s">
        <v>654</v>
      </c>
      <c r="O46" s="364" t="s">
        <v>653</v>
      </c>
      <c r="P46" s="364" t="s">
        <v>88</v>
      </c>
      <c r="Q46" s="364" t="s">
        <v>88</v>
      </c>
      <c r="R46" s="364" t="s">
        <v>88</v>
      </c>
      <c r="S46" s="364" t="s">
        <v>88</v>
      </c>
      <c r="T46" s="364" t="s">
        <v>88</v>
      </c>
      <c r="U46" s="364" t="s">
        <v>88</v>
      </c>
      <c r="V46" s="364" t="s">
        <v>88</v>
      </c>
      <c r="W46" s="364" t="s">
        <v>88</v>
      </c>
      <c r="X46" s="364" t="s">
        <v>88</v>
      </c>
      <c r="Y46" s="364" t="s">
        <v>88</v>
      </c>
      <c r="Z46" s="364" t="s">
        <v>88</v>
      </c>
      <c r="AA46" s="364" t="s">
        <v>649</v>
      </c>
      <c r="AB46" s="364" t="s">
        <v>88</v>
      </c>
      <c r="AC46" s="364" t="s">
        <v>88</v>
      </c>
      <c r="AD46" s="364" t="s">
        <v>88</v>
      </c>
      <c r="AE46" s="364" t="s">
        <v>88</v>
      </c>
      <c r="AF46" s="364" t="s">
        <v>88</v>
      </c>
      <c r="AG46" s="364" t="s">
        <v>88</v>
      </c>
      <c r="AH46" s="364" t="s">
        <v>88</v>
      </c>
      <c r="AI46" s="364" t="s">
        <v>2785</v>
      </c>
      <c r="AJ46" s="364" t="s">
        <v>798</v>
      </c>
      <c r="AK46" s="364" t="s">
        <v>88</v>
      </c>
      <c r="AL46" s="364" t="s">
        <v>88</v>
      </c>
      <c r="AM46" s="364" t="s">
        <v>88</v>
      </c>
      <c r="AN46" s="364" t="s">
        <v>792</v>
      </c>
    </row>
    <row r="47" spans="1:40" x14ac:dyDescent="0.3">
      <c r="A47" s="364" t="s">
        <v>2784</v>
      </c>
      <c r="B47" s="364" t="s">
        <v>661</v>
      </c>
      <c r="C47" s="364" t="s">
        <v>1160</v>
      </c>
      <c r="D47" s="364" t="s">
        <v>87</v>
      </c>
      <c r="E47" s="364" t="s">
        <v>868</v>
      </c>
      <c r="F47" s="364" t="s">
        <v>868</v>
      </c>
      <c r="G47" s="364" t="s">
        <v>658</v>
      </c>
      <c r="H47" s="364" t="s">
        <v>2783</v>
      </c>
      <c r="I47" s="364" t="s">
        <v>88</v>
      </c>
      <c r="J47" s="364" t="s">
        <v>88</v>
      </c>
      <c r="K47" s="364" t="s">
        <v>88</v>
      </c>
      <c r="L47" s="364" t="s">
        <v>88</v>
      </c>
      <c r="M47" s="364" t="s">
        <v>138</v>
      </c>
      <c r="N47" s="364" t="s">
        <v>654</v>
      </c>
      <c r="O47" s="364" t="s">
        <v>653</v>
      </c>
      <c r="P47" s="364" t="s">
        <v>88</v>
      </c>
      <c r="Q47" s="364" t="s">
        <v>88</v>
      </c>
      <c r="R47" s="364" t="s">
        <v>88</v>
      </c>
      <c r="S47" s="364" t="s">
        <v>88</v>
      </c>
      <c r="T47" s="364" t="s">
        <v>88</v>
      </c>
      <c r="U47" s="364" t="s">
        <v>88</v>
      </c>
      <c r="V47" s="364" t="s">
        <v>88</v>
      </c>
      <c r="W47" s="364" t="s">
        <v>88</v>
      </c>
      <c r="X47" s="364" t="s">
        <v>88</v>
      </c>
      <c r="Y47" s="364" t="s">
        <v>88</v>
      </c>
      <c r="Z47" s="364" t="s">
        <v>88</v>
      </c>
      <c r="AA47" s="364" t="s">
        <v>649</v>
      </c>
      <c r="AB47" s="364" t="s">
        <v>88</v>
      </c>
      <c r="AC47" s="364" t="s">
        <v>88</v>
      </c>
      <c r="AD47" s="364" t="s">
        <v>88</v>
      </c>
      <c r="AE47" s="364" t="s">
        <v>88</v>
      </c>
      <c r="AF47" s="364" t="s">
        <v>88</v>
      </c>
      <c r="AG47" s="364" t="s">
        <v>88</v>
      </c>
      <c r="AH47" s="364" t="s">
        <v>88</v>
      </c>
      <c r="AI47" s="364" t="s">
        <v>2782</v>
      </c>
      <c r="AJ47" s="364" t="s">
        <v>798</v>
      </c>
      <c r="AK47" s="364" t="s">
        <v>88</v>
      </c>
      <c r="AL47" s="364" t="s">
        <v>88</v>
      </c>
      <c r="AM47" s="364" t="s">
        <v>88</v>
      </c>
      <c r="AN47" s="364" t="s">
        <v>792</v>
      </c>
    </row>
    <row r="48" spans="1:40" x14ac:dyDescent="0.3">
      <c r="A48" s="364" t="s">
        <v>2781</v>
      </c>
      <c r="B48" s="364" t="s">
        <v>661</v>
      </c>
      <c r="C48" s="364" t="s">
        <v>1160</v>
      </c>
      <c r="D48" s="364" t="s">
        <v>87</v>
      </c>
      <c r="E48" s="364" t="s">
        <v>868</v>
      </c>
      <c r="F48" s="364" t="s">
        <v>868</v>
      </c>
      <c r="G48" s="364" t="s">
        <v>658</v>
      </c>
      <c r="H48" s="364" t="s">
        <v>2779</v>
      </c>
      <c r="I48" s="364" t="s">
        <v>88</v>
      </c>
      <c r="J48" s="364" t="s">
        <v>88</v>
      </c>
      <c r="K48" s="364" t="s">
        <v>88</v>
      </c>
      <c r="L48" s="364" t="s">
        <v>88</v>
      </c>
      <c r="M48" s="364" t="s">
        <v>138</v>
      </c>
      <c r="N48" s="364" t="s">
        <v>654</v>
      </c>
      <c r="O48" s="364" t="s">
        <v>653</v>
      </c>
      <c r="P48" s="364" t="s">
        <v>88</v>
      </c>
      <c r="Q48" s="364" t="s">
        <v>88</v>
      </c>
      <c r="R48" s="364" t="s">
        <v>88</v>
      </c>
      <c r="S48" s="364" t="s">
        <v>88</v>
      </c>
      <c r="T48" s="364" t="s">
        <v>88</v>
      </c>
      <c r="U48" s="364" t="s">
        <v>88</v>
      </c>
      <c r="V48" s="364" t="s">
        <v>88</v>
      </c>
      <c r="W48" s="364" t="s">
        <v>88</v>
      </c>
      <c r="X48" s="364" t="s">
        <v>88</v>
      </c>
      <c r="Y48" s="364" t="s">
        <v>88</v>
      </c>
      <c r="Z48" s="364" t="s">
        <v>88</v>
      </c>
      <c r="AA48" s="364" t="s">
        <v>649</v>
      </c>
      <c r="AB48" s="364" t="s">
        <v>88</v>
      </c>
      <c r="AC48" s="364" t="s">
        <v>88</v>
      </c>
      <c r="AD48" s="364" t="s">
        <v>88</v>
      </c>
      <c r="AE48" s="364" t="s">
        <v>88</v>
      </c>
      <c r="AF48" s="364" t="s">
        <v>88</v>
      </c>
      <c r="AG48" s="364" t="s">
        <v>88</v>
      </c>
      <c r="AH48" s="364" t="s">
        <v>88</v>
      </c>
      <c r="AI48" s="364" t="s">
        <v>2778</v>
      </c>
      <c r="AJ48" s="364" t="s">
        <v>798</v>
      </c>
      <c r="AK48" s="364" t="s">
        <v>88</v>
      </c>
      <c r="AL48" s="364" t="s">
        <v>88</v>
      </c>
      <c r="AM48" s="364" t="s">
        <v>88</v>
      </c>
      <c r="AN48" s="364" t="s">
        <v>792</v>
      </c>
    </row>
    <row r="49" spans="1:40" x14ac:dyDescent="0.3">
      <c r="A49" s="364" t="s">
        <v>2780</v>
      </c>
      <c r="B49" s="364" t="s">
        <v>661</v>
      </c>
      <c r="C49" s="364" t="s">
        <v>1160</v>
      </c>
      <c r="D49" s="364" t="s">
        <v>87</v>
      </c>
      <c r="E49" s="364" t="s">
        <v>868</v>
      </c>
      <c r="F49" s="364" t="s">
        <v>868</v>
      </c>
      <c r="G49" s="364" t="s">
        <v>658</v>
      </c>
      <c r="H49" s="364" t="s">
        <v>2779</v>
      </c>
      <c r="I49" s="364" t="s">
        <v>88</v>
      </c>
      <c r="J49" s="364" t="s">
        <v>88</v>
      </c>
      <c r="K49" s="364" t="s">
        <v>88</v>
      </c>
      <c r="L49" s="364" t="s">
        <v>88</v>
      </c>
      <c r="M49" s="364" t="s">
        <v>138</v>
      </c>
      <c r="N49" s="364" t="s">
        <v>654</v>
      </c>
      <c r="O49" s="364" t="s">
        <v>653</v>
      </c>
      <c r="P49" s="364" t="s">
        <v>88</v>
      </c>
      <c r="Q49" s="364" t="s">
        <v>88</v>
      </c>
      <c r="R49" s="364" t="s">
        <v>88</v>
      </c>
      <c r="S49" s="364" t="s">
        <v>88</v>
      </c>
      <c r="T49" s="364" t="s">
        <v>88</v>
      </c>
      <c r="U49" s="364" t="s">
        <v>88</v>
      </c>
      <c r="V49" s="364" t="s">
        <v>88</v>
      </c>
      <c r="W49" s="364" t="s">
        <v>88</v>
      </c>
      <c r="X49" s="364" t="s">
        <v>88</v>
      </c>
      <c r="Y49" s="364" t="s">
        <v>88</v>
      </c>
      <c r="Z49" s="364" t="s">
        <v>88</v>
      </c>
      <c r="AA49" s="364" t="s">
        <v>649</v>
      </c>
      <c r="AB49" s="364" t="s">
        <v>88</v>
      </c>
      <c r="AC49" s="364" t="s">
        <v>88</v>
      </c>
      <c r="AD49" s="364" t="s">
        <v>88</v>
      </c>
      <c r="AE49" s="364" t="s">
        <v>88</v>
      </c>
      <c r="AF49" s="364" t="s">
        <v>88</v>
      </c>
      <c r="AG49" s="364" t="s">
        <v>88</v>
      </c>
      <c r="AH49" s="364" t="s">
        <v>88</v>
      </c>
      <c r="AI49" s="364" t="s">
        <v>2778</v>
      </c>
      <c r="AJ49" s="364" t="s">
        <v>798</v>
      </c>
      <c r="AK49" s="364" t="s">
        <v>88</v>
      </c>
      <c r="AL49" s="364" t="s">
        <v>88</v>
      </c>
      <c r="AM49" s="364" t="s">
        <v>88</v>
      </c>
      <c r="AN49" s="364" t="s">
        <v>792</v>
      </c>
    </row>
    <row r="50" spans="1:40" x14ac:dyDescent="0.3">
      <c r="A50" s="364" t="s">
        <v>2777</v>
      </c>
      <c r="B50" s="364" t="s">
        <v>661</v>
      </c>
      <c r="C50" s="364" t="s">
        <v>1160</v>
      </c>
      <c r="D50" s="364" t="s">
        <v>87</v>
      </c>
      <c r="E50" s="364" t="s">
        <v>868</v>
      </c>
      <c r="F50" s="364" t="s">
        <v>868</v>
      </c>
      <c r="G50" s="364" t="s">
        <v>658</v>
      </c>
      <c r="H50" s="364" t="s">
        <v>2776</v>
      </c>
      <c r="I50" s="364" t="s">
        <v>88</v>
      </c>
      <c r="J50" s="364" t="s">
        <v>88</v>
      </c>
      <c r="K50" s="364" t="s">
        <v>88</v>
      </c>
      <c r="L50" s="364" t="s">
        <v>88</v>
      </c>
      <c r="M50" s="364" t="s">
        <v>138</v>
      </c>
      <c r="N50" s="364" t="s">
        <v>654</v>
      </c>
      <c r="O50" s="364" t="s">
        <v>653</v>
      </c>
      <c r="P50" s="364" t="s">
        <v>88</v>
      </c>
      <c r="Q50" s="364" t="s">
        <v>88</v>
      </c>
      <c r="R50" s="364" t="s">
        <v>88</v>
      </c>
      <c r="S50" s="364" t="s">
        <v>88</v>
      </c>
      <c r="T50" s="364" t="s">
        <v>88</v>
      </c>
      <c r="U50" s="364" t="s">
        <v>88</v>
      </c>
      <c r="V50" s="364" t="s">
        <v>88</v>
      </c>
      <c r="W50" s="364" t="s">
        <v>88</v>
      </c>
      <c r="X50" s="364" t="s">
        <v>88</v>
      </c>
      <c r="Y50" s="364" t="s">
        <v>88</v>
      </c>
      <c r="Z50" s="364" t="s">
        <v>88</v>
      </c>
      <c r="AA50" s="364" t="s">
        <v>649</v>
      </c>
      <c r="AB50" s="364" t="s">
        <v>88</v>
      </c>
      <c r="AC50" s="364" t="s">
        <v>88</v>
      </c>
      <c r="AD50" s="364" t="s">
        <v>88</v>
      </c>
      <c r="AE50" s="364" t="s">
        <v>88</v>
      </c>
      <c r="AF50" s="364" t="s">
        <v>88</v>
      </c>
      <c r="AG50" s="364" t="s">
        <v>88</v>
      </c>
      <c r="AH50" s="364" t="s">
        <v>88</v>
      </c>
      <c r="AI50" s="364" t="s">
        <v>2775</v>
      </c>
      <c r="AJ50" s="364" t="s">
        <v>798</v>
      </c>
      <c r="AK50" s="364" t="s">
        <v>88</v>
      </c>
      <c r="AL50" s="364" t="s">
        <v>88</v>
      </c>
      <c r="AM50" s="364" t="s">
        <v>88</v>
      </c>
      <c r="AN50" s="364" t="s">
        <v>792</v>
      </c>
    </row>
    <row r="51" spans="1:40" x14ac:dyDescent="0.3">
      <c r="A51" s="364" t="s">
        <v>2774</v>
      </c>
      <c r="B51" s="364" t="s">
        <v>661</v>
      </c>
      <c r="C51" s="364" t="s">
        <v>1160</v>
      </c>
      <c r="D51" s="364" t="s">
        <v>87</v>
      </c>
      <c r="E51" s="364" t="s">
        <v>868</v>
      </c>
      <c r="F51" s="364" t="s">
        <v>868</v>
      </c>
      <c r="G51" s="364" t="s">
        <v>658</v>
      </c>
      <c r="H51" s="364" t="s">
        <v>2773</v>
      </c>
      <c r="I51" s="364" t="s">
        <v>88</v>
      </c>
      <c r="J51" s="364" t="s">
        <v>88</v>
      </c>
      <c r="K51" s="364" t="s">
        <v>88</v>
      </c>
      <c r="L51" s="364" t="s">
        <v>88</v>
      </c>
      <c r="M51" s="364" t="s">
        <v>138</v>
      </c>
      <c r="N51" s="364" t="s">
        <v>654</v>
      </c>
      <c r="O51" s="364" t="s">
        <v>653</v>
      </c>
      <c r="P51" s="364" t="s">
        <v>88</v>
      </c>
      <c r="Q51" s="364" t="s">
        <v>88</v>
      </c>
      <c r="R51" s="364" t="s">
        <v>88</v>
      </c>
      <c r="S51" s="364" t="s">
        <v>88</v>
      </c>
      <c r="T51" s="364" t="s">
        <v>88</v>
      </c>
      <c r="U51" s="364" t="s">
        <v>88</v>
      </c>
      <c r="V51" s="364" t="s">
        <v>88</v>
      </c>
      <c r="W51" s="364" t="s">
        <v>88</v>
      </c>
      <c r="X51" s="364" t="s">
        <v>88</v>
      </c>
      <c r="Y51" s="364" t="s">
        <v>88</v>
      </c>
      <c r="Z51" s="364" t="s">
        <v>88</v>
      </c>
      <c r="AA51" s="364" t="s">
        <v>649</v>
      </c>
      <c r="AB51" s="364" t="s">
        <v>88</v>
      </c>
      <c r="AC51" s="364" t="s">
        <v>88</v>
      </c>
      <c r="AD51" s="364" t="s">
        <v>88</v>
      </c>
      <c r="AE51" s="364" t="s">
        <v>88</v>
      </c>
      <c r="AF51" s="364" t="s">
        <v>88</v>
      </c>
      <c r="AG51" s="364" t="s">
        <v>88</v>
      </c>
      <c r="AH51" s="364" t="s">
        <v>88</v>
      </c>
      <c r="AI51" s="364" t="s">
        <v>2772</v>
      </c>
      <c r="AJ51" s="364" t="s">
        <v>798</v>
      </c>
      <c r="AK51" s="364" t="s">
        <v>88</v>
      </c>
      <c r="AL51" s="364" t="s">
        <v>88</v>
      </c>
      <c r="AM51" s="364" t="s">
        <v>88</v>
      </c>
      <c r="AN51" s="364" t="s">
        <v>792</v>
      </c>
    </row>
    <row r="52" spans="1:40" x14ac:dyDescent="0.3">
      <c r="A52" s="364" t="s">
        <v>2771</v>
      </c>
      <c r="B52" s="364" t="s">
        <v>661</v>
      </c>
      <c r="C52" s="364" t="s">
        <v>660</v>
      </c>
      <c r="D52" s="364" t="s">
        <v>90</v>
      </c>
      <c r="E52" s="364" t="s">
        <v>971</v>
      </c>
      <c r="F52" s="364" t="s">
        <v>971</v>
      </c>
      <c r="G52" s="364" t="s">
        <v>658</v>
      </c>
      <c r="H52" s="364" t="s">
        <v>2770</v>
      </c>
      <c r="I52" s="364" t="s">
        <v>2769</v>
      </c>
      <c r="J52" s="364" t="s">
        <v>673</v>
      </c>
      <c r="K52" s="364" t="s">
        <v>668</v>
      </c>
      <c r="L52" s="364" t="s">
        <v>190</v>
      </c>
      <c r="M52" s="364" t="s">
        <v>725</v>
      </c>
      <c r="N52" s="364" t="s">
        <v>654</v>
      </c>
      <c r="O52" s="364" t="s">
        <v>653</v>
      </c>
      <c r="P52" s="364" t="s">
        <v>198</v>
      </c>
      <c r="Q52" s="364" t="s">
        <v>652</v>
      </c>
      <c r="R52" s="364" t="s">
        <v>88</v>
      </c>
      <c r="S52" s="364" t="s">
        <v>88</v>
      </c>
      <c r="T52" s="364" t="s">
        <v>88</v>
      </c>
      <c r="U52" s="364" t="s">
        <v>88</v>
      </c>
      <c r="V52" s="364" t="s">
        <v>88</v>
      </c>
      <c r="W52" s="364" t="s">
        <v>88</v>
      </c>
      <c r="X52" s="364" t="s">
        <v>88</v>
      </c>
      <c r="Y52" s="364" t="s">
        <v>88</v>
      </c>
      <c r="Z52" s="364" t="s">
        <v>724</v>
      </c>
      <c r="AA52" s="364" t="s">
        <v>649</v>
      </c>
      <c r="AB52" s="364" t="s">
        <v>649</v>
      </c>
      <c r="AC52" s="364" t="s">
        <v>649</v>
      </c>
      <c r="AD52" s="364" t="s">
        <v>649</v>
      </c>
      <c r="AE52" s="364" t="s">
        <v>88</v>
      </c>
      <c r="AF52" s="364" t="s">
        <v>88</v>
      </c>
      <c r="AG52" s="364" t="s">
        <v>88</v>
      </c>
      <c r="AH52" s="364" t="s">
        <v>88</v>
      </c>
      <c r="AI52" s="364" t="s">
        <v>1155</v>
      </c>
      <c r="AJ52" s="364" t="s">
        <v>663</v>
      </c>
      <c r="AK52" s="364" t="s">
        <v>647</v>
      </c>
      <c r="AL52" s="364" t="s">
        <v>646</v>
      </c>
      <c r="AM52" s="364" t="s">
        <v>668</v>
      </c>
      <c r="AN52" s="364" t="s">
        <v>644</v>
      </c>
    </row>
    <row r="53" spans="1:40" x14ac:dyDescent="0.3">
      <c r="A53" s="364" t="s">
        <v>2771</v>
      </c>
      <c r="B53" s="364" t="s">
        <v>661</v>
      </c>
      <c r="C53" s="364" t="s">
        <v>660</v>
      </c>
      <c r="D53" s="364" t="s">
        <v>90</v>
      </c>
      <c r="E53" s="364" t="s">
        <v>971</v>
      </c>
      <c r="F53" s="364" t="s">
        <v>971</v>
      </c>
      <c r="G53" s="364" t="s">
        <v>658</v>
      </c>
      <c r="H53" s="364" t="s">
        <v>2770</v>
      </c>
      <c r="I53" s="364" t="s">
        <v>2769</v>
      </c>
      <c r="J53" s="364" t="s">
        <v>673</v>
      </c>
      <c r="K53" s="364" t="s">
        <v>668</v>
      </c>
      <c r="L53" s="364" t="s">
        <v>190</v>
      </c>
      <c r="M53" s="364" t="s">
        <v>718</v>
      </c>
      <c r="N53" s="364" t="s">
        <v>654</v>
      </c>
      <c r="O53" s="364" t="s">
        <v>653</v>
      </c>
      <c r="P53" s="364" t="s">
        <v>198</v>
      </c>
      <c r="Q53" s="364" t="s">
        <v>652</v>
      </c>
      <c r="R53" s="364" t="s">
        <v>88</v>
      </c>
      <c r="S53" s="364" t="s">
        <v>88</v>
      </c>
      <c r="T53" s="364" t="s">
        <v>88</v>
      </c>
      <c r="U53" s="364" t="s">
        <v>88</v>
      </c>
      <c r="V53" s="364" t="s">
        <v>88</v>
      </c>
      <c r="W53" s="364" t="s">
        <v>88</v>
      </c>
      <c r="X53" s="364" t="s">
        <v>88</v>
      </c>
      <c r="Y53" s="364" t="s">
        <v>88</v>
      </c>
      <c r="Z53" s="364" t="s">
        <v>717</v>
      </c>
      <c r="AA53" s="364" t="s">
        <v>649</v>
      </c>
      <c r="AB53" s="364" t="s">
        <v>649</v>
      </c>
      <c r="AC53" s="364" t="s">
        <v>649</v>
      </c>
      <c r="AD53" s="364" t="s">
        <v>649</v>
      </c>
      <c r="AE53" s="364" t="s">
        <v>88</v>
      </c>
      <c r="AF53" s="364" t="s">
        <v>88</v>
      </c>
      <c r="AG53" s="364" t="s">
        <v>88</v>
      </c>
      <c r="AH53" s="364" t="s">
        <v>88</v>
      </c>
      <c r="AI53" s="364" t="s">
        <v>1155</v>
      </c>
      <c r="AJ53" s="364" t="s">
        <v>663</v>
      </c>
      <c r="AK53" s="364" t="s">
        <v>647</v>
      </c>
      <c r="AL53" s="364" t="s">
        <v>646</v>
      </c>
      <c r="AM53" s="364" t="s">
        <v>668</v>
      </c>
      <c r="AN53" s="364" t="s">
        <v>644</v>
      </c>
    </row>
    <row r="54" spans="1:40" x14ac:dyDescent="0.3">
      <c r="A54" s="364" t="s">
        <v>2771</v>
      </c>
      <c r="B54" s="364" t="s">
        <v>661</v>
      </c>
      <c r="C54" s="364" t="s">
        <v>660</v>
      </c>
      <c r="D54" s="364" t="s">
        <v>90</v>
      </c>
      <c r="E54" s="364" t="s">
        <v>971</v>
      </c>
      <c r="F54" s="364" t="s">
        <v>971</v>
      </c>
      <c r="G54" s="364" t="s">
        <v>658</v>
      </c>
      <c r="H54" s="364" t="s">
        <v>2770</v>
      </c>
      <c r="I54" s="364" t="s">
        <v>2769</v>
      </c>
      <c r="J54" s="364" t="s">
        <v>673</v>
      </c>
      <c r="K54" s="364" t="s">
        <v>668</v>
      </c>
      <c r="L54" s="364" t="s">
        <v>190</v>
      </c>
      <c r="M54" s="364" t="s">
        <v>55</v>
      </c>
      <c r="N54" s="364" t="s">
        <v>654</v>
      </c>
      <c r="O54" s="364" t="s">
        <v>653</v>
      </c>
      <c r="P54" s="364" t="s">
        <v>198</v>
      </c>
      <c r="Q54" s="364" t="s">
        <v>652</v>
      </c>
      <c r="R54" s="364" t="s">
        <v>88</v>
      </c>
      <c r="S54" s="364" t="s">
        <v>88</v>
      </c>
      <c r="T54" s="364" t="s">
        <v>88</v>
      </c>
      <c r="U54" s="364" t="s">
        <v>88</v>
      </c>
      <c r="V54" s="364" t="s">
        <v>88</v>
      </c>
      <c r="W54" s="364" t="s">
        <v>88</v>
      </c>
      <c r="X54" s="364" t="s">
        <v>88</v>
      </c>
      <c r="Y54" s="364" t="s">
        <v>88</v>
      </c>
      <c r="Z54" s="364" t="s">
        <v>719</v>
      </c>
      <c r="AA54" s="364" t="s">
        <v>649</v>
      </c>
      <c r="AB54" s="364" t="s">
        <v>649</v>
      </c>
      <c r="AC54" s="364" t="s">
        <v>649</v>
      </c>
      <c r="AD54" s="364" t="s">
        <v>649</v>
      </c>
      <c r="AE54" s="364" t="s">
        <v>88</v>
      </c>
      <c r="AF54" s="364" t="s">
        <v>88</v>
      </c>
      <c r="AG54" s="364" t="s">
        <v>88</v>
      </c>
      <c r="AH54" s="364" t="s">
        <v>88</v>
      </c>
      <c r="AI54" s="364" t="s">
        <v>1155</v>
      </c>
      <c r="AJ54" s="364" t="s">
        <v>663</v>
      </c>
      <c r="AK54" s="364" t="s">
        <v>647</v>
      </c>
      <c r="AL54" s="364" t="s">
        <v>646</v>
      </c>
      <c r="AM54" s="364" t="s">
        <v>668</v>
      </c>
      <c r="AN54" s="364" t="s">
        <v>644</v>
      </c>
    </row>
    <row r="55" spans="1:40" x14ac:dyDescent="0.3">
      <c r="A55" s="364" t="s">
        <v>2768</v>
      </c>
      <c r="B55" s="364" t="s">
        <v>661</v>
      </c>
      <c r="C55" s="364" t="s">
        <v>660</v>
      </c>
      <c r="D55" s="364" t="s">
        <v>90</v>
      </c>
      <c r="E55" s="364" t="s">
        <v>929</v>
      </c>
      <c r="F55" s="364" t="s">
        <v>929</v>
      </c>
      <c r="G55" s="364" t="s">
        <v>658</v>
      </c>
      <c r="H55" s="364" t="s">
        <v>2767</v>
      </c>
      <c r="I55" s="364" t="s">
        <v>2766</v>
      </c>
      <c r="J55" s="364" t="s">
        <v>673</v>
      </c>
      <c r="K55" s="364" t="s">
        <v>668</v>
      </c>
      <c r="L55" s="364" t="s">
        <v>190</v>
      </c>
      <c r="M55" s="364" t="s">
        <v>725</v>
      </c>
      <c r="N55" s="364" t="s">
        <v>654</v>
      </c>
      <c r="O55" s="364" t="s">
        <v>653</v>
      </c>
      <c r="P55" s="364" t="s">
        <v>198</v>
      </c>
      <c r="Q55" s="364" t="s">
        <v>652</v>
      </c>
      <c r="R55" s="364" t="s">
        <v>88</v>
      </c>
      <c r="S55" s="364" t="s">
        <v>88</v>
      </c>
      <c r="T55" s="364" t="s">
        <v>88</v>
      </c>
      <c r="U55" s="364" t="s">
        <v>88</v>
      </c>
      <c r="V55" s="364" t="s">
        <v>88</v>
      </c>
      <c r="W55" s="364" t="s">
        <v>88</v>
      </c>
      <c r="X55" s="364" t="s">
        <v>88</v>
      </c>
      <c r="Y55" s="364" t="s">
        <v>88</v>
      </c>
      <c r="Z55" s="364" t="s">
        <v>724</v>
      </c>
      <c r="AA55" s="364" t="s">
        <v>649</v>
      </c>
      <c r="AB55" s="364" t="s">
        <v>649</v>
      </c>
      <c r="AC55" s="364" t="s">
        <v>649</v>
      </c>
      <c r="AD55" s="364" t="s">
        <v>649</v>
      </c>
      <c r="AE55" s="364" t="s">
        <v>88</v>
      </c>
      <c r="AF55" s="364" t="s">
        <v>88</v>
      </c>
      <c r="AG55" s="364" t="s">
        <v>88</v>
      </c>
      <c r="AH55" s="364" t="s">
        <v>88</v>
      </c>
      <c r="AI55" s="364" t="s">
        <v>1155</v>
      </c>
      <c r="AJ55" s="364" t="s">
        <v>648</v>
      </c>
      <c r="AK55" s="364" t="s">
        <v>647</v>
      </c>
      <c r="AL55" s="364" t="s">
        <v>646</v>
      </c>
      <c r="AM55" s="364" t="s">
        <v>668</v>
      </c>
      <c r="AN55" s="364" t="s">
        <v>644</v>
      </c>
    </row>
    <row r="56" spans="1:40" x14ac:dyDescent="0.3">
      <c r="A56" s="364" t="s">
        <v>2768</v>
      </c>
      <c r="B56" s="364" t="s">
        <v>661</v>
      </c>
      <c r="C56" s="364" t="s">
        <v>660</v>
      </c>
      <c r="D56" s="364" t="s">
        <v>90</v>
      </c>
      <c r="E56" s="364" t="s">
        <v>929</v>
      </c>
      <c r="F56" s="364" t="s">
        <v>929</v>
      </c>
      <c r="G56" s="364" t="s">
        <v>658</v>
      </c>
      <c r="H56" s="364" t="s">
        <v>2767</v>
      </c>
      <c r="I56" s="364" t="s">
        <v>2766</v>
      </c>
      <c r="J56" s="364" t="s">
        <v>673</v>
      </c>
      <c r="K56" s="364" t="s">
        <v>668</v>
      </c>
      <c r="L56" s="364" t="s">
        <v>190</v>
      </c>
      <c r="M56" s="364" t="s">
        <v>718</v>
      </c>
      <c r="N56" s="364" t="s">
        <v>654</v>
      </c>
      <c r="O56" s="364" t="s">
        <v>653</v>
      </c>
      <c r="P56" s="364" t="s">
        <v>198</v>
      </c>
      <c r="Q56" s="364" t="s">
        <v>652</v>
      </c>
      <c r="R56" s="364" t="s">
        <v>88</v>
      </c>
      <c r="S56" s="364" t="s">
        <v>88</v>
      </c>
      <c r="T56" s="364" t="s">
        <v>88</v>
      </c>
      <c r="U56" s="364" t="s">
        <v>88</v>
      </c>
      <c r="V56" s="364" t="s">
        <v>88</v>
      </c>
      <c r="W56" s="364" t="s">
        <v>88</v>
      </c>
      <c r="X56" s="364" t="s">
        <v>88</v>
      </c>
      <c r="Y56" s="364" t="s">
        <v>88</v>
      </c>
      <c r="Z56" s="364" t="s">
        <v>717</v>
      </c>
      <c r="AA56" s="364" t="s">
        <v>649</v>
      </c>
      <c r="AB56" s="364" t="s">
        <v>649</v>
      </c>
      <c r="AC56" s="364" t="s">
        <v>649</v>
      </c>
      <c r="AD56" s="364" t="s">
        <v>649</v>
      </c>
      <c r="AE56" s="364" t="s">
        <v>88</v>
      </c>
      <c r="AF56" s="364" t="s">
        <v>88</v>
      </c>
      <c r="AG56" s="364" t="s">
        <v>88</v>
      </c>
      <c r="AH56" s="364" t="s">
        <v>88</v>
      </c>
      <c r="AI56" s="364" t="s">
        <v>1155</v>
      </c>
      <c r="AJ56" s="364" t="s">
        <v>648</v>
      </c>
      <c r="AK56" s="364" t="s">
        <v>647</v>
      </c>
      <c r="AL56" s="364" t="s">
        <v>646</v>
      </c>
      <c r="AM56" s="364" t="s">
        <v>668</v>
      </c>
      <c r="AN56" s="364" t="s">
        <v>644</v>
      </c>
    </row>
    <row r="57" spans="1:40" x14ac:dyDescent="0.3">
      <c r="A57" s="364" t="s">
        <v>2768</v>
      </c>
      <c r="B57" s="364" t="s">
        <v>661</v>
      </c>
      <c r="C57" s="364" t="s">
        <v>660</v>
      </c>
      <c r="D57" s="364" t="s">
        <v>90</v>
      </c>
      <c r="E57" s="364" t="s">
        <v>929</v>
      </c>
      <c r="F57" s="364" t="s">
        <v>929</v>
      </c>
      <c r="G57" s="364" t="s">
        <v>658</v>
      </c>
      <c r="H57" s="364" t="s">
        <v>2767</v>
      </c>
      <c r="I57" s="364" t="s">
        <v>2766</v>
      </c>
      <c r="J57" s="364" t="s">
        <v>673</v>
      </c>
      <c r="K57" s="364" t="s">
        <v>668</v>
      </c>
      <c r="L57" s="364" t="s">
        <v>190</v>
      </c>
      <c r="M57" s="364" t="s">
        <v>55</v>
      </c>
      <c r="N57" s="364" t="s">
        <v>654</v>
      </c>
      <c r="O57" s="364" t="s">
        <v>653</v>
      </c>
      <c r="P57" s="364" t="s">
        <v>198</v>
      </c>
      <c r="Q57" s="364" t="s">
        <v>652</v>
      </c>
      <c r="R57" s="364" t="s">
        <v>88</v>
      </c>
      <c r="S57" s="364" t="s">
        <v>88</v>
      </c>
      <c r="T57" s="364" t="s">
        <v>88</v>
      </c>
      <c r="U57" s="364" t="s">
        <v>88</v>
      </c>
      <c r="V57" s="364" t="s">
        <v>88</v>
      </c>
      <c r="W57" s="364" t="s">
        <v>88</v>
      </c>
      <c r="X57" s="364" t="s">
        <v>88</v>
      </c>
      <c r="Y57" s="364" t="s">
        <v>88</v>
      </c>
      <c r="Z57" s="364" t="s">
        <v>719</v>
      </c>
      <c r="AA57" s="364" t="s">
        <v>649</v>
      </c>
      <c r="AB57" s="364" t="s">
        <v>649</v>
      </c>
      <c r="AC57" s="364" t="s">
        <v>649</v>
      </c>
      <c r="AD57" s="364" t="s">
        <v>649</v>
      </c>
      <c r="AE57" s="364" t="s">
        <v>88</v>
      </c>
      <c r="AF57" s="364" t="s">
        <v>88</v>
      </c>
      <c r="AG57" s="364" t="s">
        <v>88</v>
      </c>
      <c r="AH57" s="364" t="s">
        <v>88</v>
      </c>
      <c r="AI57" s="364" t="s">
        <v>1155</v>
      </c>
      <c r="AJ57" s="364" t="s">
        <v>648</v>
      </c>
      <c r="AK57" s="364" t="s">
        <v>647</v>
      </c>
      <c r="AL57" s="364" t="s">
        <v>646</v>
      </c>
      <c r="AM57" s="364" t="s">
        <v>668</v>
      </c>
      <c r="AN57" s="364" t="s">
        <v>644</v>
      </c>
    </row>
    <row r="58" spans="1:40" x14ac:dyDescent="0.3">
      <c r="A58" s="364" t="s">
        <v>2765</v>
      </c>
      <c r="B58" s="364" t="s">
        <v>661</v>
      </c>
      <c r="C58" s="364" t="s">
        <v>1160</v>
      </c>
      <c r="D58" s="364" t="s">
        <v>87</v>
      </c>
      <c r="E58" s="364" t="s">
        <v>868</v>
      </c>
      <c r="F58" s="364" t="s">
        <v>868</v>
      </c>
      <c r="G58" s="364" t="s">
        <v>658</v>
      </c>
      <c r="H58" s="364" t="s">
        <v>2764</v>
      </c>
      <c r="I58" s="364" t="s">
        <v>88</v>
      </c>
      <c r="J58" s="364" t="s">
        <v>88</v>
      </c>
      <c r="K58" s="364" t="s">
        <v>88</v>
      </c>
      <c r="L58" s="364" t="s">
        <v>88</v>
      </c>
      <c r="M58" s="364" t="s">
        <v>138</v>
      </c>
      <c r="N58" s="364" t="s">
        <v>654</v>
      </c>
      <c r="O58" s="364" t="s">
        <v>653</v>
      </c>
      <c r="P58" s="364" t="s">
        <v>88</v>
      </c>
      <c r="Q58" s="364" t="s">
        <v>88</v>
      </c>
      <c r="R58" s="364" t="s">
        <v>88</v>
      </c>
      <c r="S58" s="364" t="s">
        <v>88</v>
      </c>
      <c r="T58" s="364" t="s">
        <v>88</v>
      </c>
      <c r="U58" s="364" t="s">
        <v>88</v>
      </c>
      <c r="V58" s="364" t="s">
        <v>88</v>
      </c>
      <c r="W58" s="364" t="s">
        <v>88</v>
      </c>
      <c r="X58" s="364" t="s">
        <v>88</v>
      </c>
      <c r="Y58" s="364" t="s">
        <v>88</v>
      </c>
      <c r="Z58" s="364" t="s">
        <v>88</v>
      </c>
      <c r="AA58" s="364" t="s">
        <v>649</v>
      </c>
      <c r="AB58" s="364" t="s">
        <v>88</v>
      </c>
      <c r="AC58" s="364" t="s">
        <v>88</v>
      </c>
      <c r="AD58" s="364" t="s">
        <v>88</v>
      </c>
      <c r="AE58" s="364" t="s">
        <v>88</v>
      </c>
      <c r="AF58" s="364" t="s">
        <v>88</v>
      </c>
      <c r="AG58" s="364" t="s">
        <v>88</v>
      </c>
      <c r="AH58" s="364" t="s">
        <v>88</v>
      </c>
      <c r="AI58" s="364" t="s">
        <v>2763</v>
      </c>
      <c r="AJ58" s="364" t="s">
        <v>798</v>
      </c>
      <c r="AK58" s="364" t="s">
        <v>88</v>
      </c>
      <c r="AL58" s="364" t="s">
        <v>88</v>
      </c>
      <c r="AM58" s="364" t="s">
        <v>88</v>
      </c>
      <c r="AN58" s="364" t="s">
        <v>792</v>
      </c>
    </row>
    <row r="59" spans="1:40" x14ac:dyDescent="0.3">
      <c r="A59" s="364" t="s">
        <v>2762</v>
      </c>
      <c r="B59" s="364" t="s">
        <v>661</v>
      </c>
      <c r="C59" s="364" t="s">
        <v>1160</v>
      </c>
      <c r="D59" s="364" t="s">
        <v>87</v>
      </c>
      <c r="E59" s="364" t="s">
        <v>868</v>
      </c>
      <c r="F59" s="364" t="s">
        <v>868</v>
      </c>
      <c r="G59" s="364" t="s">
        <v>658</v>
      </c>
      <c r="H59" s="364" t="s">
        <v>2761</v>
      </c>
      <c r="I59" s="364" t="s">
        <v>88</v>
      </c>
      <c r="J59" s="364" t="s">
        <v>88</v>
      </c>
      <c r="K59" s="364" t="s">
        <v>88</v>
      </c>
      <c r="L59" s="364" t="s">
        <v>88</v>
      </c>
      <c r="M59" s="364" t="s">
        <v>138</v>
      </c>
      <c r="N59" s="364" t="s">
        <v>654</v>
      </c>
      <c r="O59" s="364" t="s">
        <v>653</v>
      </c>
      <c r="P59" s="364" t="s">
        <v>88</v>
      </c>
      <c r="Q59" s="364" t="s">
        <v>88</v>
      </c>
      <c r="R59" s="364" t="s">
        <v>88</v>
      </c>
      <c r="S59" s="364" t="s">
        <v>88</v>
      </c>
      <c r="T59" s="364" t="s">
        <v>88</v>
      </c>
      <c r="U59" s="364" t="s">
        <v>88</v>
      </c>
      <c r="V59" s="364" t="s">
        <v>88</v>
      </c>
      <c r="W59" s="364" t="s">
        <v>88</v>
      </c>
      <c r="X59" s="364" t="s">
        <v>88</v>
      </c>
      <c r="Y59" s="364" t="s">
        <v>88</v>
      </c>
      <c r="Z59" s="364" t="s">
        <v>88</v>
      </c>
      <c r="AA59" s="364" t="s">
        <v>649</v>
      </c>
      <c r="AB59" s="364" t="s">
        <v>88</v>
      </c>
      <c r="AC59" s="364" t="s">
        <v>88</v>
      </c>
      <c r="AD59" s="364" t="s">
        <v>88</v>
      </c>
      <c r="AE59" s="364" t="s">
        <v>88</v>
      </c>
      <c r="AF59" s="364" t="s">
        <v>88</v>
      </c>
      <c r="AG59" s="364" t="s">
        <v>88</v>
      </c>
      <c r="AH59" s="364" t="s">
        <v>88</v>
      </c>
      <c r="AI59" s="364" t="s">
        <v>2760</v>
      </c>
      <c r="AJ59" s="364" t="s">
        <v>798</v>
      </c>
      <c r="AK59" s="364" t="s">
        <v>88</v>
      </c>
      <c r="AL59" s="364" t="s">
        <v>88</v>
      </c>
      <c r="AM59" s="364" t="s">
        <v>88</v>
      </c>
      <c r="AN59" s="364" t="s">
        <v>792</v>
      </c>
    </row>
    <row r="60" spans="1:40" x14ac:dyDescent="0.3">
      <c r="A60" s="364" t="s">
        <v>2759</v>
      </c>
      <c r="B60" s="364" t="s">
        <v>661</v>
      </c>
      <c r="C60" s="364" t="s">
        <v>1160</v>
      </c>
      <c r="D60" s="364" t="s">
        <v>87</v>
      </c>
      <c r="E60" s="364" t="s">
        <v>868</v>
      </c>
      <c r="F60" s="364" t="s">
        <v>868</v>
      </c>
      <c r="G60" s="364" t="s">
        <v>658</v>
      </c>
      <c r="H60" s="364" t="s">
        <v>2758</v>
      </c>
      <c r="I60" s="364" t="s">
        <v>88</v>
      </c>
      <c r="J60" s="364" t="s">
        <v>88</v>
      </c>
      <c r="K60" s="364" t="s">
        <v>88</v>
      </c>
      <c r="L60" s="364" t="s">
        <v>88</v>
      </c>
      <c r="M60" s="364" t="s">
        <v>138</v>
      </c>
      <c r="N60" s="364" t="s">
        <v>654</v>
      </c>
      <c r="O60" s="364" t="s">
        <v>653</v>
      </c>
      <c r="P60" s="364" t="s">
        <v>88</v>
      </c>
      <c r="Q60" s="364" t="s">
        <v>88</v>
      </c>
      <c r="R60" s="364" t="s">
        <v>88</v>
      </c>
      <c r="S60" s="364" t="s">
        <v>88</v>
      </c>
      <c r="T60" s="364" t="s">
        <v>88</v>
      </c>
      <c r="U60" s="364" t="s">
        <v>88</v>
      </c>
      <c r="V60" s="364" t="s">
        <v>88</v>
      </c>
      <c r="W60" s="364" t="s">
        <v>88</v>
      </c>
      <c r="X60" s="364" t="s">
        <v>88</v>
      </c>
      <c r="Y60" s="364" t="s">
        <v>88</v>
      </c>
      <c r="Z60" s="364" t="s">
        <v>88</v>
      </c>
      <c r="AA60" s="364" t="s">
        <v>649</v>
      </c>
      <c r="AB60" s="364" t="s">
        <v>88</v>
      </c>
      <c r="AC60" s="364" t="s">
        <v>88</v>
      </c>
      <c r="AD60" s="364" t="s">
        <v>88</v>
      </c>
      <c r="AE60" s="364" t="s">
        <v>88</v>
      </c>
      <c r="AF60" s="364" t="s">
        <v>88</v>
      </c>
      <c r="AG60" s="364" t="s">
        <v>88</v>
      </c>
      <c r="AH60" s="364" t="s">
        <v>88</v>
      </c>
      <c r="AI60" s="364" t="s">
        <v>2757</v>
      </c>
      <c r="AJ60" s="364" t="s">
        <v>798</v>
      </c>
      <c r="AK60" s="364" t="s">
        <v>88</v>
      </c>
      <c r="AL60" s="364" t="s">
        <v>88</v>
      </c>
      <c r="AM60" s="364" t="s">
        <v>88</v>
      </c>
      <c r="AN60" s="364" t="s">
        <v>792</v>
      </c>
    </row>
    <row r="61" spans="1:40" x14ac:dyDescent="0.3">
      <c r="A61" s="364" t="s">
        <v>2756</v>
      </c>
      <c r="B61" s="364" t="s">
        <v>661</v>
      </c>
      <c r="C61" s="364" t="s">
        <v>1160</v>
      </c>
      <c r="D61" s="364" t="s">
        <v>87</v>
      </c>
      <c r="E61" s="364" t="s">
        <v>868</v>
      </c>
      <c r="F61" s="364" t="s">
        <v>868</v>
      </c>
      <c r="G61" s="364" t="s">
        <v>658</v>
      </c>
      <c r="H61" s="364" t="s">
        <v>2755</v>
      </c>
      <c r="I61" s="364" t="s">
        <v>88</v>
      </c>
      <c r="J61" s="364" t="s">
        <v>88</v>
      </c>
      <c r="K61" s="364" t="s">
        <v>88</v>
      </c>
      <c r="L61" s="364" t="s">
        <v>88</v>
      </c>
      <c r="M61" s="364" t="s">
        <v>138</v>
      </c>
      <c r="N61" s="364" t="s">
        <v>654</v>
      </c>
      <c r="O61" s="364" t="s">
        <v>653</v>
      </c>
      <c r="P61" s="364" t="s">
        <v>88</v>
      </c>
      <c r="Q61" s="364" t="s">
        <v>88</v>
      </c>
      <c r="R61" s="364" t="s">
        <v>88</v>
      </c>
      <c r="S61" s="364" t="s">
        <v>88</v>
      </c>
      <c r="T61" s="364" t="s">
        <v>88</v>
      </c>
      <c r="U61" s="364" t="s">
        <v>88</v>
      </c>
      <c r="V61" s="364" t="s">
        <v>88</v>
      </c>
      <c r="W61" s="364" t="s">
        <v>88</v>
      </c>
      <c r="X61" s="364" t="s">
        <v>88</v>
      </c>
      <c r="Y61" s="364" t="s">
        <v>88</v>
      </c>
      <c r="Z61" s="364" t="s">
        <v>88</v>
      </c>
      <c r="AA61" s="364" t="s">
        <v>649</v>
      </c>
      <c r="AB61" s="364" t="s">
        <v>88</v>
      </c>
      <c r="AC61" s="364" t="s">
        <v>88</v>
      </c>
      <c r="AD61" s="364" t="s">
        <v>88</v>
      </c>
      <c r="AE61" s="364" t="s">
        <v>88</v>
      </c>
      <c r="AF61" s="364" t="s">
        <v>88</v>
      </c>
      <c r="AG61" s="364" t="s">
        <v>88</v>
      </c>
      <c r="AH61" s="364" t="s">
        <v>88</v>
      </c>
      <c r="AI61" s="364" t="s">
        <v>2754</v>
      </c>
      <c r="AJ61" s="364" t="s">
        <v>798</v>
      </c>
      <c r="AK61" s="364" t="s">
        <v>88</v>
      </c>
      <c r="AL61" s="364" t="s">
        <v>88</v>
      </c>
      <c r="AM61" s="364" t="s">
        <v>88</v>
      </c>
      <c r="AN61" s="364" t="s">
        <v>792</v>
      </c>
    </row>
    <row r="62" spans="1:40" x14ac:dyDescent="0.3">
      <c r="A62" s="364" t="s">
        <v>2753</v>
      </c>
      <c r="B62" s="364" t="s">
        <v>661</v>
      </c>
      <c r="C62" s="364" t="s">
        <v>1160</v>
      </c>
      <c r="D62" s="364" t="s">
        <v>87</v>
      </c>
      <c r="E62" s="364" t="s">
        <v>868</v>
      </c>
      <c r="F62" s="364" t="s">
        <v>868</v>
      </c>
      <c r="G62" s="364" t="s">
        <v>658</v>
      </c>
      <c r="H62" s="364" t="s">
        <v>2752</v>
      </c>
      <c r="I62" s="364" t="s">
        <v>88</v>
      </c>
      <c r="J62" s="364" t="s">
        <v>88</v>
      </c>
      <c r="K62" s="364" t="s">
        <v>88</v>
      </c>
      <c r="L62" s="364" t="s">
        <v>88</v>
      </c>
      <c r="M62" s="364" t="s">
        <v>138</v>
      </c>
      <c r="N62" s="364" t="s">
        <v>654</v>
      </c>
      <c r="O62" s="364" t="s">
        <v>653</v>
      </c>
      <c r="P62" s="364" t="s">
        <v>88</v>
      </c>
      <c r="Q62" s="364" t="s">
        <v>88</v>
      </c>
      <c r="R62" s="364" t="s">
        <v>88</v>
      </c>
      <c r="S62" s="364" t="s">
        <v>88</v>
      </c>
      <c r="T62" s="364" t="s">
        <v>88</v>
      </c>
      <c r="U62" s="364" t="s">
        <v>88</v>
      </c>
      <c r="V62" s="364" t="s">
        <v>88</v>
      </c>
      <c r="W62" s="364" t="s">
        <v>88</v>
      </c>
      <c r="X62" s="364" t="s">
        <v>88</v>
      </c>
      <c r="Y62" s="364" t="s">
        <v>88</v>
      </c>
      <c r="Z62" s="364" t="s">
        <v>88</v>
      </c>
      <c r="AA62" s="364" t="s">
        <v>649</v>
      </c>
      <c r="AB62" s="364" t="s">
        <v>88</v>
      </c>
      <c r="AC62" s="364" t="s">
        <v>88</v>
      </c>
      <c r="AD62" s="364" t="s">
        <v>88</v>
      </c>
      <c r="AE62" s="364" t="s">
        <v>88</v>
      </c>
      <c r="AF62" s="364" t="s">
        <v>88</v>
      </c>
      <c r="AG62" s="364" t="s">
        <v>88</v>
      </c>
      <c r="AH62" s="364" t="s">
        <v>88</v>
      </c>
      <c r="AI62" s="364" t="s">
        <v>2751</v>
      </c>
      <c r="AJ62" s="364" t="s">
        <v>798</v>
      </c>
      <c r="AK62" s="364" t="s">
        <v>88</v>
      </c>
      <c r="AL62" s="364" t="s">
        <v>88</v>
      </c>
      <c r="AM62" s="364" t="s">
        <v>88</v>
      </c>
      <c r="AN62" s="364" t="s">
        <v>792</v>
      </c>
    </row>
    <row r="63" spans="1:40" x14ac:dyDescent="0.3">
      <c r="A63" s="364" t="s">
        <v>2750</v>
      </c>
      <c r="B63" s="364" t="s">
        <v>661</v>
      </c>
      <c r="C63" s="364" t="s">
        <v>1160</v>
      </c>
      <c r="D63" s="364" t="s">
        <v>87</v>
      </c>
      <c r="E63" s="364" t="s">
        <v>868</v>
      </c>
      <c r="F63" s="364" t="s">
        <v>868</v>
      </c>
      <c r="G63" s="364" t="s">
        <v>658</v>
      </c>
      <c r="H63" s="364" t="s">
        <v>2749</v>
      </c>
      <c r="I63" s="364" t="s">
        <v>88</v>
      </c>
      <c r="J63" s="364" t="s">
        <v>88</v>
      </c>
      <c r="K63" s="364" t="s">
        <v>88</v>
      </c>
      <c r="L63" s="364" t="s">
        <v>88</v>
      </c>
      <c r="M63" s="364" t="s">
        <v>138</v>
      </c>
      <c r="N63" s="364" t="s">
        <v>654</v>
      </c>
      <c r="O63" s="364" t="s">
        <v>653</v>
      </c>
      <c r="P63" s="364" t="s">
        <v>88</v>
      </c>
      <c r="Q63" s="364" t="s">
        <v>88</v>
      </c>
      <c r="R63" s="364" t="s">
        <v>88</v>
      </c>
      <c r="S63" s="364" t="s">
        <v>88</v>
      </c>
      <c r="T63" s="364" t="s">
        <v>88</v>
      </c>
      <c r="U63" s="364" t="s">
        <v>88</v>
      </c>
      <c r="V63" s="364" t="s">
        <v>88</v>
      </c>
      <c r="W63" s="364" t="s">
        <v>88</v>
      </c>
      <c r="X63" s="364" t="s">
        <v>88</v>
      </c>
      <c r="Y63" s="364" t="s">
        <v>88</v>
      </c>
      <c r="Z63" s="364" t="s">
        <v>88</v>
      </c>
      <c r="AA63" s="364" t="s">
        <v>649</v>
      </c>
      <c r="AB63" s="364" t="s">
        <v>88</v>
      </c>
      <c r="AC63" s="364" t="s">
        <v>88</v>
      </c>
      <c r="AD63" s="364" t="s">
        <v>88</v>
      </c>
      <c r="AE63" s="364" t="s">
        <v>88</v>
      </c>
      <c r="AF63" s="364" t="s">
        <v>88</v>
      </c>
      <c r="AG63" s="364" t="s">
        <v>88</v>
      </c>
      <c r="AH63" s="364" t="s">
        <v>88</v>
      </c>
      <c r="AI63" s="364" t="s">
        <v>2748</v>
      </c>
      <c r="AJ63" s="364" t="s">
        <v>798</v>
      </c>
      <c r="AK63" s="364" t="s">
        <v>88</v>
      </c>
      <c r="AL63" s="364" t="s">
        <v>88</v>
      </c>
      <c r="AM63" s="364" t="s">
        <v>88</v>
      </c>
      <c r="AN63" s="364" t="s">
        <v>792</v>
      </c>
    </row>
    <row r="64" spans="1:40" x14ac:dyDescent="0.3">
      <c r="A64" s="364" t="s">
        <v>2747</v>
      </c>
      <c r="B64" s="364" t="s">
        <v>661</v>
      </c>
      <c r="C64" s="364" t="s">
        <v>660</v>
      </c>
      <c r="D64" s="364" t="s">
        <v>90</v>
      </c>
      <c r="E64" s="364" t="s">
        <v>855</v>
      </c>
      <c r="F64" s="364" t="s">
        <v>855</v>
      </c>
      <c r="G64" s="364" t="s">
        <v>658</v>
      </c>
      <c r="H64" s="364" t="s">
        <v>2746</v>
      </c>
      <c r="I64" s="364" t="s">
        <v>2745</v>
      </c>
      <c r="J64" s="364" t="s">
        <v>673</v>
      </c>
      <c r="K64" s="364" t="s">
        <v>668</v>
      </c>
      <c r="L64" s="364" t="s">
        <v>190</v>
      </c>
      <c r="M64" s="364" t="s">
        <v>725</v>
      </c>
      <c r="N64" s="364" t="s">
        <v>654</v>
      </c>
      <c r="O64" s="364" t="s">
        <v>653</v>
      </c>
      <c r="P64" s="364" t="s">
        <v>198</v>
      </c>
      <c r="Q64" s="364" t="s">
        <v>652</v>
      </c>
      <c r="R64" s="364" t="s">
        <v>88</v>
      </c>
      <c r="S64" s="364" t="s">
        <v>88</v>
      </c>
      <c r="T64" s="364" t="s">
        <v>88</v>
      </c>
      <c r="U64" s="364" t="s">
        <v>88</v>
      </c>
      <c r="V64" s="364" t="s">
        <v>88</v>
      </c>
      <c r="W64" s="364" t="s">
        <v>88</v>
      </c>
      <c r="X64" s="364" t="s">
        <v>88</v>
      </c>
      <c r="Y64" s="364" t="s">
        <v>88</v>
      </c>
      <c r="Z64" s="364" t="s">
        <v>724</v>
      </c>
      <c r="AA64" s="364" t="s">
        <v>649</v>
      </c>
      <c r="AB64" s="364" t="s">
        <v>649</v>
      </c>
      <c r="AC64" s="364" t="s">
        <v>649</v>
      </c>
      <c r="AD64" s="364" t="s">
        <v>649</v>
      </c>
      <c r="AE64" s="364" t="s">
        <v>88</v>
      </c>
      <c r="AF64" s="364" t="s">
        <v>88</v>
      </c>
      <c r="AG64" s="364" t="s">
        <v>88</v>
      </c>
      <c r="AH64" s="364" t="s">
        <v>88</v>
      </c>
      <c r="AI64" s="364" t="s">
        <v>1155</v>
      </c>
      <c r="AJ64" s="364" t="s">
        <v>648</v>
      </c>
      <c r="AK64" s="364" t="s">
        <v>647</v>
      </c>
      <c r="AL64" s="364" t="s">
        <v>646</v>
      </c>
      <c r="AM64" s="364" t="s">
        <v>668</v>
      </c>
      <c r="AN64" s="364" t="s">
        <v>644</v>
      </c>
    </row>
    <row r="65" spans="1:40" x14ac:dyDescent="0.3">
      <c r="A65" s="364" t="s">
        <v>2747</v>
      </c>
      <c r="B65" s="364" t="s">
        <v>661</v>
      </c>
      <c r="C65" s="364" t="s">
        <v>660</v>
      </c>
      <c r="D65" s="364" t="s">
        <v>90</v>
      </c>
      <c r="E65" s="364" t="s">
        <v>855</v>
      </c>
      <c r="F65" s="364" t="s">
        <v>855</v>
      </c>
      <c r="G65" s="364" t="s">
        <v>658</v>
      </c>
      <c r="H65" s="364" t="s">
        <v>2746</v>
      </c>
      <c r="I65" s="364" t="s">
        <v>2745</v>
      </c>
      <c r="J65" s="364" t="s">
        <v>673</v>
      </c>
      <c r="K65" s="364" t="s">
        <v>668</v>
      </c>
      <c r="L65" s="364" t="s">
        <v>190</v>
      </c>
      <c r="M65" s="364" t="s">
        <v>718</v>
      </c>
      <c r="N65" s="364" t="s">
        <v>654</v>
      </c>
      <c r="O65" s="364" t="s">
        <v>653</v>
      </c>
      <c r="P65" s="364" t="s">
        <v>198</v>
      </c>
      <c r="Q65" s="364" t="s">
        <v>652</v>
      </c>
      <c r="R65" s="364" t="s">
        <v>88</v>
      </c>
      <c r="S65" s="364" t="s">
        <v>88</v>
      </c>
      <c r="T65" s="364" t="s">
        <v>88</v>
      </c>
      <c r="U65" s="364" t="s">
        <v>88</v>
      </c>
      <c r="V65" s="364" t="s">
        <v>88</v>
      </c>
      <c r="W65" s="364" t="s">
        <v>88</v>
      </c>
      <c r="X65" s="364" t="s">
        <v>88</v>
      </c>
      <c r="Y65" s="364" t="s">
        <v>88</v>
      </c>
      <c r="Z65" s="364" t="s">
        <v>717</v>
      </c>
      <c r="AA65" s="364" t="s">
        <v>649</v>
      </c>
      <c r="AB65" s="364" t="s">
        <v>649</v>
      </c>
      <c r="AC65" s="364" t="s">
        <v>649</v>
      </c>
      <c r="AD65" s="364" t="s">
        <v>649</v>
      </c>
      <c r="AE65" s="364" t="s">
        <v>88</v>
      </c>
      <c r="AF65" s="364" t="s">
        <v>88</v>
      </c>
      <c r="AG65" s="364" t="s">
        <v>88</v>
      </c>
      <c r="AH65" s="364" t="s">
        <v>88</v>
      </c>
      <c r="AI65" s="364" t="s">
        <v>1155</v>
      </c>
      <c r="AJ65" s="364" t="s">
        <v>648</v>
      </c>
      <c r="AK65" s="364" t="s">
        <v>647</v>
      </c>
      <c r="AL65" s="364" t="s">
        <v>646</v>
      </c>
      <c r="AM65" s="364" t="s">
        <v>668</v>
      </c>
      <c r="AN65" s="364" t="s">
        <v>644</v>
      </c>
    </row>
    <row r="66" spans="1:40" x14ac:dyDescent="0.3">
      <c r="A66" s="364" t="s">
        <v>2747</v>
      </c>
      <c r="B66" s="364" t="s">
        <v>661</v>
      </c>
      <c r="C66" s="364" t="s">
        <v>660</v>
      </c>
      <c r="D66" s="364" t="s">
        <v>90</v>
      </c>
      <c r="E66" s="364" t="s">
        <v>855</v>
      </c>
      <c r="F66" s="364" t="s">
        <v>855</v>
      </c>
      <c r="G66" s="364" t="s">
        <v>658</v>
      </c>
      <c r="H66" s="364" t="s">
        <v>2746</v>
      </c>
      <c r="I66" s="364" t="s">
        <v>2745</v>
      </c>
      <c r="J66" s="364" t="s">
        <v>673</v>
      </c>
      <c r="K66" s="364" t="s">
        <v>668</v>
      </c>
      <c r="L66" s="364" t="s">
        <v>190</v>
      </c>
      <c r="M66" s="364" t="s">
        <v>55</v>
      </c>
      <c r="N66" s="364" t="s">
        <v>654</v>
      </c>
      <c r="O66" s="364" t="s">
        <v>653</v>
      </c>
      <c r="P66" s="364" t="s">
        <v>198</v>
      </c>
      <c r="Q66" s="364" t="s">
        <v>652</v>
      </c>
      <c r="R66" s="364" t="s">
        <v>88</v>
      </c>
      <c r="S66" s="364" t="s">
        <v>88</v>
      </c>
      <c r="T66" s="364" t="s">
        <v>88</v>
      </c>
      <c r="U66" s="364" t="s">
        <v>88</v>
      </c>
      <c r="V66" s="364" t="s">
        <v>88</v>
      </c>
      <c r="W66" s="364" t="s">
        <v>88</v>
      </c>
      <c r="X66" s="364" t="s">
        <v>88</v>
      </c>
      <c r="Y66" s="364" t="s">
        <v>88</v>
      </c>
      <c r="Z66" s="364" t="s">
        <v>719</v>
      </c>
      <c r="AA66" s="364" t="s">
        <v>649</v>
      </c>
      <c r="AB66" s="364" t="s">
        <v>649</v>
      </c>
      <c r="AC66" s="364" t="s">
        <v>649</v>
      </c>
      <c r="AD66" s="364" t="s">
        <v>649</v>
      </c>
      <c r="AE66" s="364" t="s">
        <v>88</v>
      </c>
      <c r="AF66" s="364" t="s">
        <v>88</v>
      </c>
      <c r="AG66" s="364" t="s">
        <v>88</v>
      </c>
      <c r="AH66" s="364" t="s">
        <v>88</v>
      </c>
      <c r="AI66" s="364" t="s">
        <v>1155</v>
      </c>
      <c r="AJ66" s="364" t="s">
        <v>648</v>
      </c>
      <c r="AK66" s="364" t="s">
        <v>647</v>
      </c>
      <c r="AL66" s="364" t="s">
        <v>646</v>
      </c>
      <c r="AM66" s="364" t="s">
        <v>668</v>
      </c>
      <c r="AN66" s="364" t="s">
        <v>644</v>
      </c>
    </row>
    <row r="67" spans="1:40" x14ac:dyDescent="0.3">
      <c r="A67" s="364" t="s">
        <v>2739</v>
      </c>
      <c r="B67" s="364" t="s">
        <v>661</v>
      </c>
      <c r="C67" s="364" t="s">
        <v>1420</v>
      </c>
      <c r="D67" s="364" t="s">
        <v>87</v>
      </c>
      <c r="E67" s="364" t="s">
        <v>775</v>
      </c>
      <c r="F67" s="364" t="s">
        <v>1089</v>
      </c>
      <c r="G67" s="364" t="s">
        <v>658</v>
      </c>
      <c r="H67" s="364" t="s">
        <v>2738</v>
      </c>
      <c r="I67" s="364" t="s">
        <v>2737</v>
      </c>
      <c r="J67" s="364" t="s">
        <v>673</v>
      </c>
      <c r="K67" s="364" t="s">
        <v>668</v>
      </c>
      <c r="L67" s="364" t="s">
        <v>190</v>
      </c>
      <c r="M67" s="364" t="s">
        <v>58</v>
      </c>
      <c r="N67" s="364" t="s">
        <v>654</v>
      </c>
      <c r="O67" s="364" t="s">
        <v>653</v>
      </c>
      <c r="P67" s="364" t="s">
        <v>198</v>
      </c>
      <c r="Q67" s="364" t="s">
        <v>652</v>
      </c>
      <c r="R67" s="364" t="s">
        <v>88</v>
      </c>
      <c r="S67" s="364" t="s">
        <v>88</v>
      </c>
      <c r="T67" s="364" t="s">
        <v>88</v>
      </c>
      <c r="U67" s="364" t="s">
        <v>88</v>
      </c>
      <c r="V67" s="364" t="s">
        <v>88</v>
      </c>
      <c r="W67" s="364" t="s">
        <v>88</v>
      </c>
      <c r="X67" s="364" t="s">
        <v>88</v>
      </c>
      <c r="Y67" s="364" t="s">
        <v>88</v>
      </c>
      <c r="Z67" s="364" t="s">
        <v>702</v>
      </c>
      <c r="AA67" s="364" t="s">
        <v>701</v>
      </c>
      <c r="AB67" s="364" t="s">
        <v>2744</v>
      </c>
      <c r="AC67" s="364" t="s">
        <v>2744</v>
      </c>
      <c r="AD67" s="364" t="s">
        <v>2744</v>
      </c>
      <c r="AE67" s="364" t="s">
        <v>88</v>
      </c>
      <c r="AF67" s="364" t="s">
        <v>1416</v>
      </c>
      <c r="AG67" s="364" t="s">
        <v>1415</v>
      </c>
      <c r="AH67" s="364" t="s">
        <v>1456</v>
      </c>
      <c r="AI67" s="364" t="s">
        <v>2735</v>
      </c>
      <c r="AJ67" s="364" t="s">
        <v>1446</v>
      </c>
      <c r="AK67" s="364" t="s">
        <v>669</v>
      </c>
      <c r="AL67" s="364" t="s">
        <v>1412</v>
      </c>
      <c r="AM67" s="364" t="s">
        <v>668</v>
      </c>
      <c r="AN67" s="364" t="s">
        <v>1411</v>
      </c>
    </row>
    <row r="68" spans="1:40" x14ac:dyDescent="0.3">
      <c r="A68" s="364" t="s">
        <v>2739</v>
      </c>
      <c r="B68" s="364" t="s">
        <v>661</v>
      </c>
      <c r="C68" s="364" t="s">
        <v>1420</v>
      </c>
      <c r="D68" s="364" t="s">
        <v>87</v>
      </c>
      <c r="E68" s="364" t="s">
        <v>775</v>
      </c>
      <c r="F68" s="364" t="s">
        <v>1089</v>
      </c>
      <c r="G68" s="364" t="s">
        <v>658</v>
      </c>
      <c r="H68" s="364" t="s">
        <v>2738</v>
      </c>
      <c r="I68" s="364" t="s">
        <v>2737</v>
      </c>
      <c r="J68" s="364" t="s">
        <v>673</v>
      </c>
      <c r="K68" s="364" t="s">
        <v>668</v>
      </c>
      <c r="L68" s="364" t="s">
        <v>190</v>
      </c>
      <c r="M68" s="364" t="s">
        <v>59</v>
      </c>
      <c r="N68" s="364" t="s">
        <v>654</v>
      </c>
      <c r="O68" s="364" t="s">
        <v>653</v>
      </c>
      <c r="P68" s="364" t="s">
        <v>198</v>
      </c>
      <c r="Q68" s="364" t="s">
        <v>652</v>
      </c>
      <c r="R68" s="364" t="s">
        <v>88</v>
      </c>
      <c r="S68" s="364" t="s">
        <v>88</v>
      </c>
      <c r="T68" s="364" t="s">
        <v>88</v>
      </c>
      <c r="U68" s="364" t="s">
        <v>88</v>
      </c>
      <c r="V68" s="364" t="s">
        <v>88</v>
      </c>
      <c r="W68" s="364" t="s">
        <v>88</v>
      </c>
      <c r="X68" s="364" t="s">
        <v>88</v>
      </c>
      <c r="Y68" s="364" t="s">
        <v>88</v>
      </c>
      <c r="Z68" s="364" t="s">
        <v>672</v>
      </c>
      <c r="AA68" s="364" t="s">
        <v>671</v>
      </c>
      <c r="AB68" s="364" t="s">
        <v>2743</v>
      </c>
      <c r="AC68" s="364" t="s">
        <v>2743</v>
      </c>
      <c r="AD68" s="364" t="s">
        <v>2743</v>
      </c>
      <c r="AE68" s="364" t="s">
        <v>88</v>
      </c>
      <c r="AF68" s="364" t="s">
        <v>1416</v>
      </c>
      <c r="AG68" s="364" t="s">
        <v>1415</v>
      </c>
      <c r="AH68" s="364" t="s">
        <v>1456</v>
      </c>
      <c r="AI68" s="364" t="s">
        <v>2735</v>
      </c>
      <c r="AJ68" s="364" t="s">
        <v>1446</v>
      </c>
      <c r="AK68" s="364" t="s">
        <v>669</v>
      </c>
      <c r="AL68" s="364" t="s">
        <v>1412</v>
      </c>
      <c r="AM68" s="364" t="s">
        <v>668</v>
      </c>
      <c r="AN68" s="364" t="s">
        <v>1411</v>
      </c>
    </row>
    <row r="69" spans="1:40" x14ac:dyDescent="0.3">
      <c r="A69" s="364" t="s">
        <v>2739</v>
      </c>
      <c r="B69" s="364" t="s">
        <v>661</v>
      </c>
      <c r="C69" s="364" t="s">
        <v>1420</v>
      </c>
      <c r="D69" s="364" t="s">
        <v>87</v>
      </c>
      <c r="E69" s="364" t="s">
        <v>775</v>
      </c>
      <c r="F69" s="364" t="s">
        <v>1089</v>
      </c>
      <c r="G69" s="364" t="s">
        <v>658</v>
      </c>
      <c r="H69" s="364" t="s">
        <v>2738</v>
      </c>
      <c r="I69" s="364" t="s">
        <v>2737</v>
      </c>
      <c r="J69" s="364" t="s">
        <v>198</v>
      </c>
      <c r="K69" s="364" t="s">
        <v>645</v>
      </c>
      <c r="L69" s="364" t="s">
        <v>188</v>
      </c>
      <c r="M69" s="364" t="s">
        <v>696</v>
      </c>
      <c r="N69" s="364" t="s">
        <v>654</v>
      </c>
      <c r="O69" s="364" t="s">
        <v>653</v>
      </c>
      <c r="P69" s="364" t="s">
        <v>198</v>
      </c>
      <c r="Q69" s="364" t="s">
        <v>652</v>
      </c>
      <c r="R69" s="364" t="s">
        <v>88</v>
      </c>
      <c r="S69" s="364" t="s">
        <v>88</v>
      </c>
      <c r="T69" s="364" t="s">
        <v>88</v>
      </c>
      <c r="U69" s="364" t="s">
        <v>88</v>
      </c>
      <c r="V69" s="364" t="s">
        <v>88</v>
      </c>
      <c r="W69" s="364" t="s">
        <v>88</v>
      </c>
      <c r="X69" s="364" t="s">
        <v>88</v>
      </c>
      <c r="Y69" s="364" t="s">
        <v>88</v>
      </c>
      <c r="Z69" s="364" t="s">
        <v>695</v>
      </c>
      <c r="AA69" s="364" t="s">
        <v>694</v>
      </c>
      <c r="AB69" s="364" t="s">
        <v>2736</v>
      </c>
      <c r="AC69" s="364" t="s">
        <v>2736</v>
      </c>
      <c r="AD69" s="364" t="s">
        <v>2736</v>
      </c>
      <c r="AE69" s="364" t="s">
        <v>88</v>
      </c>
      <c r="AF69" s="364" t="s">
        <v>2742</v>
      </c>
      <c r="AG69" s="364" t="s">
        <v>1415</v>
      </c>
      <c r="AH69" s="364" t="s">
        <v>2741</v>
      </c>
      <c r="AI69" s="364" t="s">
        <v>2735</v>
      </c>
      <c r="AJ69" s="364" t="s">
        <v>1446</v>
      </c>
      <c r="AK69" s="364" t="s">
        <v>669</v>
      </c>
      <c r="AL69" s="364" t="s">
        <v>1412</v>
      </c>
      <c r="AM69" s="364" t="s">
        <v>645</v>
      </c>
      <c r="AN69" s="364" t="s">
        <v>1411</v>
      </c>
    </row>
    <row r="70" spans="1:40" x14ac:dyDescent="0.3">
      <c r="A70" s="364" t="s">
        <v>2739</v>
      </c>
      <c r="B70" s="364" t="s">
        <v>661</v>
      </c>
      <c r="C70" s="364" t="s">
        <v>1420</v>
      </c>
      <c r="D70" s="364" t="s">
        <v>87</v>
      </c>
      <c r="E70" s="364" t="s">
        <v>775</v>
      </c>
      <c r="F70" s="364" t="s">
        <v>1089</v>
      </c>
      <c r="G70" s="364" t="s">
        <v>658</v>
      </c>
      <c r="H70" s="364" t="s">
        <v>2738</v>
      </c>
      <c r="I70" s="364" t="s">
        <v>2737</v>
      </c>
      <c r="J70" s="364" t="s">
        <v>198</v>
      </c>
      <c r="K70" s="364" t="s">
        <v>645</v>
      </c>
      <c r="L70" s="364" t="s">
        <v>188</v>
      </c>
      <c r="M70" s="364" t="s">
        <v>696</v>
      </c>
      <c r="N70" s="364" t="s">
        <v>654</v>
      </c>
      <c r="O70" s="364" t="s">
        <v>653</v>
      </c>
      <c r="P70" s="364" t="s">
        <v>198</v>
      </c>
      <c r="Q70" s="364" t="s">
        <v>652</v>
      </c>
      <c r="R70" s="364" t="s">
        <v>88</v>
      </c>
      <c r="S70" s="364" t="s">
        <v>88</v>
      </c>
      <c r="T70" s="364" t="s">
        <v>88</v>
      </c>
      <c r="U70" s="364" t="s">
        <v>88</v>
      </c>
      <c r="V70" s="364" t="s">
        <v>88</v>
      </c>
      <c r="W70" s="364" t="s">
        <v>88</v>
      </c>
      <c r="X70" s="364" t="s">
        <v>88</v>
      </c>
      <c r="Y70" s="364" t="s">
        <v>88</v>
      </c>
      <c r="Z70" s="364" t="s">
        <v>695</v>
      </c>
      <c r="AA70" s="364" t="s">
        <v>694</v>
      </c>
      <c r="AB70" s="364" t="s">
        <v>2736</v>
      </c>
      <c r="AC70" s="364" t="s">
        <v>2736</v>
      </c>
      <c r="AD70" s="364" t="s">
        <v>2736</v>
      </c>
      <c r="AE70" s="364" t="s">
        <v>88</v>
      </c>
      <c r="AF70" s="364" t="s">
        <v>2740</v>
      </c>
      <c r="AG70" s="364" t="s">
        <v>1415</v>
      </c>
      <c r="AH70" s="364" t="s">
        <v>1461</v>
      </c>
      <c r="AI70" s="364" t="s">
        <v>2735</v>
      </c>
      <c r="AJ70" s="364" t="s">
        <v>1446</v>
      </c>
      <c r="AK70" s="364" t="s">
        <v>669</v>
      </c>
      <c r="AL70" s="364" t="s">
        <v>1412</v>
      </c>
      <c r="AM70" s="364" t="s">
        <v>645</v>
      </c>
      <c r="AN70" s="364" t="s">
        <v>1411</v>
      </c>
    </row>
    <row r="71" spans="1:40" x14ac:dyDescent="0.3">
      <c r="A71" s="364" t="s">
        <v>2739</v>
      </c>
      <c r="B71" s="364" t="s">
        <v>661</v>
      </c>
      <c r="C71" s="364" t="s">
        <v>1420</v>
      </c>
      <c r="D71" s="364" t="s">
        <v>87</v>
      </c>
      <c r="E71" s="364" t="s">
        <v>775</v>
      </c>
      <c r="F71" s="364" t="s">
        <v>1089</v>
      </c>
      <c r="G71" s="364" t="s">
        <v>658</v>
      </c>
      <c r="H71" s="364" t="s">
        <v>2738</v>
      </c>
      <c r="I71" s="364" t="s">
        <v>2737</v>
      </c>
      <c r="J71" s="364" t="s">
        <v>198</v>
      </c>
      <c r="K71" s="364" t="s">
        <v>645</v>
      </c>
      <c r="L71" s="364" t="s">
        <v>188</v>
      </c>
      <c r="M71" s="364" t="s">
        <v>696</v>
      </c>
      <c r="N71" s="364" t="s">
        <v>654</v>
      </c>
      <c r="O71" s="364" t="s">
        <v>653</v>
      </c>
      <c r="P71" s="364" t="s">
        <v>198</v>
      </c>
      <c r="Q71" s="364" t="s">
        <v>652</v>
      </c>
      <c r="R71" s="364" t="s">
        <v>88</v>
      </c>
      <c r="S71" s="364" t="s">
        <v>88</v>
      </c>
      <c r="T71" s="364" t="s">
        <v>88</v>
      </c>
      <c r="U71" s="364" t="s">
        <v>88</v>
      </c>
      <c r="V71" s="364" t="s">
        <v>88</v>
      </c>
      <c r="W71" s="364" t="s">
        <v>88</v>
      </c>
      <c r="X71" s="364" t="s">
        <v>88</v>
      </c>
      <c r="Y71" s="364" t="s">
        <v>88</v>
      </c>
      <c r="Z71" s="364" t="s">
        <v>695</v>
      </c>
      <c r="AA71" s="364" t="s">
        <v>694</v>
      </c>
      <c r="AB71" s="364" t="s">
        <v>2736</v>
      </c>
      <c r="AC71" s="364" t="s">
        <v>2736</v>
      </c>
      <c r="AD71" s="364" t="s">
        <v>2736</v>
      </c>
      <c r="AE71" s="364" t="s">
        <v>88</v>
      </c>
      <c r="AF71" s="364" t="s">
        <v>2021</v>
      </c>
      <c r="AG71" s="364" t="s">
        <v>1415</v>
      </c>
      <c r="AH71" s="364" t="s">
        <v>1456</v>
      </c>
      <c r="AI71" s="364" t="s">
        <v>2735</v>
      </c>
      <c r="AJ71" s="364" t="s">
        <v>1446</v>
      </c>
      <c r="AK71" s="364" t="s">
        <v>669</v>
      </c>
      <c r="AL71" s="364" t="s">
        <v>1412</v>
      </c>
      <c r="AM71" s="364" t="s">
        <v>645</v>
      </c>
      <c r="AN71" s="364" t="s">
        <v>1411</v>
      </c>
    </row>
    <row r="72" spans="1:40" x14ac:dyDescent="0.3">
      <c r="A72" s="364" t="s">
        <v>2734</v>
      </c>
      <c r="B72" s="364" t="s">
        <v>661</v>
      </c>
      <c r="C72" s="364" t="s">
        <v>1160</v>
      </c>
      <c r="D72" s="364" t="s">
        <v>87</v>
      </c>
      <c r="E72" s="364" t="s">
        <v>998</v>
      </c>
      <c r="F72" s="364" t="s">
        <v>998</v>
      </c>
      <c r="G72" s="364" t="s">
        <v>658</v>
      </c>
      <c r="H72" s="364" t="s">
        <v>2733</v>
      </c>
      <c r="I72" s="364" t="s">
        <v>2732</v>
      </c>
      <c r="J72" s="364" t="s">
        <v>88</v>
      </c>
      <c r="K72" s="364" t="s">
        <v>88</v>
      </c>
      <c r="L72" s="364" t="s">
        <v>88</v>
      </c>
      <c r="M72" s="364" t="s">
        <v>138</v>
      </c>
      <c r="N72" s="364" t="s">
        <v>654</v>
      </c>
      <c r="O72" s="364" t="s">
        <v>653</v>
      </c>
      <c r="P72" s="364" t="s">
        <v>88</v>
      </c>
      <c r="Q72" s="364" t="s">
        <v>88</v>
      </c>
      <c r="R72" s="364" t="s">
        <v>88</v>
      </c>
      <c r="S72" s="364" t="s">
        <v>88</v>
      </c>
      <c r="T72" s="364" t="s">
        <v>88</v>
      </c>
      <c r="U72" s="364" t="s">
        <v>88</v>
      </c>
      <c r="V72" s="364" t="s">
        <v>88</v>
      </c>
      <c r="W72" s="364" t="s">
        <v>88</v>
      </c>
      <c r="X72" s="364" t="s">
        <v>88</v>
      </c>
      <c r="Y72" s="364" t="s">
        <v>88</v>
      </c>
      <c r="Z72" s="364" t="s">
        <v>88</v>
      </c>
      <c r="AA72" s="364" t="s">
        <v>649</v>
      </c>
      <c r="AB72" s="364" t="s">
        <v>88</v>
      </c>
      <c r="AC72" s="364" t="s">
        <v>88</v>
      </c>
      <c r="AD72" s="364" t="s">
        <v>88</v>
      </c>
      <c r="AE72" s="364" t="s">
        <v>88</v>
      </c>
      <c r="AF72" s="364" t="s">
        <v>88</v>
      </c>
      <c r="AG72" s="364" t="s">
        <v>88</v>
      </c>
      <c r="AH72" s="364" t="s">
        <v>88</v>
      </c>
      <c r="AI72" s="364" t="s">
        <v>2731</v>
      </c>
      <c r="AJ72" s="364" t="s">
        <v>793</v>
      </c>
      <c r="AK72" s="364" t="s">
        <v>88</v>
      </c>
      <c r="AL72" s="364" t="s">
        <v>88</v>
      </c>
      <c r="AM72" s="364" t="s">
        <v>88</v>
      </c>
      <c r="AN72" s="364" t="s">
        <v>792</v>
      </c>
    </row>
    <row r="73" spans="1:40" x14ac:dyDescent="0.3">
      <c r="A73" s="364" t="s">
        <v>2730</v>
      </c>
      <c r="B73" s="364" t="s">
        <v>661</v>
      </c>
      <c r="C73" s="364" t="s">
        <v>1160</v>
      </c>
      <c r="D73" s="364" t="s">
        <v>87</v>
      </c>
      <c r="E73" s="364" t="s">
        <v>804</v>
      </c>
      <c r="F73" s="364" t="s">
        <v>998</v>
      </c>
      <c r="G73" s="364" t="s">
        <v>658</v>
      </c>
      <c r="H73" s="364" t="s">
        <v>1081</v>
      </c>
      <c r="I73" s="364" t="s">
        <v>88</v>
      </c>
      <c r="J73" s="364" t="s">
        <v>88</v>
      </c>
      <c r="K73" s="364" t="s">
        <v>88</v>
      </c>
      <c r="L73" s="364" t="s">
        <v>88</v>
      </c>
      <c r="M73" s="364" t="s">
        <v>138</v>
      </c>
      <c r="N73" s="364" t="s">
        <v>654</v>
      </c>
      <c r="O73" s="364" t="s">
        <v>653</v>
      </c>
      <c r="P73" s="364" t="s">
        <v>88</v>
      </c>
      <c r="Q73" s="364" t="s">
        <v>88</v>
      </c>
      <c r="R73" s="364" t="s">
        <v>88</v>
      </c>
      <c r="S73" s="364" t="s">
        <v>88</v>
      </c>
      <c r="T73" s="364" t="s">
        <v>88</v>
      </c>
      <c r="U73" s="364" t="s">
        <v>88</v>
      </c>
      <c r="V73" s="364" t="s">
        <v>88</v>
      </c>
      <c r="W73" s="364" t="s">
        <v>88</v>
      </c>
      <c r="X73" s="364" t="s">
        <v>88</v>
      </c>
      <c r="Y73" s="364" t="s">
        <v>88</v>
      </c>
      <c r="Z73" s="364" t="s">
        <v>88</v>
      </c>
      <c r="AA73" s="364" t="s">
        <v>649</v>
      </c>
      <c r="AB73" s="364" t="s">
        <v>88</v>
      </c>
      <c r="AC73" s="364" t="s">
        <v>88</v>
      </c>
      <c r="AD73" s="364" t="s">
        <v>88</v>
      </c>
      <c r="AE73" s="364" t="s">
        <v>88</v>
      </c>
      <c r="AF73" s="364" t="s">
        <v>88</v>
      </c>
      <c r="AG73" s="364" t="s">
        <v>88</v>
      </c>
      <c r="AH73" s="364" t="s">
        <v>88</v>
      </c>
      <c r="AI73" s="364" t="s">
        <v>2729</v>
      </c>
      <c r="AJ73" s="364" t="s">
        <v>793</v>
      </c>
      <c r="AK73" s="364" t="s">
        <v>88</v>
      </c>
      <c r="AL73" s="364" t="s">
        <v>88</v>
      </c>
      <c r="AM73" s="364" t="s">
        <v>88</v>
      </c>
      <c r="AN73" s="364" t="s">
        <v>792</v>
      </c>
    </row>
    <row r="74" spans="1:40" x14ac:dyDescent="0.3">
      <c r="A74" s="364" t="s">
        <v>2720</v>
      </c>
      <c r="B74" s="364" t="s">
        <v>661</v>
      </c>
      <c r="C74" s="364" t="s">
        <v>1420</v>
      </c>
      <c r="D74" s="364" t="s">
        <v>90</v>
      </c>
      <c r="E74" s="364" t="s">
        <v>775</v>
      </c>
      <c r="F74" s="364" t="s">
        <v>1089</v>
      </c>
      <c r="G74" s="364" t="s">
        <v>658</v>
      </c>
      <c r="H74" s="364" t="s">
        <v>2719</v>
      </c>
      <c r="I74" s="364" t="s">
        <v>2495</v>
      </c>
      <c r="J74" s="364" t="s">
        <v>673</v>
      </c>
      <c r="K74" s="364" t="s">
        <v>668</v>
      </c>
      <c r="L74" s="364" t="s">
        <v>190</v>
      </c>
      <c r="M74" s="364" t="s">
        <v>725</v>
      </c>
      <c r="N74" s="364" t="s">
        <v>654</v>
      </c>
      <c r="O74" s="364" t="s">
        <v>653</v>
      </c>
      <c r="P74" s="364" t="s">
        <v>198</v>
      </c>
      <c r="Q74" s="364" t="s">
        <v>652</v>
      </c>
      <c r="R74" s="364" t="s">
        <v>88</v>
      </c>
      <c r="S74" s="364" t="s">
        <v>88</v>
      </c>
      <c r="T74" s="364" t="s">
        <v>88</v>
      </c>
      <c r="U74" s="364" t="s">
        <v>88</v>
      </c>
      <c r="V74" s="364" t="s">
        <v>88</v>
      </c>
      <c r="W74" s="364" t="s">
        <v>88</v>
      </c>
      <c r="X74" s="364" t="s">
        <v>88</v>
      </c>
      <c r="Y74" s="364" t="s">
        <v>88</v>
      </c>
      <c r="Z74" s="364" t="s">
        <v>724</v>
      </c>
      <c r="AA74" s="364" t="s">
        <v>649</v>
      </c>
      <c r="AB74" s="364" t="s">
        <v>2728</v>
      </c>
      <c r="AC74" s="364" t="s">
        <v>2728</v>
      </c>
      <c r="AD74" s="364" t="s">
        <v>2728</v>
      </c>
      <c r="AE74" s="364" t="s">
        <v>88</v>
      </c>
      <c r="AF74" s="364" t="s">
        <v>1416</v>
      </c>
      <c r="AG74" s="364" t="s">
        <v>1415</v>
      </c>
      <c r="AH74" s="364" t="s">
        <v>2118</v>
      </c>
      <c r="AI74" s="364" t="s">
        <v>2717</v>
      </c>
      <c r="AJ74" s="364" t="s">
        <v>995</v>
      </c>
      <c r="AK74" s="364" t="s">
        <v>647</v>
      </c>
      <c r="AL74" s="364" t="s">
        <v>1412</v>
      </c>
      <c r="AM74" s="364" t="s">
        <v>668</v>
      </c>
      <c r="AN74" s="364" t="s">
        <v>1411</v>
      </c>
    </row>
    <row r="75" spans="1:40" x14ac:dyDescent="0.3">
      <c r="A75" s="364" t="s">
        <v>2720</v>
      </c>
      <c r="B75" s="364" t="s">
        <v>661</v>
      </c>
      <c r="C75" s="364" t="s">
        <v>1420</v>
      </c>
      <c r="D75" s="364" t="s">
        <v>90</v>
      </c>
      <c r="E75" s="364" t="s">
        <v>775</v>
      </c>
      <c r="F75" s="364" t="s">
        <v>1089</v>
      </c>
      <c r="G75" s="364" t="s">
        <v>658</v>
      </c>
      <c r="H75" s="364" t="s">
        <v>2719</v>
      </c>
      <c r="I75" s="364" t="s">
        <v>2495</v>
      </c>
      <c r="J75" s="364" t="s">
        <v>198</v>
      </c>
      <c r="K75" s="364" t="s">
        <v>645</v>
      </c>
      <c r="L75" s="364" t="s">
        <v>188</v>
      </c>
      <c r="M75" s="364" t="s">
        <v>655</v>
      </c>
      <c r="N75" s="364" t="s">
        <v>654</v>
      </c>
      <c r="O75" s="364" t="s">
        <v>653</v>
      </c>
      <c r="P75" s="364" t="s">
        <v>198</v>
      </c>
      <c r="Q75" s="364" t="s">
        <v>652</v>
      </c>
      <c r="R75" s="364" t="s">
        <v>88</v>
      </c>
      <c r="S75" s="364" t="s">
        <v>88</v>
      </c>
      <c r="T75" s="364" t="s">
        <v>88</v>
      </c>
      <c r="U75" s="364" t="s">
        <v>88</v>
      </c>
      <c r="V75" s="364" t="s">
        <v>88</v>
      </c>
      <c r="W75" s="364" t="s">
        <v>88</v>
      </c>
      <c r="X75" s="364" t="s">
        <v>88</v>
      </c>
      <c r="Y75" s="364" t="s">
        <v>88</v>
      </c>
      <c r="Z75" s="364" t="s">
        <v>651</v>
      </c>
      <c r="AA75" s="364" t="s">
        <v>650</v>
      </c>
      <c r="AB75" s="364" t="s">
        <v>1424</v>
      </c>
      <c r="AC75" s="364" t="s">
        <v>1424</v>
      </c>
      <c r="AD75" s="364" t="s">
        <v>1424</v>
      </c>
      <c r="AE75" s="364" t="s">
        <v>88</v>
      </c>
      <c r="AF75" s="364" t="s">
        <v>2506</v>
      </c>
      <c r="AG75" s="364" t="s">
        <v>1415</v>
      </c>
      <c r="AH75" s="364" t="s">
        <v>2123</v>
      </c>
      <c r="AI75" s="364" t="s">
        <v>2717</v>
      </c>
      <c r="AJ75" s="364" t="s">
        <v>995</v>
      </c>
      <c r="AK75" s="364" t="s">
        <v>647</v>
      </c>
      <c r="AL75" s="364" t="s">
        <v>1412</v>
      </c>
      <c r="AM75" s="364" t="s">
        <v>645</v>
      </c>
      <c r="AN75" s="364" t="s">
        <v>1411</v>
      </c>
    </row>
    <row r="76" spans="1:40" x14ac:dyDescent="0.3">
      <c r="A76" s="364" t="s">
        <v>2720</v>
      </c>
      <c r="B76" s="364" t="s">
        <v>661</v>
      </c>
      <c r="C76" s="364" t="s">
        <v>1420</v>
      </c>
      <c r="D76" s="364" t="s">
        <v>90</v>
      </c>
      <c r="E76" s="364" t="s">
        <v>775</v>
      </c>
      <c r="F76" s="364" t="s">
        <v>1089</v>
      </c>
      <c r="G76" s="364" t="s">
        <v>658</v>
      </c>
      <c r="H76" s="364" t="s">
        <v>2719</v>
      </c>
      <c r="I76" s="364" t="s">
        <v>2495</v>
      </c>
      <c r="J76" s="364" t="s">
        <v>198</v>
      </c>
      <c r="K76" s="364" t="s">
        <v>645</v>
      </c>
      <c r="L76" s="364" t="s">
        <v>188</v>
      </c>
      <c r="M76" s="364" t="s">
        <v>655</v>
      </c>
      <c r="N76" s="364" t="s">
        <v>654</v>
      </c>
      <c r="O76" s="364" t="s">
        <v>653</v>
      </c>
      <c r="P76" s="364" t="s">
        <v>198</v>
      </c>
      <c r="Q76" s="364" t="s">
        <v>652</v>
      </c>
      <c r="R76" s="364" t="s">
        <v>88</v>
      </c>
      <c r="S76" s="364" t="s">
        <v>88</v>
      </c>
      <c r="T76" s="364" t="s">
        <v>88</v>
      </c>
      <c r="U76" s="364" t="s">
        <v>88</v>
      </c>
      <c r="V76" s="364" t="s">
        <v>88</v>
      </c>
      <c r="W76" s="364" t="s">
        <v>88</v>
      </c>
      <c r="X76" s="364" t="s">
        <v>88</v>
      </c>
      <c r="Y76" s="364" t="s">
        <v>88</v>
      </c>
      <c r="Z76" s="364" t="s">
        <v>651</v>
      </c>
      <c r="AA76" s="364" t="s">
        <v>650</v>
      </c>
      <c r="AB76" s="364" t="s">
        <v>1424</v>
      </c>
      <c r="AC76" s="364" t="s">
        <v>1424</v>
      </c>
      <c r="AD76" s="364" t="s">
        <v>1424</v>
      </c>
      <c r="AE76" s="364" t="s">
        <v>88</v>
      </c>
      <c r="AF76" s="364" t="s">
        <v>2506</v>
      </c>
      <c r="AG76" s="364" t="s">
        <v>1415</v>
      </c>
      <c r="AH76" s="364" t="s">
        <v>2118</v>
      </c>
      <c r="AI76" s="364" t="s">
        <v>2717</v>
      </c>
      <c r="AJ76" s="364" t="s">
        <v>995</v>
      </c>
      <c r="AK76" s="364" t="s">
        <v>647</v>
      </c>
      <c r="AL76" s="364" t="s">
        <v>1412</v>
      </c>
      <c r="AM76" s="364" t="s">
        <v>645</v>
      </c>
      <c r="AN76" s="364" t="s">
        <v>1411</v>
      </c>
    </row>
    <row r="77" spans="1:40" x14ac:dyDescent="0.3">
      <c r="A77" s="364" t="s">
        <v>2720</v>
      </c>
      <c r="B77" s="364" t="s">
        <v>661</v>
      </c>
      <c r="C77" s="364" t="s">
        <v>1420</v>
      </c>
      <c r="D77" s="364" t="s">
        <v>90</v>
      </c>
      <c r="E77" s="364" t="s">
        <v>775</v>
      </c>
      <c r="F77" s="364" t="s">
        <v>1089</v>
      </c>
      <c r="G77" s="364" t="s">
        <v>658</v>
      </c>
      <c r="H77" s="364" t="s">
        <v>2719</v>
      </c>
      <c r="I77" s="364" t="s">
        <v>2495</v>
      </c>
      <c r="J77" s="364" t="s">
        <v>673</v>
      </c>
      <c r="K77" s="364" t="s">
        <v>668</v>
      </c>
      <c r="L77" s="364" t="s">
        <v>190</v>
      </c>
      <c r="M77" s="364" t="s">
        <v>56</v>
      </c>
      <c r="N77" s="364" t="s">
        <v>654</v>
      </c>
      <c r="O77" s="364" t="s">
        <v>653</v>
      </c>
      <c r="P77" s="364" t="s">
        <v>198</v>
      </c>
      <c r="Q77" s="364" t="s">
        <v>652</v>
      </c>
      <c r="R77" s="364" t="s">
        <v>88</v>
      </c>
      <c r="S77" s="364" t="s">
        <v>88</v>
      </c>
      <c r="T77" s="364" t="s">
        <v>88</v>
      </c>
      <c r="U77" s="364" t="s">
        <v>88</v>
      </c>
      <c r="V77" s="364" t="s">
        <v>88</v>
      </c>
      <c r="W77" s="364" t="s">
        <v>88</v>
      </c>
      <c r="X77" s="364" t="s">
        <v>88</v>
      </c>
      <c r="Y77" s="364" t="s">
        <v>88</v>
      </c>
      <c r="Z77" s="364" t="s">
        <v>1165</v>
      </c>
      <c r="AA77" s="364" t="s">
        <v>1164</v>
      </c>
      <c r="AB77" s="364" t="s">
        <v>2727</v>
      </c>
      <c r="AC77" s="364" t="s">
        <v>2727</v>
      </c>
      <c r="AD77" s="364" t="s">
        <v>2727</v>
      </c>
      <c r="AE77" s="364" t="s">
        <v>88</v>
      </c>
      <c r="AF77" s="364" t="s">
        <v>1416</v>
      </c>
      <c r="AG77" s="364" t="s">
        <v>1415</v>
      </c>
      <c r="AH77" s="364" t="s">
        <v>2508</v>
      </c>
      <c r="AI77" s="364" t="s">
        <v>2717</v>
      </c>
      <c r="AJ77" s="364" t="s">
        <v>995</v>
      </c>
      <c r="AK77" s="364" t="s">
        <v>647</v>
      </c>
      <c r="AL77" s="364" t="s">
        <v>1412</v>
      </c>
      <c r="AM77" s="364" t="s">
        <v>668</v>
      </c>
      <c r="AN77" s="364" t="s">
        <v>1411</v>
      </c>
    </row>
    <row r="78" spans="1:40" x14ac:dyDescent="0.3">
      <c r="A78" s="364" t="s">
        <v>2720</v>
      </c>
      <c r="B78" s="364" t="s">
        <v>661</v>
      </c>
      <c r="C78" s="364" t="s">
        <v>1420</v>
      </c>
      <c r="D78" s="364" t="s">
        <v>90</v>
      </c>
      <c r="E78" s="364" t="s">
        <v>775</v>
      </c>
      <c r="F78" s="364" t="s">
        <v>1089</v>
      </c>
      <c r="G78" s="364" t="s">
        <v>658</v>
      </c>
      <c r="H78" s="364" t="s">
        <v>2719</v>
      </c>
      <c r="I78" s="364" t="s">
        <v>2495</v>
      </c>
      <c r="J78" s="364" t="s">
        <v>673</v>
      </c>
      <c r="K78" s="364" t="s">
        <v>668</v>
      </c>
      <c r="L78" s="364" t="s">
        <v>190</v>
      </c>
      <c r="M78" s="364" t="s">
        <v>1168</v>
      </c>
      <c r="N78" s="364" t="s">
        <v>654</v>
      </c>
      <c r="O78" s="364" t="s">
        <v>653</v>
      </c>
      <c r="P78" s="364" t="s">
        <v>198</v>
      </c>
      <c r="Q78" s="364" t="s">
        <v>652</v>
      </c>
      <c r="R78" s="364" t="s">
        <v>88</v>
      </c>
      <c r="S78" s="364" t="s">
        <v>88</v>
      </c>
      <c r="T78" s="364" t="s">
        <v>88</v>
      </c>
      <c r="U78" s="364" t="s">
        <v>88</v>
      </c>
      <c r="V78" s="364" t="s">
        <v>88</v>
      </c>
      <c r="W78" s="364" t="s">
        <v>88</v>
      </c>
      <c r="X78" s="364" t="s">
        <v>88</v>
      </c>
      <c r="Y78" s="364" t="s">
        <v>88</v>
      </c>
      <c r="Z78" s="364" t="s">
        <v>1167</v>
      </c>
      <c r="AA78" s="364" t="s">
        <v>1166</v>
      </c>
      <c r="AB78" s="364" t="s">
        <v>2726</v>
      </c>
      <c r="AC78" s="364" t="s">
        <v>2726</v>
      </c>
      <c r="AD78" s="364" t="s">
        <v>2726</v>
      </c>
      <c r="AE78" s="364" t="s">
        <v>88</v>
      </c>
      <c r="AF78" s="364" t="s">
        <v>1416</v>
      </c>
      <c r="AG78" s="364" t="s">
        <v>1415</v>
      </c>
      <c r="AH78" s="364" t="s">
        <v>1444</v>
      </c>
      <c r="AI78" s="364" t="s">
        <v>2717</v>
      </c>
      <c r="AJ78" s="364" t="s">
        <v>995</v>
      </c>
      <c r="AK78" s="364" t="s">
        <v>647</v>
      </c>
      <c r="AL78" s="364" t="s">
        <v>1412</v>
      </c>
      <c r="AM78" s="364" t="s">
        <v>668</v>
      </c>
      <c r="AN78" s="364" t="s">
        <v>1411</v>
      </c>
    </row>
    <row r="79" spans="1:40" x14ac:dyDescent="0.3">
      <c r="A79" s="364" t="s">
        <v>2720</v>
      </c>
      <c r="B79" s="364" t="s">
        <v>661</v>
      </c>
      <c r="C79" s="364" t="s">
        <v>1420</v>
      </c>
      <c r="D79" s="364" t="s">
        <v>90</v>
      </c>
      <c r="E79" s="364" t="s">
        <v>775</v>
      </c>
      <c r="F79" s="364" t="s">
        <v>1089</v>
      </c>
      <c r="G79" s="364" t="s">
        <v>658</v>
      </c>
      <c r="H79" s="364" t="s">
        <v>2719</v>
      </c>
      <c r="I79" s="364" t="s">
        <v>2495</v>
      </c>
      <c r="J79" s="364" t="s">
        <v>673</v>
      </c>
      <c r="K79" s="364" t="s">
        <v>668</v>
      </c>
      <c r="L79" s="364" t="s">
        <v>190</v>
      </c>
      <c r="M79" s="364" t="s">
        <v>721</v>
      </c>
      <c r="N79" s="364" t="s">
        <v>654</v>
      </c>
      <c r="O79" s="364" t="s">
        <v>653</v>
      </c>
      <c r="P79" s="364" t="s">
        <v>198</v>
      </c>
      <c r="Q79" s="364" t="s">
        <v>652</v>
      </c>
      <c r="R79" s="364" t="s">
        <v>88</v>
      </c>
      <c r="S79" s="364" t="s">
        <v>88</v>
      </c>
      <c r="T79" s="364" t="s">
        <v>88</v>
      </c>
      <c r="U79" s="364" t="s">
        <v>88</v>
      </c>
      <c r="V79" s="364" t="s">
        <v>88</v>
      </c>
      <c r="W79" s="364" t="s">
        <v>88</v>
      </c>
      <c r="X79" s="364" t="s">
        <v>88</v>
      </c>
      <c r="Y79" s="364" t="s">
        <v>88</v>
      </c>
      <c r="Z79" s="364" t="s">
        <v>720</v>
      </c>
      <c r="AA79" s="364" t="s">
        <v>649</v>
      </c>
      <c r="AB79" s="364" t="s">
        <v>2725</v>
      </c>
      <c r="AC79" s="364" t="s">
        <v>2725</v>
      </c>
      <c r="AD79" s="364" t="s">
        <v>2725</v>
      </c>
      <c r="AE79" s="364" t="s">
        <v>88</v>
      </c>
      <c r="AF79" s="364" t="s">
        <v>1416</v>
      </c>
      <c r="AG79" s="364" t="s">
        <v>1415</v>
      </c>
      <c r="AH79" s="364" t="s">
        <v>2014</v>
      </c>
      <c r="AI79" s="364" t="s">
        <v>2717</v>
      </c>
      <c r="AJ79" s="364" t="s">
        <v>995</v>
      </c>
      <c r="AK79" s="364" t="s">
        <v>647</v>
      </c>
      <c r="AL79" s="364" t="s">
        <v>1412</v>
      </c>
      <c r="AM79" s="364" t="s">
        <v>668</v>
      </c>
      <c r="AN79" s="364" t="s">
        <v>1411</v>
      </c>
    </row>
    <row r="80" spans="1:40" x14ac:dyDescent="0.3">
      <c r="A80" s="364" t="s">
        <v>2720</v>
      </c>
      <c r="B80" s="364" t="s">
        <v>661</v>
      </c>
      <c r="C80" s="364" t="s">
        <v>1420</v>
      </c>
      <c r="D80" s="364" t="s">
        <v>90</v>
      </c>
      <c r="E80" s="364" t="s">
        <v>775</v>
      </c>
      <c r="F80" s="364" t="s">
        <v>1089</v>
      </c>
      <c r="G80" s="364" t="s">
        <v>658</v>
      </c>
      <c r="H80" s="364" t="s">
        <v>2719</v>
      </c>
      <c r="I80" s="364" t="s">
        <v>2495</v>
      </c>
      <c r="J80" s="364" t="s">
        <v>673</v>
      </c>
      <c r="K80" s="364" t="s">
        <v>668</v>
      </c>
      <c r="L80" s="364" t="s">
        <v>190</v>
      </c>
      <c r="M80" s="364" t="s">
        <v>54</v>
      </c>
      <c r="N80" s="364" t="s">
        <v>654</v>
      </c>
      <c r="O80" s="364" t="s">
        <v>653</v>
      </c>
      <c r="P80" s="364" t="s">
        <v>198</v>
      </c>
      <c r="Q80" s="364" t="s">
        <v>652</v>
      </c>
      <c r="R80" s="364" t="s">
        <v>88</v>
      </c>
      <c r="S80" s="364" t="s">
        <v>88</v>
      </c>
      <c r="T80" s="364" t="s">
        <v>88</v>
      </c>
      <c r="U80" s="364" t="s">
        <v>88</v>
      </c>
      <c r="V80" s="364" t="s">
        <v>88</v>
      </c>
      <c r="W80" s="364" t="s">
        <v>88</v>
      </c>
      <c r="X80" s="364" t="s">
        <v>88</v>
      </c>
      <c r="Y80" s="364" t="s">
        <v>88</v>
      </c>
      <c r="Z80" s="364" t="s">
        <v>1265</v>
      </c>
      <c r="AA80" s="364" t="s">
        <v>649</v>
      </c>
      <c r="AB80" s="364" t="s">
        <v>2724</v>
      </c>
      <c r="AC80" s="364" t="s">
        <v>2724</v>
      </c>
      <c r="AD80" s="364" t="s">
        <v>2724</v>
      </c>
      <c r="AE80" s="364" t="s">
        <v>88</v>
      </c>
      <c r="AF80" s="364" t="s">
        <v>1416</v>
      </c>
      <c r="AG80" s="364" t="s">
        <v>1415</v>
      </c>
      <c r="AH80" s="364" t="s">
        <v>1751</v>
      </c>
      <c r="AI80" s="364" t="s">
        <v>2717</v>
      </c>
      <c r="AJ80" s="364" t="s">
        <v>995</v>
      </c>
      <c r="AK80" s="364" t="s">
        <v>647</v>
      </c>
      <c r="AL80" s="364" t="s">
        <v>1412</v>
      </c>
      <c r="AM80" s="364" t="s">
        <v>668</v>
      </c>
      <c r="AN80" s="364" t="s">
        <v>1411</v>
      </c>
    </row>
    <row r="81" spans="1:40" x14ac:dyDescent="0.3">
      <c r="A81" s="364" t="s">
        <v>2720</v>
      </c>
      <c r="B81" s="364" t="s">
        <v>661</v>
      </c>
      <c r="C81" s="364" t="s">
        <v>1420</v>
      </c>
      <c r="D81" s="364" t="s">
        <v>90</v>
      </c>
      <c r="E81" s="364" t="s">
        <v>775</v>
      </c>
      <c r="F81" s="364" t="s">
        <v>1089</v>
      </c>
      <c r="G81" s="364" t="s">
        <v>658</v>
      </c>
      <c r="H81" s="364" t="s">
        <v>2719</v>
      </c>
      <c r="I81" s="364" t="s">
        <v>2495</v>
      </c>
      <c r="J81" s="364" t="s">
        <v>673</v>
      </c>
      <c r="K81" s="364" t="s">
        <v>668</v>
      </c>
      <c r="L81" s="364" t="s">
        <v>190</v>
      </c>
      <c r="M81" s="364" t="s">
        <v>723</v>
      </c>
      <c r="N81" s="364" t="s">
        <v>654</v>
      </c>
      <c r="O81" s="364" t="s">
        <v>653</v>
      </c>
      <c r="P81" s="364" t="s">
        <v>198</v>
      </c>
      <c r="Q81" s="364" t="s">
        <v>652</v>
      </c>
      <c r="R81" s="364" t="s">
        <v>88</v>
      </c>
      <c r="S81" s="364" t="s">
        <v>88</v>
      </c>
      <c r="T81" s="364" t="s">
        <v>88</v>
      </c>
      <c r="U81" s="364" t="s">
        <v>88</v>
      </c>
      <c r="V81" s="364" t="s">
        <v>88</v>
      </c>
      <c r="W81" s="364" t="s">
        <v>88</v>
      </c>
      <c r="X81" s="364" t="s">
        <v>88</v>
      </c>
      <c r="Y81" s="364" t="s">
        <v>88</v>
      </c>
      <c r="Z81" s="364" t="s">
        <v>722</v>
      </c>
      <c r="AA81" s="364" t="s">
        <v>649</v>
      </c>
      <c r="AB81" s="364" t="s">
        <v>2723</v>
      </c>
      <c r="AC81" s="364" t="s">
        <v>2723</v>
      </c>
      <c r="AD81" s="364" t="s">
        <v>2723</v>
      </c>
      <c r="AE81" s="364" t="s">
        <v>88</v>
      </c>
      <c r="AF81" s="364" t="s">
        <v>1416</v>
      </c>
      <c r="AG81" s="364" t="s">
        <v>1415</v>
      </c>
      <c r="AH81" s="364" t="s">
        <v>2019</v>
      </c>
      <c r="AI81" s="364" t="s">
        <v>2717</v>
      </c>
      <c r="AJ81" s="364" t="s">
        <v>995</v>
      </c>
      <c r="AK81" s="364" t="s">
        <v>647</v>
      </c>
      <c r="AL81" s="364" t="s">
        <v>1412</v>
      </c>
      <c r="AM81" s="364" t="s">
        <v>668</v>
      </c>
      <c r="AN81" s="364" t="s">
        <v>1411</v>
      </c>
    </row>
    <row r="82" spans="1:40" x14ac:dyDescent="0.3">
      <c r="A82" s="364" t="s">
        <v>2720</v>
      </c>
      <c r="B82" s="364" t="s">
        <v>661</v>
      </c>
      <c r="C82" s="364" t="s">
        <v>1420</v>
      </c>
      <c r="D82" s="364" t="s">
        <v>90</v>
      </c>
      <c r="E82" s="364" t="s">
        <v>775</v>
      </c>
      <c r="F82" s="364" t="s">
        <v>1089</v>
      </c>
      <c r="G82" s="364" t="s">
        <v>658</v>
      </c>
      <c r="H82" s="364" t="s">
        <v>2719</v>
      </c>
      <c r="I82" s="364" t="s">
        <v>2495</v>
      </c>
      <c r="J82" s="364" t="s">
        <v>673</v>
      </c>
      <c r="K82" s="364" t="s">
        <v>668</v>
      </c>
      <c r="L82" s="364" t="s">
        <v>190</v>
      </c>
      <c r="M82" s="364" t="s">
        <v>713</v>
      </c>
      <c r="N82" s="364" t="s">
        <v>654</v>
      </c>
      <c r="O82" s="364" t="s">
        <v>653</v>
      </c>
      <c r="P82" s="364" t="s">
        <v>198</v>
      </c>
      <c r="Q82" s="364" t="s">
        <v>652</v>
      </c>
      <c r="R82" s="364" t="s">
        <v>88</v>
      </c>
      <c r="S82" s="364" t="s">
        <v>88</v>
      </c>
      <c r="T82" s="364" t="s">
        <v>88</v>
      </c>
      <c r="U82" s="364" t="s">
        <v>88</v>
      </c>
      <c r="V82" s="364" t="s">
        <v>88</v>
      </c>
      <c r="W82" s="364" t="s">
        <v>88</v>
      </c>
      <c r="X82" s="364" t="s">
        <v>88</v>
      </c>
      <c r="Y82" s="364" t="s">
        <v>88</v>
      </c>
      <c r="Z82" s="364" t="s">
        <v>712</v>
      </c>
      <c r="AA82" s="364" t="s">
        <v>711</v>
      </c>
      <c r="AB82" s="364" t="s">
        <v>2722</v>
      </c>
      <c r="AC82" s="364" t="s">
        <v>2722</v>
      </c>
      <c r="AD82" s="364" t="s">
        <v>2722</v>
      </c>
      <c r="AE82" s="364" t="s">
        <v>88</v>
      </c>
      <c r="AF82" s="364" t="s">
        <v>1416</v>
      </c>
      <c r="AG82" s="364" t="s">
        <v>1415</v>
      </c>
      <c r="AH82" s="364" t="s">
        <v>1427</v>
      </c>
      <c r="AI82" s="364" t="s">
        <v>2717</v>
      </c>
      <c r="AJ82" s="364" t="s">
        <v>995</v>
      </c>
      <c r="AK82" s="364" t="s">
        <v>647</v>
      </c>
      <c r="AL82" s="364" t="s">
        <v>1412</v>
      </c>
      <c r="AM82" s="364" t="s">
        <v>668</v>
      </c>
      <c r="AN82" s="364" t="s">
        <v>1411</v>
      </c>
    </row>
    <row r="83" spans="1:40" x14ac:dyDescent="0.3">
      <c r="A83" s="364" t="s">
        <v>2720</v>
      </c>
      <c r="B83" s="364" t="s">
        <v>661</v>
      </c>
      <c r="C83" s="364" t="s">
        <v>1420</v>
      </c>
      <c r="D83" s="364" t="s">
        <v>90</v>
      </c>
      <c r="E83" s="364" t="s">
        <v>775</v>
      </c>
      <c r="F83" s="364" t="s">
        <v>1089</v>
      </c>
      <c r="G83" s="364" t="s">
        <v>658</v>
      </c>
      <c r="H83" s="364" t="s">
        <v>2719</v>
      </c>
      <c r="I83" s="364" t="s">
        <v>2495</v>
      </c>
      <c r="J83" s="364" t="s">
        <v>673</v>
      </c>
      <c r="K83" s="364" t="s">
        <v>668</v>
      </c>
      <c r="L83" s="364" t="s">
        <v>190</v>
      </c>
      <c r="M83" s="364" t="s">
        <v>55</v>
      </c>
      <c r="N83" s="364" t="s">
        <v>654</v>
      </c>
      <c r="O83" s="364" t="s">
        <v>653</v>
      </c>
      <c r="P83" s="364" t="s">
        <v>198</v>
      </c>
      <c r="Q83" s="364" t="s">
        <v>652</v>
      </c>
      <c r="R83" s="364" t="s">
        <v>88</v>
      </c>
      <c r="S83" s="364" t="s">
        <v>88</v>
      </c>
      <c r="T83" s="364" t="s">
        <v>88</v>
      </c>
      <c r="U83" s="364" t="s">
        <v>88</v>
      </c>
      <c r="V83" s="364" t="s">
        <v>88</v>
      </c>
      <c r="W83" s="364" t="s">
        <v>88</v>
      </c>
      <c r="X83" s="364" t="s">
        <v>88</v>
      </c>
      <c r="Y83" s="364" t="s">
        <v>88</v>
      </c>
      <c r="Z83" s="364" t="s">
        <v>719</v>
      </c>
      <c r="AA83" s="364" t="s">
        <v>649</v>
      </c>
      <c r="AB83" s="364" t="s">
        <v>2721</v>
      </c>
      <c r="AC83" s="364" t="s">
        <v>2721</v>
      </c>
      <c r="AD83" s="364" t="s">
        <v>2721</v>
      </c>
      <c r="AE83" s="364" t="s">
        <v>88</v>
      </c>
      <c r="AF83" s="364" t="s">
        <v>1416</v>
      </c>
      <c r="AG83" s="364" t="s">
        <v>1415</v>
      </c>
      <c r="AH83" s="364" t="s">
        <v>2123</v>
      </c>
      <c r="AI83" s="364" t="s">
        <v>2717</v>
      </c>
      <c r="AJ83" s="364" t="s">
        <v>995</v>
      </c>
      <c r="AK83" s="364" t="s">
        <v>647</v>
      </c>
      <c r="AL83" s="364" t="s">
        <v>1412</v>
      </c>
      <c r="AM83" s="364" t="s">
        <v>668</v>
      </c>
      <c r="AN83" s="364" t="s">
        <v>1411</v>
      </c>
    </row>
    <row r="84" spans="1:40" x14ac:dyDescent="0.3">
      <c r="A84" s="364" t="s">
        <v>2720</v>
      </c>
      <c r="B84" s="364" t="s">
        <v>661</v>
      </c>
      <c r="C84" s="364" t="s">
        <v>1420</v>
      </c>
      <c r="D84" s="364" t="s">
        <v>90</v>
      </c>
      <c r="E84" s="364" t="s">
        <v>775</v>
      </c>
      <c r="F84" s="364" t="s">
        <v>1089</v>
      </c>
      <c r="G84" s="364" t="s">
        <v>658</v>
      </c>
      <c r="H84" s="364" t="s">
        <v>2719</v>
      </c>
      <c r="I84" s="364" t="s">
        <v>2495</v>
      </c>
      <c r="J84" s="364" t="s">
        <v>673</v>
      </c>
      <c r="K84" s="364" t="s">
        <v>668</v>
      </c>
      <c r="L84" s="364" t="s">
        <v>190</v>
      </c>
      <c r="M84" s="364" t="s">
        <v>718</v>
      </c>
      <c r="N84" s="364" t="s">
        <v>654</v>
      </c>
      <c r="O84" s="364" t="s">
        <v>653</v>
      </c>
      <c r="P84" s="364" t="s">
        <v>198</v>
      </c>
      <c r="Q84" s="364" t="s">
        <v>652</v>
      </c>
      <c r="R84" s="364" t="s">
        <v>88</v>
      </c>
      <c r="S84" s="364" t="s">
        <v>88</v>
      </c>
      <c r="T84" s="364" t="s">
        <v>88</v>
      </c>
      <c r="U84" s="364" t="s">
        <v>88</v>
      </c>
      <c r="V84" s="364" t="s">
        <v>88</v>
      </c>
      <c r="W84" s="364" t="s">
        <v>88</v>
      </c>
      <c r="X84" s="364" t="s">
        <v>88</v>
      </c>
      <c r="Y84" s="364" t="s">
        <v>88</v>
      </c>
      <c r="Z84" s="364" t="s">
        <v>717</v>
      </c>
      <c r="AA84" s="364" t="s">
        <v>649</v>
      </c>
      <c r="AB84" s="364" t="s">
        <v>2718</v>
      </c>
      <c r="AC84" s="364" t="s">
        <v>2718</v>
      </c>
      <c r="AD84" s="364" t="s">
        <v>2718</v>
      </c>
      <c r="AE84" s="364" t="s">
        <v>88</v>
      </c>
      <c r="AF84" s="364" t="s">
        <v>1416</v>
      </c>
      <c r="AG84" s="364" t="s">
        <v>1415</v>
      </c>
      <c r="AH84" s="364" t="s">
        <v>2007</v>
      </c>
      <c r="AI84" s="364" t="s">
        <v>2717</v>
      </c>
      <c r="AJ84" s="364" t="s">
        <v>995</v>
      </c>
      <c r="AK84" s="364" t="s">
        <v>647</v>
      </c>
      <c r="AL84" s="364" t="s">
        <v>1412</v>
      </c>
      <c r="AM84" s="364" t="s">
        <v>668</v>
      </c>
      <c r="AN84" s="364" t="s">
        <v>1411</v>
      </c>
    </row>
    <row r="85" spans="1:40" x14ac:dyDescent="0.3">
      <c r="A85" s="364" t="s">
        <v>2716</v>
      </c>
      <c r="B85" s="364" t="s">
        <v>661</v>
      </c>
      <c r="C85" s="364" t="s">
        <v>660</v>
      </c>
      <c r="D85" s="364" t="s">
        <v>90</v>
      </c>
      <c r="E85" s="364" t="s">
        <v>1104</v>
      </c>
      <c r="F85" s="364" t="s">
        <v>1104</v>
      </c>
      <c r="G85" s="364" t="s">
        <v>658</v>
      </c>
      <c r="H85" s="364" t="s">
        <v>2715</v>
      </c>
      <c r="I85" s="364" t="s">
        <v>2714</v>
      </c>
      <c r="J85" s="364" t="s">
        <v>673</v>
      </c>
      <c r="K85" s="364" t="s">
        <v>668</v>
      </c>
      <c r="L85" s="364" t="s">
        <v>190</v>
      </c>
      <c r="M85" s="364" t="s">
        <v>725</v>
      </c>
      <c r="N85" s="364" t="s">
        <v>654</v>
      </c>
      <c r="O85" s="364" t="s">
        <v>653</v>
      </c>
      <c r="P85" s="364" t="s">
        <v>198</v>
      </c>
      <c r="Q85" s="364" t="s">
        <v>652</v>
      </c>
      <c r="R85" s="364" t="s">
        <v>88</v>
      </c>
      <c r="S85" s="364" t="s">
        <v>88</v>
      </c>
      <c r="T85" s="364" t="s">
        <v>88</v>
      </c>
      <c r="U85" s="364" t="s">
        <v>88</v>
      </c>
      <c r="V85" s="364" t="s">
        <v>88</v>
      </c>
      <c r="W85" s="364" t="s">
        <v>88</v>
      </c>
      <c r="X85" s="364" t="s">
        <v>88</v>
      </c>
      <c r="Y85" s="364" t="s">
        <v>88</v>
      </c>
      <c r="Z85" s="364" t="s">
        <v>724</v>
      </c>
      <c r="AA85" s="364" t="s">
        <v>649</v>
      </c>
      <c r="AB85" s="364" t="s">
        <v>649</v>
      </c>
      <c r="AC85" s="364" t="s">
        <v>649</v>
      </c>
      <c r="AD85" s="364" t="s">
        <v>649</v>
      </c>
      <c r="AE85" s="364" t="s">
        <v>88</v>
      </c>
      <c r="AF85" s="364" t="s">
        <v>88</v>
      </c>
      <c r="AG85" s="364" t="s">
        <v>88</v>
      </c>
      <c r="AH85" s="364" t="s">
        <v>88</v>
      </c>
      <c r="AI85" s="364" t="s">
        <v>1155</v>
      </c>
      <c r="AJ85" s="364" t="s">
        <v>648</v>
      </c>
      <c r="AK85" s="364" t="s">
        <v>647</v>
      </c>
      <c r="AL85" s="364" t="s">
        <v>646</v>
      </c>
      <c r="AM85" s="364" t="s">
        <v>668</v>
      </c>
      <c r="AN85" s="364" t="s">
        <v>644</v>
      </c>
    </row>
    <row r="86" spans="1:40" x14ac:dyDescent="0.3">
      <c r="A86" s="364" t="s">
        <v>2716</v>
      </c>
      <c r="B86" s="364" t="s">
        <v>661</v>
      </c>
      <c r="C86" s="364" t="s">
        <v>660</v>
      </c>
      <c r="D86" s="364" t="s">
        <v>90</v>
      </c>
      <c r="E86" s="364" t="s">
        <v>1104</v>
      </c>
      <c r="F86" s="364" t="s">
        <v>1104</v>
      </c>
      <c r="G86" s="364" t="s">
        <v>658</v>
      </c>
      <c r="H86" s="364" t="s">
        <v>2715</v>
      </c>
      <c r="I86" s="364" t="s">
        <v>2714</v>
      </c>
      <c r="J86" s="364" t="s">
        <v>673</v>
      </c>
      <c r="K86" s="364" t="s">
        <v>668</v>
      </c>
      <c r="L86" s="364" t="s">
        <v>190</v>
      </c>
      <c r="M86" s="364" t="s">
        <v>718</v>
      </c>
      <c r="N86" s="364" t="s">
        <v>654</v>
      </c>
      <c r="O86" s="364" t="s">
        <v>653</v>
      </c>
      <c r="P86" s="364" t="s">
        <v>198</v>
      </c>
      <c r="Q86" s="364" t="s">
        <v>652</v>
      </c>
      <c r="R86" s="364" t="s">
        <v>88</v>
      </c>
      <c r="S86" s="364" t="s">
        <v>88</v>
      </c>
      <c r="T86" s="364" t="s">
        <v>88</v>
      </c>
      <c r="U86" s="364" t="s">
        <v>88</v>
      </c>
      <c r="V86" s="364" t="s">
        <v>88</v>
      </c>
      <c r="W86" s="364" t="s">
        <v>88</v>
      </c>
      <c r="X86" s="364" t="s">
        <v>88</v>
      </c>
      <c r="Y86" s="364" t="s">
        <v>88</v>
      </c>
      <c r="Z86" s="364" t="s">
        <v>717</v>
      </c>
      <c r="AA86" s="364" t="s">
        <v>649</v>
      </c>
      <c r="AB86" s="364" t="s">
        <v>649</v>
      </c>
      <c r="AC86" s="364" t="s">
        <v>649</v>
      </c>
      <c r="AD86" s="364" t="s">
        <v>649</v>
      </c>
      <c r="AE86" s="364" t="s">
        <v>88</v>
      </c>
      <c r="AF86" s="364" t="s">
        <v>88</v>
      </c>
      <c r="AG86" s="364" t="s">
        <v>88</v>
      </c>
      <c r="AH86" s="364" t="s">
        <v>88</v>
      </c>
      <c r="AI86" s="364" t="s">
        <v>1155</v>
      </c>
      <c r="AJ86" s="364" t="s">
        <v>648</v>
      </c>
      <c r="AK86" s="364" t="s">
        <v>647</v>
      </c>
      <c r="AL86" s="364" t="s">
        <v>646</v>
      </c>
      <c r="AM86" s="364" t="s">
        <v>668</v>
      </c>
      <c r="AN86" s="364" t="s">
        <v>644</v>
      </c>
    </row>
    <row r="87" spans="1:40" x14ac:dyDescent="0.3">
      <c r="A87" s="364" t="s">
        <v>2716</v>
      </c>
      <c r="B87" s="364" t="s">
        <v>661</v>
      </c>
      <c r="C87" s="364" t="s">
        <v>660</v>
      </c>
      <c r="D87" s="364" t="s">
        <v>90</v>
      </c>
      <c r="E87" s="364" t="s">
        <v>1104</v>
      </c>
      <c r="F87" s="364" t="s">
        <v>1104</v>
      </c>
      <c r="G87" s="364" t="s">
        <v>658</v>
      </c>
      <c r="H87" s="364" t="s">
        <v>2715</v>
      </c>
      <c r="I87" s="364" t="s">
        <v>2714</v>
      </c>
      <c r="J87" s="364" t="s">
        <v>673</v>
      </c>
      <c r="K87" s="364" t="s">
        <v>668</v>
      </c>
      <c r="L87" s="364" t="s">
        <v>190</v>
      </c>
      <c r="M87" s="364" t="s">
        <v>55</v>
      </c>
      <c r="N87" s="364" t="s">
        <v>654</v>
      </c>
      <c r="O87" s="364" t="s">
        <v>653</v>
      </c>
      <c r="P87" s="364" t="s">
        <v>198</v>
      </c>
      <c r="Q87" s="364" t="s">
        <v>652</v>
      </c>
      <c r="R87" s="364" t="s">
        <v>88</v>
      </c>
      <c r="S87" s="364" t="s">
        <v>88</v>
      </c>
      <c r="T87" s="364" t="s">
        <v>88</v>
      </c>
      <c r="U87" s="364" t="s">
        <v>88</v>
      </c>
      <c r="V87" s="364" t="s">
        <v>88</v>
      </c>
      <c r="W87" s="364" t="s">
        <v>88</v>
      </c>
      <c r="X87" s="364" t="s">
        <v>88</v>
      </c>
      <c r="Y87" s="364" t="s">
        <v>88</v>
      </c>
      <c r="Z87" s="364" t="s">
        <v>719</v>
      </c>
      <c r="AA87" s="364" t="s">
        <v>649</v>
      </c>
      <c r="AB87" s="364" t="s">
        <v>649</v>
      </c>
      <c r="AC87" s="364" t="s">
        <v>649</v>
      </c>
      <c r="AD87" s="364" t="s">
        <v>649</v>
      </c>
      <c r="AE87" s="364" t="s">
        <v>88</v>
      </c>
      <c r="AF87" s="364" t="s">
        <v>88</v>
      </c>
      <c r="AG87" s="364" t="s">
        <v>88</v>
      </c>
      <c r="AH87" s="364" t="s">
        <v>88</v>
      </c>
      <c r="AI87" s="364" t="s">
        <v>1155</v>
      </c>
      <c r="AJ87" s="364" t="s">
        <v>648</v>
      </c>
      <c r="AK87" s="364" t="s">
        <v>647</v>
      </c>
      <c r="AL87" s="364" t="s">
        <v>646</v>
      </c>
      <c r="AM87" s="364" t="s">
        <v>668</v>
      </c>
      <c r="AN87" s="364" t="s">
        <v>644</v>
      </c>
    </row>
    <row r="88" spans="1:40" x14ac:dyDescent="0.3">
      <c r="A88" s="364" t="s">
        <v>2713</v>
      </c>
      <c r="B88" s="364" t="s">
        <v>661</v>
      </c>
      <c r="C88" s="364" t="s">
        <v>1160</v>
      </c>
      <c r="D88" s="364" t="s">
        <v>87</v>
      </c>
      <c r="E88" s="364" t="s">
        <v>2699</v>
      </c>
      <c r="F88" s="364" t="s">
        <v>998</v>
      </c>
      <c r="G88" s="364" t="s">
        <v>658</v>
      </c>
      <c r="H88" s="364" t="s">
        <v>2712</v>
      </c>
      <c r="I88" s="364" t="s">
        <v>2711</v>
      </c>
      <c r="J88" s="364" t="s">
        <v>88</v>
      </c>
      <c r="K88" s="364" t="s">
        <v>88</v>
      </c>
      <c r="L88" s="364" t="s">
        <v>88</v>
      </c>
      <c r="M88" s="364" t="s">
        <v>138</v>
      </c>
      <c r="N88" s="364" t="s">
        <v>654</v>
      </c>
      <c r="O88" s="364" t="s">
        <v>653</v>
      </c>
      <c r="P88" s="364" t="s">
        <v>88</v>
      </c>
      <c r="Q88" s="364" t="s">
        <v>88</v>
      </c>
      <c r="R88" s="364" t="s">
        <v>88</v>
      </c>
      <c r="S88" s="364" t="s">
        <v>88</v>
      </c>
      <c r="T88" s="364" t="s">
        <v>88</v>
      </c>
      <c r="U88" s="364" t="s">
        <v>88</v>
      </c>
      <c r="V88" s="364" t="s">
        <v>88</v>
      </c>
      <c r="W88" s="364" t="s">
        <v>88</v>
      </c>
      <c r="X88" s="364" t="s">
        <v>88</v>
      </c>
      <c r="Y88" s="364" t="s">
        <v>88</v>
      </c>
      <c r="Z88" s="364" t="s">
        <v>88</v>
      </c>
      <c r="AA88" s="364" t="s">
        <v>649</v>
      </c>
      <c r="AB88" s="364" t="s">
        <v>88</v>
      </c>
      <c r="AC88" s="364" t="s">
        <v>88</v>
      </c>
      <c r="AD88" s="364" t="s">
        <v>88</v>
      </c>
      <c r="AE88" s="364" t="s">
        <v>88</v>
      </c>
      <c r="AF88" s="364" t="s">
        <v>88</v>
      </c>
      <c r="AG88" s="364" t="s">
        <v>88</v>
      </c>
      <c r="AH88" s="364" t="s">
        <v>88</v>
      </c>
      <c r="AI88" s="364" t="s">
        <v>2710</v>
      </c>
      <c r="AJ88" s="364" t="s">
        <v>793</v>
      </c>
      <c r="AK88" s="364" t="s">
        <v>88</v>
      </c>
      <c r="AL88" s="364" t="s">
        <v>88</v>
      </c>
      <c r="AM88" s="364" t="s">
        <v>88</v>
      </c>
      <c r="AN88" s="364" t="s">
        <v>792</v>
      </c>
    </row>
    <row r="89" spans="1:40" x14ac:dyDescent="0.3">
      <c r="A89" s="364" t="s">
        <v>2709</v>
      </c>
      <c r="B89" s="364" t="s">
        <v>661</v>
      </c>
      <c r="C89" s="364" t="s">
        <v>660</v>
      </c>
      <c r="D89" s="364" t="s">
        <v>90</v>
      </c>
      <c r="E89" s="364" t="s">
        <v>1026</v>
      </c>
      <c r="F89" s="364" t="s">
        <v>1026</v>
      </c>
      <c r="G89" s="364" t="s">
        <v>658</v>
      </c>
      <c r="H89" s="364" t="s">
        <v>2708</v>
      </c>
      <c r="I89" s="364" t="s">
        <v>2707</v>
      </c>
      <c r="J89" s="364" t="s">
        <v>673</v>
      </c>
      <c r="K89" s="364" t="s">
        <v>668</v>
      </c>
      <c r="L89" s="364" t="s">
        <v>190</v>
      </c>
      <c r="M89" s="364" t="s">
        <v>725</v>
      </c>
      <c r="N89" s="364" t="s">
        <v>654</v>
      </c>
      <c r="O89" s="364" t="s">
        <v>653</v>
      </c>
      <c r="P89" s="364" t="s">
        <v>198</v>
      </c>
      <c r="Q89" s="364" t="s">
        <v>652</v>
      </c>
      <c r="R89" s="364" t="s">
        <v>88</v>
      </c>
      <c r="S89" s="364" t="s">
        <v>88</v>
      </c>
      <c r="T89" s="364" t="s">
        <v>88</v>
      </c>
      <c r="U89" s="364" t="s">
        <v>88</v>
      </c>
      <c r="V89" s="364" t="s">
        <v>88</v>
      </c>
      <c r="W89" s="364" t="s">
        <v>88</v>
      </c>
      <c r="X89" s="364" t="s">
        <v>88</v>
      </c>
      <c r="Y89" s="364" t="s">
        <v>88</v>
      </c>
      <c r="Z89" s="364" t="s">
        <v>724</v>
      </c>
      <c r="AA89" s="364" t="s">
        <v>649</v>
      </c>
      <c r="AB89" s="364" t="s">
        <v>649</v>
      </c>
      <c r="AC89" s="364" t="s">
        <v>649</v>
      </c>
      <c r="AD89" s="364" t="s">
        <v>649</v>
      </c>
      <c r="AE89" s="364" t="s">
        <v>88</v>
      </c>
      <c r="AF89" s="364" t="s">
        <v>88</v>
      </c>
      <c r="AG89" s="364" t="s">
        <v>88</v>
      </c>
      <c r="AH89" s="364" t="s">
        <v>88</v>
      </c>
      <c r="AI89" s="364" t="s">
        <v>1155</v>
      </c>
      <c r="AJ89" s="364" t="s">
        <v>663</v>
      </c>
      <c r="AK89" s="364" t="s">
        <v>647</v>
      </c>
      <c r="AL89" s="364" t="s">
        <v>646</v>
      </c>
      <c r="AM89" s="364" t="s">
        <v>668</v>
      </c>
      <c r="AN89" s="364" t="s">
        <v>644</v>
      </c>
    </row>
    <row r="90" spans="1:40" x14ac:dyDescent="0.3">
      <c r="A90" s="364" t="s">
        <v>2709</v>
      </c>
      <c r="B90" s="364" t="s">
        <v>661</v>
      </c>
      <c r="C90" s="364" t="s">
        <v>660</v>
      </c>
      <c r="D90" s="364" t="s">
        <v>90</v>
      </c>
      <c r="E90" s="364" t="s">
        <v>1026</v>
      </c>
      <c r="F90" s="364" t="s">
        <v>1026</v>
      </c>
      <c r="G90" s="364" t="s">
        <v>658</v>
      </c>
      <c r="H90" s="364" t="s">
        <v>2708</v>
      </c>
      <c r="I90" s="364" t="s">
        <v>2707</v>
      </c>
      <c r="J90" s="364" t="s">
        <v>673</v>
      </c>
      <c r="K90" s="364" t="s">
        <v>668</v>
      </c>
      <c r="L90" s="364" t="s">
        <v>190</v>
      </c>
      <c r="M90" s="364" t="s">
        <v>55</v>
      </c>
      <c r="N90" s="364" t="s">
        <v>654</v>
      </c>
      <c r="O90" s="364" t="s">
        <v>653</v>
      </c>
      <c r="P90" s="364" t="s">
        <v>198</v>
      </c>
      <c r="Q90" s="364" t="s">
        <v>652</v>
      </c>
      <c r="R90" s="364" t="s">
        <v>88</v>
      </c>
      <c r="S90" s="364" t="s">
        <v>88</v>
      </c>
      <c r="T90" s="364" t="s">
        <v>88</v>
      </c>
      <c r="U90" s="364" t="s">
        <v>88</v>
      </c>
      <c r="V90" s="364" t="s">
        <v>88</v>
      </c>
      <c r="W90" s="364" t="s">
        <v>88</v>
      </c>
      <c r="X90" s="364" t="s">
        <v>88</v>
      </c>
      <c r="Y90" s="364" t="s">
        <v>88</v>
      </c>
      <c r="Z90" s="364" t="s">
        <v>719</v>
      </c>
      <c r="AA90" s="364" t="s">
        <v>649</v>
      </c>
      <c r="AB90" s="364" t="s">
        <v>649</v>
      </c>
      <c r="AC90" s="364" t="s">
        <v>649</v>
      </c>
      <c r="AD90" s="364" t="s">
        <v>649</v>
      </c>
      <c r="AE90" s="364" t="s">
        <v>88</v>
      </c>
      <c r="AF90" s="364" t="s">
        <v>88</v>
      </c>
      <c r="AG90" s="364" t="s">
        <v>88</v>
      </c>
      <c r="AH90" s="364" t="s">
        <v>88</v>
      </c>
      <c r="AI90" s="364" t="s">
        <v>1155</v>
      </c>
      <c r="AJ90" s="364" t="s">
        <v>663</v>
      </c>
      <c r="AK90" s="364" t="s">
        <v>647</v>
      </c>
      <c r="AL90" s="364" t="s">
        <v>646</v>
      </c>
      <c r="AM90" s="364" t="s">
        <v>668</v>
      </c>
      <c r="AN90" s="364" t="s">
        <v>644</v>
      </c>
    </row>
    <row r="91" spans="1:40" x14ac:dyDescent="0.3">
      <c r="A91" s="364" t="s">
        <v>2706</v>
      </c>
      <c r="B91" s="364" t="s">
        <v>661</v>
      </c>
      <c r="C91" s="364" t="s">
        <v>1160</v>
      </c>
      <c r="D91" s="364" t="s">
        <v>87</v>
      </c>
      <c r="E91" s="364" t="s">
        <v>998</v>
      </c>
      <c r="F91" s="364" t="s">
        <v>998</v>
      </c>
      <c r="G91" s="364" t="s">
        <v>658</v>
      </c>
      <c r="H91" s="364" t="s">
        <v>2705</v>
      </c>
      <c r="I91" s="364" t="s">
        <v>88</v>
      </c>
      <c r="J91" s="364" t="s">
        <v>88</v>
      </c>
      <c r="K91" s="364" t="s">
        <v>88</v>
      </c>
      <c r="L91" s="364" t="s">
        <v>88</v>
      </c>
      <c r="M91" s="364" t="s">
        <v>138</v>
      </c>
      <c r="N91" s="364" t="s">
        <v>654</v>
      </c>
      <c r="O91" s="364" t="s">
        <v>653</v>
      </c>
      <c r="P91" s="364" t="s">
        <v>88</v>
      </c>
      <c r="Q91" s="364" t="s">
        <v>88</v>
      </c>
      <c r="R91" s="364" t="s">
        <v>88</v>
      </c>
      <c r="S91" s="364" t="s">
        <v>88</v>
      </c>
      <c r="T91" s="364" t="s">
        <v>88</v>
      </c>
      <c r="U91" s="364" t="s">
        <v>88</v>
      </c>
      <c r="V91" s="364" t="s">
        <v>88</v>
      </c>
      <c r="W91" s="364" t="s">
        <v>88</v>
      </c>
      <c r="X91" s="364" t="s">
        <v>88</v>
      </c>
      <c r="Y91" s="364" t="s">
        <v>88</v>
      </c>
      <c r="Z91" s="364" t="s">
        <v>88</v>
      </c>
      <c r="AA91" s="364" t="s">
        <v>649</v>
      </c>
      <c r="AB91" s="364" t="s">
        <v>88</v>
      </c>
      <c r="AC91" s="364" t="s">
        <v>88</v>
      </c>
      <c r="AD91" s="364" t="s">
        <v>88</v>
      </c>
      <c r="AE91" s="364" t="s">
        <v>88</v>
      </c>
      <c r="AF91" s="364" t="s">
        <v>88</v>
      </c>
      <c r="AG91" s="364" t="s">
        <v>88</v>
      </c>
      <c r="AH91" s="364" t="s">
        <v>88</v>
      </c>
      <c r="AI91" s="364" t="s">
        <v>2704</v>
      </c>
      <c r="AJ91" s="364" t="s">
        <v>793</v>
      </c>
      <c r="AK91" s="364" t="s">
        <v>88</v>
      </c>
      <c r="AL91" s="364" t="s">
        <v>88</v>
      </c>
      <c r="AM91" s="364" t="s">
        <v>88</v>
      </c>
      <c r="AN91" s="364" t="s">
        <v>792</v>
      </c>
    </row>
    <row r="92" spans="1:40" x14ac:dyDescent="0.3">
      <c r="A92" s="364" t="s">
        <v>2703</v>
      </c>
      <c r="B92" s="364" t="s">
        <v>661</v>
      </c>
      <c r="C92" s="364" t="s">
        <v>1160</v>
      </c>
      <c r="D92" s="364" t="s">
        <v>87</v>
      </c>
      <c r="E92" s="364" t="s">
        <v>2699</v>
      </c>
      <c r="F92" s="364" t="s">
        <v>998</v>
      </c>
      <c r="G92" s="364" t="s">
        <v>658</v>
      </c>
      <c r="H92" s="364" t="s">
        <v>2702</v>
      </c>
      <c r="I92" s="364" t="s">
        <v>88</v>
      </c>
      <c r="J92" s="364" t="s">
        <v>88</v>
      </c>
      <c r="K92" s="364" t="s">
        <v>88</v>
      </c>
      <c r="L92" s="364" t="s">
        <v>88</v>
      </c>
      <c r="M92" s="364" t="s">
        <v>138</v>
      </c>
      <c r="N92" s="364" t="s">
        <v>654</v>
      </c>
      <c r="O92" s="364" t="s">
        <v>653</v>
      </c>
      <c r="P92" s="364" t="s">
        <v>88</v>
      </c>
      <c r="Q92" s="364" t="s">
        <v>88</v>
      </c>
      <c r="R92" s="364" t="s">
        <v>88</v>
      </c>
      <c r="S92" s="364" t="s">
        <v>88</v>
      </c>
      <c r="T92" s="364" t="s">
        <v>88</v>
      </c>
      <c r="U92" s="364" t="s">
        <v>88</v>
      </c>
      <c r="V92" s="364" t="s">
        <v>88</v>
      </c>
      <c r="W92" s="364" t="s">
        <v>88</v>
      </c>
      <c r="X92" s="364" t="s">
        <v>88</v>
      </c>
      <c r="Y92" s="364" t="s">
        <v>88</v>
      </c>
      <c r="Z92" s="364" t="s">
        <v>88</v>
      </c>
      <c r="AA92" s="364" t="s">
        <v>649</v>
      </c>
      <c r="AB92" s="364" t="s">
        <v>88</v>
      </c>
      <c r="AC92" s="364" t="s">
        <v>88</v>
      </c>
      <c r="AD92" s="364" t="s">
        <v>88</v>
      </c>
      <c r="AE92" s="364" t="s">
        <v>88</v>
      </c>
      <c r="AF92" s="364" t="s">
        <v>88</v>
      </c>
      <c r="AG92" s="364" t="s">
        <v>88</v>
      </c>
      <c r="AH92" s="364" t="s">
        <v>88</v>
      </c>
      <c r="AI92" s="364" t="s">
        <v>2701</v>
      </c>
      <c r="AJ92" s="364" t="s">
        <v>793</v>
      </c>
      <c r="AK92" s="364" t="s">
        <v>88</v>
      </c>
      <c r="AL92" s="364" t="s">
        <v>88</v>
      </c>
      <c r="AM92" s="364" t="s">
        <v>88</v>
      </c>
      <c r="AN92" s="364" t="s">
        <v>792</v>
      </c>
    </row>
    <row r="93" spans="1:40" x14ac:dyDescent="0.3">
      <c r="A93" s="364" t="s">
        <v>2700</v>
      </c>
      <c r="B93" s="364" t="s">
        <v>661</v>
      </c>
      <c r="C93" s="364" t="s">
        <v>1160</v>
      </c>
      <c r="D93" s="364" t="s">
        <v>87</v>
      </c>
      <c r="E93" s="364" t="s">
        <v>2699</v>
      </c>
      <c r="F93" s="364" t="s">
        <v>998</v>
      </c>
      <c r="G93" s="364" t="s">
        <v>658</v>
      </c>
      <c r="H93" s="364" t="s">
        <v>2698</v>
      </c>
      <c r="I93" s="364" t="s">
        <v>88</v>
      </c>
      <c r="J93" s="364" t="s">
        <v>88</v>
      </c>
      <c r="K93" s="364" t="s">
        <v>88</v>
      </c>
      <c r="L93" s="364" t="s">
        <v>88</v>
      </c>
      <c r="M93" s="364" t="s">
        <v>138</v>
      </c>
      <c r="N93" s="364" t="s">
        <v>654</v>
      </c>
      <c r="O93" s="364" t="s">
        <v>653</v>
      </c>
      <c r="P93" s="364" t="s">
        <v>88</v>
      </c>
      <c r="Q93" s="364" t="s">
        <v>88</v>
      </c>
      <c r="R93" s="364" t="s">
        <v>88</v>
      </c>
      <c r="S93" s="364" t="s">
        <v>88</v>
      </c>
      <c r="T93" s="364" t="s">
        <v>88</v>
      </c>
      <c r="U93" s="364" t="s">
        <v>88</v>
      </c>
      <c r="V93" s="364" t="s">
        <v>88</v>
      </c>
      <c r="W93" s="364" t="s">
        <v>88</v>
      </c>
      <c r="X93" s="364" t="s">
        <v>88</v>
      </c>
      <c r="Y93" s="364" t="s">
        <v>88</v>
      </c>
      <c r="Z93" s="364" t="s">
        <v>88</v>
      </c>
      <c r="AA93" s="364" t="s">
        <v>649</v>
      </c>
      <c r="AB93" s="364" t="s">
        <v>88</v>
      </c>
      <c r="AC93" s="364" t="s">
        <v>88</v>
      </c>
      <c r="AD93" s="364" t="s">
        <v>88</v>
      </c>
      <c r="AE93" s="364" t="s">
        <v>88</v>
      </c>
      <c r="AF93" s="364" t="s">
        <v>88</v>
      </c>
      <c r="AG93" s="364" t="s">
        <v>88</v>
      </c>
      <c r="AH93" s="364" t="s">
        <v>88</v>
      </c>
      <c r="AI93" s="364" t="s">
        <v>2697</v>
      </c>
      <c r="AJ93" s="364" t="s">
        <v>793</v>
      </c>
      <c r="AK93" s="364" t="s">
        <v>88</v>
      </c>
      <c r="AL93" s="364" t="s">
        <v>88</v>
      </c>
      <c r="AM93" s="364" t="s">
        <v>88</v>
      </c>
      <c r="AN93" s="364" t="s">
        <v>792</v>
      </c>
    </row>
    <row r="94" spans="1:40" x14ac:dyDescent="0.3">
      <c r="A94" s="364" t="s">
        <v>2696</v>
      </c>
      <c r="B94" s="364" t="s">
        <v>661</v>
      </c>
      <c r="C94" s="364" t="s">
        <v>1160</v>
      </c>
      <c r="D94" s="364" t="s">
        <v>87</v>
      </c>
      <c r="E94" s="364" t="s">
        <v>1132</v>
      </c>
      <c r="F94" s="364" t="s">
        <v>1132</v>
      </c>
      <c r="G94" s="364" t="s">
        <v>658</v>
      </c>
      <c r="H94" s="364" t="s">
        <v>2695</v>
      </c>
      <c r="I94" s="364" t="s">
        <v>88</v>
      </c>
      <c r="J94" s="364" t="s">
        <v>88</v>
      </c>
      <c r="K94" s="364" t="s">
        <v>88</v>
      </c>
      <c r="L94" s="364" t="s">
        <v>88</v>
      </c>
      <c r="M94" s="364" t="s">
        <v>138</v>
      </c>
      <c r="N94" s="364" t="s">
        <v>654</v>
      </c>
      <c r="O94" s="364" t="s">
        <v>653</v>
      </c>
      <c r="P94" s="364" t="s">
        <v>88</v>
      </c>
      <c r="Q94" s="364" t="s">
        <v>88</v>
      </c>
      <c r="R94" s="364" t="s">
        <v>88</v>
      </c>
      <c r="S94" s="364" t="s">
        <v>88</v>
      </c>
      <c r="T94" s="364" t="s">
        <v>88</v>
      </c>
      <c r="U94" s="364" t="s">
        <v>88</v>
      </c>
      <c r="V94" s="364" t="s">
        <v>88</v>
      </c>
      <c r="W94" s="364" t="s">
        <v>88</v>
      </c>
      <c r="X94" s="364" t="s">
        <v>88</v>
      </c>
      <c r="Y94" s="364" t="s">
        <v>88</v>
      </c>
      <c r="Z94" s="364" t="s">
        <v>88</v>
      </c>
      <c r="AA94" s="364" t="s">
        <v>649</v>
      </c>
      <c r="AB94" s="364" t="s">
        <v>88</v>
      </c>
      <c r="AC94" s="364" t="s">
        <v>88</v>
      </c>
      <c r="AD94" s="364" t="s">
        <v>88</v>
      </c>
      <c r="AE94" s="364" t="s">
        <v>88</v>
      </c>
      <c r="AF94" s="364" t="s">
        <v>88</v>
      </c>
      <c r="AG94" s="364" t="s">
        <v>88</v>
      </c>
      <c r="AH94" s="364" t="s">
        <v>88</v>
      </c>
      <c r="AI94" s="364" t="s">
        <v>2694</v>
      </c>
      <c r="AJ94" s="364" t="s">
        <v>793</v>
      </c>
      <c r="AK94" s="364" t="s">
        <v>88</v>
      </c>
      <c r="AL94" s="364" t="s">
        <v>88</v>
      </c>
      <c r="AM94" s="364" t="s">
        <v>88</v>
      </c>
      <c r="AN94" s="364" t="s">
        <v>792</v>
      </c>
    </row>
    <row r="95" spans="1:40" x14ac:dyDescent="0.3">
      <c r="A95" s="364" t="s">
        <v>2693</v>
      </c>
      <c r="B95" s="364" t="s">
        <v>661</v>
      </c>
      <c r="C95" s="364" t="s">
        <v>660</v>
      </c>
      <c r="D95" s="364" t="s">
        <v>90</v>
      </c>
      <c r="E95" s="364" t="s">
        <v>998</v>
      </c>
      <c r="F95" s="364" t="s">
        <v>998</v>
      </c>
      <c r="G95" s="364" t="s">
        <v>658</v>
      </c>
      <c r="H95" s="364" t="s">
        <v>2692</v>
      </c>
      <c r="I95" s="364" t="s">
        <v>2691</v>
      </c>
      <c r="J95" s="364" t="s">
        <v>673</v>
      </c>
      <c r="K95" s="364" t="s">
        <v>668</v>
      </c>
      <c r="L95" s="364" t="s">
        <v>190</v>
      </c>
      <c r="M95" s="364" t="s">
        <v>718</v>
      </c>
      <c r="N95" s="364" t="s">
        <v>654</v>
      </c>
      <c r="O95" s="364" t="s">
        <v>653</v>
      </c>
      <c r="P95" s="364" t="s">
        <v>198</v>
      </c>
      <c r="Q95" s="364" t="s">
        <v>652</v>
      </c>
      <c r="R95" s="364" t="s">
        <v>88</v>
      </c>
      <c r="S95" s="364" t="s">
        <v>88</v>
      </c>
      <c r="T95" s="364" t="s">
        <v>88</v>
      </c>
      <c r="U95" s="364" t="s">
        <v>88</v>
      </c>
      <c r="V95" s="364" t="s">
        <v>88</v>
      </c>
      <c r="W95" s="364" t="s">
        <v>88</v>
      </c>
      <c r="X95" s="364" t="s">
        <v>88</v>
      </c>
      <c r="Y95" s="364" t="s">
        <v>88</v>
      </c>
      <c r="Z95" s="364" t="s">
        <v>717</v>
      </c>
      <c r="AA95" s="364" t="s">
        <v>649</v>
      </c>
      <c r="AB95" s="364" t="s">
        <v>649</v>
      </c>
      <c r="AC95" s="364" t="s">
        <v>649</v>
      </c>
      <c r="AD95" s="364" t="s">
        <v>649</v>
      </c>
      <c r="AE95" s="364" t="s">
        <v>88</v>
      </c>
      <c r="AF95" s="364" t="s">
        <v>88</v>
      </c>
      <c r="AG95" s="364" t="s">
        <v>88</v>
      </c>
      <c r="AH95" s="364" t="s">
        <v>88</v>
      </c>
      <c r="AI95" s="364" t="s">
        <v>1155</v>
      </c>
      <c r="AJ95" s="364" t="s">
        <v>648</v>
      </c>
      <c r="AK95" s="364" t="s">
        <v>647</v>
      </c>
      <c r="AL95" s="364" t="s">
        <v>646</v>
      </c>
      <c r="AM95" s="364" t="s">
        <v>668</v>
      </c>
      <c r="AN95" s="364" t="s">
        <v>644</v>
      </c>
    </row>
    <row r="96" spans="1:40" x14ac:dyDescent="0.3">
      <c r="A96" s="364" t="s">
        <v>2693</v>
      </c>
      <c r="B96" s="364" t="s">
        <v>661</v>
      </c>
      <c r="C96" s="364" t="s">
        <v>660</v>
      </c>
      <c r="D96" s="364" t="s">
        <v>90</v>
      </c>
      <c r="E96" s="364" t="s">
        <v>998</v>
      </c>
      <c r="F96" s="364" t="s">
        <v>998</v>
      </c>
      <c r="G96" s="364" t="s">
        <v>658</v>
      </c>
      <c r="H96" s="364" t="s">
        <v>2692</v>
      </c>
      <c r="I96" s="364" t="s">
        <v>2691</v>
      </c>
      <c r="J96" s="364" t="s">
        <v>673</v>
      </c>
      <c r="K96" s="364" t="s">
        <v>668</v>
      </c>
      <c r="L96" s="364" t="s">
        <v>190</v>
      </c>
      <c r="M96" s="364" t="s">
        <v>725</v>
      </c>
      <c r="N96" s="364" t="s">
        <v>654</v>
      </c>
      <c r="O96" s="364" t="s">
        <v>653</v>
      </c>
      <c r="P96" s="364" t="s">
        <v>198</v>
      </c>
      <c r="Q96" s="364" t="s">
        <v>652</v>
      </c>
      <c r="R96" s="364" t="s">
        <v>88</v>
      </c>
      <c r="S96" s="364" t="s">
        <v>88</v>
      </c>
      <c r="T96" s="364" t="s">
        <v>88</v>
      </c>
      <c r="U96" s="364" t="s">
        <v>88</v>
      </c>
      <c r="V96" s="364" t="s">
        <v>88</v>
      </c>
      <c r="W96" s="364" t="s">
        <v>88</v>
      </c>
      <c r="X96" s="364" t="s">
        <v>88</v>
      </c>
      <c r="Y96" s="364" t="s">
        <v>88</v>
      </c>
      <c r="Z96" s="364" t="s">
        <v>724</v>
      </c>
      <c r="AA96" s="364" t="s">
        <v>649</v>
      </c>
      <c r="AB96" s="364" t="s">
        <v>649</v>
      </c>
      <c r="AC96" s="364" t="s">
        <v>649</v>
      </c>
      <c r="AD96" s="364" t="s">
        <v>649</v>
      </c>
      <c r="AE96" s="364" t="s">
        <v>88</v>
      </c>
      <c r="AF96" s="364" t="s">
        <v>88</v>
      </c>
      <c r="AG96" s="364" t="s">
        <v>88</v>
      </c>
      <c r="AH96" s="364" t="s">
        <v>88</v>
      </c>
      <c r="AI96" s="364" t="s">
        <v>1155</v>
      </c>
      <c r="AJ96" s="364" t="s">
        <v>648</v>
      </c>
      <c r="AK96" s="364" t="s">
        <v>647</v>
      </c>
      <c r="AL96" s="364" t="s">
        <v>646</v>
      </c>
      <c r="AM96" s="364" t="s">
        <v>668</v>
      </c>
      <c r="AN96" s="364" t="s">
        <v>644</v>
      </c>
    </row>
    <row r="97" spans="1:40" x14ac:dyDescent="0.3">
      <c r="A97" s="364" t="s">
        <v>2693</v>
      </c>
      <c r="B97" s="364" t="s">
        <v>661</v>
      </c>
      <c r="C97" s="364" t="s">
        <v>660</v>
      </c>
      <c r="D97" s="364" t="s">
        <v>90</v>
      </c>
      <c r="E97" s="364" t="s">
        <v>998</v>
      </c>
      <c r="F97" s="364" t="s">
        <v>998</v>
      </c>
      <c r="G97" s="364" t="s">
        <v>658</v>
      </c>
      <c r="H97" s="364" t="s">
        <v>2692</v>
      </c>
      <c r="I97" s="364" t="s">
        <v>2691</v>
      </c>
      <c r="J97" s="364" t="s">
        <v>673</v>
      </c>
      <c r="K97" s="364" t="s">
        <v>668</v>
      </c>
      <c r="L97" s="364" t="s">
        <v>190</v>
      </c>
      <c r="M97" s="364" t="s">
        <v>55</v>
      </c>
      <c r="N97" s="364" t="s">
        <v>654</v>
      </c>
      <c r="O97" s="364" t="s">
        <v>653</v>
      </c>
      <c r="P97" s="364" t="s">
        <v>198</v>
      </c>
      <c r="Q97" s="364" t="s">
        <v>652</v>
      </c>
      <c r="R97" s="364" t="s">
        <v>88</v>
      </c>
      <c r="S97" s="364" t="s">
        <v>88</v>
      </c>
      <c r="T97" s="364" t="s">
        <v>88</v>
      </c>
      <c r="U97" s="364" t="s">
        <v>88</v>
      </c>
      <c r="V97" s="364" t="s">
        <v>88</v>
      </c>
      <c r="W97" s="364" t="s">
        <v>88</v>
      </c>
      <c r="X97" s="364" t="s">
        <v>88</v>
      </c>
      <c r="Y97" s="364" t="s">
        <v>88</v>
      </c>
      <c r="Z97" s="364" t="s">
        <v>719</v>
      </c>
      <c r="AA97" s="364" t="s">
        <v>649</v>
      </c>
      <c r="AB97" s="364" t="s">
        <v>649</v>
      </c>
      <c r="AC97" s="364" t="s">
        <v>649</v>
      </c>
      <c r="AD97" s="364" t="s">
        <v>649</v>
      </c>
      <c r="AE97" s="364" t="s">
        <v>88</v>
      </c>
      <c r="AF97" s="364" t="s">
        <v>88</v>
      </c>
      <c r="AG97" s="364" t="s">
        <v>88</v>
      </c>
      <c r="AH97" s="364" t="s">
        <v>88</v>
      </c>
      <c r="AI97" s="364" t="s">
        <v>1155</v>
      </c>
      <c r="AJ97" s="364" t="s">
        <v>648</v>
      </c>
      <c r="AK97" s="364" t="s">
        <v>647</v>
      </c>
      <c r="AL97" s="364" t="s">
        <v>646</v>
      </c>
      <c r="AM97" s="364" t="s">
        <v>668</v>
      </c>
      <c r="AN97" s="364" t="s">
        <v>644</v>
      </c>
    </row>
    <row r="98" spans="1:40" x14ac:dyDescent="0.3">
      <c r="A98" s="364" t="s">
        <v>2690</v>
      </c>
      <c r="B98" s="364" t="s">
        <v>661</v>
      </c>
      <c r="C98" s="364" t="s">
        <v>1160</v>
      </c>
      <c r="D98" s="364" t="s">
        <v>87</v>
      </c>
      <c r="E98" s="364" t="s">
        <v>1132</v>
      </c>
      <c r="F98" s="364" t="s">
        <v>1132</v>
      </c>
      <c r="G98" s="364" t="s">
        <v>658</v>
      </c>
      <c r="H98" s="364" t="s">
        <v>2689</v>
      </c>
      <c r="I98" s="364" t="s">
        <v>2688</v>
      </c>
      <c r="J98" s="364" t="s">
        <v>88</v>
      </c>
      <c r="K98" s="364" t="s">
        <v>88</v>
      </c>
      <c r="L98" s="364" t="s">
        <v>88</v>
      </c>
      <c r="M98" s="364" t="s">
        <v>138</v>
      </c>
      <c r="N98" s="364" t="s">
        <v>654</v>
      </c>
      <c r="O98" s="364" t="s">
        <v>653</v>
      </c>
      <c r="P98" s="364" t="s">
        <v>88</v>
      </c>
      <c r="Q98" s="364" t="s">
        <v>88</v>
      </c>
      <c r="R98" s="364" t="s">
        <v>88</v>
      </c>
      <c r="S98" s="364" t="s">
        <v>88</v>
      </c>
      <c r="T98" s="364" t="s">
        <v>88</v>
      </c>
      <c r="U98" s="364" t="s">
        <v>88</v>
      </c>
      <c r="V98" s="364" t="s">
        <v>88</v>
      </c>
      <c r="W98" s="364" t="s">
        <v>88</v>
      </c>
      <c r="X98" s="364" t="s">
        <v>88</v>
      </c>
      <c r="Y98" s="364" t="s">
        <v>88</v>
      </c>
      <c r="Z98" s="364" t="s">
        <v>88</v>
      </c>
      <c r="AA98" s="364" t="s">
        <v>649</v>
      </c>
      <c r="AB98" s="364" t="s">
        <v>88</v>
      </c>
      <c r="AC98" s="364" t="s">
        <v>88</v>
      </c>
      <c r="AD98" s="364" t="s">
        <v>88</v>
      </c>
      <c r="AE98" s="364" t="s">
        <v>88</v>
      </c>
      <c r="AF98" s="364" t="s">
        <v>88</v>
      </c>
      <c r="AG98" s="364" t="s">
        <v>88</v>
      </c>
      <c r="AH98" s="364" t="s">
        <v>88</v>
      </c>
      <c r="AI98" s="364" t="s">
        <v>2687</v>
      </c>
      <c r="AJ98" s="364" t="s">
        <v>793</v>
      </c>
      <c r="AK98" s="364" t="s">
        <v>88</v>
      </c>
      <c r="AL98" s="364" t="s">
        <v>88</v>
      </c>
      <c r="AM98" s="364" t="s">
        <v>88</v>
      </c>
      <c r="AN98" s="364" t="s">
        <v>792</v>
      </c>
    </row>
    <row r="99" spans="1:40" x14ac:dyDescent="0.3">
      <c r="A99" s="364" t="s">
        <v>2686</v>
      </c>
      <c r="B99" s="364" t="s">
        <v>661</v>
      </c>
      <c r="C99" s="364" t="s">
        <v>1160</v>
      </c>
      <c r="D99" s="364" t="s">
        <v>87</v>
      </c>
      <c r="E99" s="364" t="s">
        <v>1132</v>
      </c>
      <c r="F99" s="364" t="s">
        <v>1132</v>
      </c>
      <c r="G99" s="364" t="s">
        <v>658</v>
      </c>
      <c r="H99" s="364" t="s">
        <v>2685</v>
      </c>
      <c r="I99" s="364" t="s">
        <v>88</v>
      </c>
      <c r="J99" s="364" t="s">
        <v>88</v>
      </c>
      <c r="K99" s="364" t="s">
        <v>88</v>
      </c>
      <c r="L99" s="364" t="s">
        <v>88</v>
      </c>
      <c r="M99" s="364" t="s">
        <v>138</v>
      </c>
      <c r="N99" s="364" t="s">
        <v>654</v>
      </c>
      <c r="O99" s="364" t="s">
        <v>653</v>
      </c>
      <c r="P99" s="364" t="s">
        <v>88</v>
      </c>
      <c r="Q99" s="364" t="s">
        <v>88</v>
      </c>
      <c r="R99" s="364" t="s">
        <v>88</v>
      </c>
      <c r="S99" s="364" t="s">
        <v>88</v>
      </c>
      <c r="T99" s="364" t="s">
        <v>88</v>
      </c>
      <c r="U99" s="364" t="s">
        <v>88</v>
      </c>
      <c r="V99" s="364" t="s">
        <v>88</v>
      </c>
      <c r="W99" s="364" t="s">
        <v>88</v>
      </c>
      <c r="X99" s="364" t="s">
        <v>88</v>
      </c>
      <c r="Y99" s="364" t="s">
        <v>88</v>
      </c>
      <c r="Z99" s="364" t="s">
        <v>88</v>
      </c>
      <c r="AA99" s="364" t="s">
        <v>649</v>
      </c>
      <c r="AB99" s="364" t="s">
        <v>88</v>
      </c>
      <c r="AC99" s="364" t="s">
        <v>88</v>
      </c>
      <c r="AD99" s="364" t="s">
        <v>88</v>
      </c>
      <c r="AE99" s="364" t="s">
        <v>88</v>
      </c>
      <c r="AF99" s="364" t="s">
        <v>88</v>
      </c>
      <c r="AG99" s="364" t="s">
        <v>88</v>
      </c>
      <c r="AH99" s="364" t="s">
        <v>88</v>
      </c>
      <c r="AI99" s="364" t="s">
        <v>2684</v>
      </c>
      <c r="AJ99" s="364" t="s">
        <v>793</v>
      </c>
      <c r="AK99" s="364" t="s">
        <v>88</v>
      </c>
      <c r="AL99" s="364" t="s">
        <v>88</v>
      </c>
      <c r="AM99" s="364" t="s">
        <v>88</v>
      </c>
      <c r="AN99" s="364" t="s">
        <v>792</v>
      </c>
    </row>
    <row r="100" spans="1:40" x14ac:dyDescent="0.3">
      <c r="A100" s="364" t="s">
        <v>2683</v>
      </c>
      <c r="B100" s="364" t="s">
        <v>661</v>
      </c>
      <c r="C100" s="364" t="s">
        <v>660</v>
      </c>
      <c r="D100" s="364" t="s">
        <v>90</v>
      </c>
      <c r="E100" s="364" t="s">
        <v>1132</v>
      </c>
      <c r="F100" s="364" t="s">
        <v>1132</v>
      </c>
      <c r="G100" s="364" t="s">
        <v>658</v>
      </c>
      <c r="H100" s="364" t="s">
        <v>2682</v>
      </c>
      <c r="I100" s="364" t="s">
        <v>2681</v>
      </c>
      <c r="J100" s="364" t="s">
        <v>673</v>
      </c>
      <c r="K100" s="364" t="s">
        <v>668</v>
      </c>
      <c r="L100" s="364" t="s">
        <v>190</v>
      </c>
      <c r="M100" s="364" t="s">
        <v>718</v>
      </c>
      <c r="N100" s="364" t="s">
        <v>654</v>
      </c>
      <c r="O100" s="364" t="s">
        <v>653</v>
      </c>
      <c r="P100" s="364" t="s">
        <v>198</v>
      </c>
      <c r="Q100" s="364" t="s">
        <v>652</v>
      </c>
      <c r="R100" s="364" t="s">
        <v>88</v>
      </c>
      <c r="S100" s="364" t="s">
        <v>88</v>
      </c>
      <c r="T100" s="364" t="s">
        <v>88</v>
      </c>
      <c r="U100" s="364" t="s">
        <v>88</v>
      </c>
      <c r="V100" s="364" t="s">
        <v>88</v>
      </c>
      <c r="W100" s="364" t="s">
        <v>88</v>
      </c>
      <c r="X100" s="364" t="s">
        <v>88</v>
      </c>
      <c r="Y100" s="364" t="s">
        <v>88</v>
      </c>
      <c r="Z100" s="364" t="s">
        <v>717</v>
      </c>
      <c r="AA100" s="364" t="s">
        <v>649</v>
      </c>
      <c r="AB100" s="364" t="s">
        <v>649</v>
      </c>
      <c r="AC100" s="364" t="s">
        <v>649</v>
      </c>
      <c r="AD100" s="364" t="s">
        <v>649</v>
      </c>
      <c r="AE100" s="364" t="s">
        <v>88</v>
      </c>
      <c r="AF100" s="364" t="s">
        <v>88</v>
      </c>
      <c r="AG100" s="364" t="s">
        <v>88</v>
      </c>
      <c r="AH100" s="364" t="s">
        <v>88</v>
      </c>
      <c r="AI100" s="364" t="s">
        <v>1155</v>
      </c>
      <c r="AJ100" s="364" t="s">
        <v>648</v>
      </c>
      <c r="AK100" s="364" t="s">
        <v>647</v>
      </c>
      <c r="AL100" s="364" t="s">
        <v>646</v>
      </c>
      <c r="AM100" s="364" t="s">
        <v>668</v>
      </c>
      <c r="AN100" s="364" t="s">
        <v>644</v>
      </c>
    </row>
    <row r="101" spans="1:40" x14ac:dyDescent="0.3">
      <c r="A101" s="364" t="s">
        <v>2683</v>
      </c>
      <c r="B101" s="364" t="s">
        <v>661</v>
      </c>
      <c r="C101" s="364" t="s">
        <v>660</v>
      </c>
      <c r="D101" s="364" t="s">
        <v>90</v>
      </c>
      <c r="E101" s="364" t="s">
        <v>1132</v>
      </c>
      <c r="F101" s="364" t="s">
        <v>1132</v>
      </c>
      <c r="G101" s="364" t="s">
        <v>658</v>
      </c>
      <c r="H101" s="364" t="s">
        <v>2682</v>
      </c>
      <c r="I101" s="364" t="s">
        <v>2681</v>
      </c>
      <c r="J101" s="364" t="s">
        <v>673</v>
      </c>
      <c r="K101" s="364" t="s">
        <v>668</v>
      </c>
      <c r="L101" s="364" t="s">
        <v>190</v>
      </c>
      <c r="M101" s="364" t="s">
        <v>725</v>
      </c>
      <c r="N101" s="364" t="s">
        <v>654</v>
      </c>
      <c r="O101" s="364" t="s">
        <v>653</v>
      </c>
      <c r="P101" s="364" t="s">
        <v>198</v>
      </c>
      <c r="Q101" s="364" t="s">
        <v>652</v>
      </c>
      <c r="R101" s="364" t="s">
        <v>88</v>
      </c>
      <c r="S101" s="364" t="s">
        <v>88</v>
      </c>
      <c r="T101" s="364" t="s">
        <v>88</v>
      </c>
      <c r="U101" s="364" t="s">
        <v>88</v>
      </c>
      <c r="V101" s="364" t="s">
        <v>88</v>
      </c>
      <c r="W101" s="364" t="s">
        <v>88</v>
      </c>
      <c r="X101" s="364" t="s">
        <v>88</v>
      </c>
      <c r="Y101" s="364" t="s">
        <v>88</v>
      </c>
      <c r="Z101" s="364" t="s">
        <v>724</v>
      </c>
      <c r="AA101" s="364" t="s">
        <v>649</v>
      </c>
      <c r="AB101" s="364" t="s">
        <v>649</v>
      </c>
      <c r="AC101" s="364" t="s">
        <v>649</v>
      </c>
      <c r="AD101" s="364" t="s">
        <v>649</v>
      </c>
      <c r="AE101" s="364" t="s">
        <v>88</v>
      </c>
      <c r="AF101" s="364" t="s">
        <v>88</v>
      </c>
      <c r="AG101" s="364" t="s">
        <v>88</v>
      </c>
      <c r="AH101" s="364" t="s">
        <v>88</v>
      </c>
      <c r="AI101" s="364" t="s">
        <v>1155</v>
      </c>
      <c r="AJ101" s="364" t="s">
        <v>648</v>
      </c>
      <c r="AK101" s="364" t="s">
        <v>647</v>
      </c>
      <c r="AL101" s="364" t="s">
        <v>646</v>
      </c>
      <c r="AM101" s="364" t="s">
        <v>668</v>
      </c>
      <c r="AN101" s="364" t="s">
        <v>644</v>
      </c>
    </row>
    <row r="102" spans="1:40" x14ac:dyDescent="0.3">
      <c r="A102" s="364" t="s">
        <v>2683</v>
      </c>
      <c r="B102" s="364" t="s">
        <v>661</v>
      </c>
      <c r="C102" s="364" t="s">
        <v>660</v>
      </c>
      <c r="D102" s="364" t="s">
        <v>90</v>
      </c>
      <c r="E102" s="364" t="s">
        <v>1132</v>
      </c>
      <c r="F102" s="364" t="s">
        <v>1132</v>
      </c>
      <c r="G102" s="364" t="s">
        <v>658</v>
      </c>
      <c r="H102" s="364" t="s">
        <v>2682</v>
      </c>
      <c r="I102" s="364" t="s">
        <v>2681</v>
      </c>
      <c r="J102" s="364" t="s">
        <v>673</v>
      </c>
      <c r="K102" s="364" t="s">
        <v>668</v>
      </c>
      <c r="L102" s="364" t="s">
        <v>190</v>
      </c>
      <c r="M102" s="364" t="s">
        <v>55</v>
      </c>
      <c r="N102" s="364" t="s">
        <v>654</v>
      </c>
      <c r="O102" s="364" t="s">
        <v>653</v>
      </c>
      <c r="P102" s="364" t="s">
        <v>198</v>
      </c>
      <c r="Q102" s="364" t="s">
        <v>652</v>
      </c>
      <c r="R102" s="364" t="s">
        <v>88</v>
      </c>
      <c r="S102" s="364" t="s">
        <v>88</v>
      </c>
      <c r="T102" s="364" t="s">
        <v>88</v>
      </c>
      <c r="U102" s="364" t="s">
        <v>88</v>
      </c>
      <c r="V102" s="364" t="s">
        <v>88</v>
      </c>
      <c r="W102" s="364" t="s">
        <v>88</v>
      </c>
      <c r="X102" s="364" t="s">
        <v>88</v>
      </c>
      <c r="Y102" s="364" t="s">
        <v>88</v>
      </c>
      <c r="Z102" s="364" t="s">
        <v>719</v>
      </c>
      <c r="AA102" s="364" t="s">
        <v>649</v>
      </c>
      <c r="AB102" s="364" t="s">
        <v>649</v>
      </c>
      <c r="AC102" s="364" t="s">
        <v>649</v>
      </c>
      <c r="AD102" s="364" t="s">
        <v>649</v>
      </c>
      <c r="AE102" s="364" t="s">
        <v>88</v>
      </c>
      <c r="AF102" s="364" t="s">
        <v>88</v>
      </c>
      <c r="AG102" s="364" t="s">
        <v>88</v>
      </c>
      <c r="AH102" s="364" t="s">
        <v>88</v>
      </c>
      <c r="AI102" s="364" t="s">
        <v>1155</v>
      </c>
      <c r="AJ102" s="364" t="s">
        <v>648</v>
      </c>
      <c r="AK102" s="364" t="s">
        <v>647</v>
      </c>
      <c r="AL102" s="364" t="s">
        <v>646</v>
      </c>
      <c r="AM102" s="364" t="s">
        <v>668</v>
      </c>
      <c r="AN102" s="364" t="s">
        <v>644</v>
      </c>
    </row>
    <row r="103" spans="1:40" x14ac:dyDescent="0.3">
      <c r="A103" s="364" t="s">
        <v>2680</v>
      </c>
      <c r="B103" s="364" t="s">
        <v>661</v>
      </c>
      <c r="C103" s="364" t="s">
        <v>1160</v>
      </c>
      <c r="D103" s="364" t="s">
        <v>87</v>
      </c>
      <c r="E103" s="364" t="s">
        <v>989</v>
      </c>
      <c r="F103" s="364" t="s">
        <v>989</v>
      </c>
      <c r="G103" s="364" t="s">
        <v>658</v>
      </c>
      <c r="H103" s="364" t="s">
        <v>2679</v>
      </c>
      <c r="I103" s="364" t="s">
        <v>88</v>
      </c>
      <c r="J103" s="364" t="s">
        <v>88</v>
      </c>
      <c r="K103" s="364" t="s">
        <v>88</v>
      </c>
      <c r="L103" s="364" t="s">
        <v>88</v>
      </c>
      <c r="M103" s="364" t="s">
        <v>138</v>
      </c>
      <c r="N103" s="364" t="s">
        <v>654</v>
      </c>
      <c r="O103" s="364" t="s">
        <v>653</v>
      </c>
      <c r="P103" s="364" t="s">
        <v>88</v>
      </c>
      <c r="Q103" s="364" t="s">
        <v>88</v>
      </c>
      <c r="R103" s="364" t="s">
        <v>88</v>
      </c>
      <c r="S103" s="364" t="s">
        <v>88</v>
      </c>
      <c r="T103" s="364" t="s">
        <v>88</v>
      </c>
      <c r="U103" s="364" t="s">
        <v>88</v>
      </c>
      <c r="V103" s="364" t="s">
        <v>88</v>
      </c>
      <c r="W103" s="364" t="s">
        <v>88</v>
      </c>
      <c r="X103" s="364" t="s">
        <v>88</v>
      </c>
      <c r="Y103" s="364" t="s">
        <v>88</v>
      </c>
      <c r="Z103" s="364" t="s">
        <v>88</v>
      </c>
      <c r="AA103" s="364" t="s">
        <v>649</v>
      </c>
      <c r="AB103" s="364" t="s">
        <v>88</v>
      </c>
      <c r="AC103" s="364" t="s">
        <v>88</v>
      </c>
      <c r="AD103" s="364" t="s">
        <v>88</v>
      </c>
      <c r="AE103" s="364" t="s">
        <v>88</v>
      </c>
      <c r="AF103" s="364" t="s">
        <v>88</v>
      </c>
      <c r="AG103" s="364" t="s">
        <v>88</v>
      </c>
      <c r="AH103" s="364" t="s">
        <v>88</v>
      </c>
      <c r="AI103" s="364" t="s">
        <v>2678</v>
      </c>
      <c r="AJ103" s="364" t="s">
        <v>793</v>
      </c>
      <c r="AK103" s="364" t="s">
        <v>88</v>
      </c>
      <c r="AL103" s="364" t="s">
        <v>88</v>
      </c>
      <c r="AM103" s="364" t="s">
        <v>88</v>
      </c>
      <c r="AN103" s="364" t="s">
        <v>792</v>
      </c>
    </row>
    <row r="104" spans="1:40" x14ac:dyDescent="0.3">
      <c r="A104" s="364" t="s">
        <v>2677</v>
      </c>
      <c r="B104" s="364" t="s">
        <v>661</v>
      </c>
      <c r="C104" s="364" t="s">
        <v>660</v>
      </c>
      <c r="D104" s="364" t="s">
        <v>90</v>
      </c>
      <c r="E104" s="364" t="s">
        <v>989</v>
      </c>
      <c r="F104" s="364" t="s">
        <v>989</v>
      </c>
      <c r="G104" s="364" t="s">
        <v>658</v>
      </c>
      <c r="H104" s="364" t="s">
        <v>2676</v>
      </c>
      <c r="I104" s="364" t="s">
        <v>2675</v>
      </c>
      <c r="J104" s="364" t="s">
        <v>673</v>
      </c>
      <c r="K104" s="364" t="s">
        <v>668</v>
      </c>
      <c r="L104" s="364" t="s">
        <v>190</v>
      </c>
      <c r="M104" s="364" t="s">
        <v>718</v>
      </c>
      <c r="N104" s="364" t="s">
        <v>654</v>
      </c>
      <c r="O104" s="364" t="s">
        <v>653</v>
      </c>
      <c r="P104" s="364" t="s">
        <v>198</v>
      </c>
      <c r="Q104" s="364" t="s">
        <v>652</v>
      </c>
      <c r="R104" s="364" t="s">
        <v>88</v>
      </c>
      <c r="S104" s="364" t="s">
        <v>88</v>
      </c>
      <c r="T104" s="364" t="s">
        <v>88</v>
      </c>
      <c r="U104" s="364" t="s">
        <v>88</v>
      </c>
      <c r="V104" s="364" t="s">
        <v>88</v>
      </c>
      <c r="W104" s="364" t="s">
        <v>88</v>
      </c>
      <c r="X104" s="364" t="s">
        <v>88</v>
      </c>
      <c r="Y104" s="364" t="s">
        <v>88</v>
      </c>
      <c r="Z104" s="364" t="s">
        <v>717</v>
      </c>
      <c r="AA104" s="364" t="s">
        <v>649</v>
      </c>
      <c r="AB104" s="364" t="s">
        <v>649</v>
      </c>
      <c r="AC104" s="364" t="s">
        <v>649</v>
      </c>
      <c r="AD104" s="364" t="s">
        <v>649</v>
      </c>
      <c r="AE104" s="364" t="s">
        <v>88</v>
      </c>
      <c r="AF104" s="364" t="s">
        <v>88</v>
      </c>
      <c r="AG104" s="364" t="s">
        <v>88</v>
      </c>
      <c r="AH104" s="364" t="s">
        <v>88</v>
      </c>
      <c r="AI104" s="364" t="s">
        <v>1155</v>
      </c>
      <c r="AJ104" s="364" t="s">
        <v>648</v>
      </c>
      <c r="AK104" s="364" t="s">
        <v>647</v>
      </c>
      <c r="AL104" s="364" t="s">
        <v>646</v>
      </c>
      <c r="AM104" s="364" t="s">
        <v>668</v>
      </c>
      <c r="AN104" s="364" t="s">
        <v>644</v>
      </c>
    </row>
    <row r="105" spans="1:40" x14ac:dyDescent="0.3">
      <c r="A105" s="364" t="s">
        <v>2677</v>
      </c>
      <c r="B105" s="364" t="s">
        <v>661</v>
      </c>
      <c r="C105" s="364" t="s">
        <v>660</v>
      </c>
      <c r="D105" s="364" t="s">
        <v>90</v>
      </c>
      <c r="E105" s="364" t="s">
        <v>989</v>
      </c>
      <c r="F105" s="364" t="s">
        <v>989</v>
      </c>
      <c r="G105" s="364" t="s">
        <v>658</v>
      </c>
      <c r="H105" s="364" t="s">
        <v>2676</v>
      </c>
      <c r="I105" s="364" t="s">
        <v>2675</v>
      </c>
      <c r="J105" s="364" t="s">
        <v>673</v>
      </c>
      <c r="K105" s="364" t="s">
        <v>668</v>
      </c>
      <c r="L105" s="364" t="s">
        <v>190</v>
      </c>
      <c r="M105" s="364" t="s">
        <v>725</v>
      </c>
      <c r="N105" s="364" t="s">
        <v>654</v>
      </c>
      <c r="O105" s="364" t="s">
        <v>653</v>
      </c>
      <c r="P105" s="364" t="s">
        <v>198</v>
      </c>
      <c r="Q105" s="364" t="s">
        <v>652</v>
      </c>
      <c r="R105" s="364" t="s">
        <v>88</v>
      </c>
      <c r="S105" s="364" t="s">
        <v>88</v>
      </c>
      <c r="T105" s="364" t="s">
        <v>88</v>
      </c>
      <c r="U105" s="364" t="s">
        <v>88</v>
      </c>
      <c r="V105" s="364" t="s">
        <v>88</v>
      </c>
      <c r="W105" s="364" t="s">
        <v>88</v>
      </c>
      <c r="X105" s="364" t="s">
        <v>88</v>
      </c>
      <c r="Y105" s="364" t="s">
        <v>88</v>
      </c>
      <c r="Z105" s="364" t="s">
        <v>724</v>
      </c>
      <c r="AA105" s="364" t="s">
        <v>649</v>
      </c>
      <c r="AB105" s="364" t="s">
        <v>649</v>
      </c>
      <c r="AC105" s="364" t="s">
        <v>649</v>
      </c>
      <c r="AD105" s="364" t="s">
        <v>649</v>
      </c>
      <c r="AE105" s="364" t="s">
        <v>88</v>
      </c>
      <c r="AF105" s="364" t="s">
        <v>88</v>
      </c>
      <c r="AG105" s="364" t="s">
        <v>88</v>
      </c>
      <c r="AH105" s="364" t="s">
        <v>88</v>
      </c>
      <c r="AI105" s="364" t="s">
        <v>1155</v>
      </c>
      <c r="AJ105" s="364" t="s">
        <v>648</v>
      </c>
      <c r="AK105" s="364" t="s">
        <v>647</v>
      </c>
      <c r="AL105" s="364" t="s">
        <v>646</v>
      </c>
      <c r="AM105" s="364" t="s">
        <v>668</v>
      </c>
      <c r="AN105" s="364" t="s">
        <v>644</v>
      </c>
    </row>
    <row r="106" spans="1:40" x14ac:dyDescent="0.3">
      <c r="A106" s="364" t="s">
        <v>2677</v>
      </c>
      <c r="B106" s="364" t="s">
        <v>661</v>
      </c>
      <c r="C106" s="364" t="s">
        <v>660</v>
      </c>
      <c r="D106" s="364" t="s">
        <v>90</v>
      </c>
      <c r="E106" s="364" t="s">
        <v>989</v>
      </c>
      <c r="F106" s="364" t="s">
        <v>989</v>
      </c>
      <c r="G106" s="364" t="s">
        <v>658</v>
      </c>
      <c r="H106" s="364" t="s">
        <v>2676</v>
      </c>
      <c r="I106" s="364" t="s">
        <v>2675</v>
      </c>
      <c r="J106" s="364" t="s">
        <v>673</v>
      </c>
      <c r="K106" s="364" t="s">
        <v>668</v>
      </c>
      <c r="L106" s="364" t="s">
        <v>190</v>
      </c>
      <c r="M106" s="364" t="s">
        <v>55</v>
      </c>
      <c r="N106" s="364" t="s">
        <v>654</v>
      </c>
      <c r="O106" s="364" t="s">
        <v>653</v>
      </c>
      <c r="P106" s="364" t="s">
        <v>198</v>
      </c>
      <c r="Q106" s="364" t="s">
        <v>652</v>
      </c>
      <c r="R106" s="364" t="s">
        <v>88</v>
      </c>
      <c r="S106" s="364" t="s">
        <v>88</v>
      </c>
      <c r="T106" s="364" t="s">
        <v>88</v>
      </c>
      <c r="U106" s="364" t="s">
        <v>88</v>
      </c>
      <c r="V106" s="364" t="s">
        <v>88</v>
      </c>
      <c r="W106" s="364" t="s">
        <v>88</v>
      </c>
      <c r="X106" s="364" t="s">
        <v>88</v>
      </c>
      <c r="Y106" s="364" t="s">
        <v>88</v>
      </c>
      <c r="Z106" s="364" t="s">
        <v>719</v>
      </c>
      <c r="AA106" s="364" t="s">
        <v>649</v>
      </c>
      <c r="AB106" s="364" t="s">
        <v>649</v>
      </c>
      <c r="AC106" s="364" t="s">
        <v>649</v>
      </c>
      <c r="AD106" s="364" t="s">
        <v>649</v>
      </c>
      <c r="AE106" s="364" t="s">
        <v>88</v>
      </c>
      <c r="AF106" s="364" t="s">
        <v>88</v>
      </c>
      <c r="AG106" s="364" t="s">
        <v>88</v>
      </c>
      <c r="AH106" s="364" t="s">
        <v>88</v>
      </c>
      <c r="AI106" s="364" t="s">
        <v>1155</v>
      </c>
      <c r="AJ106" s="364" t="s">
        <v>648</v>
      </c>
      <c r="AK106" s="364" t="s">
        <v>647</v>
      </c>
      <c r="AL106" s="364" t="s">
        <v>646</v>
      </c>
      <c r="AM106" s="364" t="s">
        <v>668</v>
      </c>
      <c r="AN106" s="364" t="s">
        <v>644</v>
      </c>
    </row>
    <row r="107" spans="1:40" x14ac:dyDescent="0.3">
      <c r="A107" s="364" t="s">
        <v>2674</v>
      </c>
      <c r="B107" s="364" t="s">
        <v>661</v>
      </c>
      <c r="C107" s="364" t="s">
        <v>660</v>
      </c>
      <c r="D107" s="364" t="s">
        <v>90</v>
      </c>
      <c r="E107" s="364" t="s">
        <v>1035</v>
      </c>
      <c r="F107" s="364" t="s">
        <v>1035</v>
      </c>
      <c r="G107" s="364" t="s">
        <v>658</v>
      </c>
      <c r="H107" s="364" t="s">
        <v>2673</v>
      </c>
      <c r="I107" s="364" t="s">
        <v>2672</v>
      </c>
      <c r="J107" s="364" t="s">
        <v>673</v>
      </c>
      <c r="K107" s="364" t="s">
        <v>668</v>
      </c>
      <c r="L107" s="364" t="s">
        <v>190</v>
      </c>
      <c r="M107" s="364" t="s">
        <v>718</v>
      </c>
      <c r="N107" s="364" t="s">
        <v>654</v>
      </c>
      <c r="O107" s="364" t="s">
        <v>653</v>
      </c>
      <c r="P107" s="364" t="s">
        <v>198</v>
      </c>
      <c r="Q107" s="364" t="s">
        <v>652</v>
      </c>
      <c r="R107" s="364" t="s">
        <v>88</v>
      </c>
      <c r="S107" s="364" t="s">
        <v>88</v>
      </c>
      <c r="T107" s="364" t="s">
        <v>88</v>
      </c>
      <c r="U107" s="364" t="s">
        <v>88</v>
      </c>
      <c r="V107" s="364" t="s">
        <v>88</v>
      </c>
      <c r="W107" s="364" t="s">
        <v>88</v>
      </c>
      <c r="X107" s="364" t="s">
        <v>88</v>
      </c>
      <c r="Y107" s="364" t="s">
        <v>88</v>
      </c>
      <c r="Z107" s="364" t="s">
        <v>717</v>
      </c>
      <c r="AA107" s="364" t="s">
        <v>649</v>
      </c>
      <c r="AB107" s="364" t="s">
        <v>649</v>
      </c>
      <c r="AC107" s="364" t="s">
        <v>649</v>
      </c>
      <c r="AD107" s="364" t="s">
        <v>649</v>
      </c>
      <c r="AE107" s="364" t="s">
        <v>88</v>
      </c>
      <c r="AF107" s="364" t="s">
        <v>88</v>
      </c>
      <c r="AG107" s="364" t="s">
        <v>88</v>
      </c>
      <c r="AH107" s="364" t="s">
        <v>88</v>
      </c>
      <c r="AI107" s="364" t="s">
        <v>1155</v>
      </c>
      <c r="AJ107" s="364" t="s">
        <v>648</v>
      </c>
      <c r="AK107" s="364" t="s">
        <v>647</v>
      </c>
      <c r="AL107" s="364" t="s">
        <v>646</v>
      </c>
      <c r="AM107" s="364" t="s">
        <v>668</v>
      </c>
      <c r="AN107" s="364" t="s">
        <v>644</v>
      </c>
    </row>
    <row r="108" spans="1:40" x14ac:dyDescent="0.3">
      <c r="A108" s="364" t="s">
        <v>2674</v>
      </c>
      <c r="B108" s="364" t="s">
        <v>661</v>
      </c>
      <c r="C108" s="364" t="s">
        <v>660</v>
      </c>
      <c r="D108" s="364" t="s">
        <v>90</v>
      </c>
      <c r="E108" s="364" t="s">
        <v>1035</v>
      </c>
      <c r="F108" s="364" t="s">
        <v>1035</v>
      </c>
      <c r="G108" s="364" t="s">
        <v>658</v>
      </c>
      <c r="H108" s="364" t="s">
        <v>2673</v>
      </c>
      <c r="I108" s="364" t="s">
        <v>2672</v>
      </c>
      <c r="J108" s="364" t="s">
        <v>673</v>
      </c>
      <c r="K108" s="364" t="s">
        <v>668</v>
      </c>
      <c r="L108" s="364" t="s">
        <v>190</v>
      </c>
      <c r="M108" s="364" t="s">
        <v>725</v>
      </c>
      <c r="N108" s="364" t="s">
        <v>654</v>
      </c>
      <c r="O108" s="364" t="s">
        <v>653</v>
      </c>
      <c r="P108" s="364" t="s">
        <v>198</v>
      </c>
      <c r="Q108" s="364" t="s">
        <v>652</v>
      </c>
      <c r="R108" s="364" t="s">
        <v>88</v>
      </c>
      <c r="S108" s="364" t="s">
        <v>88</v>
      </c>
      <c r="T108" s="364" t="s">
        <v>88</v>
      </c>
      <c r="U108" s="364" t="s">
        <v>88</v>
      </c>
      <c r="V108" s="364" t="s">
        <v>88</v>
      </c>
      <c r="W108" s="364" t="s">
        <v>88</v>
      </c>
      <c r="X108" s="364" t="s">
        <v>88</v>
      </c>
      <c r="Y108" s="364" t="s">
        <v>88</v>
      </c>
      <c r="Z108" s="364" t="s">
        <v>724</v>
      </c>
      <c r="AA108" s="364" t="s">
        <v>649</v>
      </c>
      <c r="AB108" s="364" t="s">
        <v>649</v>
      </c>
      <c r="AC108" s="364" t="s">
        <v>649</v>
      </c>
      <c r="AD108" s="364" t="s">
        <v>649</v>
      </c>
      <c r="AE108" s="364" t="s">
        <v>88</v>
      </c>
      <c r="AF108" s="364" t="s">
        <v>88</v>
      </c>
      <c r="AG108" s="364" t="s">
        <v>88</v>
      </c>
      <c r="AH108" s="364" t="s">
        <v>88</v>
      </c>
      <c r="AI108" s="364" t="s">
        <v>1155</v>
      </c>
      <c r="AJ108" s="364" t="s">
        <v>648</v>
      </c>
      <c r="AK108" s="364" t="s">
        <v>647</v>
      </c>
      <c r="AL108" s="364" t="s">
        <v>646</v>
      </c>
      <c r="AM108" s="364" t="s">
        <v>668</v>
      </c>
      <c r="AN108" s="364" t="s">
        <v>644</v>
      </c>
    </row>
    <row r="109" spans="1:40" x14ac:dyDescent="0.3">
      <c r="A109" s="364" t="s">
        <v>2674</v>
      </c>
      <c r="B109" s="364" t="s">
        <v>661</v>
      </c>
      <c r="C109" s="364" t="s">
        <v>660</v>
      </c>
      <c r="D109" s="364" t="s">
        <v>90</v>
      </c>
      <c r="E109" s="364" t="s">
        <v>1035</v>
      </c>
      <c r="F109" s="364" t="s">
        <v>1035</v>
      </c>
      <c r="G109" s="364" t="s">
        <v>658</v>
      </c>
      <c r="H109" s="364" t="s">
        <v>2673</v>
      </c>
      <c r="I109" s="364" t="s">
        <v>2672</v>
      </c>
      <c r="J109" s="364" t="s">
        <v>673</v>
      </c>
      <c r="K109" s="364" t="s">
        <v>668</v>
      </c>
      <c r="L109" s="364" t="s">
        <v>190</v>
      </c>
      <c r="M109" s="364" t="s">
        <v>55</v>
      </c>
      <c r="N109" s="364" t="s">
        <v>654</v>
      </c>
      <c r="O109" s="364" t="s">
        <v>653</v>
      </c>
      <c r="P109" s="364" t="s">
        <v>198</v>
      </c>
      <c r="Q109" s="364" t="s">
        <v>652</v>
      </c>
      <c r="R109" s="364" t="s">
        <v>88</v>
      </c>
      <c r="S109" s="364" t="s">
        <v>88</v>
      </c>
      <c r="T109" s="364" t="s">
        <v>88</v>
      </c>
      <c r="U109" s="364" t="s">
        <v>88</v>
      </c>
      <c r="V109" s="364" t="s">
        <v>88</v>
      </c>
      <c r="W109" s="364" t="s">
        <v>88</v>
      </c>
      <c r="X109" s="364" t="s">
        <v>88</v>
      </c>
      <c r="Y109" s="364" t="s">
        <v>88</v>
      </c>
      <c r="Z109" s="364" t="s">
        <v>719</v>
      </c>
      <c r="AA109" s="364" t="s">
        <v>649</v>
      </c>
      <c r="AB109" s="364" t="s">
        <v>649</v>
      </c>
      <c r="AC109" s="364" t="s">
        <v>649</v>
      </c>
      <c r="AD109" s="364" t="s">
        <v>649</v>
      </c>
      <c r="AE109" s="364" t="s">
        <v>88</v>
      </c>
      <c r="AF109" s="364" t="s">
        <v>88</v>
      </c>
      <c r="AG109" s="364" t="s">
        <v>88</v>
      </c>
      <c r="AH109" s="364" t="s">
        <v>88</v>
      </c>
      <c r="AI109" s="364" t="s">
        <v>1155</v>
      </c>
      <c r="AJ109" s="364" t="s">
        <v>648</v>
      </c>
      <c r="AK109" s="364" t="s">
        <v>647</v>
      </c>
      <c r="AL109" s="364" t="s">
        <v>646</v>
      </c>
      <c r="AM109" s="364" t="s">
        <v>668</v>
      </c>
      <c r="AN109" s="364" t="s">
        <v>644</v>
      </c>
    </row>
    <row r="110" spans="1:40" x14ac:dyDescent="0.3">
      <c r="A110" s="364" t="s">
        <v>2671</v>
      </c>
      <c r="B110" s="364" t="s">
        <v>661</v>
      </c>
      <c r="C110" s="364" t="s">
        <v>1160</v>
      </c>
      <c r="D110" s="364" t="s">
        <v>87</v>
      </c>
      <c r="E110" s="364" t="s">
        <v>833</v>
      </c>
      <c r="F110" s="364" t="s">
        <v>833</v>
      </c>
      <c r="G110" s="364" t="s">
        <v>658</v>
      </c>
      <c r="H110" s="364" t="s">
        <v>2670</v>
      </c>
      <c r="I110" s="364" t="s">
        <v>88</v>
      </c>
      <c r="J110" s="364" t="s">
        <v>88</v>
      </c>
      <c r="K110" s="364" t="s">
        <v>88</v>
      </c>
      <c r="L110" s="364" t="s">
        <v>88</v>
      </c>
      <c r="M110" s="364" t="s">
        <v>138</v>
      </c>
      <c r="N110" s="364" t="s">
        <v>654</v>
      </c>
      <c r="O110" s="364" t="s">
        <v>653</v>
      </c>
      <c r="P110" s="364" t="s">
        <v>88</v>
      </c>
      <c r="Q110" s="364" t="s">
        <v>88</v>
      </c>
      <c r="R110" s="364" t="s">
        <v>88</v>
      </c>
      <c r="S110" s="364" t="s">
        <v>88</v>
      </c>
      <c r="T110" s="364" t="s">
        <v>88</v>
      </c>
      <c r="U110" s="364" t="s">
        <v>88</v>
      </c>
      <c r="V110" s="364" t="s">
        <v>88</v>
      </c>
      <c r="W110" s="364" t="s">
        <v>88</v>
      </c>
      <c r="X110" s="364" t="s">
        <v>88</v>
      </c>
      <c r="Y110" s="364" t="s">
        <v>88</v>
      </c>
      <c r="Z110" s="364" t="s">
        <v>88</v>
      </c>
      <c r="AA110" s="364" t="s">
        <v>649</v>
      </c>
      <c r="AB110" s="364" t="s">
        <v>88</v>
      </c>
      <c r="AC110" s="364" t="s">
        <v>88</v>
      </c>
      <c r="AD110" s="364" t="s">
        <v>88</v>
      </c>
      <c r="AE110" s="364" t="s">
        <v>88</v>
      </c>
      <c r="AF110" s="364" t="s">
        <v>88</v>
      </c>
      <c r="AG110" s="364" t="s">
        <v>88</v>
      </c>
      <c r="AH110" s="364" t="s">
        <v>88</v>
      </c>
      <c r="AI110" s="364" t="s">
        <v>2669</v>
      </c>
      <c r="AJ110" s="364" t="s">
        <v>793</v>
      </c>
      <c r="AK110" s="364" t="s">
        <v>88</v>
      </c>
      <c r="AL110" s="364" t="s">
        <v>88</v>
      </c>
      <c r="AM110" s="364" t="s">
        <v>88</v>
      </c>
      <c r="AN110" s="364" t="s">
        <v>792</v>
      </c>
    </row>
    <row r="111" spans="1:40" x14ac:dyDescent="0.3">
      <c r="A111" s="364" t="s">
        <v>2668</v>
      </c>
      <c r="B111" s="364" t="s">
        <v>661</v>
      </c>
      <c r="C111" s="364" t="s">
        <v>677</v>
      </c>
      <c r="D111" s="364" t="s">
        <v>87</v>
      </c>
      <c r="E111" s="364" t="s">
        <v>833</v>
      </c>
      <c r="F111" s="364" t="s">
        <v>833</v>
      </c>
      <c r="G111" s="364" t="s">
        <v>658</v>
      </c>
      <c r="H111" s="364" t="s">
        <v>2667</v>
      </c>
      <c r="I111" s="364" t="s">
        <v>2666</v>
      </c>
      <c r="J111" s="364" t="s">
        <v>88</v>
      </c>
      <c r="K111" s="364" t="s">
        <v>88</v>
      </c>
      <c r="L111" s="364" t="s">
        <v>88</v>
      </c>
      <c r="M111" s="364" t="s">
        <v>138</v>
      </c>
      <c r="N111" s="364" t="s">
        <v>654</v>
      </c>
      <c r="O111" s="364" t="s">
        <v>653</v>
      </c>
      <c r="P111" s="364" t="s">
        <v>88</v>
      </c>
      <c r="Q111" s="364" t="s">
        <v>88</v>
      </c>
      <c r="R111" s="364" t="s">
        <v>88</v>
      </c>
      <c r="S111" s="364" t="s">
        <v>88</v>
      </c>
      <c r="T111" s="364" t="s">
        <v>88</v>
      </c>
      <c r="U111" s="364" t="s">
        <v>88</v>
      </c>
      <c r="V111" s="364" t="s">
        <v>88</v>
      </c>
      <c r="W111" s="364" t="s">
        <v>88</v>
      </c>
      <c r="X111" s="364" t="s">
        <v>88</v>
      </c>
      <c r="Y111" s="364" t="s">
        <v>88</v>
      </c>
      <c r="Z111" s="364" t="s">
        <v>88</v>
      </c>
      <c r="AA111" s="364" t="s">
        <v>649</v>
      </c>
      <c r="AB111" s="364" t="s">
        <v>88</v>
      </c>
      <c r="AC111" s="364" t="s">
        <v>88</v>
      </c>
      <c r="AD111" s="364" t="s">
        <v>88</v>
      </c>
      <c r="AE111" s="364" t="s">
        <v>88</v>
      </c>
      <c r="AF111" s="364" t="s">
        <v>88</v>
      </c>
      <c r="AG111" s="364" t="s">
        <v>88</v>
      </c>
      <c r="AH111" s="364" t="s">
        <v>88</v>
      </c>
      <c r="AI111" s="364" t="s">
        <v>2665</v>
      </c>
      <c r="AJ111" s="364" t="s">
        <v>793</v>
      </c>
      <c r="AK111" s="364" t="s">
        <v>2466</v>
      </c>
      <c r="AL111" s="364" t="s">
        <v>88</v>
      </c>
      <c r="AM111" s="364" t="s">
        <v>88</v>
      </c>
      <c r="AN111" s="364" t="s">
        <v>792</v>
      </c>
    </row>
    <row r="112" spans="1:40" x14ac:dyDescent="0.3">
      <c r="A112" s="364" t="s">
        <v>2664</v>
      </c>
      <c r="B112" s="364" t="s">
        <v>661</v>
      </c>
      <c r="C112" s="364" t="s">
        <v>660</v>
      </c>
      <c r="D112" s="364" t="s">
        <v>87</v>
      </c>
      <c r="E112" s="364" t="s">
        <v>833</v>
      </c>
      <c r="F112" s="364" t="s">
        <v>833</v>
      </c>
      <c r="G112" s="364" t="s">
        <v>658</v>
      </c>
      <c r="H112" s="364" t="s">
        <v>2663</v>
      </c>
      <c r="I112" s="364" t="s">
        <v>2662</v>
      </c>
      <c r="J112" s="364" t="s">
        <v>88</v>
      </c>
      <c r="K112" s="364" t="s">
        <v>88</v>
      </c>
      <c r="L112" s="364" t="s">
        <v>88</v>
      </c>
      <c r="M112" s="364" t="s">
        <v>138</v>
      </c>
      <c r="N112" s="364" t="s">
        <v>654</v>
      </c>
      <c r="O112" s="364" t="s">
        <v>653</v>
      </c>
      <c r="P112" s="364" t="s">
        <v>88</v>
      </c>
      <c r="Q112" s="364" t="s">
        <v>88</v>
      </c>
      <c r="R112" s="364" t="s">
        <v>88</v>
      </c>
      <c r="S112" s="364" t="s">
        <v>88</v>
      </c>
      <c r="T112" s="364" t="s">
        <v>88</v>
      </c>
      <c r="U112" s="364" t="s">
        <v>88</v>
      </c>
      <c r="V112" s="364" t="s">
        <v>88</v>
      </c>
      <c r="W112" s="364" t="s">
        <v>88</v>
      </c>
      <c r="X112" s="364" t="s">
        <v>88</v>
      </c>
      <c r="Y112" s="364" t="s">
        <v>88</v>
      </c>
      <c r="Z112" s="364" t="s">
        <v>88</v>
      </c>
      <c r="AA112" s="364" t="s">
        <v>649</v>
      </c>
      <c r="AB112" s="364" t="s">
        <v>88</v>
      </c>
      <c r="AC112" s="364" t="s">
        <v>88</v>
      </c>
      <c r="AD112" s="364" t="s">
        <v>88</v>
      </c>
      <c r="AE112" s="364" t="s">
        <v>88</v>
      </c>
      <c r="AF112" s="364" t="s">
        <v>88</v>
      </c>
      <c r="AG112" s="364" t="s">
        <v>88</v>
      </c>
      <c r="AH112" s="364" t="s">
        <v>88</v>
      </c>
      <c r="AI112" s="364" t="s">
        <v>2661</v>
      </c>
      <c r="AJ112" s="364" t="s">
        <v>793</v>
      </c>
      <c r="AK112" s="364" t="s">
        <v>2466</v>
      </c>
      <c r="AL112" s="364" t="s">
        <v>2465</v>
      </c>
      <c r="AM112" s="364" t="s">
        <v>88</v>
      </c>
      <c r="AN112" s="364" t="s">
        <v>792</v>
      </c>
    </row>
    <row r="113" spans="1:40" x14ac:dyDescent="0.3">
      <c r="A113" s="364" t="s">
        <v>2660</v>
      </c>
      <c r="B113" s="364" t="s">
        <v>661</v>
      </c>
      <c r="C113" s="364" t="s">
        <v>660</v>
      </c>
      <c r="D113" s="364" t="s">
        <v>90</v>
      </c>
      <c r="E113" s="364" t="s">
        <v>833</v>
      </c>
      <c r="F113" s="364" t="s">
        <v>833</v>
      </c>
      <c r="G113" s="364" t="s">
        <v>658</v>
      </c>
      <c r="H113" s="364" t="s">
        <v>2659</v>
      </c>
      <c r="I113" s="364" t="s">
        <v>2658</v>
      </c>
      <c r="J113" s="364" t="s">
        <v>673</v>
      </c>
      <c r="K113" s="364" t="s">
        <v>668</v>
      </c>
      <c r="L113" s="364" t="s">
        <v>190</v>
      </c>
      <c r="M113" s="364" t="s">
        <v>718</v>
      </c>
      <c r="N113" s="364" t="s">
        <v>654</v>
      </c>
      <c r="O113" s="364" t="s">
        <v>653</v>
      </c>
      <c r="P113" s="364" t="s">
        <v>198</v>
      </c>
      <c r="Q113" s="364" t="s">
        <v>652</v>
      </c>
      <c r="R113" s="364" t="s">
        <v>88</v>
      </c>
      <c r="S113" s="364" t="s">
        <v>88</v>
      </c>
      <c r="T113" s="364" t="s">
        <v>88</v>
      </c>
      <c r="U113" s="364" t="s">
        <v>88</v>
      </c>
      <c r="V113" s="364" t="s">
        <v>88</v>
      </c>
      <c r="W113" s="364" t="s">
        <v>88</v>
      </c>
      <c r="X113" s="364" t="s">
        <v>88</v>
      </c>
      <c r="Y113" s="364" t="s">
        <v>88</v>
      </c>
      <c r="Z113" s="364" t="s">
        <v>717</v>
      </c>
      <c r="AA113" s="364" t="s">
        <v>649</v>
      </c>
      <c r="AB113" s="364" t="s">
        <v>649</v>
      </c>
      <c r="AC113" s="364" t="s">
        <v>649</v>
      </c>
      <c r="AD113" s="364" t="s">
        <v>649</v>
      </c>
      <c r="AE113" s="364" t="s">
        <v>88</v>
      </c>
      <c r="AF113" s="364" t="s">
        <v>88</v>
      </c>
      <c r="AG113" s="364" t="s">
        <v>88</v>
      </c>
      <c r="AH113" s="364" t="s">
        <v>88</v>
      </c>
      <c r="AI113" s="364" t="s">
        <v>1155</v>
      </c>
      <c r="AJ113" s="364" t="s">
        <v>648</v>
      </c>
      <c r="AK113" s="364" t="s">
        <v>647</v>
      </c>
      <c r="AL113" s="364" t="s">
        <v>646</v>
      </c>
      <c r="AM113" s="364" t="s">
        <v>668</v>
      </c>
      <c r="AN113" s="364" t="s">
        <v>644</v>
      </c>
    </row>
    <row r="114" spans="1:40" x14ac:dyDescent="0.3">
      <c r="A114" s="364" t="s">
        <v>2660</v>
      </c>
      <c r="B114" s="364" t="s">
        <v>661</v>
      </c>
      <c r="C114" s="364" t="s">
        <v>660</v>
      </c>
      <c r="D114" s="364" t="s">
        <v>90</v>
      </c>
      <c r="E114" s="364" t="s">
        <v>833</v>
      </c>
      <c r="F114" s="364" t="s">
        <v>833</v>
      </c>
      <c r="G114" s="364" t="s">
        <v>658</v>
      </c>
      <c r="H114" s="364" t="s">
        <v>2659</v>
      </c>
      <c r="I114" s="364" t="s">
        <v>2658</v>
      </c>
      <c r="J114" s="364" t="s">
        <v>673</v>
      </c>
      <c r="K114" s="364" t="s">
        <v>668</v>
      </c>
      <c r="L114" s="364" t="s">
        <v>190</v>
      </c>
      <c r="M114" s="364" t="s">
        <v>725</v>
      </c>
      <c r="N114" s="364" t="s">
        <v>654</v>
      </c>
      <c r="O114" s="364" t="s">
        <v>653</v>
      </c>
      <c r="P114" s="364" t="s">
        <v>198</v>
      </c>
      <c r="Q114" s="364" t="s">
        <v>652</v>
      </c>
      <c r="R114" s="364" t="s">
        <v>88</v>
      </c>
      <c r="S114" s="364" t="s">
        <v>88</v>
      </c>
      <c r="T114" s="364" t="s">
        <v>88</v>
      </c>
      <c r="U114" s="364" t="s">
        <v>88</v>
      </c>
      <c r="V114" s="364" t="s">
        <v>88</v>
      </c>
      <c r="W114" s="364" t="s">
        <v>88</v>
      </c>
      <c r="X114" s="364" t="s">
        <v>88</v>
      </c>
      <c r="Y114" s="364" t="s">
        <v>88</v>
      </c>
      <c r="Z114" s="364" t="s">
        <v>724</v>
      </c>
      <c r="AA114" s="364" t="s">
        <v>649</v>
      </c>
      <c r="AB114" s="364" t="s">
        <v>649</v>
      </c>
      <c r="AC114" s="364" t="s">
        <v>649</v>
      </c>
      <c r="AD114" s="364" t="s">
        <v>649</v>
      </c>
      <c r="AE114" s="364" t="s">
        <v>88</v>
      </c>
      <c r="AF114" s="364" t="s">
        <v>88</v>
      </c>
      <c r="AG114" s="364" t="s">
        <v>88</v>
      </c>
      <c r="AH114" s="364" t="s">
        <v>88</v>
      </c>
      <c r="AI114" s="364" t="s">
        <v>1155</v>
      </c>
      <c r="AJ114" s="364" t="s">
        <v>648</v>
      </c>
      <c r="AK114" s="364" t="s">
        <v>647</v>
      </c>
      <c r="AL114" s="364" t="s">
        <v>646</v>
      </c>
      <c r="AM114" s="364" t="s">
        <v>668</v>
      </c>
      <c r="AN114" s="364" t="s">
        <v>644</v>
      </c>
    </row>
    <row r="115" spans="1:40" x14ac:dyDescent="0.3">
      <c r="A115" s="364" t="s">
        <v>2660</v>
      </c>
      <c r="B115" s="364" t="s">
        <v>661</v>
      </c>
      <c r="C115" s="364" t="s">
        <v>660</v>
      </c>
      <c r="D115" s="364" t="s">
        <v>90</v>
      </c>
      <c r="E115" s="364" t="s">
        <v>833</v>
      </c>
      <c r="F115" s="364" t="s">
        <v>833</v>
      </c>
      <c r="G115" s="364" t="s">
        <v>658</v>
      </c>
      <c r="H115" s="364" t="s">
        <v>2659</v>
      </c>
      <c r="I115" s="364" t="s">
        <v>2658</v>
      </c>
      <c r="J115" s="364" t="s">
        <v>673</v>
      </c>
      <c r="K115" s="364" t="s">
        <v>668</v>
      </c>
      <c r="L115" s="364" t="s">
        <v>190</v>
      </c>
      <c r="M115" s="364" t="s">
        <v>55</v>
      </c>
      <c r="N115" s="364" t="s">
        <v>654</v>
      </c>
      <c r="O115" s="364" t="s">
        <v>653</v>
      </c>
      <c r="P115" s="364" t="s">
        <v>198</v>
      </c>
      <c r="Q115" s="364" t="s">
        <v>652</v>
      </c>
      <c r="R115" s="364" t="s">
        <v>88</v>
      </c>
      <c r="S115" s="364" t="s">
        <v>88</v>
      </c>
      <c r="T115" s="364" t="s">
        <v>88</v>
      </c>
      <c r="U115" s="364" t="s">
        <v>88</v>
      </c>
      <c r="V115" s="364" t="s">
        <v>88</v>
      </c>
      <c r="W115" s="364" t="s">
        <v>88</v>
      </c>
      <c r="X115" s="364" t="s">
        <v>88</v>
      </c>
      <c r="Y115" s="364" t="s">
        <v>88</v>
      </c>
      <c r="Z115" s="364" t="s">
        <v>719</v>
      </c>
      <c r="AA115" s="364" t="s">
        <v>649</v>
      </c>
      <c r="AB115" s="364" t="s">
        <v>649</v>
      </c>
      <c r="AC115" s="364" t="s">
        <v>649</v>
      </c>
      <c r="AD115" s="364" t="s">
        <v>649</v>
      </c>
      <c r="AE115" s="364" t="s">
        <v>88</v>
      </c>
      <c r="AF115" s="364" t="s">
        <v>88</v>
      </c>
      <c r="AG115" s="364" t="s">
        <v>88</v>
      </c>
      <c r="AH115" s="364" t="s">
        <v>88</v>
      </c>
      <c r="AI115" s="364" t="s">
        <v>1155</v>
      </c>
      <c r="AJ115" s="364" t="s">
        <v>648</v>
      </c>
      <c r="AK115" s="364" t="s">
        <v>647</v>
      </c>
      <c r="AL115" s="364" t="s">
        <v>646</v>
      </c>
      <c r="AM115" s="364" t="s">
        <v>668</v>
      </c>
      <c r="AN115" s="364" t="s">
        <v>644</v>
      </c>
    </row>
    <row r="116" spans="1:40" x14ac:dyDescent="0.3">
      <c r="A116" s="364" t="s">
        <v>2657</v>
      </c>
      <c r="B116" s="364" t="s">
        <v>661</v>
      </c>
      <c r="C116" s="364" t="s">
        <v>660</v>
      </c>
      <c r="D116" s="364" t="s">
        <v>90</v>
      </c>
      <c r="E116" s="364" t="s">
        <v>957</v>
      </c>
      <c r="F116" s="364" t="s">
        <v>957</v>
      </c>
      <c r="G116" s="364" t="s">
        <v>658</v>
      </c>
      <c r="H116" s="364" t="s">
        <v>2656</v>
      </c>
      <c r="I116" s="364" t="s">
        <v>2655</v>
      </c>
      <c r="J116" s="364" t="s">
        <v>673</v>
      </c>
      <c r="K116" s="364" t="s">
        <v>668</v>
      </c>
      <c r="L116" s="364" t="s">
        <v>190</v>
      </c>
      <c r="M116" s="364" t="s">
        <v>718</v>
      </c>
      <c r="N116" s="364" t="s">
        <v>654</v>
      </c>
      <c r="O116" s="364" t="s">
        <v>653</v>
      </c>
      <c r="P116" s="364" t="s">
        <v>198</v>
      </c>
      <c r="Q116" s="364" t="s">
        <v>652</v>
      </c>
      <c r="R116" s="364" t="s">
        <v>88</v>
      </c>
      <c r="S116" s="364" t="s">
        <v>88</v>
      </c>
      <c r="T116" s="364" t="s">
        <v>88</v>
      </c>
      <c r="U116" s="364" t="s">
        <v>88</v>
      </c>
      <c r="V116" s="364" t="s">
        <v>88</v>
      </c>
      <c r="W116" s="364" t="s">
        <v>88</v>
      </c>
      <c r="X116" s="364" t="s">
        <v>88</v>
      </c>
      <c r="Y116" s="364" t="s">
        <v>88</v>
      </c>
      <c r="Z116" s="364" t="s">
        <v>717</v>
      </c>
      <c r="AA116" s="364" t="s">
        <v>649</v>
      </c>
      <c r="AB116" s="364" t="s">
        <v>649</v>
      </c>
      <c r="AC116" s="364" t="s">
        <v>649</v>
      </c>
      <c r="AD116" s="364" t="s">
        <v>649</v>
      </c>
      <c r="AE116" s="364" t="s">
        <v>88</v>
      </c>
      <c r="AF116" s="364" t="s">
        <v>88</v>
      </c>
      <c r="AG116" s="364" t="s">
        <v>88</v>
      </c>
      <c r="AH116" s="364" t="s">
        <v>88</v>
      </c>
      <c r="AI116" s="364" t="s">
        <v>1155</v>
      </c>
      <c r="AJ116" s="364" t="s">
        <v>648</v>
      </c>
      <c r="AK116" s="364" t="s">
        <v>647</v>
      </c>
      <c r="AL116" s="364" t="s">
        <v>646</v>
      </c>
      <c r="AM116" s="364" t="s">
        <v>668</v>
      </c>
      <c r="AN116" s="364" t="s">
        <v>644</v>
      </c>
    </row>
    <row r="117" spans="1:40" x14ac:dyDescent="0.3">
      <c r="A117" s="364" t="s">
        <v>2657</v>
      </c>
      <c r="B117" s="364" t="s">
        <v>661</v>
      </c>
      <c r="C117" s="364" t="s">
        <v>660</v>
      </c>
      <c r="D117" s="364" t="s">
        <v>90</v>
      </c>
      <c r="E117" s="364" t="s">
        <v>957</v>
      </c>
      <c r="F117" s="364" t="s">
        <v>957</v>
      </c>
      <c r="G117" s="364" t="s">
        <v>658</v>
      </c>
      <c r="H117" s="364" t="s">
        <v>2656</v>
      </c>
      <c r="I117" s="364" t="s">
        <v>2655</v>
      </c>
      <c r="J117" s="364" t="s">
        <v>673</v>
      </c>
      <c r="K117" s="364" t="s">
        <v>668</v>
      </c>
      <c r="L117" s="364" t="s">
        <v>190</v>
      </c>
      <c r="M117" s="364" t="s">
        <v>725</v>
      </c>
      <c r="N117" s="364" t="s">
        <v>654</v>
      </c>
      <c r="O117" s="364" t="s">
        <v>653</v>
      </c>
      <c r="P117" s="364" t="s">
        <v>198</v>
      </c>
      <c r="Q117" s="364" t="s">
        <v>652</v>
      </c>
      <c r="R117" s="364" t="s">
        <v>88</v>
      </c>
      <c r="S117" s="364" t="s">
        <v>88</v>
      </c>
      <c r="T117" s="364" t="s">
        <v>88</v>
      </c>
      <c r="U117" s="364" t="s">
        <v>88</v>
      </c>
      <c r="V117" s="364" t="s">
        <v>88</v>
      </c>
      <c r="W117" s="364" t="s">
        <v>88</v>
      </c>
      <c r="X117" s="364" t="s">
        <v>88</v>
      </c>
      <c r="Y117" s="364" t="s">
        <v>88</v>
      </c>
      <c r="Z117" s="364" t="s">
        <v>724</v>
      </c>
      <c r="AA117" s="364" t="s">
        <v>649</v>
      </c>
      <c r="AB117" s="364" t="s">
        <v>649</v>
      </c>
      <c r="AC117" s="364" t="s">
        <v>649</v>
      </c>
      <c r="AD117" s="364" t="s">
        <v>649</v>
      </c>
      <c r="AE117" s="364" t="s">
        <v>88</v>
      </c>
      <c r="AF117" s="364" t="s">
        <v>88</v>
      </c>
      <c r="AG117" s="364" t="s">
        <v>88</v>
      </c>
      <c r="AH117" s="364" t="s">
        <v>88</v>
      </c>
      <c r="AI117" s="364" t="s">
        <v>1155</v>
      </c>
      <c r="AJ117" s="364" t="s">
        <v>648</v>
      </c>
      <c r="AK117" s="364" t="s">
        <v>647</v>
      </c>
      <c r="AL117" s="364" t="s">
        <v>646</v>
      </c>
      <c r="AM117" s="364" t="s">
        <v>668</v>
      </c>
      <c r="AN117" s="364" t="s">
        <v>644</v>
      </c>
    </row>
    <row r="118" spans="1:40" x14ac:dyDescent="0.3">
      <c r="A118" s="364" t="s">
        <v>2657</v>
      </c>
      <c r="B118" s="364" t="s">
        <v>661</v>
      </c>
      <c r="C118" s="364" t="s">
        <v>660</v>
      </c>
      <c r="D118" s="364" t="s">
        <v>90</v>
      </c>
      <c r="E118" s="364" t="s">
        <v>957</v>
      </c>
      <c r="F118" s="364" t="s">
        <v>957</v>
      </c>
      <c r="G118" s="364" t="s">
        <v>658</v>
      </c>
      <c r="H118" s="364" t="s">
        <v>2656</v>
      </c>
      <c r="I118" s="364" t="s">
        <v>2655</v>
      </c>
      <c r="J118" s="364" t="s">
        <v>673</v>
      </c>
      <c r="K118" s="364" t="s">
        <v>668</v>
      </c>
      <c r="L118" s="364" t="s">
        <v>190</v>
      </c>
      <c r="M118" s="364" t="s">
        <v>723</v>
      </c>
      <c r="N118" s="364" t="s">
        <v>654</v>
      </c>
      <c r="O118" s="364" t="s">
        <v>653</v>
      </c>
      <c r="P118" s="364" t="s">
        <v>198</v>
      </c>
      <c r="Q118" s="364" t="s">
        <v>652</v>
      </c>
      <c r="R118" s="364" t="s">
        <v>88</v>
      </c>
      <c r="S118" s="364" t="s">
        <v>88</v>
      </c>
      <c r="T118" s="364" t="s">
        <v>88</v>
      </c>
      <c r="U118" s="364" t="s">
        <v>88</v>
      </c>
      <c r="V118" s="364" t="s">
        <v>88</v>
      </c>
      <c r="W118" s="364" t="s">
        <v>88</v>
      </c>
      <c r="X118" s="364" t="s">
        <v>88</v>
      </c>
      <c r="Y118" s="364" t="s">
        <v>88</v>
      </c>
      <c r="Z118" s="364" t="s">
        <v>722</v>
      </c>
      <c r="AA118" s="364" t="s">
        <v>649</v>
      </c>
      <c r="AB118" s="364" t="s">
        <v>649</v>
      </c>
      <c r="AC118" s="364" t="s">
        <v>649</v>
      </c>
      <c r="AD118" s="364" t="s">
        <v>649</v>
      </c>
      <c r="AE118" s="364" t="s">
        <v>88</v>
      </c>
      <c r="AF118" s="364" t="s">
        <v>88</v>
      </c>
      <c r="AG118" s="364" t="s">
        <v>88</v>
      </c>
      <c r="AH118" s="364" t="s">
        <v>88</v>
      </c>
      <c r="AI118" s="364" t="s">
        <v>1155</v>
      </c>
      <c r="AJ118" s="364" t="s">
        <v>648</v>
      </c>
      <c r="AK118" s="364" t="s">
        <v>647</v>
      </c>
      <c r="AL118" s="364" t="s">
        <v>646</v>
      </c>
      <c r="AM118" s="364" t="s">
        <v>668</v>
      </c>
      <c r="AN118" s="364" t="s">
        <v>644</v>
      </c>
    </row>
    <row r="119" spans="1:40" x14ac:dyDescent="0.3">
      <c r="A119" s="364" t="s">
        <v>2657</v>
      </c>
      <c r="B119" s="364" t="s">
        <v>661</v>
      </c>
      <c r="C119" s="364" t="s">
        <v>660</v>
      </c>
      <c r="D119" s="364" t="s">
        <v>90</v>
      </c>
      <c r="E119" s="364" t="s">
        <v>957</v>
      </c>
      <c r="F119" s="364" t="s">
        <v>957</v>
      </c>
      <c r="G119" s="364" t="s">
        <v>658</v>
      </c>
      <c r="H119" s="364" t="s">
        <v>2656</v>
      </c>
      <c r="I119" s="364" t="s">
        <v>2655</v>
      </c>
      <c r="J119" s="364" t="s">
        <v>673</v>
      </c>
      <c r="K119" s="364" t="s">
        <v>668</v>
      </c>
      <c r="L119" s="364" t="s">
        <v>190</v>
      </c>
      <c r="M119" s="364" t="s">
        <v>55</v>
      </c>
      <c r="N119" s="364" t="s">
        <v>654</v>
      </c>
      <c r="O119" s="364" t="s">
        <v>653</v>
      </c>
      <c r="P119" s="364" t="s">
        <v>198</v>
      </c>
      <c r="Q119" s="364" t="s">
        <v>652</v>
      </c>
      <c r="R119" s="364" t="s">
        <v>88</v>
      </c>
      <c r="S119" s="364" t="s">
        <v>88</v>
      </c>
      <c r="T119" s="364" t="s">
        <v>88</v>
      </c>
      <c r="U119" s="364" t="s">
        <v>88</v>
      </c>
      <c r="V119" s="364" t="s">
        <v>88</v>
      </c>
      <c r="W119" s="364" t="s">
        <v>88</v>
      </c>
      <c r="X119" s="364" t="s">
        <v>88</v>
      </c>
      <c r="Y119" s="364" t="s">
        <v>88</v>
      </c>
      <c r="Z119" s="364" t="s">
        <v>719</v>
      </c>
      <c r="AA119" s="364" t="s">
        <v>649</v>
      </c>
      <c r="AB119" s="364" t="s">
        <v>649</v>
      </c>
      <c r="AC119" s="364" t="s">
        <v>649</v>
      </c>
      <c r="AD119" s="364" t="s">
        <v>649</v>
      </c>
      <c r="AE119" s="364" t="s">
        <v>88</v>
      </c>
      <c r="AF119" s="364" t="s">
        <v>88</v>
      </c>
      <c r="AG119" s="364" t="s">
        <v>88</v>
      </c>
      <c r="AH119" s="364" t="s">
        <v>88</v>
      </c>
      <c r="AI119" s="364" t="s">
        <v>1155</v>
      </c>
      <c r="AJ119" s="364" t="s">
        <v>648</v>
      </c>
      <c r="AK119" s="364" t="s">
        <v>647</v>
      </c>
      <c r="AL119" s="364" t="s">
        <v>646</v>
      </c>
      <c r="AM119" s="364" t="s">
        <v>668</v>
      </c>
      <c r="AN119" s="364" t="s">
        <v>644</v>
      </c>
    </row>
    <row r="120" spans="1:40" x14ac:dyDescent="0.3">
      <c r="A120" s="364" t="s">
        <v>2654</v>
      </c>
      <c r="B120" s="364" t="s">
        <v>661</v>
      </c>
      <c r="C120" s="364" t="s">
        <v>660</v>
      </c>
      <c r="D120" s="364" t="s">
        <v>90</v>
      </c>
      <c r="E120" s="364" t="s">
        <v>902</v>
      </c>
      <c r="F120" s="364" t="s">
        <v>902</v>
      </c>
      <c r="G120" s="364" t="s">
        <v>658</v>
      </c>
      <c r="H120" s="364" t="s">
        <v>2653</v>
      </c>
      <c r="I120" s="364" t="s">
        <v>2652</v>
      </c>
      <c r="J120" s="364" t="s">
        <v>673</v>
      </c>
      <c r="K120" s="364" t="s">
        <v>668</v>
      </c>
      <c r="L120" s="364" t="s">
        <v>190</v>
      </c>
      <c r="M120" s="364" t="s">
        <v>55</v>
      </c>
      <c r="N120" s="364" t="s">
        <v>654</v>
      </c>
      <c r="O120" s="364" t="s">
        <v>653</v>
      </c>
      <c r="P120" s="364" t="s">
        <v>198</v>
      </c>
      <c r="Q120" s="364" t="s">
        <v>652</v>
      </c>
      <c r="R120" s="364" t="s">
        <v>88</v>
      </c>
      <c r="S120" s="364" t="s">
        <v>88</v>
      </c>
      <c r="T120" s="364" t="s">
        <v>88</v>
      </c>
      <c r="U120" s="364" t="s">
        <v>88</v>
      </c>
      <c r="V120" s="364" t="s">
        <v>88</v>
      </c>
      <c r="W120" s="364" t="s">
        <v>88</v>
      </c>
      <c r="X120" s="364" t="s">
        <v>88</v>
      </c>
      <c r="Y120" s="364" t="s">
        <v>88</v>
      </c>
      <c r="Z120" s="364" t="s">
        <v>719</v>
      </c>
      <c r="AA120" s="364" t="s">
        <v>649</v>
      </c>
      <c r="AB120" s="364" t="s">
        <v>649</v>
      </c>
      <c r="AC120" s="364" t="s">
        <v>649</v>
      </c>
      <c r="AD120" s="364" t="s">
        <v>649</v>
      </c>
      <c r="AE120" s="364" t="s">
        <v>88</v>
      </c>
      <c r="AF120" s="364" t="s">
        <v>88</v>
      </c>
      <c r="AG120" s="364" t="s">
        <v>88</v>
      </c>
      <c r="AH120" s="364" t="s">
        <v>88</v>
      </c>
      <c r="AI120" s="364" t="s">
        <v>1155</v>
      </c>
      <c r="AJ120" s="364" t="s">
        <v>648</v>
      </c>
      <c r="AK120" s="364" t="s">
        <v>647</v>
      </c>
      <c r="AL120" s="364" t="s">
        <v>646</v>
      </c>
      <c r="AM120" s="364" t="s">
        <v>668</v>
      </c>
      <c r="AN120" s="364" t="s">
        <v>644</v>
      </c>
    </row>
    <row r="121" spans="1:40" x14ac:dyDescent="0.3">
      <c r="A121" s="364" t="s">
        <v>2654</v>
      </c>
      <c r="B121" s="364" t="s">
        <v>661</v>
      </c>
      <c r="C121" s="364" t="s">
        <v>660</v>
      </c>
      <c r="D121" s="364" t="s">
        <v>90</v>
      </c>
      <c r="E121" s="364" t="s">
        <v>902</v>
      </c>
      <c r="F121" s="364" t="s">
        <v>902</v>
      </c>
      <c r="G121" s="364" t="s">
        <v>658</v>
      </c>
      <c r="H121" s="364" t="s">
        <v>2653</v>
      </c>
      <c r="I121" s="364" t="s">
        <v>2652</v>
      </c>
      <c r="J121" s="364" t="s">
        <v>673</v>
      </c>
      <c r="K121" s="364" t="s">
        <v>668</v>
      </c>
      <c r="L121" s="364" t="s">
        <v>190</v>
      </c>
      <c r="M121" s="364" t="s">
        <v>718</v>
      </c>
      <c r="N121" s="364" t="s">
        <v>654</v>
      </c>
      <c r="O121" s="364" t="s">
        <v>653</v>
      </c>
      <c r="P121" s="364" t="s">
        <v>198</v>
      </c>
      <c r="Q121" s="364" t="s">
        <v>652</v>
      </c>
      <c r="R121" s="364" t="s">
        <v>88</v>
      </c>
      <c r="S121" s="364" t="s">
        <v>88</v>
      </c>
      <c r="T121" s="364" t="s">
        <v>88</v>
      </c>
      <c r="U121" s="364" t="s">
        <v>88</v>
      </c>
      <c r="V121" s="364" t="s">
        <v>88</v>
      </c>
      <c r="W121" s="364" t="s">
        <v>88</v>
      </c>
      <c r="X121" s="364" t="s">
        <v>88</v>
      </c>
      <c r="Y121" s="364" t="s">
        <v>88</v>
      </c>
      <c r="Z121" s="364" t="s">
        <v>717</v>
      </c>
      <c r="AA121" s="364" t="s">
        <v>649</v>
      </c>
      <c r="AB121" s="364" t="s">
        <v>649</v>
      </c>
      <c r="AC121" s="364" t="s">
        <v>649</v>
      </c>
      <c r="AD121" s="364" t="s">
        <v>649</v>
      </c>
      <c r="AE121" s="364" t="s">
        <v>88</v>
      </c>
      <c r="AF121" s="364" t="s">
        <v>88</v>
      </c>
      <c r="AG121" s="364" t="s">
        <v>88</v>
      </c>
      <c r="AH121" s="364" t="s">
        <v>88</v>
      </c>
      <c r="AI121" s="364" t="s">
        <v>1155</v>
      </c>
      <c r="AJ121" s="364" t="s">
        <v>648</v>
      </c>
      <c r="AK121" s="364" t="s">
        <v>647</v>
      </c>
      <c r="AL121" s="364" t="s">
        <v>646</v>
      </c>
      <c r="AM121" s="364" t="s">
        <v>668</v>
      </c>
      <c r="AN121" s="364" t="s">
        <v>644</v>
      </c>
    </row>
    <row r="122" spans="1:40" x14ac:dyDescent="0.3">
      <c r="A122" s="364" t="s">
        <v>2654</v>
      </c>
      <c r="B122" s="364" t="s">
        <v>661</v>
      </c>
      <c r="C122" s="364" t="s">
        <v>660</v>
      </c>
      <c r="D122" s="364" t="s">
        <v>90</v>
      </c>
      <c r="E122" s="364" t="s">
        <v>902</v>
      </c>
      <c r="F122" s="364" t="s">
        <v>902</v>
      </c>
      <c r="G122" s="364" t="s">
        <v>658</v>
      </c>
      <c r="H122" s="364" t="s">
        <v>2653</v>
      </c>
      <c r="I122" s="364" t="s">
        <v>2652</v>
      </c>
      <c r="J122" s="364" t="s">
        <v>673</v>
      </c>
      <c r="K122" s="364" t="s">
        <v>668</v>
      </c>
      <c r="L122" s="364" t="s">
        <v>190</v>
      </c>
      <c r="M122" s="364" t="s">
        <v>725</v>
      </c>
      <c r="N122" s="364" t="s">
        <v>654</v>
      </c>
      <c r="O122" s="364" t="s">
        <v>653</v>
      </c>
      <c r="P122" s="364" t="s">
        <v>198</v>
      </c>
      <c r="Q122" s="364" t="s">
        <v>652</v>
      </c>
      <c r="R122" s="364" t="s">
        <v>88</v>
      </c>
      <c r="S122" s="364" t="s">
        <v>88</v>
      </c>
      <c r="T122" s="364" t="s">
        <v>88</v>
      </c>
      <c r="U122" s="364" t="s">
        <v>88</v>
      </c>
      <c r="V122" s="364" t="s">
        <v>88</v>
      </c>
      <c r="W122" s="364" t="s">
        <v>88</v>
      </c>
      <c r="X122" s="364" t="s">
        <v>88</v>
      </c>
      <c r="Y122" s="364" t="s">
        <v>88</v>
      </c>
      <c r="Z122" s="364" t="s">
        <v>724</v>
      </c>
      <c r="AA122" s="364" t="s">
        <v>649</v>
      </c>
      <c r="AB122" s="364" t="s">
        <v>649</v>
      </c>
      <c r="AC122" s="364" t="s">
        <v>649</v>
      </c>
      <c r="AD122" s="364" t="s">
        <v>649</v>
      </c>
      <c r="AE122" s="364" t="s">
        <v>88</v>
      </c>
      <c r="AF122" s="364" t="s">
        <v>88</v>
      </c>
      <c r="AG122" s="364" t="s">
        <v>88</v>
      </c>
      <c r="AH122" s="364" t="s">
        <v>88</v>
      </c>
      <c r="AI122" s="364" t="s">
        <v>1155</v>
      </c>
      <c r="AJ122" s="364" t="s">
        <v>648</v>
      </c>
      <c r="AK122" s="364" t="s">
        <v>647</v>
      </c>
      <c r="AL122" s="364" t="s">
        <v>646</v>
      </c>
      <c r="AM122" s="364" t="s">
        <v>668</v>
      </c>
      <c r="AN122" s="364" t="s">
        <v>644</v>
      </c>
    </row>
    <row r="123" spans="1:40" x14ac:dyDescent="0.3">
      <c r="A123" s="364" t="s">
        <v>2654</v>
      </c>
      <c r="B123" s="364" t="s">
        <v>661</v>
      </c>
      <c r="C123" s="364" t="s">
        <v>660</v>
      </c>
      <c r="D123" s="364" t="s">
        <v>90</v>
      </c>
      <c r="E123" s="364" t="s">
        <v>902</v>
      </c>
      <c r="F123" s="364" t="s">
        <v>902</v>
      </c>
      <c r="G123" s="364" t="s">
        <v>658</v>
      </c>
      <c r="H123" s="364" t="s">
        <v>2653</v>
      </c>
      <c r="I123" s="364" t="s">
        <v>2652</v>
      </c>
      <c r="J123" s="364" t="s">
        <v>673</v>
      </c>
      <c r="K123" s="364" t="s">
        <v>668</v>
      </c>
      <c r="L123" s="364" t="s">
        <v>190</v>
      </c>
      <c r="M123" s="364" t="s">
        <v>723</v>
      </c>
      <c r="N123" s="364" t="s">
        <v>654</v>
      </c>
      <c r="O123" s="364" t="s">
        <v>653</v>
      </c>
      <c r="P123" s="364" t="s">
        <v>198</v>
      </c>
      <c r="Q123" s="364" t="s">
        <v>652</v>
      </c>
      <c r="R123" s="364" t="s">
        <v>88</v>
      </c>
      <c r="S123" s="364" t="s">
        <v>88</v>
      </c>
      <c r="T123" s="364" t="s">
        <v>88</v>
      </c>
      <c r="U123" s="364" t="s">
        <v>88</v>
      </c>
      <c r="V123" s="364" t="s">
        <v>88</v>
      </c>
      <c r="W123" s="364" t="s">
        <v>88</v>
      </c>
      <c r="X123" s="364" t="s">
        <v>88</v>
      </c>
      <c r="Y123" s="364" t="s">
        <v>88</v>
      </c>
      <c r="Z123" s="364" t="s">
        <v>722</v>
      </c>
      <c r="AA123" s="364" t="s">
        <v>649</v>
      </c>
      <c r="AB123" s="364" t="s">
        <v>649</v>
      </c>
      <c r="AC123" s="364" t="s">
        <v>649</v>
      </c>
      <c r="AD123" s="364" t="s">
        <v>649</v>
      </c>
      <c r="AE123" s="364" t="s">
        <v>88</v>
      </c>
      <c r="AF123" s="364" t="s">
        <v>88</v>
      </c>
      <c r="AG123" s="364" t="s">
        <v>88</v>
      </c>
      <c r="AH123" s="364" t="s">
        <v>88</v>
      </c>
      <c r="AI123" s="364" t="s">
        <v>1155</v>
      </c>
      <c r="AJ123" s="364" t="s">
        <v>648</v>
      </c>
      <c r="AK123" s="364" t="s">
        <v>647</v>
      </c>
      <c r="AL123" s="364" t="s">
        <v>646</v>
      </c>
      <c r="AM123" s="364" t="s">
        <v>668</v>
      </c>
      <c r="AN123" s="364" t="s">
        <v>644</v>
      </c>
    </row>
    <row r="124" spans="1:40" x14ac:dyDescent="0.3">
      <c r="A124" s="364" t="s">
        <v>2651</v>
      </c>
      <c r="B124" s="364" t="s">
        <v>661</v>
      </c>
      <c r="C124" s="364" t="s">
        <v>660</v>
      </c>
      <c r="D124" s="364" t="s">
        <v>87</v>
      </c>
      <c r="E124" s="364" t="s">
        <v>1012</v>
      </c>
      <c r="F124" s="364" t="s">
        <v>1012</v>
      </c>
      <c r="G124" s="364" t="s">
        <v>658</v>
      </c>
      <c r="H124" s="364" t="s">
        <v>2650</v>
      </c>
      <c r="I124" s="364" t="s">
        <v>2649</v>
      </c>
      <c r="J124" s="364" t="s">
        <v>88</v>
      </c>
      <c r="K124" s="364" t="s">
        <v>88</v>
      </c>
      <c r="L124" s="364" t="s">
        <v>88</v>
      </c>
      <c r="M124" s="364" t="s">
        <v>138</v>
      </c>
      <c r="N124" s="364" t="s">
        <v>654</v>
      </c>
      <c r="O124" s="364" t="s">
        <v>653</v>
      </c>
      <c r="P124" s="364" t="s">
        <v>88</v>
      </c>
      <c r="Q124" s="364" t="s">
        <v>88</v>
      </c>
      <c r="R124" s="364" t="s">
        <v>88</v>
      </c>
      <c r="S124" s="364" t="s">
        <v>88</v>
      </c>
      <c r="T124" s="364" t="s">
        <v>88</v>
      </c>
      <c r="U124" s="364" t="s">
        <v>88</v>
      </c>
      <c r="V124" s="364" t="s">
        <v>88</v>
      </c>
      <c r="W124" s="364" t="s">
        <v>88</v>
      </c>
      <c r="X124" s="364" t="s">
        <v>88</v>
      </c>
      <c r="Y124" s="364" t="s">
        <v>88</v>
      </c>
      <c r="Z124" s="364" t="s">
        <v>88</v>
      </c>
      <c r="AA124" s="364" t="s">
        <v>649</v>
      </c>
      <c r="AB124" s="364" t="s">
        <v>88</v>
      </c>
      <c r="AC124" s="364" t="s">
        <v>88</v>
      </c>
      <c r="AD124" s="364" t="s">
        <v>88</v>
      </c>
      <c r="AE124" s="364" t="s">
        <v>88</v>
      </c>
      <c r="AF124" s="364" t="s">
        <v>88</v>
      </c>
      <c r="AG124" s="364" t="s">
        <v>88</v>
      </c>
      <c r="AH124" s="364" t="s">
        <v>88</v>
      </c>
      <c r="AI124" s="364" t="s">
        <v>2648</v>
      </c>
      <c r="AJ124" s="364" t="s">
        <v>798</v>
      </c>
      <c r="AK124" s="364" t="s">
        <v>2466</v>
      </c>
      <c r="AL124" s="364" t="s">
        <v>2465</v>
      </c>
      <c r="AM124" s="364" t="s">
        <v>88</v>
      </c>
      <c r="AN124" s="364" t="s">
        <v>792</v>
      </c>
    </row>
    <row r="125" spans="1:40" x14ac:dyDescent="0.3">
      <c r="A125" s="364" t="s">
        <v>2647</v>
      </c>
      <c r="B125" s="364" t="s">
        <v>661</v>
      </c>
      <c r="C125" s="364" t="s">
        <v>660</v>
      </c>
      <c r="D125" s="364" t="s">
        <v>87</v>
      </c>
      <c r="E125" s="364" t="s">
        <v>771</v>
      </c>
      <c r="F125" s="364" t="s">
        <v>771</v>
      </c>
      <c r="G125" s="364" t="s">
        <v>658</v>
      </c>
      <c r="H125" s="364" t="s">
        <v>2646</v>
      </c>
      <c r="I125" s="364" t="s">
        <v>2645</v>
      </c>
      <c r="J125" s="364" t="s">
        <v>88</v>
      </c>
      <c r="K125" s="364" t="s">
        <v>88</v>
      </c>
      <c r="L125" s="364" t="s">
        <v>88</v>
      </c>
      <c r="M125" s="364" t="s">
        <v>138</v>
      </c>
      <c r="N125" s="364" t="s">
        <v>654</v>
      </c>
      <c r="O125" s="364" t="s">
        <v>653</v>
      </c>
      <c r="P125" s="364" t="s">
        <v>88</v>
      </c>
      <c r="Q125" s="364" t="s">
        <v>88</v>
      </c>
      <c r="R125" s="364" t="s">
        <v>88</v>
      </c>
      <c r="S125" s="364" t="s">
        <v>88</v>
      </c>
      <c r="T125" s="364" t="s">
        <v>88</v>
      </c>
      <c r="U125" s="364" t="s">
        <v>88</v>
      </c>
      <c r="V125" s="364" t="s">
        <v>88</v>
      </c>
      <c r="W125" s="364" t="s">
        <v>88</v>
      </c>
      <c r="X125" s="364" t="s">
        <v>88</v>
      </c>
      <c r="Y125" s="364" t="s">
        <v>88</v>
      </c>
      <c r="Z125" s="364" t="s">
        <v>88</v>
      </c>
      <c r="AA125" s="364" t="s">
        <v>649</v>
      </c>
      <c r="AB125" s="364" t="s">
        <v>88</v>
      </c>
      <c r="AC125" s="364" t="s">
        <v>88</v>
      </c>
      <c r="AD125" s="364" t="s">
        <v>88</v>
      </c>
      <c r="AE125" s="364" t="s">
        <v>88</v>
      </c>
      <c r="AF125" s="364" t="s">
        <v>88</v>
      </c>
      <c r="AG125" s="364" t="s">
        <v>88</v>
      </c>
      <c r="AH125" s="364" t="s">
        <v>88</v>
      </c>
      <c r="AI125" s="364" t="s">
        <v>2644</v>
      </c>
      <c r="AJ125" s="364" t="s">
        <v>793</v>
      </c>
      <c r="AK125" s="364" t="s">
        <v>2466</v>
      </c>
      <c r="AL125" s="364" t="s">
        <v>2465</v>
      </c>
      <c r="AM125" s="364" t="s">
        <v>88</v>
      </c>
      <c r="AN125" s="364" t="s">
        <v>792</v>
      </c>
    </row>
    <row r="126" spans="1:40" x14ac:dyDescent="0.3">
      <c r="A126" s="364" t="s">
        <v>2643</v>
      </c>
      <c r="B126" s="364" t="s">
        <v>661</v>
      </c>
      <c r="C126" s="364" t="s">
        <v>660</v>
      </c>
      <c r="D126" s="364" t="s">
        <v>90</v>
      </c>
      <c r="E126" s="364" t="s">
        <v>1012</v>
      </c>
      <c r="F126" s="364" t="s">
        <v>1012</v>
      </c>
      <c r="G126" s="364" t="s">
        <v>658</v>
      </c>
      <c r="H126" s="364" t="s">
        <v>2642</v>
      </c>
      <c r="I126" s="364" t="s">
        <v>2641</v>
      </c>
      <c r="J126" s="364" t="s">
        <v>673</v>
      </c>
      <c r="K126" s="364" t="s">
        <v>668</v>
      </c>
      <c r="L126" s="364" t="s">
        <v>190</v>
      </c>
      <c r="M126" s="364" t="s">
        <v>55</v>
      </c>
      <c r="N126" s="364" t="s">
        <v>654</v>
      </c>
      <c r="O126" s="364" t="s">
        <v>653</v>
      </c>
      <c r="P126" s="364" t="s">
        <v>198</v>
      </c>
      <c r="Q126" s="364" t="s">
        <v>652</v>
      </c>
      <c r="R126" s="364" t="s">
        <v>88</v>
      </c>
      <c r="S126" s="364" t="s">
        <v>88</v>
      </c>
      <c r="T126" s="364" t="s">
        <v>88</v>
      </c>
      <c r="U126" s="364" t="s">
        <v>88</v>
      </c>
      <c r="V126" s="364" t="s">
        <v>88</v>
      </c>
      <c r="W126" s="364" t="s">
        <v>88</v>
      </c>
      <c r="X126" s="364" t="s">
        <v>88</v>
      </c>
      <c r="Y126" s="364" t="s">
        <v>88</v>
      </c>
      <c r="Z126" s="364" t="s">
        <v>719</v>
      </c>
      <c r="AA126" s="364" t="s">
        <v>649</v>
      </c>
      <c r="AB126" s="364" t="s">
        <v>649</v>
      </c>
      <c r="AC126" s="364" t="s">
        <v>649</v>
      </c>
      <c r="AD126" s="364" t="s">
        <v>649</v>
      </c>
      <c r="AE126" s="364" t="s">
        <v>88</v>
      </c>
      <c r="AF126" s="364" t="s">
        <v>88</v>
      </c>
      <c r="AG126" s="364" t="s">
        <v>88</v>
      </c>
      <c r="AH126" s="364" t="s">
        <v>88</v>
      </c>
      <c r="AI126" s="364" t="s">
        <v>1155</v>
      </c>
      <c r="AJ126" s="364" t="s">
        <v>648</v>
      </c>
      <c r="AK126" s="364" t="s">
        <v>647</v>
      </c>
      <c r="AL126" s="364" t="s">
        <v>646</v>
      </c>
      <c r="AM126" s="364" t="s">
        <v>668</v>
      </c>
      <c r="AN126" s="364" t="s">
        <v>644</v>
      </c>
    </row>
    <row r="127" spans="1:40" x14ac:dyDescent="0.3">
      <c r="A127" s="364" t="s">
        <v>2643</v>
      </c>
      <c r="B127" s="364" t="s">
        <v>661</v>
      </c>
      <c r="C127" s="364" t="s">
        <v>660</v>
      </c>
      <c r="D127" s="364" t="s">
        <v>90</v>
      </c>
      <c r="E127" s="364" t="s">
        <v>1012</v>
      </c>
      <c r="F127" s="364" t="s">
        <v>1012</v>
      </c>
      <c r="G127" s="364" t="s">
        <v>658</v>
      </c>
      <c r="H127" s="364" t="s">
        <v>2642</v>
      </c>
      <c r="I127" s="364" t="s">
        <v>2641</v>
      </c>
      <c r="J127" s="364" t="s">
        <v>673</v>
      </c>
      <c r="K127" s="364" t="s">
        <v>668</v>
      </c>
      <c r="L127" s="364" t="s">
        <v>190</v>
      </c>
      <c r="M127" s="364" t="s">
        <v>718</v>
      </c>
      <c r="N127" s="364" t="s">
        <v>654</v>
      </c>
      <c r="O127" s="364" t="s">
        <v>653</v>
      </c>
      <c r="P127" s="364" t="s">
        <v>198</v>
      </c>
      <c r="Q127" s="364" t="s">
        <v>652</v>
      </c>
      <c r="R127" s="364" t="s">
        <v>88</v>
      </c>
      <c r="S127" s="364" t="s">
        <v>88</v>
      </c>
      <c r="T127" s="364" t="s">
        <v>88</v>
      </c>
      <c r="U127" s="364" t="s">
        <v>88</v>
      </c>
      <c r="V127" s="364" t="s">
        <v>88</v>
      </c>
      <c r="W127" s="364" t="s">
        <v>88</v>
      </c>
      <c r="X127" s="364" t="s">
        <v>88</v>
      </c>
      <c r="Y127" s="364" t="s">
        <v>88</v>
      </c>
      <c r="Z127" s="364" t="s">
        <v>717</v>
      </c>
      <c r="AA127" s="364" t="s">
        <v>649</v>
      </c>
      <c r="AB127" s="364" t="s">
        <v>649</v>
      </c>
      <c r="AC127" s="364" t="s">
        <v>649</v>
      </c>
      <c r="AD127" s="364" t="s">
        <v>649</v>
      </c>
      <c r="AE127" s="364" t="s">
        <v>88</v>
      </c>
      <c r="AF127" s="364" t="s">
        <v>88</v>
      </c>
      <c r="AG127" s="364" t="s">
        <v>88</v>
      </c>
      <c r="AH127" s="364" t="s">
        <v>88</v>
      </c>
      <c r="AI127" s="364" t="s">
        <v>1155</v>
      </c>
      <c r="AJ127" s="364" t="s">
        <v>648</v>
      </c>
      <c r="AK127" s="364" t="s">
        <v>647</v>
      </c>
      <c r="AL127" s="364" t="s">
        <v>646</v>
      </c>
      <c r="AM127" s="364" t="s">
        <v>668</v>
      </c>
      <c r="AN127" s="364" t="s">
        <v>644</v>
      </c>
    </row>
    <row r="128" spans="1:40" x14ac:dyDescent="0.3">
      <c r="A128" s="364" t="s">
        <v>2643</v>
      </c>
      <c r="B128" s="364" t="s">
        <v>661</v>
      </c>
      <c r="C128" s="364" t="s">
        <v>660</v>
      </c>
      <c r="D128" s="364" t="s">
        <v>90</v>
      </c>
      <c r="E128" s="364" t="s">
        <v>1012</v>
      </c>
      <c r="F128" s="364" t="s">
        <v>1012</v>
      </c>
      <c r="G128" s="364" t="s">
        <v>658</v>
      </c>
      <c r="H128" s="364" t="s">
        <v>2642</v>
      </c>
      <c r="I128" s="364" t="s">
        <v>2641</v>
      </c>
      <c r="J128" s="364" t="s">
        <v>673</v>
      </c>
      <c r="K128" s="364" t="s">
        <v>668</v>
      </c>
      <c r="L128" s="364" t="s">
        <v>190</v>
      </c>
      <c r="M128" s="364" t="s">
        <v>725</v>
      </c>
      <c r="N128" s="364" t="s">
        <v>654</v>
      </c>
      <c r="O128" s="364" t="s">
        <v>653</v>
      </c>
      <c r="P128" s="364" t="s">
        <v>198</v>
      </c>
      <c r="Q128" s="364" t="s">
        <v>652</v>
      </c>
      <c r="R128" s="364" t="s">
        <v>88</v>
      </c>
      <c r="S128" s="364" t="s">
        <v>88</v>
      </c>
      <c r="T128" s="364" t="s">
        <v>88</v>
      </c>
      <c r="U128" s="364" t="s">
        <v>88</v>
      </c>
      <c r="V128" s="364" t="s">
        <v>88</v>
      </c>
      <c r="W128" s="364" t="s">
        <v>88</v>
      </c>
      <c r="X128" s="364" t="s">
        <v>88</v>
      </c>
      <c r="Y128" s="364" t="s">
        <v>88</v>
      </c>
      <c r="Z128" s="364" t="s">
        <v>724</v>
      </c>
      <c r="AA128" s="364" t="s">
        <v>649</v>
      </c>
      <c r="AB128" s="364" t="s">
        <v>649</v>
      </c>
      <c r="AC128" s="364" t="s">
        <v>649</v>
      </c>
      <c r="AD128" s="364" t="s">
        <v>649</v>
      </c>
      <c r="AE128" s="364" t="s">
        <v>88</v>
      </c>
      <c r="AF128" s="364" t="s">
        <v>88</v>
      </c>
      <c r="AG128" s="364" t="s">
        <v>88</v>
      </c>
      <c r="AH128" s="364" t="s">
        <v>88</v>
      </c>
      <c r="AI128" s="364" t="s">
        <v>1155</v>
      </c>
      <c r="AJ128" s="364" t="s">
        <v>648</v>
      </c>
      <c r="AK128" s="364" t="s">
        <v>647</v>
      </c>
      <c r="AL128" s="364" t="s">
        <v>646</v>
      </c>
      <c r="AM128" s="364" t="s">
        <v>668</v>
      </c>
      <c r="AN128" s="364" t="s">
        <v>644</v>
      </c>
    </row>
    <row r="129" spans="1:40" x14ac:dyDescent="0.3">
      <c r="A129" s="364" t="s">
        <v>2643</v>
      </c>
      <c r="B129" s="364" t="s">
        <v>661</v>
      </c>
      <c r="C129" s="364" t="s">
        <v>660</v>
      </c>
      <c r="D129" s="364" t="s">
        <v>90</v>
      </c>
      <c r="E129" s="364" t="s">
        <v>1012</v>
      </c>
      <c r="F129" s="364" t="s">
        <v>1012</v>
      </c>
      <c r="G129" s="364" t="s">
        <v>658</v>
      </c>
      <c r="H129" s="364" t="s">
        <v>2642</v>
      </c>
      <c r="I129" s="364" t="s">
        <v>2641</v>
      </c>
      <c r="J129" s="364" t="s">
        <v>673</v>
      </c>
      <c r="K129" s="364" t="s">
        <v>668</v>
      </c>
      <c r="L129" s="364" t="s">
        <v>190</v>
      </c>
      <c r="M129" s="364" t="s">
        <v>723</v>
      </c>
      <c r="N129" s="364" t="s">
        <v>654</v>
      </c>
      <c r="O129" s="364" t="s">
        <v>653</v>
      </c>
      <c r="P129" s="364" t="s">
        <v>198</v>
      </c>
      <c r="Q129" s="364" t="s">
        <v>652</v>
      </c>
      <c r="R129" s="364" t="s">
        <v>88</v>
      </c>
      <c r="S129" s="364" t="s">
        <v>88</v>
      </c>
      <c r="T129" s="364" t="s">
        <v>88</v>
      </c>
      <c r="U129" s="364" t="s">
        <v>88</v>
      </c>
      <c r="V129" s="364" t="s">
        <v>88</v>
      </c>
      <c r="W129" s="364" t="s">
        <v>88</v>
      </c>
      <c r="X129" s="364" t="s">
        <v>88</v>
      </c>
      <c r="Y129" s="364" t="s">
        <v>88</v>
      </c>
      <c r="Z129" s="364" t="s">
        <v>722</v>
      </c>
      <c r="AA129" s="364" t="s">
        <v>649</v>
      </c>
      <c r="AB129" s="364" t="s">
        <v>649</v>
      </c>
      <c r="AC129" s="364" t="s">
        <v>649</v>
      </c>
      <c r="AD129" s="364" t="s">
        <v>649</v>
      </c>
      <c r="AE129" s="364" t="s">
        <v>88</v>
      </c>
      <c r="AF129" s="364" t="s">
        <v>88</v>
      </c>
      <c r="AG129" s="364" t="s">
        <v>88</v>
      </c>
      <c r="AH129" s="364" t="s">
        <v>88</v>
      </c>
      <c r="AI129" s="364" t="s">
        <v>1155</v>
      </c>
      <c r="AJ129" s="364" t="s">
        <v>648</v>
      </c>
      <c r="AK129" s="364" t="s">
        <v>647</v>
      </c>
      <c r="AL129" s="364" t="s">
        <v>646</v>
      </c>
      <c r="AM129" s="364" t="s">
        <v>668</v>
      </c>
      <c r="AN129" s="364" t="s">
        <v>644</v>
      </c>
    </row>
    <row r="130" spans="1:40" x14ac:dyDescent="0.3">
      <c r="A130" s="364" t="s">
        <v>2640</v>
      </c>
      <c r="B130" s="364" t="s">
        <v>661</v>
      </c>
      <c r="C130" s="364" t="s">
        <v>660</v>
      </c>
      <c r="D130" s="364" t="s">
        <v>90</v>
      </c>
      <c r="E130" s="364" t="s">
        <v>771</v>
      </c>
      <c r="F130" s="364" t="s">
        <v>771</v>
      </c>
      <c r="G130" s="364" t="s">
        <v>658</v>
      </c>
      <c r="H130" s="364" t="s">
        <v>2639</v>
      </c>
      <c r="I130" s="364" t="s">
        <v>2638</v>
      </c>
      <c r="J130" s="364" t="s">
        <v>673</v>
      </c>
      <c r="K130" s="364" t="s">
        <v>668</v>
      </c>
      <c r="L130" s="364" t="s">
        <v>190</v>
      </c>
      <c r="M130" s="364" t="s">
        <v>55</v>
      </c>
      <c r="N130" s="364" t="s">
        <v>654</v>
      </c>
      <c r="O130" s="364" t="s">
        <v>653</v>
      </c>
      <c r="P130" s="364" t="s">
        <v>198</v>
      </c>
      <c r="Q130" s="364" t="s">
        <v>652</v>
      </c>
      <c r="R130" s="364" t="s">
        <v>88</v>
      </c>
      <c r="S130" s="364" t="s">
        <v>88</v>
      </c>
      <c r="T130" s="364" t="s">
        <v>88</v>
      </c>
      <c r="U130" s="364" t="s">
        <v>88</v>
      </c>
      <c r="V130" s="364" t="s">
        <v>88</v>
      </c>
      <c r="W130" s="364" t="s">
        <v>88</v>
      </c>
      <c r="X130" s="364" t="s">
        <v>88</v>
      </c>
      <c r="Y130" s="364" t="s">
        <v>88</v>
      </c>
      <c r="Z130" s="364" t="s">
        <v>719</v>
      </c>
      <c r="AA130" s="364" t="s">
        <v>649</v>
      </c>
      <c r="AB130" s="364" t="s">
        <v>649</v>
      </c>
      <c r="AC130" s="364" t="s">
        <v>649</v>
      </c>
      <c r="AD130" s="364" t="s">
        <v>649</v>
      </c>
      <c r="AE130" s="364" t="s">
        <v>88</v>
      </c>
      <c r="AF130" s="364" t="s">
        <v>88</v>
      </c>
      <c r="AG130" s="364" t="s">
        <v>88</v>
      </c>
      <c r="AH130" s="364" t="s">
        <v>88</v>
      </c>
      <c r="AI130" s="364" t="s">
        <v>1155</v>
      </c>
      <c r="AJ130" s="364" t="s">
        <v>648</v>
      </c>
      <c r="AK130" s="364" t="s">
        <v>647</v>
      </c>
      <c r="AL130" s="364" t="s">
        <v>646</v>
      </c>
      <c r="AM130" s="364" t="s">
        <v>668</v>
      </c>
      <c r="AN130" s="364" t="s">
        <v>644</v>
      </c>
    </row>
    <row r="131" spans="1:40" x14ac:dyDescent="0.3">
      <c r="A131" s="364" t="s">
        <v>2640</v>
      </c>
      <c r="B131" s="364" t="s">
        <v>661</v>
      </c>
      <c r="C131" s="364" t="s">
        <v>660</v>
      </c>
      <c r="D131" s="364" t="s">
        <v>90</v>
      </c>
      <c r="E131" s="364" t="s">
        <v>771</v>
      </c>
      <c r="F131" s="364" t="s">
        <v>771</v>
      </c>
      <c r="G131" s="364" t="s">
        <v>658</v>
      </c>
      <c r="H131" s="364" t="s">
        <v>2639</v>
      </c>
      <c r="I131" s="364" t="s">
        <v>2638</v>
      </c>
      <c r="J131" s="364" t="s">
        <v>673</v>
      </c>
      <c r="K131" s="364" t="s">
        <v>668</v>
      </c>
      <c r="L131" s="364" t="s">
        <v>190</v>
      </c>
      <c r="M131" s="364" t="s">
        <v>718</v>
      </c>
      <c r="N131" s="364" t="s">
        <v>654</v>
      </c>
      <c r="O131" s="364" t="s">
        <v>653</v>
      </c>
      <c r="P131" s="364" t="s">
        <v>198</v>
      </c>
      <c r="Q131" s="364" t="s">
        <v>652</v>
      </c>
      <c r="R131" s="364" t="s">
        <v>88</v>
      </c>
      <c r="S131" s="364" t="s">
        <v>88</v>
      </c>
      <c r="T131" s="364" t="s">
        <v>88</v>
      </c>
      <c r="U131" s="364" t="s">
        <v>88</v>
      </c>
      <c r="V131" s="364" t="s">
        <v>88</v>
      </c>
      <c r="W131" s="364" t="s">
        <v>88</v>
      </c>
      <c r="X131" s="364" t="s">
        <v>88</v>
      </c>
      <c r="Y131" s="364" t="s">
        <v>88</v>
      </c>
      <c r="Z131" s="364" t="s">
        <v>717</v>
      </c>
      <c r="AA131" s="364" t="s">
        <v>649</v>
      </c>
      <c r="AB131" s="364" t="s">
        <v>649</v>
      </c>
      <c r="AC131" s="364" t="s">
        <v>649</v>
      </c>
      <c r="AD131" s="364" t="s">
        <v>649</v>
      </c>
      <c r="AE131" s="364" t="s">
        <v>88</v>
      </c>
      <c r="AF131" s="364" t="s">
        <v>88</v>
      </c>
      <c r="AG131" s="364" t="s">
        <v>88</v>
      </c>
      <c r="AH131" s="364" t="s">
        <v>88</v>
      </c>
      <c r="AI131" s="364" t="s">
        <v>1155</v>
      </c>
      <c r="AJ131" s="364" t="s">
        <v>648</v>
      </c>
      <c r="AK131" s="364" t="s">
        <v>647</v>
      </c>
      <c r="AL131" s="364" t="s">
        <v>646</v>
      </c>
      <c r="AM131" s="364" t="s">
        <v>668</v>
      </c>
      <c r="AN131" s="364" t="s">
        <v>644</v>
      </c>
    </row>
    <row r="132" spans="1:40" x14ac:dyDescent="0.3">
      <c r="A132" s="364" t="s">
        <v>2640</v>
      </c>
      <c r="B132" s="364" t="s">
        <v>661</v>
      </c>
      <c r="C132" s="364" t="s">
        <v>660</v>
      </c>
      <c r="D132" s="364" t="s">
        <v>90</v>
      </c>
      <c r="E132" s="364" t="s">
        <v>771</v>
      </c>
      <c r="F132" s="364" t="s">
        <v>771</v>
      </c>
      <c r="G132" s="364" t="s">
        <v>658</v>
      </c>
      <c r="H132" s="364" t="s">
        <v>2639</v>
      </c>
      <c r="I132" s="364" t="s">
        <v>2638</v>
      </c>
      <c r="J132" s="364" t="s">
        <v>673</v>
      </c>
      <c r="K132" s="364" t="s">
        <v>668</v>
      </c>
      <c r="L132" s="364" t="s">
        <v>190</v>
      </c>
      <c r="M132" s="364" t="s">
        <v>725</v>
      </c>
      <c r="N132" s="364" t="s">
        <v>654</v>
      </c>
      <c r="O132" s="364" t="s">
        <v>653</v>
      </c>
      <c r="P132" s="364" t="s">
        <v>198</v>
      </c>
      <c r="Q132" s="364" t="s">
        <v>652</v>
      </c>
      <c r="R132" s="364" t="s">
        <v>88</v>
      </c>
      <c r="S132" s="364" t="s">
        <v>88</v>
      </c>
      <c r="T132" s="364" t="s">
        <v>88</v>
      </c>
      <c r="U132" s="364" t="s">
        <v>88</v>
      </c>
      <c r="V132" s="364" t="s">
        <v>88</v>
      </c>
      <c r="W132" s="364" t="s">
        <v>88</v>
      </c>
      <c r="X132" s="364" t="s">
        <v>88</v>
      </c>
      <c r="Y132" s="364" t="s">
        <v>88</v>
      </c>
      <c r="Z132" s="364" t="s">
        <v>724</v>
      </c>
      <c r="AA132" s="364" t="s">
        <v>649</v>
      </c>
      <c r="AB132" s="364" t="s">
        <v>649</v>
      </c>
      <c r="AC132" s="364" t="s">
        <v>649</v>
      </c>
      <c r="AD132" s="364" t="s">
        <v>649</v>
      </c>
      <c r="AE132" s="364" t="s">
        <v>88</v>
      </c>
      <c r="AF132" s="364" t="s">
        <v>88</v>
      </c>
      <c r="AG132" s="364" t="s">
        <v>88</v>
      </c>
      <c r="AH132" s="364" t="s">
        <v>88</v>
      </c>
      <c r="AI132" s="364" t="s">
        <v>1155</v>
      </c>
      <c r="AJ132" s="364" t="s">
        <v>648</v>
      </c>
      <c r="AK132" s="364" t="s">
        <v>647</v>
      </c>
      <c r="AL132" s="364" t="s">
        <v>646</v>
      </c>
      <c r="AM132" s="364" t="s">
        <v>668</v>
      </c>
      <c r="AN132" s="364" t="s">
        <v>644</v>
      </c>
    </row>
    <row r="133" spans="1:40" x14ac:dyDescent="0.3">
      <c r="A133" s="364" t="s">
        <v>2640</v>
      </c>
      <c r="B133" s="364" t="s">
        <v>661</v>
      </c>
      <c r="C133" s="364" t="s">
        <v>660</v>
      </c>
      <c r="D133" s="364" t="s">
        <v>90</v>
      </c>
      <c r="E133" s="364" t="s">
        <v>771</v>
      </c>
      <c r="F133" s="364" t="s">
        <v>771</v>
      </c>
      <c r="G133" s="364" t="s">
        <v>658</v>
      </c>
      <c r="H133" s="364" t="s">
        <v>2639</v>
      </c>
      <c r="I133" s="364" t="s">
        <v>2638</v>
      </c>
      <c r="J133" s="364" t="s">
        <v>673</v>
      </c>
      <c r="K133" s="364" t="s">
        <v>668</v>
      </c>
      <c r="L133" s="364" t="s">
        <v>190</v>
      </c>
      <c r="M133" s="364" t="s">
        <v>723</v>
      </c>
      <c r="N133" s="364" t="s">
        <v>654</v>
      </c>
      <c r="O133" s="364" t="s">
        <v>653</v>
      </c>
      <c r="P133" s="364" t="s">
        <v>198</v>
      </c>
      <c r="Q133" s="364" t="s">
        <v>652</v>
      </c>
      <c r="R133" s="364" t="s">
        <v>88</v>
      </c>
      <c r="S133" s="364" t="s">
        <v>88</v>
      </c>
      <c r="T133" s="364" t="s">
        <v>88</v>
      </c>
      <c r="U133" s="364" t="s">
        <v>88</v>
      </c>
      <c r="V133" s="364" t="s">
        <v>88</v>
      </c>
      <c r="W133" s="364" t="s">
        <v>88</v>
      </c>
      <c r="X133" s="364" t="s">
        <v>88</v>
      </c>
      <c r="Y133" s="364" t="s">
        <v>88</v>
      </c>
      <c r="Z133" s="364" t="s">
        <v>722</v>
      </c>
      <c r="AA133" s="364" t="s">
        <v>649</v>
      </c>
      <c r="AB133" s="364" t="s">
        <v>649</v>
      </c>
      <c r="AC133" s="364" t="s">
        <v>649</v>
      </c>
      <c r="AD133" s="364" t="s">
        <v>649</v>
      </c>
      <c r="AE133" s="364" t="s">
        <v>88</v>
      </c>
      <c r="AF133" s="364" t="s">
        <v>88</v>
      </c>
      <c r="AG133" s="364" t="s">
        <v>88</v>
      </c>
      <c r="AH133" s="364" t="s">
        <v>88</v>
      </c>
      <c r="AI133" s="364" t="s">
        <v>1155</v>
      </c>
      <c r="AJ133" s="364" t="s">
        <v>648</v>
      </c>
      <c r="AK133" s="364" t="s">
        <v>647</v>
      </c>
      <c r="AL133" s="364" t="s">
        <v>646</v>
      </c>
      <c r="AM133" s="364" t="s">
        <v>668</v>
      </c>
      <c r="AN133" s="364" t="s">
        <v>644</v>
      </c>
    </row>
    <row r="134" spans="1:40" x14ac:dyDescent="0.3">
      <c r="A134" s="364" t="s">
        <v>2637</v>
      </c>
      <c r="B134" s="364" t="s">
        <v>661</v>
      </c>
      <c r="C134" s="364" t="s">
        <v>1160</v>
      </c>
      <c r="D134" s="364" t="s">
        <v>87</v>
      </c>
      <c r="E134" s="364" t="s">
        <v>820</v>
      </c>
      <c r="F134" s="364" t="s">
        <v>820</v>
      </c>
      <c r="G134" s="364" t="s">
        <v>658</v>
      </c>
      <c r="H134" s="364" t="s">
        <v>2636</v>
      </c>
      <c r="I134" s="364" t="s">
        <v>88</v>
      </c>
      <c r="J134" s="364" t="s">
        <v>88</v>
      </c>
      <c r="K134" s="364" t="s">
        <v>88</v>
      </c>
      <c r="L134" s="364" t="s">
        <v>88</v>
      </c>
      <c r="M134" s="364" t="s">
        <v>138</v>
      </c>
      <c r="N134" s="364" t="s">
        <v>654</v>
      </c>
      <c r="O134" s="364" t="s">
        <v>653</v>
      </c>
      <c r="P134" s="364" t="s">
        <v>88</v>
      </c>
      <c r="Q134" s="364" t="s">
        <v>88</v>
      </c>
      <c r="R134" s="364" t="s">
        <v>88</v>
      </c>
      <c r="S134" s="364" t="s">
        <v>88</v>
      </c>
      <c r="T134" s="364" t="s">
        <v>88</v>
      </c>
      <c r="U134" s="364" t="s">
        <v>88</v>
      </c>
      <c r="V134" s="364" t="s">
        <v>88</v>
      </c>
      <c r="W134" s="364" t="s">
        <v>88</v>
      </c>
      <c r="X134" s="364" t="s">
        <v>88</v>
      </c>
      <c r="Y134" s="364" t="s">
        <v>88</v>
      </c>
      <c r="Z134" s="364" t="s">
        <v>88</v>
      </c>
      <c r="AA134" s="364" t="s">
        <v>649</v>
      </c>
      <c r="AB134" s="364" t="s">
        <v>88</v>
      </c>
      <c r="AC134" s="364" t="s">
        <v>88</v>
      </c>
      <c r="AD134" s="364" t="s">
        <v>88</v>
      </c>
      <c r="AE134" s="364" t="s">
        <v>88</v>
      </c>
      <c r="AF134" s="364" t="s">
        <v>88</v>
      </c>
      <c r="AG134" s="364" t="s">
        <v>88</v>
      </c>
      <c r="AH134" s="364" t="s">
        <v>88</v>
      </c>
      <c r="AI134" s="364" t="s">
        <v>2635</v>
      </c>
      <c r="AJ134" s="364" t="s">
        <v>793</v>
      </c>
      <c r="AK134" s="364" t="s">
        <v>88</v>
      </c>
      <c r="AL134" s="364" t="s">
        <v>88</v>
      </c>
      <c r="AM134" s="364" t="s">
        <v>88</v>
      </c>
      <c r="AN134" s="364" t="s">
        <v>792</v>
      </c>
    </row>
    <row r="135" spans="1:40" x14ac:dyDescent="0.3">
      <c r="A135" s="364" t="s">
        <v>2634</v>
      </c>
      <c r="B135" s="364" t="s">
        <v>661</v>
      </c>
      <c r="C135" s="364" t="s">
        <v>1160</v>
      </c>
      <c r="D135" s="364" t="s">
        <v>87</v>
      </c>
      <c r="E135" s="364" t="s">
        <v>820</v>
      </c>
      <c r="F135" s="364" t="s">
        <v>820</v>
      </c>
      <c r="G135" s="364" t="s">
        <v>658</v>
      </c>
      <c r="H135" s="364" t="s">
        <v>2633</v>
      </c>
      <c r="I135" s="364" t="s">
        <v>88</v>
      </c>
      <c r="J135" s="364" t="s">
        <v>88</v>
      </c>
      <c r="K135" s="364" t="s">
        <v>88</v>
      </c>
      <c r="L135" s="364" t="s">
        <v>88</v>
      </c>
      <c r="M135" s="364" t="s">
        <v>138</v>
      </c>
      <c r="N135" s="364" t="s">
        <v>654</v>
      </c>
      <c r="O135" s="364" t="s">
        <v>653</v>
      </c>
      <c r="P135" s="364" t="s">
        <v>88</v>
      </c>
      <c r="Q135" s="364" t="s">
        <v>88</v>
      </c>
      <c r="R135" s="364" t="s">
        <v>88</v>
      </c>
      <c r="S135" s="364" t="s">
        <v>88</v>
      </c>
      <c r="T135" s="364" t="s">
        <v>88</v>
      </c>
      <c r="U135" s="364" t="s">
        <v>88</v>
      </c>
      <c r="V135" s="364" t="s">
        <v>88</v>
      </c>
      <c r="W135" s="364" t="s">
        <v>88</v>
      </c>
      <c r="X135" s="364" t="s">
        <v>88</v>
      </c>
      <c r="Y135" s="364" t="s">
        <v>88</v>
      </c>
      <c r="Z135" s="364" t="s">
        <v>88</v>
      </c>
      <c r="AA135" s="364" t="s">
        <v>649</v>
      </c>
      <c r="AB135" s="364" t="s">
        <v>88</v>
      </c>
      <c r="AC135" s="364" t="s">
        <v>88</v>
      </c>
      <c r="AD135" s="364" t="s">
        <v>88</v>
      </c>
      <c r="AE135" s="364" t="s">
        <v>88</v>
      </c>
      <c r="AF135" s="364" t="s">
        <v>88</v>
      </c>
      <c r="AG135" s="364" t="s">
        <v>88</v>
      </c>
      <c r="AH135" s="364" t="s">
        <v>88</v>
      </c>
      <c r="AI135" s="364" t="s">
        <v>2630</v>
      </c>
      <c r="AJ135" s="364" t="s">
        <v>793</v>
      </c>
      <c r="AK135" s="364" t="s">
        <v>88</v>
      </c>
      <c r="AL135" s="364" t="s">
        <v>88</v>
      </c>
      <c r="AM135" s="364" t="s">
        <v>88</v>
      </c>
      <c r="AN135" s="364" t="s">
        <v>792</v>
      </c>
    </row>
    <row r="136" spans="1:40" x14ac:dyDescent="0.3">
      <c r="A136" s="364" t="s">
        <v>2632</v>
      </c>
      <c r="B136" s="364" t="s">
        <v>661</v>
      </c>
      <c r="C136" s="364" t="s">
        <v>1160</v>
      </c>
      <c r="D136" s="364" t="s">
        <v>87</v>
      </c>
      <c r="E136" s="364" t="s">
        <v>820</v>
      </c>
      <c r="F136" s="364" t="s">
        <v>820</v>
      </c>
      <c r="G136" s="364" t="s">
        <v>658</v>
      </c>
      <c r="H136" s="364" t="s">
        <v>2631</v>
      </c>
      <c r="I136" s="364" t="s">
        <v>88</v>
      </c>
      <c r="J136" s="364" t="s">
        <v>88</v>
      </c>
      <c r="K136" s="364" t="s">
        <v>88</v>
      </c>
      <c r="L136" s="364" t="s">
        <v>88</v>
      </c>
      <c r="M136" s="364" t="s">
        <v>138</v>
      </c>
      <c r="N136" s="364" t="s">
        <v>654</v>
      </c>
      <c r="O136" s="364" t="s">
        <v>653</v>
      </c>
      <c r="P136" s="364" t="s">
        <v>88</v>
      </c>
      <c r="Q136" s="364" t="s">
        <v>88</v>
      </c>
      <c r="R136" s="364" t="s">
        <v>88</v>
      </c>
      <c r="S136" s="364" t="s">
        <v>88</v>
      </c>
      <c r="T136" s="364" t="s">
        <v>88</v>
      </c>
      <c r="U136" s="364" t="s">
        <v>88</v>
      </c>
      <c r="V136" s="364" t="s">
        <v>88</v>
      </c>
      <c r="W136" s="364" t="s">
        <v>88</v>
      </c>
      <c r="X136" s="364" t="s">
        <v>88</v>
      </c>
      <c r="Y136" s="364" t="s">
        <v>88</v>
      </c>
      <c r="Z136" s="364" t="s">
        <v>88</v>
      </c>
      <c r="AA136" s="364" t="s">
        <v>649</v>
      </c>
      <c r="AB136" s="364" t="s">
        <v>88</v>
      </c>
      <c r="AC136" s="364" t="s">
        <v>88</v>
      </c>
      <c r="AD136" s="364" t="s">
        <v>88</v>
      </c>
      <c r="AE136" s="364" t="s">
        <v>88</v>
      </c>
      <c r="AF136" s="364" t="s">
        <v>88</v>
      </c>
      <c r="AG136" s="364" t="s">
        <v>88</v>
      </c>
      <c r="AH136" s="364" t="s">
        <v>88</v>
      </c>
      <c r="AI136" s="364" t="s">
        <v>2630</v>
      </c>
      <c r="AJ136" s="364" t="s">
        <v>793</v>
      </c>
      <c r="AK136" s="364" t="s">
        <v>88</v>
      </c>
      <c r="AL136" s="364" t="s">
        <v>88</v>
      </c>
      <c r="AM136" s="364" t="s">
        <v>88</v>
      </c>
      <c r="AN136" s="364" t="s">
        <v>792</v>
      </c>
    </row>
    <row r="137" spans="1:40" x14ac:dyDescent="0.3">
      <c r="A137" s="364" t="s">
        <v>2629</v>
      </c>
      <c r="B137" s="364" t="s">
        <v>661</v>
      </c>
      <c r="C137" s="364" t="s">
        <v>1160</v>
      </c>
      <c r="D137" s="364" t="s">
        <v>87</v>
      </c>
      <c r="E137" s="364" t="s">
        <v>820</v>
      </c>
      <c r="F137" s="364" t="s">
        <v>820</v>
      </c>
      <c r="G137" s="364" t="s">
        <v>658</v>
      </c>
      <c r="H137" s="364" t="s">
        <v>1144</v>
      </c>
      <c r="I137" s="364" t="s">
        <v>88</v>
      </c>
      <c r="J137" s="364" t="s">
        <v>88</v>
      </c>
      <c r="K137" s="364" t="s">
        <v>88</v>
      </c>
      <c r="L137" s="364" t="s">
        <v>88</v>
      </c>
      <c r="M137" s="364" t="s">
        <v>138</v>
      </c>
      <c r="N137" s="364" t="s">
        <v>654</v>
      </c>
      <c r="O137" s="364" t="s">
        <v>653</v>
      </c>
      <c r="P137" s="364" t="s">
        <v>88</v>
      </c>
      <c r="Q137" s="364" t="s">
        <v>88</v>
      </c>
      <c r="R137" s="364" t="s">
        <v>88</v>
      </c>
      <c r="S137" s="364" t="s">
        <v>88</v>
      </c>
      <c r="T137" s="364" t="s">
        <v>88</v>
      </c>
      <c r="U137" s="364" t="s">
        <v>88</v>
      </c>
      <c r="V137" s="364" t="s">
        <v>88</v>
      </c>
      <c r="W137" s="364" t="s">
        <v>88</v>
      </c>
      <c r="X137" s="364" t="s">
        <v>88</v>
      </c>
      <c r="Y137" s="364" t="s">
        <v>88</v>
      </c>
      <c r="Z137" s="364" t="s">
        <v>88</v>
      </c>
      <c r="AA137" s="364" t="s">
        <v>649</v>
      </c>
      <c r="AB137" s="364" t="s">
        <v>88</v>
      </c>
      <c r="AC137" s="364" t="s">
        <v>88</v>
      </c>
      <c r="AD137" s="364" t="s">
        <v>88</v>
      </c>
      <c r="AE137" s="364" t="s">
        <v>88</v>
      </c>
      <c r="AF137" s="364" t="s">
        <v>88</v>
      </c>
      <c r="AG137" s="364" t="s">
        <v>88</v>
      </c>
      <c r="AH137" s="364" t="s">
        <v>88</v>
      </c>
      <c r="AI137" s="364" t="s">
        <v>2628</v>
      </c>
      <c r="AJ137" s="364" t="s">
        <v>793</v>
      </c>
      <c r="AK137" s="364" t="s">
        <v>88</v>
      </c>
      <c r="AL137" s="364" t="s">
        <v>88</v>
      </c>
      <c r="AM137" s="364" t="s">
        <v>88</v>
      </c>
      <c r="AN137" s="364" t="s">
        <v>792</v>
      </c>
    </row>
    <row r="138" spans="1:40" x14ac:dyDescent="0.3">
      <c r="A138" s="364" t="s">
        <v>2627</v>
      </c>
      <c r="B138" s="364" t="s">
        <v>661</v>
      </c>
      <c r="C138" s="364" t="s">
        <v>1160</v>
      </c>
      <c r="D138" s="364" t="s">
        <v>87</v>
      </c>
      <c r="E138" s="364" t="s">
        <v>795</v>
      </c>
      <c r="F138" s="364" t="s">
        <v>795</v>
      </c>
      <c r="G138" s="364" t="s">
        <v>658</v>
      </c>
      <c r="H138" s="364" t="s">
        <v>794</v>
      </c>
      <c r="I138" s="364" t="s">
        <v>88</v>
      </c>
      <c r="J138" s="364" t="s">
        <v>88</v>
      </c>
      <c r="K138" s="364" t="s">
        <v>88</v>
      </c>
      <c r="L138" s="364" t="s">
        <v>88</v>
      </c>
      <c r="M138" s="364" t="s">
        <v>138</v>
      </c>
      <c r="N138" s="364" t="s">
        <v>654</v>
      </c>
      <c r="O138" s="364" t="s">
        <v>653</v>
      </c>
      <c r="P138" s="364" t="s">
        <v>88</v>
      </c>
      <c r="Q138" s="364" t="s">
        <v>88</v>
      </c>
      <c r="R138" s="364" t="s">
        <v>88</v>
      </c>
      <c r="S138" s="364" t="s">
        <v>88</v>
      </c>
      <c r="T138" s="364" t="s">
        <v>88</v>
      </c>
      <c r="U138" s="364" t="s">
        <v>88</v>
      </c>
      <c r="V138" s="364" t="s">
        <v>88</v>
      </c>
      <c r="W138" s="364" t="s">
        <v>88</v>
      </c>
      <c r="X138" s="364" t="s">
        <v>88</v>
      </c>
      <c r="Y138" s="364" t="s">
        <v>88</v>
      </c>
      <c r="Z138" s="364" t="s">
        <v>88</v>
      </c>
      <c r="AA138" s="364" t="s">
        <v>649</v>
      </c>
      <c r="AB138" s="364" t="s">
        <v>88</v>
      </c>
      <c r="AC138" s="364" t="s">
        <v>88</v>
      </c>
      <c r="AD138" s="364" t="s">
        <v>88</v>
      </c>
      <c r="AE138" s="364" t="s">
        <v>88</v>
      </c>
      <c r="AF138" s="364" t="s">
        <v>88</v>
      </c>
      <c r="AG138" s="364" t="s">
        <v>88</v>
      </c>
      <c r="AH138" s="364" t="s">
        <v>88</v>
      </c>
      <c r="AI138" s="364" t="s">
        <v>2626</v>
      </c>
      <c r="AJ138" s="364" t="s">
        <v>793</v>
      </c>
      <c r="AK138" s="364" t="s">
        <v>88</v>
      </c>
      <c r="AL138" s="364" t="s">
        <v>88</v>
      </c>
      <c r="AM138" s="364" t="s">
        <v>88</v>
      </c>
      <c r="AN138" s="364" t="s">
        <v>792</v>
      </c>
    </row>
    <row r="139" spans="1:40" x14ac:dyDescent="0.3">
      <c r="A139" s="364" t="s">
        <v>2625</v>
      </c>
      <c r="B139" s="364" t="s">
        <v>661</v>
      </c>
      <c r="C139" s="364" t="s">
        <v>1160</v>
      </c>
      <c r="D139" s="364" t="s">
        <v>87</v>
      </c>
      <c r="E139" s="364" t="s">
        <v>795</v>
      </c>
      <c r="F139" s="364" t="s">
        <v>795</v>
      </c>
      <c r="G139" s="364" t="s">
        <v>658</v>
      </c>
      <c r="H139" s="364" t="s">
        <v>2624</v>
      </c>
      <c r="I139" s="364" t="s">
        <v>88</v>
      </c>
      <c r="J139" s="364" t="s">
        <v>88</v>
      </c>
      <c r="K139" s="364" t="s">
        <v>88</v>
      </c>
      <c r="L139" s="364" t="s">
        <v>88</v>
      </c>
      <c r="M139" s="364" t="s">
        <v>138</v>
      </c>
      <c r="N139" s="364" t="s">
        <v>654</v>
      </c>
      <c r="O139" s="364" t="s">
        <v>653</v>
      </c>
      <c r="P139" s="364" t="s">
        <v>88</v>
      </c>
      <c r="Q139" s="364" t="s">
        <v>88</v>
      </c>
      <c r="R139" s="364" t="s">
        <v>88</v>
      </c>
      <c r="S139" s="364" t="s">
        <v>88</v>
      </c>
      <c r="T139" s="364" t="s">
        <v>88</v>
      </c>
      <c r="U139" s="364" t="s">
        <v>88</v>
      </c>
      <c r="V139" s="364" t="s">
        <v>88</v>
      </c>
      <c r="W139" s="364" t="s">
        <v>88</v>
      </c>
      <c r="X139" s="364" t="s">
        <v>88</v>
      </c>
      <c r="Y139" s="364" t="s">
        <v>88</v>
      </c>
      <c r="Z139" s="364" t="s">
        <v>88</v>
      </c>
      <c r="AA139" s="364" t="s">
        <v>649</v>
      </c>
      <c r="AB139" s="364" t="s">
        <v>88</v>
      </c>
      <c r="AC139" s="364" t="s">
        <v>88</v>
      </c>
      <c r="AD139" s="364" t="s">
        <v>88</v>
      </c>
      <c r="AE139" s="364" t="s">
        <v>88</v>
      </c>
      <c r="AF139" s="364" t="s">
        <v>88</v>
      </c>
      <c r="AG139" s="364" t="s">
        <v>88</v>
      </c>
      <c r="AH139" s="364" t="s">
        <v>88</v>
      </c>
      <c r="AI139" s="364" t="s">
        <v>2623</v>
      </c>
      <c r="AJ139" s="364" t="s">
        <v>793</v>
      </c>
      <c r="AK139" s="364" t="s">
        <v>88</v>
      </c>
      <c r="AL139" s="364" t="s">
        <v>88</v>
      </c>
      <c r="AM139" s="364" t="s">
        <v>88</v>
      </c>
      <c r="AN139" s="364" t="s">
        <v>792</v>
      </c>
    </row>
    <row r="140" spans="1:40" x14ac:dyDescent="0.3">
      <c r="A140" s="364" t="s">
        <v>2622</v>
      </c>
      <c r="B140" s="364" t="s">
        <v>661</v>
      </c>
      <c r="C140" s="364" t="s">
        <v>1160</v>
      </c>
      <c r="D140" s="364" t="s">
        <v>87</v>
      </c>
      <c r="E140" s="364" t="s">
        <v>845</v>
      </c>
      <c r="F140" s="364" t="s">
        <v>845</v>
      </c>
      <c r="G140" s="364" t="s">
        <v>658</v>
      </c>
      <c r="H140" s="364" t="s">
        <v>2619</v>
      </c>
      <c r="I140" s="364" t="s">
        <v>88</v>
      </c>
      <c r="J140" s="364" t="s">
        <v>88</v>
      </c>
      <c r="K140" s="364" t="s">
        <v>88</v>
      </c>
      <c r="L140" s="364" t="s">
        <v>88</v>
      </c>
      <c r="M140" s="364" t="s">
        <v>138</v>
      </c>
      <c r="N140" s="364" t="s">
        <v>654</v>
      </c>
      <c r="O140" s="364" t="s">
        <v>653</v>
      </c>
      <c r="P140" s="364" t="s">
        <v>88</v>
      </c>
      <c r="Q140" s="364" t="s">
        <v>88</v>
      </c>
      <c r="R140" s="364" t="s">
        <v>88</v>
      </c>
      <c r="S140" s="364" t="s">
        <v>88</v>
      </c>
      <c r="T140" s="364" t="s">
        <v>88</v>
      </c>
      <c r="U140" s="364" t="s">
        <v>88</v>
      </c>
      <c r="V140" s="364" t="s">
        <v>88</v>
      </c>
      <c r="W140" s="364" t="s">
        <v>88</v>
      </c>
      <c r="X140" s="364" t="s">
        <v>88</v>
      </c>
      <c r="Y140" s="364" t="s">
        <v>88</v>
      </c>
      <c r="Z140" s="364" t="s">
        <v>88</v>
      </c>
      <c r="AA140" s="364" t="s">
        <v>649</v>
      </c>
      <c r="AB140" s="364" t="s">
        <v>88</v>
      </c>
      <c r="AC140" s="364" t="s">
        <v>88</v>
      </c>
      <c r="AD140" s="364" t="s">
        <v>88</v>
      </c>
      <c r="AE140" s="364" t="s">
        <v>88</v>
      </c>
      <c r="AF140" s="364" t="s">
        <v>88</v>
      </c>
      <c r="AG140" s="364" t="s">
        <v>88</v>
      </c>
      <c r="AH140" s="364" t="s">
        <v>88</v>
      </c>
      <c r="AI140" s="364" t="s">
        <v>2621</v>
      </c>
      <c r="AJ140" s="364" t="s">
        <v>793</v>
      </c>
      <c r="AK140" s="364" t="s">
        <v>88</v>
      </c>
      <c r="AL140" s="364" t="s">
        <v>88</v>
      </c>
      <c r="AM140" s="364" t="s">
        <v>88</v>
      </c>
      <c r="AN140" s="364" t="s">
        <v>792</v>
      </c>
    </row>
    <row r="141" spans="1:40" x14ac:dyDescent="0.3">
      <c r="A141" s="364" t="s">
        <v>2620</v>
      </c>
      <c r="B141" s="364" t="s">
        <v>661</v>
      </c>
      <c r="C141" s="364" t="s">
        <v>1160</v>
      </c>
      <c r="D141" s="364" t="s">
        <v>87</v>
      </c>
      <c r="E141" s="364" t="s">
        <v>795</v>
      </c>
      <c r="F141" s="364" t="s">
        <v>795</v>
      </c>
      <c r="G141" s="364" t="s">
        <v>658</v>
      </c>
      <c r="H141" s="364" t="s">
        <v>2619</v>
      </c>
      <c r="I141" s="364" t="s">
        <v>88</v>
      </c>
      <c r="J141" s="364" t="s">
        <v>88</v>
      </c>
      <c r="K141" s="364" t="s">
        <v>88</v>
      </c>
      <c r="L141" s="364" t="s">
        <v>88</v>
      </c>
      <c r="M141" s="364" t="s">
        <v>138</v>
      </c>
      <c r="N141" s="364" t="s">
        <v>654</v>
      </c>
      <c r="O141" s="364" t="s">
        <v>653</v>
      </c>
      <c r="P141" s="364" t="s">
        <v>88</v>
      </c>
      <c r="Q141" s="364" t="s">
        <v>88</v>
      </c>
      <c r="R141" s="364" t="s">
        <v>88</v>
      </c>
      <c r="S141" s="364" t="s">
        <v>88</v>
      </c>
      <c r="T141" s="364" t="s">
        <v>88</v>
      </c>
      <c r="U141" s="364" t="s">
        <v>88</v>
      </c>
      <c r="V141" s="364" t="s">
        <v>88</v>
      </c>
      <c r="W141" s="364" t="s">
        <v>88</v>
      </c>
      <c r="X141" s="364" t="s">
        <v>88</v>
      </c>
      <c r="Y141" s="364" t="s">
        <v>88</v>
      </c>
      <c r="Z141" s="364" t="s">
        <v>88</v>
      </c>
      <c r="AA141" s="364" t="s">
        <v>649</v>
      </c>
      <c r="AB141" s="364" t="s">
        <v>88</v>
      </c>
      <c r="AC141" s="364" t="s">
        <v>88</v>
      </c>
      <c r="AD141" s="364" t="s">
        <v>88</v>
      </c>
      <c r="AE141" s="364" t="s">
        <v>88</v>
      </c>
      <c r="AF141" s="364" t="s">
        <v>88</v>
      </c>
      <c r="AG141" s="364" t="s">
        <v>88</v>
      </c>
      <c r="AH141" s="364" t="s">
        <v>88</v>
      </c>
      <c r="AI141" s="364" t="s">
        <v>2618</v>
      </c>
      <c r="AJ141" s="364" t="s">
        <v>793</v>
      </c>
      <c r="AK141" s="364" t="s">
        <v>88</v>
      </c>
      <c r="AL141" s="364" t="s">
        <v>88</v>
      </c>
      <c r="AM141" s="364" t="s">
        <v>88</v>
      </c>
      <c r="AN141" s="364" t="s">
        <v>792</v>
      </c>
    </row>
    <row r="142" spans="1:40" x14ac:dyDescent="0.3">
      <c r="A142" s="364" t="s">
        <v>2617</v>
      </c>
      <c r="B142" s="364" t="s">
        <v>661</v>
      </c>
      <c r="C142" s="364" t="s">
        <v>1160</v>
      </c>
      <c r="D142" s="364" t="s">
        <v>87</v>
      </c>
      <c r="E142" s="364" t="s">
        <v>795</v>
      </c>
      <c r="F142" s="364" t="s">
        <v>795</v>
      </c>
      <c r="G142" s="364" t="s">
        <v>658</v>
      </c>
      <c r="H142" s="364" t="s">
        <v>2616</v>
      </c>
      <c r="I142" s="364" t="s">
        <v>88</v>
      </c>
      <c r="J142" s="364" t="s">
        <v>88</v>
      </c>
      <c r="K142" s="364" t="s">
        <v>88</v>
      </c>
      <c r="L142" s="364" t="s">
        <v>88</v>
      </c>
      <c r="M142" s="364" t="s">
        <v>138</v>
      </c>
      <c r="N142" s="364" t="s">
        <v>654</v>
      </c>
      <c r="O142" s="364" t="s">
        <v>653</v>
      </c>
      <c r="P142" s="364" t="s">
        <v>88</v>
      </c>
      <c r="Q142" s="364" t="s">
        <v>88</v>
      </c>
      <c r="R142" s="364" t="s">
        <v>88</v>
      </c>
      <c r="S142" s="364" t="s">
        <v>88</v>
      </c>
      <c r="T142" s="364" t="s">
        <v>88</v>
      </c>
      <c r="U142" s="364" t="s">
        <v>88</v>
      </c>
      <c r="V142" s="364" t="s">
        <v>88</v>
      </c>
      <c r="W142" s="364" t="s">
        <v>88</v>
      </c>
      <c r="X142" s="364" t="s">
        <v>88</v>
      </c>
      <c r="Y142" s="364" t="s">
        <v>88</v>
      </c>
      <c r="Z142" s="364" t="s">
        <v>88</v>
      </c>
      <c r="AA142" s="364" t="s">
        <v>649</v>
      </c>
      <c r="AB142" s="364" t="s">
        <v>88</v>
      </c>
      <c r="AC142" s="364" t="s">
        <v>88</v>
      </c>
      <c r="AD142" s="364" t="s">
        <v>88</v>
      </c>
      <c r="AE142" s="364" t="s">
        <v>88</v>
      </c>
      <c r="AF142" s="364" t="s">
        <v>88</v>
      </c>
      <c r="AG142" s="364" t="s">
        <v>88</v>
      </c>
      <c r="AH142" s="364" t="s">
        <v>88</v>
      </c>
      <c r="AI142" s="364" t="s">
        <v>2615</v>
      </c>
      <c r="AJ142" s="364" t="s">
        <v>793</v>
      </c>
      <c r="AK142" s="364" t="s">
        <v>88</v>
      </c>
      <c r="AL142" s="364" t="s">
        <v>88</v>
      </c>
      <c r="AM142" s="364" t="s">
        <v>88</v>
      </c>
      <c r="AN142" s="364" t="s">
        <v>792</v>
      </c>
    </row>
    <row r="143" spans="1:40" x14ac:dyDescent="0.3">
      <c r="A143" s="364" t="s">
        <v>2614</v>
      </c>
      <c r="B143" s="364" t="s">
        <v>661</v>
      </c>
      <c r="C143" s="364" t="s">
        <v>660</v>
      </c>
      <c r="D143" s="364" t="s">
        <v>90</v>
      </c>
      <c r="E143" s="364" t="s">
        <v>820</v>
      </c>
      <c r="F143" s="364" t="s">
        <v>820</v>
      </c>
      <c r="G143" s="364" t="s">
        <v>658</v>
      </c>
      <c r="H143" s="364" t="s">
        <v>2613</v>
      </c>
      <c r="I143" s="364" t="s">
        <v>2612</v>
      </c>
      <c r="J143" s="364" t="s">
        <v>673</v>
      </c>
      <c r="K143" s="364" t="s">
        <v>668</v>
      </c>
      <c r="L143" s="364" t="s">
        <v>190</v>
      </c>
      <c r="M143" s="364" t="s">
        <v>55</v>
      </c>
      <c r="N143" s="364" t="s">
        <v>654</v>
      </c>
      <c r="O143" s="364" t="s">
        <v>653</v>
      </c>
      <c r="P143" s="364" t="s">
        <v>198</v>
      </c>
      <c r="Q143" s="364" t="s">
        <v>652</v>
      </c>
      <c r="R143" s="364" t="s">
        <v>88</v>
      </c>
      <c r="S143" s="364" t="s">
        <v>88</v>
      </c>
      <c r="T143" s="364" t="s">
        <v>88</v>
      </c>
      <c r="U143" s="364" t="s">
        <v>88</v>
      </c>
      <c r="V143" s="364" t="s">
        <v>88</v>
      </c>
      <c r="W143" s="364" t="s">
        <v>88</v>
      </c>
      <c r="X143" s="364" t="s">
        <v>88</v>
      </c>
      <c r="Y143" s="364" t="s">
        <v>88</v>
      </c>
      <c r="Z143" s="364" t="s">
        <v>719</v>
      </c>
      <c r="AA143" s="364" t="s">
        <v>649</v>
      </c>
      <c r="AB143" s="364" t="s">
        <v>649</v>
      </c>
      <c r="AC143" s="364" t="s">
        <v>649</v>
      </c>
      <c r="AD143" s="364" t="s">
        <v>649</v>
      </c>
      <c r="AE143" s="364" t="s">
        <v>88</v>
      </c>
      <c r="AF143" s="364" t="s">
        <v>88</v>
      </c>
      <c r="AG143" s="364" t="s">
        <v>88</v>
      </c>
      <c r="AH143" s="364" t="s">
        <v>88</v>
      </c>
      <c r="AI143" s="364" t="s">
        <v>1155</v>
      </c>
      <c r="AJ143" s="364" t="s">
        <v>648</v>
      </c>
      <c r="AK143" s="364" t="s">
        <v>647</v>
      </c>
      <c r="AL143" s="364" t="s">
        <v>646</v>
      </c>
      <c r="AM143" s="364" t="s">
        <v>668</v>
      </c>
      <c r="AN143" s="364" t="s">
        <v>644</v>
      </c>
    </row>
    <row r="144" spans="1:40" x14ac:dyDescent="0.3">
      <c r="A144" s="364" t="s">
        <v>2614</v>
      </c>
      <c r="B144" s="364" t="s">
        <v>661</v>
      </c>
      <c r="C144" s="364" t="s">
        <v>660</v>
      </c>
      <c r="D144" s="364" t="s">
        <v>90</v>
      </c>
      <c r="E144" s="364" t="s">
        <v>820</v>
      </c>
      <c r="F144" s="364" t="s">
        <v>820</v>
      </c>
      <c r="G144" s="364" t="s">
        <v>658</v>
      </c>
      <c r="H144" s="364" t="s">
        <v>2613</v>
      </c>
      <c r="I144" s="364" t="s">
        <v>2612</v>
      </c>
      <c r="J144" s="364" t="s">
        <v>673</v>
      </c>
      <c r="K144" s="364" t="s">
        <v>668</v>
      </c>
      <c r="L144" s="364" t="s">
        <v>190</v>
      </c>
      <c r="M144" s="364" t="s">
        <v>718</v>
      </c>
      <c r="N144" s="364" t="s">
        <v>654</v>
      </c>
      <c r="O144" s="364" t="s">
        <v>653</v>
      </c>
      <c r="P144" s="364" t="s">
        <v>198</v>
      </c>
      <c r="Q144" s="364" t="s">
        <v>652</v>
      </c>
      <c r="R144" s="364" t="s">
        <v>88</v>
      </c>
      <c r="S144" s="364" t="s">
        <v>88</v>
      </c>
      <c r="T144" s="364" t="s">
        <v>88</v>
      </c>
      <c r="U144" s="364" t="s">
        <v>88</v>
      </c>
      <c r="V144" s="364" t="s">
        <v>88</v>
      </c>
      <c r="W144" s="364" t="s">
        <v>88</v>
      </c>
      <c r="X144" s="364" t="s">
        <v>88</v>
      </c>
      <c r="Y144" s="364" t="s">
        <v>88</v>
      </c>
      <c r="Z144" s="364" t="s">
        <v>717</v>
      </c>
      <c r="AA144" s="364" t="s">
        <v>649</v>
      </c>
      <c r="AB144" s="364" t="s">
        <v>649</v>
      </c>
      <c r="AC144" s="364" t="s">
        <v>649</v>
      </c>
      <c r="AD144" s="364" t="s">
        <v>649</v>
      </c>
      <c r="AE144" s="364" t="s">
        <v>88</v>
      </c>
      <c r="AF144" s="364" t="s">
        <v>88</v>
      </c>
      <c r="AG144" s="364" t="s">
        <v>88</v>
      </c>
      <c r="AH144" s="364" t="s">
        <v>88</v>
      </c>
      <c r="AI144" s="364" t="s">
        <v>1155</v>
      </c>
      <c r="AJ144" s="364" t="s">
        <v>648</v>
      </c>
      <c r="AK144" s="364" t="s">
        <v>647</v>
      </c>
      <c r="AL144" s="364" t="s">
        <v>646</v>
      </c>
      <c r="AM144" s="364" t="s">
        <v>668</v>
      </c>
      <c r="AN144" s="364" t="s">
        <v>644</v>
      </c>
    </row>
    <row r="145" spans="1:40" x14ac:dyDescent="0.3">
      <c r="A145" s="364" t="s">
        <v>2614</v>
      </c>
      <c r="B145" s="364" t="s">
        <v>661</v>
      </c>
      <c r="C145" s="364" t="s">
        <v>660</v>
      </c>
      <c r="D145" s="364" t="s">
        <v>90</v>
      </c>
      <c r="E145" s="364" t="s">
        <v>820</v>
      </c>
      <c r="F145" s="364" t="s">
        <v>820</v>
      </c>
      <c r="G145" s="364" t="s">
        <v>658</v>
      </c>
      <c r="H145" s="364" t="s">
        <v>2613</v>
      </c>
      <c r="I145" s="364" t="s">
        <v>2612</v>
      </c>
      <c r="J145" s="364" t="s">
        <v>673</v>
      </c>
      <c r="K145" s="364" t="s">
        <v>668</v>
      </c>
      <c r="L145" s="364" t="s">
        <v>190</v>
      </c>
      <c r="M145" s="364" t="s">
        <v>725</v>
      </c>
      <c r="N145" s="364" t="s">
        <v>654</v>
      </c>
      <c r="O145" s="364" t="s">
        <v>653</v>
      </c>
      <c r="P145" s="364" t="s">
        <v>198</v>
      </c>
      <c r="Q145" s="364" t="s">
        <v>652</v>
      </c>
      <c r="R145" s="364" t="s">
        <v>88</v>
      </c>
      <c r="S145" s="364" t="s">
        <v>88</v>
      </c>
      <c r="T145" s="364" t="s">
        <v>88</v>
      </c>
      <c r="U145" s="364" t="s">
        <v>88</v>
      </c>
      <c r="V145" s="364" t="s">
        <v>88</v>
      </c>
      <c r="W145" s="364" t="s">
        <v>88</v>
      </c>
      <c r="X145" s="364" t="s">
        <v>88</v>
      </c>
      <c r="Y145" s="364" t="s">
        <v>88</v>
      </c>
      <c r="Z145" s="364" t="s">
        <v>724</v>
      </c>
      <c r="AA145" s="364" t="s">
        <v>649</v>
      </c>
      <c r="AB145" s="364" t="s">
        <v>649</v>
      </c>
      <c r="AC145" s="364" t="s">
        <v>649</v>
      </c>
      <c r="AD145" s="364" t="s">
        <v>649</v>
      </c>
      <c r="AE145" s="364" t="s">
        <v>88</v>
      </c>
      <c r="AF145" s="364" t="s">
        <v>88</v>
      </c>
      <c r="AG145" s="364" t="s">
        <v>88</v>
      </c>
      <c r="AH145" s="364" t="s">
        <v>88</v>
      </c>
      <c r="AI145" s="364" t="s">
        <v>1155</v>
      </c>
      <c r="AJ145" s="364" t="s">
        <v>648</v>
      </c>
      <c r="AK145" s="364" t="s">
        <v>647</v>
      </c>
      <c r="AL145" s="364" t="s">
        <v>646</v>
      </c>
      <c r="AM145" s="364" t="s">
        <v>668</v>
      </c>
      <c r="AN145" s="364" t="s">
        <v>644</v>
      </c>
    </row>
    <row r="146" spans="1:40" x14ac:dyDescent="0.3">
      <c r="A146" s="364" t="s">
        <v>2614</v>
      </c>
      <c r="B146" s="364" t="s">
        <v>661</v>
      </c>
      <c r="C146" s="364" t="s">
        <v>660</v>
      </c>
      <c r="D146" s="364" t="s">
        <v>90</v>
      </c>
      <c r="E146" s="364" t="s">
        <v>820</v>
      </c>
      <c r="F146" s="364" t="s">
        <v>820</v>
      </c>
      <c r="G146" s="364" t="s">
        <v>658</v>
      </c>
      <c r="H146" s="364" t="s">
        <v>2613</v>
      </c>
      <c r="I146" s="364" t="s">
        <v>2612</v>
      </c>
      <c r="J146" s="364" t="s">
        <v>673</v>
      </c>
      <c r="K146" s="364" t="s">
        <v>668</v>
      </c>
      <c r="L146" s="364" t="s">
        <v>190</v>
      </c>
      <c r="M146" s="364" t="s">
        <v>723</v>
      </c>
      <c r="N146" s="364" t="s">
        <v>654</v>
      </c>
      <c r="O146" s="364" t="s">
        <v>653</v>
      </c>
      <c r="P146" s="364" t="s">
        <v>198</v>
      </c>
      <c r="Q146" s="364" t="s">
        <v>652</v>
      </c>
      <c r="R146" s="364" t="s">
        <v>88</v>
      </c>
      <c r="S146" s="364" t="s">
        <v>88</v>
      </c>
      <c r="T146" s="364" t="s">
        <v>88</v>
      </c>
      <c r="U146" s="364" t="s">
        <v>88</v>
      </c>
      <c r="V146" s="364" t="s">
        <v>88</v>
      </c>
      <c r="W146" s="364" t="s">
        <v>88</v>
      </c>
      <c r="X146" s="364" t="s">
        <v>88</v>
      </c>
      <c r="Y146" s="364" t="s">
        <v>88</v>
      </c>
      <c r="Z146" s="364" t="s">
        <v>722</v>
      </c>
      <c r="AA146" s="364" t="s">
        <v>649</v>
      </c>
      <c r="AB146" s="364" t="s">
        <v>649</v>
      </c>
      <c r="AC146" s="364" t="s">
        <v>649</v>
      </c>
      <c r="AD146" s="364" t="s">
        <v>649</v>
      </c>
      <c r="AE146" s="364" t="s">
        <v>88</v>
      </c>
      <c r="AF146" s="364" t="s">
        <v>88</v>
      </c>
      <c r="AG146" s="364" t="s">
        <v>88</v>
      </c>
      <c r="AH146" s="364" t="s">
        <v>88</v>
      </c>
      <c r="AI146" s="364" t="s">
        <v>1155</v>
      </c>
      <c r="AJ146" s="364" t="s">
        <v>648</v>
      </c>
      <c r="AK146" s="364" t="s">
        <v>647</v>
      </c>
      <c r="AL146" s="364" t="s">
        <v>646</v>
      </c>
      <c r="AM146" s="364" t="s">
        <v>668</v>
      </c>
      <c r="AN146" s="364" t="s">
        <v>644</v>
      </c>
    </row>
    <row r="147" spans="1:40" x14ac:dyDescent="0.3">
      <c r="A147" s="364" t="s">
        <v>2611</v>
      </c>
      <c r="B147" s="364" t="s">
        <v>661</v>
      </c>
      <c r="C147" s="364" t="s">
        <v>660</v>
      </c>
      <c r="D147" s="364" t="s">
        <v>87</v>
      </c>
      <c r="E147" s="364" t="s">
        <v>795</v>
      </c>
      <c r="F147" s="364" t="s">
        <v>795</v>
      </c>
      <c r="G147" s="364" t="s">
        <v>658</v>
      </c>
      <c r="H147" s="364" t="s">
        <v>2610</v>
      </c>
      <c r="I147" s="364" t="s">
        <v>2472</v>
      </c>
      <c r="J147" s="364" t="s">
        <v>88</v>
      </c>
      <c r="K147" s="364" t="s">
        <v>88</v>
      </c>
      <c r="L147" s="364" t="s">
        <v>88</v>
      </c>
      <c r="M147" s="364" t="s">
        <v>138</v>
      </c>
      <c r="N147" s="364" t="s">
        <v>654</v>
      </c>
      <c r="O147" s="364" t="s">
        <v>653</v>
      </c>
      <c r="P147" s="364" t="s">
        <v>88</v>
      </c>
      <c r="Q147" s="364" t="s">
        <v>88</v>
      </c>
      <c r="R147" s="364" t="s">
        <v>88</v>
      </c>
      <c r="S147" s="364" t="s">
        <v>88</v>
      </c>
      <c r="T147" s="364" t="s">
        <v>88</v>
      </c>
      <c r="U147" s="364" t="s">
        <v>88</v>
      </c>
      <c r="V147" s="364" t="s">
        <v>88</v>
      </c>
      <c r="W147" s="364" t="s">
        <v>88</v>
      </c>
      <c r="X147" s="364" t="s">
        <v>88</v>
      </c>
      <c r="Y147" s="364" t="s">
        <v>88</v>
      </c>
      <c r="Z147" s="364" t="s">
        <v>88</v>
      </c>
      <c r="AA147" s="364" t="s">
        <v>649</v>
      </c>
      <c r="AB147" s="364" t="s">
        <v>88</v>
      </c>
      <c r="AC147" s="364" t="s">
        <v>88</v>
      </c>
      <c r="AD147" s="364" t="s">
        <v>88</v>
      </c>
      <c r="AE147" s="364" t="s">
        <v>88</v>
      </c>
      <c r="AF147" s="364" t="s">
        <v>88</v>
      </c>
      <c r="AG147" s="364" t="s">
        <v>88</v>
      </c>
      <c r="AH147" s="364" t="s">
        <v>88</v>
      </c>
      <c r="AI147" s="364" t="s">
        <v>2609</v>
      </c>
      <c r="AJ147" s="364" t="s">
        <v>793</v>
      </c>
      <c r="AK147" s="364" t="s">
        <v>2466</v>
      </c>
      <c r="AL147" s="364" t="s">
        <v>2465</v>
      </c>
      <c r="AM147" s="364" t="s">
        <v>88</v>
      </c>
      <c r="AN147" s="364" t="s">
        <v>792</v>
      </c>
    </row>
    <row r="148" spans="1:40" x14ac:dyDescent="0.3">
      <c r="A148" s="364" t="s">
        <v>2608</v>
      </c>
      <c r="B148" s="364" t="s">
        <v>661</v>
      </c>
      <c r="C148" s="364" t="s">
        <v>1160</v>
      </c>
      <c r="D148" s="364" t="s">
        <v>87</v>
      </c>
      <c r="E148" s="364" t="s">
        <v>795</v>
      </c>
      <c r="F148" s="364" t="s">
        <v>795</v>
      </c>
      <c r="G148" s="364" t="s">
        <v>658</v>
      </c>
      <c r="H148" s="364" t="s">
        <v>2607</v>
      </c>
      <c r="I148" s="364" t="s">
        <v>88</v>
      </c>
      <c r="J148" s="364" t="s">
        <v>88</v>
      </c>
      <c r="K148" s="364" t="s">
        <v>88</v>
      </c>
      <c r="L148" s="364" t="s">
        <v>88</v>
      </c>
      <c r="M148" s="364" t="s">
        <v>138</v>
      </c>
      <c r="N148" s="364" t="s">
        <v>654</v>
      </c>
      <c r="O148" s="364" t="s">
        <v>653</v>
      </c>
      <c r="P148" s="364" t="s">
        <v>88</v>
      </c>
      <c r="Q148" s="364" t="s">
        <v>88</v>
      </c>
      <c r="R148" s="364" t="s">
        <v>88</v>
      </c>
      <c r="S148" s="364" t="s">
        <v>88</v>
      </c>
      <c r="T148" s="364" t="s">
        <v>88</v>
      </c>
      <c r="U148" s="364" t="s">
        <v>88</v>
      </c>
      <c r="V148" s="364" t="s">
        <v>88</v>
      </c>
      <c r="W148" s="364" t="s">
        <v>88</v>
      </c>
      <c r="X148" s="364" t="s">
        <v>88</v>
      </c>
      <c r="Y148" s="364" t="s">
        <v>88</v>
      </c>
      <c r="Z148" s="364" t="s">
        <v>88</v>
      </c>
      <c r="AA148" s="364" t="s">
        <v>649</v>
      </c>
      <c r="AB148" s="364" t="s">
        <v>88</v>
      </c>
      <c r="AC148" s="364" t="s">
        <v>88</v>
      </c>
      <c r="AD148" s="364" t="s">
        <v>88</v>
      </c>
      <c r="AE148" s="364" t="s">
        <v>88</v>
      </c>
      <c r="AF148" s="364" t="s">
        <v>88</v>
      </c>
      <c r="AG148" s="364" t="s">
        <v>88</v>
      </c>
      <c r="AH148" s="364" t="s">
        <v>88</v>
      </c>
      <c r="AI148" s="364" t="s">
        <v>2606</v>
      </c>
      <c r="AJ148" s="364" t="s">
        <v>793</v>
      </c>
      <c r="AK148" s="364" t="s">
        <v>88</v>
      </c>
      <c r="AL148" s="364" t="s">
        <v>88</v>
      </c>
      <c r="AM148" s="364" t="s">
        <v>88</v>
      </c>
      <c r="AN148" s="364" t="s">
        <v>792</v>
      </c>
    </row>
    <row r="149" spans="1:40" x14ac:dyDescent="0.3">
      <c r="A149" s="364" t="s">
        <v>2605</v>
      </c>
      <c r="B149" s="364" t="s">
        <v>661</v>
      </c>
      <c r="C149" s="364" t="s">
        <v>660</v>
      </c>
      <c r="D149" s="364" t="s">
        <v>87</v>
      </c>
      <c r="E149" s="364" t="s">
        <v>795</v>
      </c>
      <c r="F149" s="364" t="s">
        <v>795</v>
      </c>
      <c r="G149" s="364" t="s">
        <v>658</v>
      </c>
      <c r="H149" s="364" t="s">
        <v>2604</v>
      </c>
      <c r="I149" s="364" t="s">
        <v>2603</v>
      </c>
      <c r="J149" s="364" t="s">
        <v>88</v>
      </c>
      <c r="K149" s="364" t="s">
        <v>88</v>
      </c>
      <c r="L149" s="364" t="s">
        <v>88</v>
      </c>
      <c r="M149" s="364" t="s">
        <v>138</v>
      </c>
      <c r="N149" s="364" t="s">
        <v>654</v>
      </c>
      <c r="O149" s="364" t="s">
        <v>653</v>
      </c>
      <c r="P149" s="364" t="s">
        <v>88</v>
      </c>
      <c r="Q149" s="364" t="s">
        <v>88</v>
      </c>
      <c r="R149" s="364" t="s">
        <v>88</v>
      </c>
      <c r="S149" s="364" t="s">
        <v>88</v>
      </c>
      <c r="T149" s="364" t="s">
        <v>88</v>
      </c>
      <c r="U149" s="364" t="s">
        <v>88</v>
      </c>
      <c r="V149" s="364" t="s">
        <v>88</v>
      </c>
      <c r="W149" s="364" t="s">
        <v>88</v>
      </c>
      <c r="X149" s="364" t="s">
        <v>88</v>
      </c>
      <c r="Y149" s="364" t="s">
        <v>88</v>
      </c>
      <c r="Z149" s="364" t="s">
        <v>88</v>
      </c>
      <c r="AA149" s="364" t="s">
        <v>649</v>
      </c>
      <c r="AB149" s="364" t="s">
        <v>88</v>
      </c>
      <c r="AC149" s="364" t="s">
        <v>88</v>
      </c>
      <c r="AD149" s="364" t="s">
        <v>88</v>
      </c>
      <c r="AE149" s="364" t="s">
        <v>88</v>
      </c>
      <c r="AF149" s="364" t="s">
        <v>88</v>
      </c>
      <c r="AG149" s="364" t="s">
        <v>88</v>
      </c>
      <c r="AH149" s="364" t="s">
        <v>88</v>
      </c>
      <c r="AI149" s="364" t="s">
        <v>2602</v>
      </c>
      <c r="AJ149" s="364" t="s">
        <v>793</v>
      </c>
      <c r="AK149" s="364" t="s">
        <v>2466</v>
      </c>
      <c r="AL149" s="364" t="s">
        <v>2465</v>
      </c>
      <c r="AM149" s="364" t="s">
        <v>88</v>
      </c>
      <c r="AN149" s="364" t="s">
        <v>792</v>
      </c>
    </row>
    <row r="150" spans="1:40" x14ac:dyDescent="0.3">
      <c r="A150" s="364" t="s">
        <v>2601</v>
      </c>
      <c r="B150" s="364" t="s">
        <v>661</v>
      </c>
      <c r="C150" s="364" t="s">
        <v>1160</v>
      </c>
      <c r="D150" s="364" t="s">
        <v>87</v>
      </c>
      <c r="E150" s="364" t="s">
        <v>795</v>
      </c>
      <c r="F150" s="364" t="s">
        <v>795</v>
      </c>
      <c r="G150" s="364" t="s">
        <v>658</v>
      </c>
      <c r="H150" s="364" t="s">
        <v>2600</v>
      </c>
      <c r="I150" s="364" t="s">
        <v>88</v>
      </c>
      <c r="J150" s="364" t="s">
        <v>88</v>
      </c>
      <c r="K150" s="364" t="s">
        <v>88</v>
      </c>
      <c r="L150" s="364" t="s">
        <v>88</v>
      </c>
      <c r="M150" s="364" t="s">
        <v>138</v>
      </c>
      <c r="N150" s="364" t="s">
        <v>654</v>
      </c>
      <c r="O150" s="364" t="s">
        <v>653</v>
      </c>
      <c r="P150" s="364" t="s">
        <v>88</v>
      </c>
      <c r="Q150" s="364" t="s">
        <v>88</v>
      </c>
      <c r="R150" s="364" t="s">
        <v>88</v>
      </c>
      <c r="S150" s="364" t="s">
        <v>88</v>
      </c>
      <c r="T150" s="364" t="s">
        <v>88</v>
      </c>
      <c r="U150" s="364" t="s">
        <v>88</v>
      </c>
      <c r="V150" s="364" t="s">
        <v>88</v>
      </c>
      <c r="W150" s="364" t="s">
        <v>88</v>
      </c>
      <c r="X150" s="364" t="s">
        <v>88</v>
      </c>
      <c r="Y150" s="364" t="s">
        <v>88</v>
      </c>
      <c r="Z150" s="364" t="s">
        <v>88</v>
      </c>
      <c r="AA150" s="364" t="s">
        <v>649</v>
      </c>
      <c r="AB150" s="364" t="s">
        <v>88</v>
      </c>
      <c r="AC150" s="364" t="s">
        <v>88</v>
      </c>
      <c r="AD150" s="364" t="s">
        <v>88</v>
      </c>
      <c r="AE150" s="364" t="s">
        <v>88</v>
      </c>
      <c r="AF150" s="364" t="s">
        <v>88</v>
      </c>
      <c r="AG150" s="364" t="s">
        <v>88</v>
      </c>
      <c r="AH150" s="364" t="s">
        <v>88</v>
      </c>
      <c r="AI150" s="364" t="s">
        <v>2599</v>
      </c>
      <c r="AJ150" s="364" t="s">
        <v>793</v>
      </c>
      <c r="AK150" s="364" t="s">
        <v>88</v>
      </c>
      <c r="AL150" s="364" t="s">
        <v>88</v>
      </c>
      <c r="AM150" s="364" t="s">
        <v>88</v>
      </c>
      <c r="AN150" s="364" t="s">
        <v>792</v>
      </c>
    </row>
    <row r="151" spans="1:40" x14ac:dyDescent="0.3">
      <c r="A151" s="364" t="s">
        <v>2598</v>
      </c>
      <c r="B151" s="364" t="s">
        <v>661</v>
      </c>
      <c r="C151" s="364" t="s">
        <v>1160</v>
      </c>
      <c r="D151" s="364" t="s">
        <v>87</v>
      </c>
      <c r="E151" s="364" t="s">
        <v>795</v>
      </c>
      <c r="F151" s="364" t="s">
        <v>795</v>
      </c>
      <c r="G151" s="364" t="s">
        <v>658</v>
      </c>
      <c r="H151" s="364" t="s">
        <v>907</v>
      </c>
      <c r="I151" s="364" t="s">
        <v>88</v>
      </c>
      <c r="J151" s="364" t="s">
        <v>88</v>
      </c>
      <c r="K151" s="364" t="s">
        <v>88</v>
      </c>
      <c r="L151" s="364" t="s">
        <v>88</v>
      </c>
      <c r="M151" s="364" t="s">
        <v>138</v>
      </c>
      <c r="N151" s="364" t="s">
        <v>654</v>
      </c>
      <c r="O151" s="364" t="s">
        <v>653</v>
      </c>
      <c r="P151" s="364" t="s">
        <v>88</v>
      </c>
      <c r="Q151" s="364" t="s">
        <v>88</v>
      </c>
      <c r="R151" s="364" t="s">
        <v>88</v>
      </c>
      <c r="S151" s="364" t="s">
        <v>88</v>
      </c>
      <c r="T151" s="364" t="s">
        <v>88</v>
      </c>
      <c r="U151" s="364" t="s">
        <v>88</v>
      </c>
      <c r="V151" s="364" t="s">
        <v>88</v>
      </c>
      <c r="W151" s="364" t="s">
        <v>88</v>
      </c>
      <c r="X151" s="364" t="s">
        <v>88</v>
      </c>
      <c r="Y151" s="364" t="s">
        <v>88</v>
      </c>
      <c r="Z151" s="364" t="s">
        <v>88</v>
      </c>
      <c r="AA151" s="364" t="s">
        <v>649</v>
      </c>
      <c r="AB151" s="364" t="s">
        <v>88</v>
      </c>
      <c r="AC151" s="364" t="s">
        <v>88</v>
      </c>
      <c r="AD151" s="364" t="s">
        <v>88</v>
      </c>
      <c r="AE151" s="364" t="s">
        <v>88</v>
      </c>
      <c r="AF151" s="364" t="s">
        <v>88</v>
      </c>
      <c r="AG151" s="364" t="s">
        <v>88</v>
      </c>
      <c r="AH151" s="364" t="s">
        <v>88</v>
      </c>
      <c r="AI151" s="364" t="s">
        <v>2597</v>
      </c>
      <c r="AJ151" s="364" t="s">
        <v>793</v>
      </c>
      <c r="AK151" s="364" t="s">
        <v>88</v>
      </c>
      <c r="AL151" s="364" t="s">
        <v>88</v>
      </c>
      <c r="AM151" s="364" t="s">
        <v>88</v>
      </c>
      <c r="AN151" s="364" t="s">
        <v>792</v>
      </c>
    </row>
    <row r="152" spans="1:40" x14ac:dyDescent="0.3">
      <c r="A152" s="364" t="s">
        <v>2596</v>
      </c>
      <c r="B152" s="364" t="s">
        <v>661</v>
      </c>
      <c r="C152" s="364" t="s">
        <v>1160</v>
      </c>
      <c r="D152" s="364" t="s">
        <v>87</v>
      </c>
      <c r="E152" s="364" t="s">
        <v>795</v>
      </c>
      <c r="F152" s="364" t="s">
        <v>795</v>
      </c>
      <c r="G152" s="364" t="s">
        <v>658</v>
      </c>
      <c r="H152" s="364" t="s">
        <v>2595</v>
      </c>
      <c r="I152" s="364" t="s">
        <v>88</v>
      </c>
      <c r="J152" s="364" t="s">
        <v>88</v>
      </c>
      <c r="K152" s="364" t="s">
        <v>88</v>
      </c>
      <c r="L152" s="364" t="s">
        <v>88</v>
      </c>
      <c r="M152" s="364" t="s">
        <v>138</v>
      </c>
      <c r="N152" s="364" t="s">
        <v>654</v>
      </c>
      <c r="O152" s="364" t="s">
        <v>653</v>
      </c>
      <c r="P152" s="364" t="s">
        <v>88</v>
      </c>
      <c r="Q152" s="364" t="s">
        <v>88</v>
      </c>
      <c r="R152" s="364" t="s">
        <v>88</v>
      </c>
      <c r="S152" s="364" t="s">
        <v>88</v>
      </c>
      <c r="T152" s="364" t="s">
        <v>88</v>
      </c>
      <c r="U152" s="364" t="s">
        <v>88</v>
      </c>
      <c r="V152" s="364" t="s">
        <v>88</v>
      </c>
      <c r="W152" s="364" t="s">
        <v>88</v>
      </c>
      <c r="X152" s="364" t="s">
        <v>88</v>
      </c>
      <c r="Y152" s="364" t="s">
        <v>88</v>
      </c>
      <c r="Z152" s="364" t="s">
        <v>88</v>
      </c>
      <c r="AA152" s="364" t="s">
        <v>649</v>
      </c>
      <c r="AB152" s="364" t="s">
        <v>88</v>
      </c>
      <c r="AC152" s="364" t="s">
        <v>88</v>
      </c>
      <c r="AD152" s="364" t="s">
        <v>88</v>
      </c>
      <c r="AE152" s="364" t="s">
        <v>88</v>
      </c>
      <c r="AF152" s="364" t="s">
        <v>88</v>
      </c>
      <c r="AG152" s="364" t="s">
        <v>88</v>
      </c>
      <c r="AH152" s="364" t="s">
        <v>88</v>
      </c>
      <c r="AI152" s="364" t="s">
        <v>2594</v>
      </c>
      <c r="AJ152" s="364" t="s">
        <v>793</v>
      </c>
      <c r="AK152" s="364" t="s">
        <v>88</v>
      </c>
      <c r="AL152" s="364" t="s">
        <v>88</v>
      </c>
      <c r="AM152" s="364" t="s">
        <v>88</v>
      </c>
      <c r="AN152" s="364" t="s">
        <v>792</v>
      </c>
    </row>
    <row r="153" spans="1:40" x14ac:dyDescent="0.3">
      <c r="A153" s="364" t="s">
        <v>2593</v>
      </c>
      <c r="B153" s="364" t="s">
        <v>661</v>
      </c>
      <c r="C153" s="364" t="s">
        <v>660</v>
      </c>
      <c r="D153" s="364" t="s">
        <v>90</v>
      </c>
      <c r="E153" s="364" t="s">
        <v>1023</v>
      </c>
      <c r="F153" s="364" t="s">
        <v>1023</v>
      </c>
      <c r="G153" s="364" t="s">
        <v>658</v>
      </c>
      <c r="H153" s="364" t="s">
        <v>2592</v>
      </c>
      <c r="I153" s="364" t="s">
        <v>2591</v>
      </c>
      <c r="J153" s="364" t="s">
        <v>673</v>
      </c>
      <c r="K153" s="364" t="s">
        <v>668</v>
      </c>
      <c r="L153" s="364" t="s">
        <v>190</v>
      </c>
      <c r="M153" s="364" t="s">
        <v>55</v>
      </c>
      <c r="N153" s="364" t="s">
        <v>654</v>
      </c>
      <c r="O153" s="364" t="s">
        <v>653</v>
      </c>
      <c r="P153" s="364" t="s">
        <v>198</v>
      </c>
      <c r="Q153" s="364" t="s">
        <v>652</v>
      </c>
      <c r="R153" s="364" t="s">
        <v>88</v>
      </c>
      <c r="S153" s="364" t="s">
        <v>88</v>
      </c>
      <c r="T153" s="364" t="s">
        <v>88</v>
      </c>
      <c r="U153" s="364" t="s">
        <v>88</v>
      </c>
      <c r="V153" s="364" t="s">
        <v>88</v>
      </c>
      <c r="W153" s="364" t="s">
        <v>88</v>
      </c>
      <c r="X153" s="364" t="s">
        <v>88</v>
      </c>
      <c r="Y153" s="364" t="s">
        <v>88</v>
      </c>
      <c r="Z153" s="364" t="s">
        <v>719</v>
      </c>
      <c r="AA153" s="364" t="s">
        <v>649</v>
      </c>
      <c r="AB153" s="364" t="s">
        <v>649</v>
      </c>
      <c r="AC153" s="364" t="s">
        <v>649</v>
      </c>
      <c r="AD153" s="364" t="s">
        <v>649</v>
      </c>
      <c r="AE153" s="364" t="s">
        <v>88</v>
      </c>
      <c r="AF153" s="364" t="s">
        <v>88</v>
      </c>
      <c r="AG153" s="364" t="s">
        <v>88</v>
      </c>
      <c r="AH153" s="364" t="s">
        <v>88</v>
      </c>
      <c r="AI153" s="364" t="s">
        <v>1155</v>
      </c>
      <c r="AJ153" s="364" t="s">
        <v>648</v>
      </c>
      <c r="AK153" s="364" t="s">
        <v>647</v>
      </c>
      <c r="AL153" s="364" t="s">
        <v>646</v>
      </c>
      <c r="AM153" s="364" t="s">
        <v>668</v>
      </c>
      <c r="AN153" s="364" t="s">
        <v>644</v>
      </c>
    </row>
    <row r="154" spans="1:40" x14ac:dyDescent="0.3">
      <c r="A154" s="364" t="s">
        <v>2593</v>
      </c>
      <c r="B154" s="364" t="s">
        <v>661</v>
      </c>
      <c r="C154" s="364" t="s">
        <v>660</v>
      </c>
      <c r="D154" s="364" t="s">
        <v>90</v>
      </c>
      <c r="E154" s="364" t="s">
        <v>1023</v>
      </c>
      <c r="F154" s="364" t="s">
        <v>1023</v>
      </c>
      <c r="G154" s="364" t="s">
        <v>658</v>
      </c>
      <c r="H154" s="364" t="s">
        <v>2592</v>
      </c>
      <c r="I154" s="364" t="s">
        <v>2591</v>
      </c>
      <c r="J154" s="364" t="s">
        <v>673</v>
      </c>
      <c r="K154" s="364" t="s">
        <v>668</v>
      </c>
      <c r="L154" s="364" t="s">
        <v>190</v>
      </c>
      <c r="M154" s="364" t="s">
        <v>718</v>
      </c>
      <c r="N154" s="364" t="s">
        <v>654</v>
      </c>
      <c r="O154" s="364" t="s">
        <v>653</v>
      </c>
      <c r="P154" s="364" t="s">
        <v>198</v>
      </c>
      <c r="Q154" s="364" t="s">
        <v>652</v>
      </c>
      <c r="R154" s="364" t="s">
        <v>88</v>
      </c>
      <c r="S154" s="364" t="s">
        <v>88</v>
      </c>
      <c r="T154" s="364" t="s">
        <v>88</v>
      </c>
      <c r="U154" s="364" t="s">
        <v>88</v>
      </c>
      <c r="V154" s="364" t="s">
        <v>88</v>
      </c>
      <c r="W154" s="364" t="s">
        <v>88</v>
      </c>
      <c r="X154" s="364" t="s">
        <v>88</v>
      </c>
      <c r="Y154" s="364" t="s">
        <v>88</v>
      </c>
      <c r="Z154" s="364" t="s">
        <v>717</v>
      </c>
      <c r="AA154" s="364" t="s">
        <v>649</v>
      </c>
      <c r="AB154" s="364" t="s">
        <v>649</v>
      </c>
      <c r="AC154" s="364" t="s">
        <v>649</v>
      </c>
      <c r="AD154" s="364" t="s">
        <v>649</v>
      </c>
      <c r="AE154" s="364" t="s">
        <v>88</v>
      </c>
      <c r="AF154" s="364" t="s">
        <v>88</v>
      </c>
      <c r="AG154" s="364" t="s">
        <v>88</v>
      </c>
      <c r="AH154" s="364" t="s">
        <v>88</v>
      </c>
      <c r="AI154" s="364" t="s">
        <v>1155</v>
      </c>
      <c r="AJ154" s="364" t="s">
        <v>648</v>
      </c>
      <c r="AK154" s="364" t="s">
        <v>647</v>
      </c>
      <c r="AL154" s="364" t="s">
        <v>646</v>
      </c>
      <c r="AM154" s="364" t="s">
        <v>668</v>
      </c>
      <c r="AN154" s="364" t="s">
        <v>644</v>
      </c>
    </row>
    <row r="155" spans="1:40" x14ac:dyDescent="0.3">
      <c r="A155" s="364" t="s">
        <v>2593</v>
      </c>
      <c r="B155" s="364" t="s">
        <v>661</v>
      </c>
      <c r="C155" s="364" t="s">
        <v>660</v>
      </c>
      <c r="D155" s="364" t="s">
        <v>90</v>
      </c>
      <c r="E155" s="364" t="s">
        <v>1023</v>
      </c>
      <c r="F155" s="364" t="s">
        <v>1023</v>
      </c>
      <c r="G155" s="364" t="s">
        <v>658</v>
      </c>
      <c r="H155" s="364" t="s">
        <v>2592</v>
      </c>
      <c r="I155" s="364" t="s">
        <v>2591</v>
      </c>
      <c r="J155" s="364" t="s">
        <v>673</v>
      </c>
      <c r="K155" s="364" t="s">
        <v>668</v>
      </c>
      <c r="L155" s="364" t="s">
        <v>190</v>
      </c>
      <c r="M155" s="364" t="s">
        <v>725</v>
      </c>
      <c r="N155" s="364" t="s">
        <v>654</v>
      </c>
      <c r="O155" s="364" t="s">
        <v>653</v>
      </c>
      <c r="P155" s="364" t="s">
        <v>198</v>
      </c>
      <c r="Q155" s="364" t="s">
        <v>652</v>
      </c>
      <c r="R155" s="364" t="s">
        <v>88</v>
      </c>
      <c r="S155" s="364" t="s">
        <v>88</v>
      </c>
      <c r="T155" s="364" t="s">
        <v>88</v>
      </c>
      <c r="U155" s="364" t="s">
        <v>88</v>
      </c>
      <c r="V155" s="364" t="s">
        <v>88</v>
      </c>
      <c r="W155" s="364" t="s">
        <v>88</v>
      </c>
      <c r="X155" s="364" t="s">
        <v>88</v>
      </c>
      <c r="Y155" s="364" t="s">
        <v>88</v>
      </c>
      <c r="Z155" s="364" t="s">
        <v>724</v>
      </c>
      <c r="AA155" s="364" t="s">
        <v>649</v>
      </c>
      <c r="AB155" s="364" t="s">
        <v>649</v>
      </c>
      <c r="AC155" s="364" t="s">
        <v>649</v>
      </c>
      <c r="AD155" s="364" t="s">
        <v>649</v>
      </c>
      <c r="AE155" s="364" t="s">
        <v>88</v>
      </c>
      <c r="AF155" s="364" t="s">
        <v>88</v>
      </c>
      <c r="AG155" s="364" t="s">
        <v>88</v>
      </c>
      <c r="AH155" s="364" t="s">
        <v>88</v>
      </c>
      <c r="AI155" s="364" t="s">
        <v>1155</v>
      </c>
      <c r="AJ155" s="364" t="s">
        <v>648</v>
      </c>
      <c r="AK155" s="364" t="s">
        <v>647</v>
      </c>
      <c r="AL155" s="364" t="s">
        <v>646</v>
      </c>
      <c r="AM155" s="364" t="s">
        <v>668</v>
      </c>
      <c r="AN155" s="364" t="s">
        <v>644</v>
      </c>
    </row>
    <row r="156" spans="1:40" x14ac:dyDescent="0.3">
      <c r="A156" s="364" t="s">
        <v>2593</v>
      </c>
      <c r="B156" s="364" t="s">
        <v>661</v>
      </c>
      <c r="C156" s="364" t="s">
        <v>660</v>
      </c>
      <c r="D156" s="364" t="s">
        <v>90</v>
      </c>
      <c r="E156" s="364" t="s">
        <v>1023</v>
      </c>
      <c r="F156" s="364" t="s">
        <v>1023</v>
      </c>
      <c r="G156" s="364" t="s">
        <v>658</v>
      </c>
      <c r="H156" s="364" t="s">
        <v>2592</v>
      </c>
      <c r="I156" s="364" t="s">
        <v>2591</v>
      </c>
      <c r="J156" s="364" t="s">
        <v>673</v>
      </c>
      <c r="K156" s="364" t="s">
        <v>668</v>
      </c>
      <c r="L156" s="364" t="s">
        <v>190</v>
      </c>
      <c r="M156" s="364" t="s">
        <v>723</v>
      </c>
      <c r="N156" s="364" t="s">
        <v>654</v>
      </c>
      <c r="O156" s="364" t="s">
        <v>653</v>
      </c>
      <c r="P156" s="364" t="s">
        <v>198</v>
      </c>
      <c r="Q156" s="364" t="s">
        <v>652</v>
      </c>
      <c r="R156" s="364" t="s">
        <v>88</v>
      </c>
      <c r="S156" s="364" t="s">
        <v>88</v>
      </c>
      <c r="T156" s="364" t="s">
        <v>88</v>
      </c>
      <c r="U156" s="364" t="s">
        <v>88</v>
      </c>
      <c r="V156" s="364" t="s">
        <v>88</v>
      </c>
      <c r="W156" s="364" t="s">
        <v>88</v>
      </c>
      <c r="X156" s="364" t="s">
        <v>88</v>
      </c>
      <c r="Y156" s="364" t="s">
        <v>88</v>
      </c>
      <c r="Z156" s="364" t="s">
        <v>722</v>
      </c>
      <c r="AA156" s="364" t="s">
        <v>649</v>
      </c>
      <c r="AB156" s="364" t="s">
        <v>649</v>
      </c>
      <c r="AC156" s="364" t="s">
        <v>649</v>
      </c>
      <c r="AD156" s="364" t="s">
        <v>649</v>
      </c>
      <c r="AE156" s="364" t="s">
        <v>88</v>
      </c>
      <c r="AF156" s="364" t="s">
        <v>88</v>
      </c>
      <c r="AG156" s="364" t="s">
        <v>88</v>
      </c>
      <c r="AH156" s="364" t="s">
        <v>88</v>
      </c>
      <c r="AI156" s="364" t="s">
        <v>1155</v>
      </c>
      <c r="AJ156" s="364" t="s">
        <v>648</v>
      </c>
      <c r="AK156" s="364" t="s">
        <v>647</v>
      </c>
      <c r="AL156" s="364" t="s">
        <v>646</v>
      </c>
      <c r="AM156" s="364" t="s">
        <v>668</v>
      </c>
      <c r="AN156" s="364" t="s">
        <v>644</v>
      </c>
    </row>
    <row r="157" spans="1:40" x14ac:dyDescent="0.3">
      <c r="A157" s="364" t="s">
        <v>2590</v>
      </c>
      <c r="B157" s="364" t="s">
        <v>661</v>
      </c>
      <c r="C157" s="364" t="s">
        <v>660</v>
      </c>
      <c r="D157" s="364" t="s">
        <v>90</v>
      </c>
      <c r="E157" s="364" t="s">
        <v>977</v>
      </c>
      <c r="F157" s="364" t="s">
        <v>977</v>
      </c>
      <c r="G157" s="364" t="s">
        <v>658</v>
      </c>
      <c r="H157" s="364" t="s">
        <v>2589</v>
      </c>
      <c r="I157" s="364" t="s">
        <v>814</v>
      </c>
      <c r="J157" s="364" t="s">
        <v>673</v>
      </c>
      <c r="K157" s="364" t="s">
        <v>668</v>
      </c>
      <c r="L157" s="364" t="s">
        <v>190</v>
      </c>
      <c r="M157" s="364" t="s">
        <v>55</v>
      </c>
      <c r="N157" s="364" t="s">
        <v>654</v>
      </c>
      <c r="O157" s="364" t="s">
        <v>653</v>
      </c>
      <c r="P157" s="364" t="s">
        <v>198</v>
      </c>
      <c r="Q157" s="364" t="s">
        <v>652</v>
      </c>
      <c r="R157" s="364" t="s">
        <v>88</v>
      </c>
      <c r="S157" s="364" t="s">
        <v>88</v>
      </c>
      <c r="T157" s="364" t="s">
        <v>88</v>
      </c>
      <c r="U157" s="364" t="s">
        <v>88</v>
      </c>
      <c r="V157" s="364" t="s">
        <v>88</v>
      </c>
      <c r="W157" s="364" t="s">
        <v>88</v>
      </c>
      <c r="X157" s="364" t="s">
        <v>88</v>
      </c>
      <c r="Y157" s="364" t="s">
        <v>88</v>
      </c>
      <c r="Z157" s="364" t="s">
        <v>719</v>
      </c>
      <c r="AA157" s="364" t="s">
        <v>649</v>
      </c>
      <c r="AB157" s="364" t="s">
        <v>649</v>
      </c>
      <c r="AC157" s="364" t="s">
        <v>649</v>
      </c>
      <c r="AD157" s="364" t="s">
        <v>649</v>
      </c>
      <c r="AE157" s="364" t="s">
        <v>88</v>
      </c>
      <c r="AF157" s="364" t="s">
        <v>88</v>
      </c>
      <c r="AG157" s="364" t="s">
        <v>88</v>
      </c>
      <c r="AH157" s="364" t="s">
        <v>88</v>
      </c>
      <c r="AI157" s="364" t="s">
        <v>1155</v>
      </c>
      <c r="AJ157" s="364" t="s">
        <v>648</v>
      </c>
      <c r="AK157" s="364" t="s">
        <v>647</v>
      </c>
      <c r="AL157" s="364" t="s">
        <v>646</v>
      </c>
      <c r="AM157" s="364" t="s">
        <v>668</v>
      </c>
      <c r="AN157" s="364" t="s">
        <v>644</v>
      </c>
    </row>
    <row r="158" spans="1:40" x14ac:dyDescent="0.3">
      <c r="A158" s="364" t="s">
        <v>2590</v>
      </c>
      <c r="B158" s="364" t="s">
        <v>661</v>
      </c>
      <c r="C158" s="364" t="s">
        <v>660</v>
      </c>
      <c r="D158" s="364" t="s">
        <v>90</v>
      </c>
      <c r="E158" s="364" t="s">
        <v>977</v>
      </c>
      <c r="F158" s="364" t="s">
        <v>977</v>
      </c>
      <c r="G158" s="364" t="s">
        <v>658</v>
      </c>
      <c r="H158" s="364" t="s">
        <v>2589</v>
      </c>
      <c r="I158" s="364" t="s">
        <v>814</v>
      </c>
      <c r="J158" s="364" t="s">
        <v>673</v>
      </c>
      <c r="K158" s="364" t="s">
        <v>668</v>
      </c>
      <c r="L158" s="364" t="s">
        <v>190</v>
      </c>
      <c r="M158" s="364" t="s">
        <v>718</v>
      </c>
      <c r="N158" s="364" t="s">
        <v>654</v>
      </c>
      <c r="O158" s="364" t="s">
        <v>653</v>
      </c>
      <c r="P158" s="364" t="s">
        <v>198</v>
      </c>
      <c r="Q158" s="364" t="s">
        <v>652</v>
      </c>
      <c r="R158" s="364" t="s">
        <v>88</v>
      </c>
      <c r="S158" s="364" t="s">
        <v>88</v>
      </c>
      <c r="T158" s="364" t="s">
        <v>88</v>
      </c>
      <c r="U158" s="364" t="s">
        <v>88</v>
      </c>
      <c r="V158" s="364" t="s">
        <v>88</v>
      </c>
      <c r="W158" s="364" t="s">
        <v>88</v>
      </c>
      <c r="X158" s="364" t="s">
        <v>88</v>
      </c>
      <c r="Y158" s="364" t="s">
        <v>88</v>
      </c>
      <c r="Z158" s="364" t="s">
        <v>717</v>
      </c>
      <c r="AA158" s="364" t="s">
        <v>649</v>
      </c>
      <c r="AB158" s="364" t="s">
        <v>649</v>
      </c>
      <c r="AC158" s="364" t="s">
        <v>649</v>
      </c>
      <c r="AD158" s="364" t="s">
        <v>649</v>
      </c>
      <c r="AE158" s="364" t="s">
        <v>88</v>
      </c>
      <c r="AF158" s="364" t="s">
        <v>88</v>
      </c>
      <c r="AG158" s="364" t="s">
        <v>88</v>
      </c>
      <c r="AH158" s="364" t="s">
        <v>88</v>
      </c>
      <c r="AI158" s="364" t="s">
        <v>1155</v>
      </c>
      <c r="AJ158" s="364" t="s">
        <v>648</v>
      </c>
      <c r="AK158" s="364" t="s">
        <v>647</v>
      </c>
      <c r="AL158" s="364" t="s">
        <v>646</v>
      </c>
      <c r="AM158" s="364" t="s">
        <v>668</v>
      </c>
      <c r="AN158" s="364" t="s">
        <v>644</v>
      </c>
    </row>
    <row r="159" spans="1:40" x14ac:dyDescent="0.3">
      <c r="A159" s="364" t="s">
        <v>2590</v>
      </c>
      <c r="B159" s="364" t="s">
        <v>661</v>
      </c>
      <c r="C159" s="364" t="s">
        <v>660</v>
      </c>
      <c r="D159" s="364" t="s">
        <v>90</v>
      </c>
      <c r="E159" s="364" t="s">
        <v>977</v>
      </c>
      <c r="F159" s="364" t="s">
        <v>977</v>
      </c>
      <c r="G159" s="364" t="s">
        <v>658</v>
      </c>
      <c r="H159" s="364" t="s">
        <v>2589</v>
      </c>
      <c r="I159" s="364" t="s">
        <v>814</v>
      </c>
      <c r="J159" s="364" t="s">
        <v>673</v>
      </c>
      <c r="K159" s="364" t="s">
        <v>668</v>
      </c>
      <c r="L159" s="364" t="s">
        <v>190</v>
      </c>
      <c r="M159" s="364" t="s">
        <v>725</v>
      </c>
      <c r="N159" s="364" t="s">
        <v>654</v>
      </c>
      <c r="O159" s="364" t="s">
        <v>653</v>
      </c>
      <c r="P159" s="364" t="s">
        <v>198</v>
      </c>
      <c r="Q159" s="364" t="s">
        <v>652</v>
      </c>
      <c r="R159" s="364" t="s">
        <v>88</v>
      </c>
      <c r="S159" s="364" t="s">
        <v>88</v>
      </c>
      <c r="T159" s="364" t="s">
        <v>88</v>
      </c>
      <c r="U159" s="364" t="s">
        <v>88</v>
      </c>
      <c r="V159" s="364" t="s">
        <v>88</v>
      </c>
      <c r="W159" s="364" t="s">
        <v>88</v>
      </c>
      <c r="X159" s="364" t="s">
        <v>88</v>
      </c>
      <c r="Y159" s="364" t="s">
        <v>88</v>
      </c>
      <c r="Z159" s="364" t="s">
        <v>724</v>
      </c>
      <c r="AA159" s="364" t="s">
        <v>649</v>
      </c>
      <c r="AB159" s="364" t="s">
        <v>649</v>
      </c>
      <c r="AC159" s="364" t="s">
        <v>649</v>
      </c>
      <c r="AD159" s="364" t="s">
        <v>649</v>
      </c>
      <c r="AE159" s="364" t="s">
        <v>88</v>
      </c>
      <c r="AF159" s="364" t="s">
        <v>88</v>
      </c>
      <c r="AG159" s="364" t="s">
        <v>88</v>
      </c>
      <c r="AH159" s="364" t="s">
        <v>88</v>
      </c>
      <c r="AI159" s="364" t="s">
        <v>1155</v>
      </c>
      <c r="AJ159" s="364" t="s">
        <v>648</v>
      </c>
      <c r="AK159" s="364" t="s">
        <v>647</v>
      </c>
      <c r="AL159" s="364" t="s">
        <v>646</v>
      </c>
      <c r="AM159" s="364" t="s">
        <v>668</v>
      </c>
      <c r="AN159" s="364" t="s">
        <v>644</v>
      </c>
    </row>
    <row r="160" spans="1:40" x14ac:dyDescent="0.3">
      <c r="A160" s="364" t="s">
        <v>2590</v>
      </c>
      <c r="B160" s="364" t="s">
        <v>661</v>
      </c>
      <c r="C160" s="364" t="s">
        <v>660</v>
      </c>
      <c r="D160" s="364" t="s">
        <v>90</v>
      </c>
      <c r="E160" s="364" t="s">
        <v>977</v>
      </c>
      <c r="F160" s="364" t="s">
        <v>977</v>
      </c>
      <c r="G160" s="364" t="s">
        <v>658</v>
      </c>
      <c r="H160" s="364" t="s">
        <v>2589</v>
      </c>
      <c r="I160" s="364" t="s">
        <v>814</v>
      </c>
      <c r="J160" s="364" t="s">
        <v>673</v>
      </c>
      <c r="K160" s="364" t="s">
        <v>668</v>
      </c>
      <c r="L160" s="364" t="s">
        <v>190</v>
      </c>
      <c r="M160" s="364" t="s">
        <v>723</v>
      </c>
      <c r="N160" s="364" t="s">
        <v>654</v>
      </c>
      <c r="O160" s="364" t="s">
        <v>653</v>
      </c>
      <c r="P160" s="364" t="s">
        <v>198</v>
      </c>
      <c r="Q160" s="364" t="s">
        <v>652</v>
      </c>
      <c r="R160" s="364" t="s">
        <v>88</v>
      </c>
      <c r="S160" s="364" t="s">
        <v>88</v>
      </c>
      <c r="T160" s="364" t="s">
        <v>88</v>
      </c>
      <c r="U160" s="364" t="s">
        <v>88</v>
      </c>
      <c r="V160" s="364" t="s">
        <v>88</v>
      </c>
      <c r="W160" s="364" t="s">
        <v>88</v>
      </c>
      <c r="X160" s="364" t="s">
        <v>88</v>
      </c>
      <c r="Y160" s="364" t="s">
        <v>88</v>
      </c>
      <c r="Z160" s="364" t="s">
        <v>722</v>
      </c>
      <c r="AA160" s="364" t="s">
        <v>649</v>
      </c>
      <c r="AB160" s="364" t="s">
        <v>649</v>
      </c>
      <c r="AC160" s="364" t="s">
        <v>649</v>
      </c>
      <c r="AD160" s="364" t="s">
        <v>649</v>
      </c>
      <c r="AE160" s="364" t="s">
        <v>88</v>
      </c>
      <c r="AF160" s="364" t="s">
        <v>88</v>
      </c>
      <c r="AG160" s="364" t="s">
        <v>88</v>
      </c>
      <c r="AH160" s="364" t="s">
        <v>88</v>
      </c>
      <c r="AI160" s="364" t="s">
        <v>1155</v>
      </c>
      <c r="AJ160" s="364" t="s">
        <v>648</v>
      </c>
      <c r="AK160" s="364" t="s">
        <v>647</v>
      </c>
      <c r="AL160" s="364" t="s">
        <v>646</v>
      </c>
      <c r="AM160" s="364" t="s">
        <v>668</v>
      </c>
      <c r="AN160" s="364" t="s">
        <v>644</v>
      </c>
    </row>
    <row r="161" spans="1:40" x14ac:dyDescent="0.3">
      <c r="A161" s="364" t="s">
        <v>2588</v>
      </c>
      <c r="B161" s="364" t="s">
        <v>661</v>
      </c>
      <c r="C161" s="364" t="s">
        <v>660</v>
      </c>
      <c r="D161" s="364" t="s">
        <v>90</v>
      </c>
      <c r="E161" s="364" t="s">
        <v>851</v>
      </c>
      <c r="F161" s="364" t="s">
        <v>851</v>
      </c>
      <c r="G161" s="364" t="s">
        <v>658</v>
      </c>
      <c r="H161" s="364" t="s">
        <v>2587</v>
      </c>
      <c r="I161" s="364" t="s">
        <v>2586</v>
      </c>
      <c r="J161" s="364" t="s">
        <v>673</v>
      </c>
      <c r="K161" s="364" t="s">
        <v>668</v>
      </c>
      <c r="L161" s="364" t="s">
        <v>190</v>
      </c>
      <c r="M161" s="364" t="s">
        <v>55</v>
      </c>
      <c r="N161" s="364" t="s">
        <v>654</v>
      </c>
      <c r="O161" s="364" t="s">
        <v>653</v>
      </c>
      <c r="P161" s="364" t="s">
        <v>198</v>
      </c>
      <c r="Q161" s="364" t="s">
        <v>652</v>
      </c>
      <c r="R161" s="364" t="s">
        <v>88</v>
      </c>
      <c r="S161" s="364" t="s">
        <v>88</v>
      </c>
      <c r="T161" s="364" t="s">
        <v>88</v>
      </c>
      <c r="U161" s="364" t="s">
        <v>88</v>
      </c>
      <c r="V161" s="364" t="s">
        <v>88</v>
      </c>
      <c r="W161" s="364" t="s">
        <v>88</v>
      </c>
      <c r="X161" s="364" t="s">
        <v>88</v>
      </c>
      <c r="Y161" s="364" t="s">
        <v>88</v>
      </c>
      <c r="Z161" s="364" t="s">
        <v>719</v>
      </c>
      <c r="AA161" s="364" t="s">
        <v>649</v>
      </c>
      <c r="AB161" s="364" t="s">
        <v>649</v>
      </c>
      <c r="AC161" s="364" t="s">
        <v>649</v>
      </c>
      <c r="AD161" s="364" t="s">
        <v>649</v>
      </c>
      <c r="AE161" s="364" t="s">
        <v>88</v>
      </c>
      <c r="AF161" s="364" t="s">
        <v>88</v>
      </c>
      <c r="AG161" s="364" t="s">
        <v>88</v>
      </c>
      <c r="AH161" s="364" t="s">
        <v>88</v>
      </c>
      <c r="AI161" s="364" t="s">
        <v>1155</v>
      </c>
      <c r="AJ161" s="364" t="s">
        <v>648</v>
      </c>
      <c r="AK161" s="364" t="s">
        <v>647</v>
      </c>
      <c r="AL161" s="364" t="s">
        <v>646</v>
      </c>
      <c r="AM161" s="364" t="s">
        <v>668</v>
      </c>
      <c r="AN161" s="364" t="s">
        <v>644</v>
      </c>
    </row>
    <row r="162" spans="1:40" x14ac:dyDescent="0.3">
      <c r="A162" s="364" t="s">
        <v>2588</v>
      </c>
      <c r="B162" s="364" t="s">
        <v>661</v>
      </c>
      <c r="C162" s="364" t="s">
        <v>660</v>
      </c>
      <c r="D162" s="364" t="s">
        <v>90</v>
      </c>
      <c r="E162" s="364" t="s">
        <v>851</v>
      </c>
      <c r="F162" s="364" t="s">
        <v>851</v>
      </c>
      <c r="G162" s="364" t="s">
        <v>658</v>
      </c>
      <c r="H162" s="364" t="s">
        <v>2587</v>
      </c>
      <c r="I162" s="364" t="s">
        <v>2586</v>
      </c>
      <c r="J162" s="364" t="s">
        <v>673</v>
      </c>
      <c r="K162" s="364" t="s">
        <v>668</v>
      </c>
      <c r="L162" s="364" t="s">
        <v>190</v>
      </c>
      <c r="M162" s="364" t="s">
        <v>718</v>
      </c>
      <c r="N162" s="364" t="s">
        <v>654</v>
      </c>
      <c r="O162" s="364" t="s">
        <v>653</v>
      </c>
      <c r="P162" s="364" t="s">
        <v>198</v>
      </c>
      <c r="Q162" s="364" t="s">
        <v>652</v>
      </c>
      <c r="R162" s="364" t="s">
        <v>88</v>
      </c>
      <c r="S162" s="364" t="s">
        <v>88</v>
      </c>
      <c r="T162" s="364" t="s">
        <v>88</v>
      </c>
      <c r="U162" s="364" t="s">
        <v>88</v>
      </c>
      <c r="V162" s="364" t="s">
        <v>88</v>
      </c>
      <c r="W162" s="364" t="s">
        <v>88</v>
      </c>
      <c r="X162" s="364" t="s">
        <v>88</v>
      </c>
      <c r="Y162" s="364" t="s">
        <v>88</v>
      </c>
      <c r="Z162" s="364" t="s">
        <v>717</v>
      </c>
      <c r="AA162" s="364" t="s">
        <v>649</v>
      </c>
      <c r="AB162" s="364" t="s">
        <v>649</v>
      </c>
      <c r="AC162" s="364" t="s">
        <v>649</v>
      </c>
      <c r="AD162" s="364" t="s">
        <v>649</v>
      </c>
      <c r="AE162" s="364" t="s">
        <v>88</v>
      </c>
      <c r="AF162" s="364" t="s">
        <v>88</v>
      </c>
      <c r="AG162" s="364" t="s">
        <v>88</v>
      </c>
      <c r="AH162" s="364" t="s">
        <v>88</v>
      </c>
      <c r="AI162" s="364" t="s">
        <v>1155</v>
      </c>
      <c r="AJ162" s="364" t="s">
        <v>648</v>
      </c>
      <c r="AK162" s="364" t="s">
        <v>647</v>
      </c>
      <c r="AL162" s="364" t="s">
        <v>646</v>
      </c>
      <c r="AM162" s="364" t="s">
        <v>668</v>
      </c>
      <c r="AN162" s="364" t="s">
        <v>644</v>
      </c>
    </row>
    <row r="163" spans="1:40" x14ac:dyDescent="0.3">
      <c r="A163" s="364" t="s">
        <v>2588</v>
      </c>
      <c r="B163" s="364" t="s">
        <v>661</v>
      </c>
      <c r="C163" s="364" t="s">
        <v>660</v>
      </c>
      <c r="D163" s="364" t="s">
        <v>90</v>
      </c>
      <c r="E163" s="364" t="s">
        <v>851</v>
      </c>
      <c r="F163" s="364" t="s">
        <v>851</v>
      </c>
      <c r="G163" s="364" t="s">
        <v>658</v>
      </c>
      <c r="H163" s="364" t="s">
        <v>2587</v>
      </c>
      <c r="I163" s="364" t="s">
        <v>2586</v>
      </c>
      <c r="J163" s="364" t="s">
        <v>673</v>
      </c>
      <c r="K163" s="364" t="s">
        <v>668</v>
      </c>
      <c r="L163" s="364" t="s">
        <v>190</v>
      </c>
      <c r="M163" s="364" t="s">
        <v>725</v>
      </c>
      <c r="N163" s="364" t="s">
        <v>654</v>
      </c>
      <c r="O163" s="364" t="s">
        <v>653</v>
      </c>
      <c r="P163" s="364" t="s">
        <v>198</v>
      </c>
      <c r="Q163" s="364" t="s">
        <v>652</v>
      </c>
      <c r="R163" s="364" t="s">
        <v>88</v>
      </c>
      <c r="S163" s="364" t="s">
        <v>88</v>
      </c>
      <c r="T163" s="364" t="s">
        <v>88</v>
      </c>
      <c r="U163" s="364" t="s">
        <v>88</v>
      </c>
      <c r="V163" s="364" t="s">
        <v>88</v>
      </c>
      <c r="W163" s="364" t="s">
        <v>88</v>
      </c>
      <c r="X163" s="364" t="s">
        <v>88</v>
      </c>
      <c r="Y163" s="364" t="s">
        <v>88</v>
      </c>
      <c r="Z163" s="364" t="s">
        <v>724</v>
      </c>
      <c r="AA163" s="364" t="s">
        <v>649</v>
      </c>
      <c r="AB163" s="364" t="s">
        <v>649</v>
      </c>
      <c r="AC163" s="364" t="s">
        <v>649</v>
      </c>
      <c r="AD163" s="364" t="s">
        <v>649</v>
      </c>
      <c r="AE163" s="364" t="s">
        <v>88</v>
      </c>
      <c r="AF163" s="364" t="s">
        <v>88</v>
      </c>
      <c r="AG163" s="364" t="s">
        <v>88</v>
      </c>
      <c r="AH163" s="364" t="s">
        <v>88</v>
      </c>
      <c r="AI163" s="364" t="s">
        <v>1155</v>
      </c>
      <c r="AJ163" s="364" t="s">
        <v>648</v>
      </c>
      <c r="AK163" s="364" t="s">
        <v>647</v>
      </c>
      <c r="AL163" s="364" t="s">
        <v>646</v>
      </c>
      <c r="AM163" s="364" t="s">
        <v>668</v>
      </c>
      <c r="AN163" s="364" t="s">
        <v>644</v>
      </c>
    </row>
    <row r="164" spans="1:40" x14ac:dyDescent="0.3">
      <c r="A164" s="364" t="s">
        <v>2588</v>
      </c>
      <c r="B164" s="364" t="s">
        <v>661</v>
      </c>
      <c r="C164" s="364" t="s">
        <v>660</v>
      </c>
      <c r="D164" s="364" t="s">
        <v>90</v>
      </c>
      <c r="E164" s="364" t="s">
        <v>851</v>
      </c>
      <c r="F164" s="364" t="s">
        <v>851</v>
      </c>
      <c r="G164" s="364" t="s">
        <v>658</v>
      </c>
      <c r="H164" s="364" t="s">
        <v>2587</v>
      </c>
      <c r="I164" s="364" t="s">
        <v>2586</v>
      </c>
      <c r="J164" s="364" t="s">
        <v>673</v>
      </c>
      <c r="K164" s="364" t="s">
        <v>668</v>
      </c>
      <c r="L164" s="364" t="s">
        <v>190</v>
      </c>
      <c r="M164" s="364" t="s">
        <v>723</v>
      </c>
      <c r="N164" s="364" t="s">
        <v>654</v>
      </c>
      <c r="O164" s="364" t="s">
        <v>653</v>
      </c>
      <c r="P164" s="364" t="s">
        <v>198</v>
      </c>
      <c r="Q164" s="364" t="s">
        <v>652</v>
      </c>
      <c r="R164" s="364" t="s">
        <v>88</v>
      </c>
      <c r="S164" s="364" t="s">
        <v>88</v>
      </c>
      <c r="T164" s="364" t="s">
        <v>88</v>
      </c>
      <c r="U164" s="364" t="s">
        <v>88</v>
      </c>
      <c r="V164" s="364" t="s">
        <v>88</v>
      </c>
      <c r="W164" s="364" t="s">
        <v>88</v>
      </c>
      <c r="X164" s="364" t="s">
        <v>88</v>
      </c>
      <c r="Y164" s="364" t="s">
        <v>88</v>
      </c>
      <c r="Z164" s="364" t="s">
        <v>722</v>
      </c>
      <c r="AA164" s="364" t="s">
        <v>649</v>
      </c>
      <c r="AB164" s="364" t="s">
        <v>649</v>
      </c>
      <c r="AC164" s="364" t="s">
        <v>649</v>
      </c>
      <c r="AD164" s="364" t="s">
        <v>649</v>
      </c>
      <c r="AE164" s="364" t="s">
        <v>88</v>
      </c>
      <c r="AF164" s="364" t="s">
        <v>88</v>
      </c>
      <c r="AG164" s="364" t="s">
        <v>88</v>
      </c>
      <c r="AH164" s="364" t="s">
        <v>88</v>
      </c>
      <c r="AI164" s="364" t="s">
        <v>1155</v>
      </c>
      <c r="AJ164" s="364" t="s">
        <v>648</v>
      </c>
      <c r="AK164" s="364" t="s">
        <v>647</v>
      </c>
      <c r="AL164" s="364" t="s">
        <v>646</v>
      </c>
      <c r="AM164" s="364" t="s">
        <v>668</v>
      </c>
      <c r="AN164" s="364" t="s">
        <v>644</v>
      </c>
    </row>
    <row r="165" spans="1:40" x14ac:dyDescent="0.3">
      <c r="A165" s="364" t="s">
        <v>2585</v>
      </c>
      <c r="B165" s="364" t="s">
        <v>661</v>
      </c>
      <c r="C165" s="364" t="s">
        <v>660</v>
      </c>
      <c r="D165" s="364" t="s">
        <v>87</v>
      </c>
      <c r="E165" s="364" t="s">
        <v>851</v>
      </c>
      <c r="F165" s="364" t="s">
        <v>851</v>
      </c>
      <c r="G165" s="364" t="s">
        <v>658</v>
      </c>
      <c r="H165" s="364" t="s">
        <v>2356</v>
      </c>
      <c r="I165" s="364" t="s">
        <v>2584</v>
      </c>
      <c r="J165" s="364" t="s">
        <v>88</v>
      </c>
      <c r="K165" s="364" t="s">
        <v>88</v>
      </c>
      <c r="L165" s="364" t="s">
        <v>88</v>
      </c>
      <c r="M165" s="364" t="s">
        <v>138</v>
      </c>
      <c r="N165" s="364" t="s">
        <v>654</v>
      </c>
      <c r="O165" s="364" t="s">
        <v>653</v>
      </c>
      <c r="P165" s="364" t="s">
        <v>88</v>
      </c>
      <c r="Q165" s="364" t="s">
        <v>88</v>
      </c>
      <c r="R165" s="364" t="s">
        <v>88</v>
      </c>
      <c r="S165" s="364" t="s">
        <v>88</v>
      </c>
      <c r="T165" s="364" t="s">
        <v>88</v>
      </c>
      <c r="U165" s="364" t="s">
        <v>88</v>
      </c>
      <c r="V165" s="364" t="s">
        <v>88</v>
      </c>
      <c r="W165" s="364" t="s">
        <v>88</v>
      </c>
      <c r="X165" s="364" t="s">
        <v>88</v>
      </c>
      <c r="Y165" s="364" t="s">
        <v>88</v>
      </c>
      <c r="Z165" s="364" t="s">
        <v>88</v>
      </c>
      <c r="AA165" s="364" t="s">
        <v>649</v>
      </c>
      <c r="AB165" s="364" t="s">
        <v>88</v>
      </c>
      <c r="AC165" s="364" t="s">
        <v>88</v>
      </c>
      <c r="AD165" s="364" t="s">
        <v>88</v>
      </c>
      <c r="AE165" s="364" t="s">
        <v>88</v>
      </c>
      <c r="AF165" s="364" t="s">
        <v>88</v>
      </c>
      <c r="AG165" s="364" t="s">
        <v>88</v>
      </c>
      <c r="AH165" s="364" t="s">
        <v>88</v>
      </c>
      <c r="AI165" s="364" t="s">
        <v>2583</v>
      </c>
      <c r="AJ165" s="364" t="s">
        <v>793</v>
      </c>
      <c r="AK165" s="364" t="s">
        <v>2466</v>
      </c>
      <c r="AL165" s="364" t="s">
        <v>2465</v>
      </c>
      <c r="AM165" s="364" t="s">
        <v>88</v>
      </c>
      <c r="AN165" s="364" t="s">
        <v>792</v>
      </c>
    </row>
    <row r="166" spans="1:40" x14ac:dyDescent="0.3">
      <c r="A166" s="364" t="s">
        <v>2582</v>
      </c>
      <c r="B166" s="364" t="s">
        <v>661</v>
      </c>
      <c r="C166" s="364" t="s">
        <v>660</v>
      </c>
      <c r="D166" s="364" t="s">
        <v>90</v>
      </c>
      <c r="E166" s="364" t="s">
        <v>795</v>
      </c>
      <c r="F166" s="364" t="s">
        <v>795</v>
      </c>
      <c r="G166" s="364" t="s">
        <v>658</v>
      </c>
      <c r="H166" s="364" t="s">
        <v>2581</v>
      </c>
      <c r="I166" s="364" t="s">
        <v>2580</v>
      </c>
      <c r="J166" s="364" t="s">
        <v>673</v>
      </c>
      <c r="K166" s="364" t="s">
        <v>668</v>
      </c>
      <c r="L166" s="364" t="s">
        <v>190</v>
      </c>
      <c r="M166" s="364" t="s">
        <v>55</v>
      </c>
      <c r="N166" s="364" t="s">
        <v>654</v>
      </c>
      <c r="O166" s="364" t="s">
        <v>653</v>
      </c>
      <c r="P166" s="364" t="s">
        <v>198</v>
      </c>
      <c r="Q166" s="364" t="s">
        <v>652</v>
      </c>
      <c r="R166" s="364" t="s">
        <v>88</v>
      </c>
      <c r="S166" s="364" t="s">
        <v>88</v>
      </c>
      <c r="T166" s="364" t="s">
        <v>88</v>
      </c>
      <c r="U166" s="364" t="s">
        <v>88</v>
      </c>
      <c r="V166" s="364" t="s">
        <v>88</v>
      </c>
      <c r="W166" s="364" t="s">
        <v>88</v>
      </c>
      <c r="X166" s="364" t="s">
        <v>88</v>
      </c>
      <c r="Y166" s="364" t="s">
        <v>88</v>
      </c>
      <c r="Z166" s="364" t="s">
        <v>719</v>
      </c>
      <c r="AA166" s="364" t="s">
        <v>649</v>
      </c>
      <c r="AB166" s="364" t="s">
        <v>649</v>
      </c>
      <c r="AC166" s="364" t="s">
        <v>649</v>
      </c>
      <c r="AD166" s="364" t="s">
        <v>649</v>
      </c>
      <c r="AE166" s="364" t="s">
        <v>88</v>
      </c>
      <c r="AF166" s="364" t="s">
        <v>88</v>
      </c>
      <c r="AG166" s="364" t="s">
        <v>88</v>
      </c>
      <c r="AH166" s="364" t="s">
        <v>88</v>
      </c>
      <c r="AI166" s="364" t="s">
        <v>1155</v>
      </c>
      <c r="AJ166" s="364" t="s">
        <v>648</v>
      </c>
      <c r="AK166" s="364" t="s">
        <v>647</v>
      </c>
      <c r="AL166" s="364" t="s">
        <v>646</v>
      </c>
      <c r="AM166" s="364" t="s">
        <v>668</v>
      </c>
      <c r="AN166" s="364" t="s">
        <v>644</v>
      </c>
    </row>
    <row r="167" spans="1:40" x14ac:dyDescent="0.3">
      <c r="A167" s="364" t="s">
        <v>2582</v>
      </c>
      <c r="B167" s="364" t="s">
        <v>661</v>
      </c>
      <c r="C167" s="364" t="s">
        <v>660</v>
      </c>
      <c r="D167" s="364" t="s">
        <v>90</v>
      </c>
      <c r="E167" s="364" t="s">
        <v>795</v>
      </c>
      <c r="F167" s="364" t="s">
        <v>795</v>
      </c>
      <c r="G167" s="364" t="s">
        <v>658</v>
      </c>
      <c r="H167" s="364" t="s">
        <v>2581</v>
      </c>
      <c r="I167" s="364" t="s">
        <v>2580</v>
      </c>
      <c r="J167" s="364" t="s">
        <v>673</v>
      </c>
      <c r="K167" s="364" t="s">
        <v>668</v>
      </c>
      <c r="L167" s="364" t="s">
        <v>190</v>
      </c>
      <c r="M167" s="364" t="s">
        <v>718</v>
      </c>
      <c r="N167" s="364" t="s">
        <v>654</v>
      </c>
      <c r="O167" s="364" t="s">
        <v>653</v>
      </c>
      <c r="P167" s="364" t="s">
        <v>198</v>
      </c>
      <c r="Q167" s="364" t="s">
        <v>652</v>
      </c>
      <c r="R167" s="364" t="s">
        <v>88</v>
      </c>
      <c r="S167" s="364" t="s">
        <v>88</v>
      </c>
      <c r="T167" s="364" t="s">
        <v>88</v>
      </c>
      <c r="U167" s="364" t="s">
        <v>88</v>
      </c>
      <c r="V167" s="364" t="s">
        <v>88</v>
      </c>
      <c r="W167" s="364" t="s">
        <v>88</v>
      </c>
      <c r="X167" s="364" t="s">
        <v>88</v>
      </c>
      <c r="Y167" s="364" t="s">
        <v>88</v>
      </c>
      <c r="Z167" s="364" t="s">
        <v>717</v>
      </c>
      <c r="AA167" s="364" t="s">
        <v>649</v>
      </c>
      <c r="AB167" s="364" t="s">
        <v>649</v>
      </c>
      <c r="AC167" s="364" t="s">
        <v>649</v>
      </c>
      <c r="AD167" s="364" t="s">
        <v>649</v>
      </c>
      <c r="AE167" s="364" t="s">
        <v>88</v>
      </c>
      <c r="AF167" s="364" t="s">
        <v>88</v>
      </c>
      <c r="AG167" s="364" t="s">
        <v>88</v>
      </c>
      <c r="AH167" s="364" t="s">
        <v>88</v>
      </c>
      <c r="AI167" s="364" t="s">
        <v>1155</v>
      </c>
      <c r="AJ167" s="364" t="s">
        <v>648</v>
      </c>
      <c r="AK167" s="364" t="s">
        <v>647</v>
      </c>
      <c r="AL167" s="364" t="s">
        <v>646</v>
      </c>
      <c r="AM167" s="364" t="s">
        <v>668</v>
      </c>
      <c r="AN167" s="364" t="s">
        <v>644</v>
      </c>
    </row>
    <row r="168" spans="1:40" x14ac:dyDescent="0.3">
      <c r="A168" s="364" t="s">
        <v>2582</v>
      </c>
      <c r="B168" s="364" t="s">
        <v>661</v>
      </c>
      <c r="C168" s="364" t="s">
        <v>660</v>
      </c>
      <c r="D168" s="364" t="s">
        <v>90</v>
      </c>
      <c r="E168" s="364" t="s">
        <v>795</v>
      </c>
      <c r="F168" s="364" t="s">
        <v>795</v>
      </c>
      <c r="G168" s="364" t="s">
        <v>658</v>
      </c>
      <c r="H168" s="364" t="s">
        <v>2581</v>
      </c>
      <c r="I168" s="364" t="s">
        <v>2580</v>
      </c>
      <c r="J168" s="364" t="s">
        <v>673</v>
      </c>
      <c r="K168" s="364" t="s">
        <v>668</v>
      </c>
      <c r="L168" s="364" t="s">
        <v>190</v>
      </c>
      <c r="M168" s="364" t="s">
        <v>725</v>
      </c>
      <c r="N168" s="364" t="s">
        <v>654</v>
      </c>
      <c r="O168" s="364" t="s">
        <v>653</v>
      </c>
      <c r="P168" s="364" t="s">
        <v>198</v>
      </c>
      <c r="Q168" s="364" t="s">
        <v>652</v>
      </c>
      <c r="R168" s="364" t="s">
        <v>88</v>
      </c>
      <c r="S168" s="364" t="s">
        <v>88</v>
      </c>
      <c r="T168" s="364" t="s">
        <v>88</v>
      </c>
      <c r="U168" s="364" t="s">
        <v>88</v>
      </c>
      <c r="V168" s="364" t="s">
        <v>88</v>
      </c>
      <c r="W168" s="364" t="s">
        <v>88</v>
      </c>
      <c r="X168" s="364" t="s">
        <v>88</v>
      </c>
      <c r="Y168" s="364" t="s">
        <v>88</v>
      </c>
      <c r="Z168" s="364" t="s">
        <v>724</v>
      </c>
      <c r="AA168" s="364" t="s">
        <v>649</v>
      </c>
      <c r="AB168" s="364" t="s">
        <v>649</v>
      </c>
      <c r="AC168" s="364" t="s">
        <v>649</v>
      </c>
      <c r="AD168" s="364" t="s">
        <v>649</v>
      </c>
      <c r="AE168" s="364" t="s">
        <v>88</v>
      </c>
      <c r="AF168" s="364" t="s">
        <v>88</v>
      </c>
      <c r="AG168" s="364" t="s">
        <v>88</v>
      </c>
      <c r="AH168" s="364" t="s">
        <v>88</v>
      </c>
      <c r="AI168" s="364" t="s">
        <v>1155</v>
      </c>
      <c r="AJ168" s="364" t="s">
        <v>648</v>
      </c>
      <c r="AK168" s="364" t="s">
        <v>647</v>
      </c>
      <c r="AL168" s="364" t="s">
        <v>646</v>
      </c>
      <c r="AM168" s="364" t="s">
        <v>668</v>
      </c>
      <c r="AN168" s="364" t="s">
        <v>644</v>
      </c>
    </row>
    <row r="169" spans="1:40" x14ac:dyDescent="0.3">
      <c r="A169" s="364" t="s">
        <v>2582</v>
      </c>
      <c r="B169" s="364" t="s">
        <v>661</v>
      </c>
      <c r="C169" s="364" t="s">
        <v>660</v>
      </c>
      <c r="D169" s="364" t="s">
        <v>90</v>
      </c>
      <c r="E169" s="364" t="s">
        <v>795</v>
      </c>
      <c r="F169" s="364" t="s">
        <v>795</v>
      </c>
      <c r="G169" s="364" t="s">
        <v>658</v>
      </c>
      <c r="H169" s="364" t="s">
        <v>2581</v>
      </c>
      <c r="I169" s="364" t="s">
        <v>2580</v>
      </c>
      <c r="J169" s="364" t="s">
        <v>673</v>
      </c>
      <c r="K169" s="364" t="s">
        <v>668</v>
      </c>
      <c r="L169" s="364" t="s">
        <v>190</v>
      </c>
      <c r="M169" s="364" t="s">
        <v>723</v>
      </c>
      <c r="N169" s="364" t="s">
        <v>654</v>
      </c>
      <c r="O169" s="364" t="s">
        <v>653</v>
      </c>
      <c r="P169" s="364" t="s">
        <v>198</v>
      </c>
      <c r="Q169" s="364" t="s">
        <v>652</v>
      </c>
      <c r="R169" s="364" t="s">
        <v>88</v>
      </c>
      <c r="S169" s="364" t="s">
        <v>88</v>
      </c>
      <c r="T169" s="364" t="s">
        <v>88</v>
      </c>
      <c r="U169" s="364" t="s">
        <v>88</v>
      </c>
      <c r="V169" s="364" t="s">
        <v>88</v>
      </c>
      <c r="W169" s="364" t="s">
        <v>88</v>
      </c>
      <c r="X169" s="364" t="s">
        <v>88</v>
      </c>
      <c r="Y169" s="364" t="s">
        <v>88</v>
      </c>
      <c r="Z169" s="364" t="s">
        <v>722</v>
      </c>
      <c r="AA169" s="364" t="s">
        <v>649</v>
      </c>
      <c r="AB169" s="364" t="s">
        <v>649</v>
      </c>
      <c r="AC169" s="364" t="s">
        <v>649</v>
      </c>
      <c r="AD169" s="364" t="s">
        <v>649</v>
      </c>
      <c r="AE169" s="364" t="s">
        <v>88</v>
      </c>
      <c r="AF169" s="364" t="s">
        <v>88</v>
      </c>
      <c r="AG169" s="364" t="s">
        <v>88</v>
      </c>
      <c r="AH169" s="364" t="s">
        <v>88</v>
      </c>
      <c r="AI169" s="364" t="s">
        <v>1155</v>
      </c>
      <c r="AJ169" s="364" t="s">
        <v>648</v>
      </c>
      <c r="AK169" s="364" t="s">
        <v>647</v>
      </c>
      <c r="AL169" s="364" t="s">
        <v>646</v>
      </c>
      <c r="AM169" s="364" t="s">
        <v>668</v>
      </c>
      <c r="AN169" s="364" t="s">
        <v>644</v>
      </c>
    </row>
    <row r="170" spans="1:40" x14ac:dyDescent="0.3">
      <c r="A170" s="364" t="s">
        <v>2579</v>
      </c>
      <c r="B170" s="364" t="s">
        <v>661</v>
      </c>
      <c r="C170" s="364" t="s">
        <v>1160</v>
      </c>
      <c r="D170" s="364" t="s">
        <v>87</v>
      </c>
      <c r="E170" s="364" t="s">
        <v>808</v>
      </c>
      <c r="F170" s="364" t="s">
        <v>808</v>
      </c>
      <c r="G170" s="364" t="s">
        <v>658</v>
      </c>
      <c r="H170" s="364" t="s">
        <v>2578</v>
      </c>
      <c r="I170" s="364" t="s">
        <v>2571</v>
      </c>
      <c r="J170" s="364" t="s">
        <v>88</v>
      </c>
      <c r="K170" s="364" t="s">
        <v>88</v>
      </c>
      <c r="L170" s="364" t="s">
        <v>88</v>
      </c>
      <c r="M170" s="364" t="s">
        <v>138</v>
      </c>
      <c r="N170" s="364" t="s">
        <v>654</v>
      </c>
      <c r="O170" s="364" t="s">
        <v>653</v>
      </c>
      <c r="P170" s="364" t="s">
        <v>88</v>
      </c>
      <c r="Q170" s="364" t="s">
        <v>88</v>
      </c>
      <c r="R170" s="364" t="s">
        <v>88</v>
      </c>
      <c r="S170" s="364" t="s">
        <v>88</v>
      </c>
      <c r="T170" s="364" t="s">
        <v>88</v>
      </c>
      <c r="U170" s="364" t="s">
        <v>88</v>
      </c>
      <c r="V170" s="364" t="s">
        <v>88</v>
      </c>
      <c r="W170" s="364" t="s">
        <v>88</v>
      </c>
      <c r="X170" s="364" t="s">
        <v>88</v>
      </c>
      <c r="Y170" s="364" t="s">
        <v>88</v>
      </c>
      <c r="Z170" s="364" t="s">
        <v>88</v>
      </c>
      <c r="AA170" s="364" t="s">
        <v>649</v>
      </c>
      <c r="AB170" s="364" t="s">
        <v>88</v>
      </c>
      <c r="AC170" s="364" t="s">
        <v>88</v>
      </c>
      <c r="AD170" s="364" t="s">
        <v>88</v>
      </c>
      <c r="AE170" s="364" t="s">
        <v>88</v>
      </c>
      <c r="AF170" s="364" t="s">
        <v>88</v>
      </c>
      <c r="AG170" s="364" t="s">
        <v>88</v>
      </c>
      <c r="AH170" s="364" t="s">
        <v>88</v>
      </c>
      <c r="AI170" s="364" t="s">
        <v>2577</v>
      </c>
      <c r="AJ170" s="364" t="s">
        <v>798</v>
      </c>
      <c r="AK170" s="364" t="s">
        <v>88</v>
      </c>
      <c r="AL170" s="364" t="s">
        <v>88</v>
      </c>
      <c r="AM170" s="364" t="s">
        <v>88</v>
      </c>
      <c r="AN170" s="364" t="s">
        <v>792</v>
      </c>
    </row>
    <row r="171" spans="1:40" x14ac:dyDescent="0.3">
      <c r="A171" s="364" t="s">
        <v>2576</v>
      </c>
      <c r="B171" s="364" t="s">
        <v>661</v>
      </c>
      <c r="C171" s="364" t="s">
        <v>1160</v>
      </c>
      <c r="D171" s="364" t="s">
        <v>87</v>
      </c>
      <c r="E171" s="364" t="s">
        <v>808</v>
      </c>
      <c r="F171" s="364" t="s">
        <v>808</v>
      </c>
      <c r="G171" s="364" t="s">
        <v>658</v>
      </c>
      <c r="H171" s="364" t="s">
        <v>2575</v>
      </c>
      <c r="I171" s="364" t="s">
        <v>2571</v>
      </c>
      <c r="J171" s="364" t="s">
        <v>88</v>
      </c>
      <c r="K171" s="364" t="s">
        <v>88</v>
      </c>
      <c r="L171" s="364" t="s">
        <v>88</v>
      </c>
      <c r="M171" s="364" t="s">
        <v>138</v>
      </c>
      <c r="N171" s="364" t="s">
        <v>654</v>
      </c>
      <c r="O171" s="364" t="s">
        <v>653</v>
      </c>
      <c r="P171" s="364" t="s">
        <v>88</v>
      </c>
      <c r="Q171" s="364" t="s">
        <v>88</v>
      </c>
      <c r="R171" s="364" t="s">
        <v>88</v>
      </c>
      <c r="S171" s="364" t="s">
        <v>88</v>
      </c>
      <c r="T171" s="364" t="s">
        <v>88</v>
      </c>
      <c r="U171" s="364" t="s">
        <v>88</v>
      </c>
      <c r="V171" s="364" t="s">
        <v>88</v>
      </c>
      <c r="W171" s="364" t="s">
        <v>88</v>
      </c>
      <c r="X171" s="364" t="s">
        <v>88</v>
      </c>
      <c r="Y171" s="364" t="s">
        <v>88</v>
      </c>
      <c r="Z171" s="364" t="s">
        <v>88</v>
      </c>
      <c r="AA171" s="364" t="s">
        <v>649</v>
      </c>
      <c r="AB171" s="364" t="s">
        <v>88</v>
      </c>
      <c r="AC171" s="364" t="s">
        <v>88</v>
      </c>
      <c r="AD171" s="364" t="s">
        <v>88</v>
      </c>
      <c r="AE171" s="364" t="s">
        <v>88</v>
      </c>
      <c r="AF171" s="364" t="s">
        <v>88</v>
      </c>
      <c r="AG171" s="364" t="s">
        <v>88</v>
      </c>
      <c r="AH171" s="364" t="s">
        <v>88</v>
      </c>
      <c r="AI171" s="364" t="s">
        <v>2574</v>
      </c>
      <c r="AJ171" s="364" t="s">
        <v>798</v>
      </c>
      <c r="AK171" s="364" t="s">
        <v>88</v>
      </c>
      <c r="AL171" s="364" t="s">
        <v>88</v>
      </c>
      <c r="AM171" s="364" t="s">
        <v>88</v>
      </c>
      <c r="AN171" s="364" t="s">
        <v>792</v>
      </c>
    </row>
    <row r="172" spans="1:40" x14ac:dyDescent="0.3">
      <c r="A172" s="364" t="s">
        <v>2573</v>
      </c>
      <c r="B172" s="364" t="s">
        <v>661</v>
      </c>
      <c r="C172" s="364" t="s">
        <v>1160</v>
      </c>
      <c r="D172" s="364" t="s">
        <v>87</v>
      </c>
      <c r="E172" s="364" t="s">
        <v>808</v>
      </c>
      <c r="F172" s="364" t="s">
        <v>808</v>
      </c>
      <c r="G172" s="364" t="s">
        <v>658</v>
      </c>
      <c r="H172" s="364" t="s">
        <v>2572</v>
      </c>
      <c r="I172" s="364" t="s">
        <v>2571</v>
      </c>
      <c r="J172" s="364" t="s">
        <v>88</v>
      </c>
      <c r="K172" s="364" t="s">
        <v>88</v>
      </c>
      <c r="L172" s="364" t="s">
        <v>88</v>
      </c>
      <c r="M172" s="364" t="s">
        <v>138</v>
      </c>
      <c r="N172" s="364" t="s">
        <v>654</v>
      </c>
      <c r="O172" s="364" t="s">
        <v>653</v>
      </c>
      <c r="P172" s="364" t="s">
        <v>88</v>
      </c>
      <c r="Q172" s="364" t="s">
        <v>88</v>
      </c>
      <c r="R172" s="364" t="s">
        <v>88</v>
      </c>
      <c r="S172" s="364" t="s">
        <v>88</v>
      </c>
      <c r="T172" s="364" t="s">
        <v>88</v>
      </c>
      <c r="U172" s="364" t="s">
        <v>88</v>
      </c>
      <c r="V172" s="364" t="s">
        <v>88</v>
      </c>
      <c r="W172" s="364" t="s">
        <v>88</v>
      </c>
      <c r="X172" s="364" t="s">
        <v>88</v>
      </c>
      <c r="Y172" s="364" t="s">
        <v>88</v>
      </c>
      <c r="Z172" s="364" t="s">
        <v>88</v>
      </c>
      <c r="AA172" s="364" t="s">
        <v>649</v>
      </c>
      <c r="AB172" s="364" t="s">
        <v>88</v>
      </c>
      <c r="AC172" s="364" t="s">
        <v>88</v>
      </c>
      <c r="AD172" s="364" t="s">
        <v>88</v>
      </c>
      <c r="AE172" s="364" t="s">
        <v>88</v>
      </c>
      <c r="AF172" s="364" t="s">
        <v>88</v>
      </c>
      <c r="AG172" s="364" t="s">
        <v>88</v>
      </c>
      <c r="AH172" s="364" t="s">
        <v>88</v>
      </c>
      <c r="AI172" s="364" t="s">
        <v>2570</v>
      </c>
      <c r="AJ172" s="364" t="s">
        <v>798</v>
      </c>
      <c r="AK172" s="364" t="s">
        <v>88</v>
      </c>
      <c r="AL172" s="364" t="s">
        <v>88</v>
      </c>
      <c r="AM172" s="364" t="s">
        <v>88</v>
      </c>
      <c r="AN172" s="364" t="s">
        <v>792</v>
      </c>
    </row>
    <row r="173" spans="1:40" x14ac:dyDescent="0.3">
      <c r="A173" s="364" t="s">
        <v>2569</v>
      </c>
      <c r="B173" s="364" t="s">
        <v>661</v>
      </c>
      <c r="C173" s="364" t="s">
        <v>660</v>
      </c>
      <c r="D173" s="364" t="s">
        <v>90</v>
      </c>
      <c r="E173" s="364" t="s">
        <v>808</v>
      </c>
      <c r="F173" s="364" t="s">
        <v>808</v>
      </c>
      <c r="G173" s="364" t="s">
        <v>658</v>
      </c>
      <c r="H173" s="364" t="s">
        <v>2568</v>
      </c>
      <c r="I173" s="364" t="s">
        <v>2567</v>
      </c>
      <c r="J173" s="364" t="s">
        <v>673</v>
      </c>
      <c r="K173" s="364" t="s">
        <v>668</v>
      </c>
      <c r="L173" s="364" t="s">
        <v>190</v>
      </c>
      <c r="M173" s="364" t="s">
        <v>55</v>
      </c>
      <c r="N173" s="364" t="s">
        <v>654</v>
      </c>
      <c r="O173" s="364" t="s">
        <v>653</v>
      </c>
      <c r="P173" s="364" t="s">
        <v>198</v>
      </c>
      <c r="Q173" s="364" t="s">
        <v>652</v>
      </c>
      <c r="R173" s="364" t="s">
        <v>88</v>
      </c>
      <c r="S173" s="364" t="s">
        <v>88</v>
      </c>
      <c r="T173" s="364" t="s">
        <v>88</v>
      </c>
      <c r="U173" s="364" t="s">
        <v>88</v>
      </c>
      <c r="V173" s="364" t="s">
        <v>88</v>
      </c>
      <c r="W173" s="364" t="s">
        <v>88</v>
      </c>
      <c r="X173" s="364" t="s">
        <v>88</v>
      </c>
      <c r="Y173" s="364" t="s">
        <v>88</v>
      </c>
      <c r="Z173" s="364" t="s">
        <v>719</v>
      </c>
      <c r="AA173" s="364" t="s">
        <v>649</v>
      </c>
      <c r="AB173" s="364" t="s">
        <v>649</v>
      </c>
      <c r="AC173" s="364" t="s">
        <v>649</v>
      </c>
      <c r="AD173" s="364" t="s">
        <v>649</v>
      </c>
      <c r="AE173" s="364" t="s">
        <v>88</v>
      </c>
      <c r="AF173" s="364" t="s">
        <v>88</v>
      </c>
      <c r="AG173" s="364" t="s">
        <v>88</v>
      </c>
      <c r="AH173" s="364" t="s">
        <v>88</v>
      </c>
      <c r="AI173" s="364" t="s">
        <v>1155</v>
      </c>
      <c r="AJ173" s="364" t="s">
        <v>648</v>
      </c>
      <c r="AK173" s="364" t="s">
        <v>647</v>
      </c>
      <c r="AL173" s="364" t="s">
        <v>646</v>
      </c>
      <c r="AM173" s="364" t="s">
        <v>668</v>
      </c>
      <c r="AN173" s="364" t="s">
        <v>644</v>
      </c>
    </row>
    <row r="174" spans="1:40" x14ac:dyDescent="0.3">
      <c r="A174" s="364" t="s">
        <v>2569</v>
      </c>
      <c r="B174" s="364" t="s">
        <v>661</v>
      </c>
      <c r="C174" s="364" t="s">
        <v>660</v>
      </c>
      <c r="D174" s="364" t="s">
        <v>90</v>
      </c>
      <c r="E174" s="364" t="s">
        <v>808</v>
      </c>
      <c r="F174" s="364" t="s">
        <v>808</v>
      </c>
      <c r="G174" s="364" t="s">
        <v>658</v>
      </c>
      <c r="H174" s="364" t="s">
        <v>2568</v>
      </c>
      <c r="I174" s="364" t="s">
        <v>2567</v>
      </c>
      <c r="J174" s="364" t="s">
        <v>673</v>
      </c>
      <c r="K174" s="364" t="s">
        <v>668</v>
      </c>
      <c r="L174" s="364" t="s">
        <v>190</v>
      </c>
      <c r="M174" s="364" t="s">
        <v>718</v>
      </c>
      <c r="N174" s="364" t="s">
        <v>654</v>
      </c>
      <c r="O174" s="364" t="s">
        <v>653</v>
      </c>
      <c r="P174" s="364" t="s">
        <v>198</v>
      </c>
      <c r="Q174" s="364" t="s">
        <v>652</v>
      </c>
      <c r="R174" s="364" t="s">
        <v>88</v>
      </c>
      <c r="S174" s="364" t="s">
        <v>88</v>
      </c>
      <c r="T174" s="364" t="s">
        <v>88</v>
      </c>
      <c r="U174" s="364" t="s">
        <v>88</v>
      </c>
      <c r="V174" s="364" t="s">
        <v>88</v>
      </c>
      <c r="W174" s="364" t="s">
        <v>88</v>
      </c>
      <c r="X174" s="364" t="s">
        <v>88</v>
      </c>
      <c r="Y174" s="364" t="s">
        <v>88</v>
      </c>
      <c r="Z174" s="364" t="s">
        <v>717</v>
      </c>
      <c r="AA174" s="364" t="s">
        <v>649</v>
      </c>
      <c r="AB174" s="364" t="s">
        <v>649</v>
      </c>
      <c r="AC174" s="364" t="s">
        <v>649</v>
      </c>
      <c r="AD174" s="364" t="s">
        <v>649</v>
      </c>
      <c r="AE174" s="364" t="s">
        <v>88</v>
      </c>
      <c r="AF174" s="364" t="s">
        <v>88</v>
      </c>
      <c r="AG174" s="364" t="s">
        <v>88</v>
      </c>
      <c r="AH174" s="364" t="s">
        <v>88</v>
      </c>
      <c r="AI174" s="364" t="s">
        <v>1155</v>
      </c>
      <c r="AJ174" s="364" t="s">
        <v>648</v>
      </c>
      <c r="AK174" s="364" t="s">
        <v>647</v>
      </c>
      <c r="AL174" s="364" t="s">
        <v>646</v>
      </c>
      <c r="AM174" s="364" t="s">
        <v>668</v>
      </c>
      <c r="AN174" s="364" t="s">
        <v>644</v>
      </c>
    </row>
    <row r="175" spans="1:40" x14ac:dyDescent="0.3">
      <c r="A175" s="364" t="s">
        <v>2569</v>
      </c>
      <c r="B175" s="364" t="s">
        <v>661</v>
      </c>
      <c r="C175" s="364" t="s">
        <v>660</v>
      </c>
      <c r="D175" s="364" t="s">
        <v>90</v>
      </c>
      <c r="E175" s="364" t="s">
        <v>808</v>
      </c>
      <c r="F175" s="364" t="s">
        <v>808</v>
      </c>
      <c r="G175" s="364" t="s">
        <v>658</v>
      </c>
      <c r="H175" s="364" t="s">
        <v>2568</v>
      </c>
      <c r="I175" s="364" t="s">
        <v>2567</v>
      </c>
      <c r="J175" s="364" t="s">
        <v>673</v>
      </c>
      <c r="K175" s="364" t="s">
        <v>668</v>
      </c>
      <c r="L175" s="364" t="s">
        <v>190</v>
      </c>
      <c r="M175" s="364" t="s">
        <v>725</v>
      </c>
      <c r="N175" s="364" t="s">
        <v>654</v>
      </c>
      <c r="O175" s="364" t="s">
        <v>653</v>
      </c>
      <c r="P175" s="364" t="s">
        <v>198</v>
      </c>
      <c r="Q175" s="364" t="s">
        <v>652</v>
      </c>
      <c r="R175" s="364" t="s">
        <v>88</v>
      </c>
      <c r="S175" s="364" t="s">
        <v>88</v>
      </c>
      <c r="T175" s="364" t="s">
        <v>88</v>
      </c>
      <c r="U175" s="364" t="s">
        <v>88</v>
      </c>
      <c r="V175" s="364" t="s">
        <v>88</v>
      </c>
      <c r="W175" s="364" t="s">
        <v>88</v>
      </c>
      <c r="X175" s="364" t="s">
        <v>88</v>
      </c>
      <c r="Y175" s="364" t="s">
        <v>88</v>
      </c>
      <c r="Z175" s="364" t="s">
        <v>724</v>
      </c>
      <c r="AA175" s="364" t="s">
        <v>649</v>
      </c>
      <c r="AB175" s="364" t="s">
        <v>649</v>
      </c>
      <c r="AC175" s="364" t="s">
        <v>649</v>
      </c>
      <c r="AD175" s="364" t="s">
        <v>649</v>
      </c>
      <c r="AE175" s="364" t="s">
        <v>88</v>
      </c>
      <c r="AF175" s="364" t="s">
        <v>88</v>
      </c>
      <c r="AG175" s="364" t="s">
        <v>88</v>
      </c>
      <c r="AH175" s="364" t="s">
        <v>88</v>
      </c>
      <c r="AI175" s="364" t="s">
        <v>1155</v>
      </c>
      <c r="AJ175" s="364" t="s">
        <v>648</v>
      </c>
      <c r="AK175" s="364" t="s">
        <v>647</v>
      </c>
      <c r="AL175" s="364" t="s">
        <v>646</v>
      </c>
      <c r="AM175" s="364" t="s">
        <v>668</v>
      </c>
      <c r="AN175" s="364" t="s">
        <v>644</v>
      </c>
    </row>
    <row r="176" spans="1:40" x14ac:dyDescent="0.3">
      <c r="A176" s="364" t="s">
        <v>2569</v>
      </c>
      <c r="B176" s="364" t="s">
        <v>661</v>
      </c>
      <c r="C176" s="364" t="s">
        <v>660</v>
      </c>
      <c r="D176" s="364" t="s">
        <v>90</v>
      </c>
      <c r="E176" s="364" t="s">
        <v>808</v>
      </c>
      <c r="F176" s="364" t="s">
        <v>808</v>
      </c>
      <c r="G176" s="364" t="s">
        <v>658</v>
      </c>
      <c r="H176" s="364" t="s">
        <v>2568</v>
      </c>
      <c r="I176" s="364" t="s">
        <v>2567</v>
      </c>
      <c r="J176" s="364" t="s">
        <v>673</v>
      </c>
      <c r="K176" s="364" t="s">
        <v>668</v>
      </c>
      <c r="L176" s="364" t="s">
        <v>190</v>
      </c>
      <c r="M176" s="364" t="s">
        <v>723</v>
      </c>
      <c r="N176" s="364" t="s">
        <v>654</v>
      </c>
      <c r="O176" s="364" t="s">
        <v>653</v>
      </c>
      <c r="P176" s="364" t="s">
        <v>198</v>
      </c>
      <c r="Q176" s="364" t="s">
        <v>652</v>
      </c>
      <c r="R176" s="364" t="s">
        <v>88</v>
      </c>
      <c r="S176" s="364" t="s">
        <v>88</v>
      </c>
      <c r="T176" s="364" t="s">
        <v>88</v>
      </c>
      <c r="U176" s="364" t="s">
        <v>88</v>
      </c>
      <c r="V176" s="364" t="s">
        <v>88</v>
      </c>
      <c r="W176" s="364" t="s">
        <v>88</v>
      </c>
      <c r="X176" s="364" t="s">
        <v>88</v>
      </c>
      <c r="Y176" s="364" t="s">
        <v>88</v>
      </c>
      <c r="Z176" s="364" t="s">
        <v>722</v>
      </c>
      <c r="AA176" s="364" t="s">
        <v>649</v>
      </c>
      <c r="AB176" s="364" t="s">
        <v>649</v>
      </c>
      <c r="AC176" s="364" t="s">
        <v>649</v>
      </c>
      <c r="AD176" s="364" t="s">
        <v>649</v>
      </c>
      <c r="AE176" s="364" t="s">
        <v>88</v>
      </c>
      <c r="AF176" s="364" t="s">
        <v>88</v>
      </c>
      <c r="AG176" s="364" t="s">
        <v>88</v>
      </c>
      <c r="AH176" s="364" t="s">
        <v>88</v>
      </c>
      <c r="AI176" s="364" t="s">
        <v>1155</v>
      </c>
      <c r="AJ176" s="364" t="s">
        <v>648</v>
      </c>
      <c r="AK176" s="364" t="s">
        <v>647</v>
      </c>
      <c r="AL176" s="364" t="s">
        <v>646</v>
      </c>
      <c r="AM176" s="364" t="s">
        <v>668</v>
      </c>
      <c r="AN176" s="364" t="s">
        <v>644</v>
      </c>
    </row>
    <row r="177" spans="1:40" x14ac:dyDescent="0.3">
      <c r="A177" s="364" t="s">
        <v>2566</v>
      </c>
      <c r="B177" s="364" t="s">
        <v>661</v>
      </c>
      <c r="C177" s="364" t="s">
        <v>660</v>
      </c>
      <c r="D177" s="364" t="s">
        <v>90</v>
      </c>
      <c r="E177" s="364" t="s">
        <v>1001</v>
      </c>
      <c r="F177" s="364" t="s">
        <v>1001</v>
      </c>
      <c r="G177" s="364" t="s">
        <v>658</v>
      </c>
      <c r="H177" s="364" t="s">
        <v>2565</v>
      </c>
      <c r="I177" s="364" t="s">
        <v>2564</v>
      </c>
      <c r="J177" s="364" t="s">
        <v>673</v>
      </c>
      <c r="K177" s="364" t="s">
        <v>668</v>
      </c>
      <c r="L177" s="364" t="s">
        <v>190</v>
      </c>
      <c r="M177" s="364" t="s">
        <v>55</v>
      </c>
      <c r="N177" s="364" t="s">
        <v>654</v>
      </c>
      <c r="O177" s="364" t="s">
        <v>653</v>
      </c>
      <c r="P177" s="364" t="s">
        <v>198</v>
      </c>
      <c r="Q177" s="364" t="s">
        <v>652</v>
      </c>
      <c r="R177" s="364" t="s">
        <v>88</v>
      </c>
      <c r="S177" s="364" t="s">
        <v>88</v>
      </c>
      <c r="T177" s="364" t="s">
        <v>88</v>
      </c>
      <c r="U177" s="364" t="s">
        <v>88</v>
      </c>
      <c r="V177" s="364" t="s">
        <v>88</v>
      </c>
      <c r="W177" s="364" t="s">
        <v>88</v>
      </c>
      <c r="X177" s="364" t="s">
        <v>88</v>
      </c>
      <c r="Y177" s="364" t="s">
        <v>88</v>
      </c>
      <c r="Z177" s="364" t="s">
        <v>719</v>
      </c>
      <c r="AA177" s="364" t="s">
        <v>649</v>
      </c>
      <c r="AB177" s="364" t="s">
        <v>649</v>
      </c>
      <c r="AC177" s="364" t="s">
        <v>649</v>
      </c>
      <c r="AD177" s="364" t="s">
        <v>649</v>
      </c>
      <c r="AE177" s="364" t="s">
        <v>88</v>
      </c>
      <c r="AF177" s="364" t="s">
        <v>88</v>
      </c>
      <c r="AG177" s="364" t="s">
        <v>88</v>
      </c>
      <c r="AH177" s="364" t="s">
        <v>88</v>
      </c>
      <c r="AI177" s="364" t="s">
        <v>1155</v>
      </c>
      <c r="AJ177" s="364" t="s">
        <v>648</v>
      </c>
      <c r="AK177" s="364" t="s">
        <v>647</v>
      </c>
      <c r="AL177" s="364" t="s">
        <v>646</v>
      </c>
      <c r="AM177" s="364" t="s">
        <v>668</v>
      </c>
      <c r="AN177" s="364" t="s">
        <v>644</v>
      </c>
    </row>
    <row r="178" spans="1:40" x14ac:dyDescent="0.3">
      <c r="A178" s="364" t="s">
        <v>2566</v>
      </c>
      <c r="B178" s="364" t="s">
        <v>661</v>
      </c>
      <c r="C178" s="364" t="s">
        <v>660</v>
      </c>
      <c r="D178" s="364" t="s">
        <v>90</v>
      </c>
      <c r="E178" s="364" t="s">
        <v>1001</v>
      </c>
      <c r="F178" s="364" t="s">
        <v>1001</v>
      </c>
      <c r="G178" s="364" t="s">
        <v>658</v>
      </c>
      <c r="H178" s="364" t="s">
        <v>2565</v>
      </c>
      <c r="I178" s="364" t="s">
        <v>2564</v>
      </c>
      <c r="J178" s="364" t="s">
        <v>673</v>
      </c>
      <c r="K178" s="364" t="s">
        <v>668</v>
      </c>
      <c r="L178" s="364" t="s">
        <v>190</v>
      </c>
      <c r="M178" s="364" t="s">
        <v>718</v>
      </c>
      <c r="N178" s="364" t="s">
        <v>654</v>
      </c>
      <c r="O178" s="364" t="s">
        <v>653</v>
      </c>
      <c r="P178" s="364" t="s">
        <v>198</v>
      </c>
      <c r="Q178" s="364" t="s">
        <v>652</v>
      </c>
      <c r="R178" s="364" t="s">
        <v>88</v>
      </c>
      <c r="S178" s="364" t="s">
        <v>88</v>
      </c>
      <c r="T178" s="364" t="s">
        <v>88</v>
      </c>
      <c r="U178" s="364" t="s">
        <v>88</v>
      </c>
      <c r="V178" s="364" t="s">
        <v>88</v>
      </c>
      <c r="W178" s="364" t="s">
        <v>88</v>
      </c>
      <c r="X178" s="364" t="s">
        <v>88</v>
      </c>
      <c r="Y178" s="364" t="s">
        <v>88</v>
      </c>
      <c r="Z178" s="364" t="s">
        <v>717</v>
      </c>
      <c r="AA178" s="364" t="s">
        <v>649</v>
      </c>
      <c r="AB178" s="364" t="s">
        <v>649</v>
      </c>
      <c r="AC178" s="364" t="s">
        <v>649</v>
      </c>
      <c r="AD178" s="364" t="s">
        <v>649</v>
      </c>
      <c r="AE178" s="364" t="s">
        <v>88</v>
      </c>
      <c r="AF178" s="364" t="s">
        <v>88</v>
      </c>
      <c r="AG178" s="364" t="s">
        <v>88</v>
      </c>
      <c r="AH178" s="364" t="s">
        <v>88</v>
      </c>
      <c r="AI178" s="364" t="s">
        <v>1155</v>
      </c>
      <c r="AJ178" s="364" t="s">
        <v>648</v>
      </c>
      <c r="AK178" s="364" t="s">
        <v>647</v>
      </c>
      <c r="AL178" s="364" t="s">
        <v>646</v>
      </c>
      <c r="AM178" s="364" t="s">
        <v>668</v>
      </c>
      <c r="AN178" s="364" t="s">
        <v>644</v>
      </c>
    </row>
    <row r="179" spans="1:40" x14ac:dyDescent="0.3">
      <c r="A179" s="364" t="s">
        <v>2566</v>
      </c>
      <c r="B179" s="364" t="s">
        <v>661</v>
      </c>
      <c r="C179" s="364" t="s">
        <v>660</v>
      </c>
      <c r="D179" s="364" t="s">
        <v>90</v>
      </c>
      <c r="E179" s="364" t="s">
        <v>1001</v>
      </c>
      <c r="F179" s="364" t="s">
        <v>1001</v>
      </c>
      <c r="G179" s="364" t="s">
        <v>658</v>
      </c>
      <c r="H179" s="364" t="s">
        <v>2565</v>
      </c>
      <c r="I179" s="364" t="s">
        <v>2564</v>
      </c>
      <c r="J179" s="364" t="s">
        <v>673</v>
      </c>
      <c r="K179" s="364" t="s">
        <v>668</v>
      </c>
      <c r="L179" s="364" t="s">
        <v>190</v>
      </c>
      <c r="M179" s="364" t="s">
        <v>725</v>
      </c>
      <c r="N179" s="364" t="s">
        <v>654</v>
      </c>
      <c r="O179" s="364" t="s">
        <v>653</v>
      </c>
      <c r="P179" s="364" t="s">
        <v>198</v>
      </c>
      <c r="Q179" s="364" t="s">
        <v>652</v>
      </c>
      <c r="R179" s="364" t="s">
        <v>88</v>
      </c>
      <c r="S179" s="364" t="s">
        <v>88</v>
      </c>
      <c r="T179" s="364" t="s">
        <v>88</v>
      </c>
      <c r="U179" s="364" t="s">
        <v>88</v>
      </c>
      <c r="V179" s="364" t="s">
        <v>88</v>
      </c>
      <c r="W179" s="364" t="s">
        <v>88</v>
      </c>
      <c r="X179" s="364" t="s">
        <v>88</v>
      </c>
      <c r="Y179" s="364" t="s">
        <v>88</v>
      </c>
      <c r="Z179" s="364" t="s">
        <v>724</v>
      </c>
      <c r="AA179" s="364" t="s">
        <v>649</v>
      </c>
      <c r="AB179" s="364" t="s">
        <v>649</v>
      </c>
      <c r="AC179" s="364" t="s">
        <v>649</v>
      </c>
      <c r="AD179" s="364" t="s">
        <v>649</v>
      </c>
      <c r="AE179" s="364" t="s">
        <v>88</v>
      </c>
      <c r="AF179" s="364" t="s">
        <v>88</v>
      </c>
      <c r="AG179" s="364" t="s">
        <v>88</v>
      </c>
      <c r="AH179" s="364" t="s">
        <v>88</v>
      </c>
      <c r="AI179" s="364" t="s">
        <v>1155</v>
      </c>
      <c r="AJ179" s="364" t="s">
        <v>648</v>
      </c>
      <c r="AK179" s="364" t="s">
        <v>647</v>
      </c>
      <c r="AL179" s="364" t="s">
        <v>646</v>
      </c>
      <c r="AM179" s="364" t="s">
        <v>668</v>
      </c>
      <c r="AN179" s="364" t="s">
        <v>644</v>
      </c>
    </row>
    <row r="180" spans="1:40" x14ac:dyDescent="0.3">
      <c r="A180" s="364" t="s">
        <v>2566</v>
      </c>
      <c r="B180" s="364" t="s">
        <v>661</v>
      </c>
      <c r="C180" s="364" t="s">
        <v>660</v>
      </c>
      <c r="D180" s="364" t="s">
        <v>90</v>
      </c>
      <c r="E180" s="364" t="s">
        <v>1001</v>
      </c>
      <c r="F180" s="364" t="s">
        <v>1001</v>
      </c>
      <c r="G180" s="364" t="s">
        <v>658</v>
      </c>
      <c r="H180" s="364" t="s">
        <v>2565</v>
      </c>
      <c r="I180" s="364" t="s">
        <v>2564</v>
      </c>
      <c r="J180" s="364" t="s">
        <v>673</v>
      </c>
      <c r="K180" s="364" t="s">
        <v>668</v>
      </c>
      <c r="L180" s="364" t="s">
        <v>190</v>
      </c>
      <c r="M180" s="364" t="s">
        <v>723</v>
      </c>
      <c r="N180" s="364" t="s">
        <v>654</v>
      </c>
      <c r="O180" s="364" t="s">
        <v>653</v>
      </c>
      <c r="P180" s="364" t="s">
        <v>198</v>
      </c>
      <c r="Q180" s="364" t="s">
        <v>652</v>
      </c>
      <c r="R180" s="364" t="s">
        <v>88</v>
      </c>
      <c r="S180" s="364" t="s">
        <v>88</v>
      </c>
      <c r="T180" s="364" t="s">
        <v>88</v>
      </c>
      <c r="U180" s="364" t="s">
        <v>88</v>
      </c>
      <c r="V180" s="364" t="s">
        <v>88</v>
      </c>
      <c r="W180" s="364" t="s">
        <v>88</v>
      </c>
      <c r="X180" s="364" t="s">
        <v>88</v>
      </c>
      <c r="Y180" s="364" t="s">
        <v>88</v>
      </c>
      <c r="Z180" s="364" t="s">
        <v>722</v>
      </c>
      <c r="AA180" s="364" t="s">
        <v>649</v>
      </c>
      <c r="AB180" s="364" t="s">
        <v>649</v>
      </c>
      <c r="AC180" s="364" t="s">
        <v>649</v>
      </c>
      <c r="AD180" s="364" t="s">
        <v>649</v>
      </c>
      <c r="AE180" s="364" t="s">
        <v>88</v>
      </c>
      <c r="AF180" s="364" t="s">
        <v>88</v>
      </c>
      <c r="AG180" s="364" t="s">
        <v>88</v>
      </c>
      <c r="AH180" s="364" t="s">
        <v>88</v>
      </c>
      <c r="AI180" s="364" t="s">
        <v>1155</v>
      </c>
      <c r="AJ180" s="364" t="s">
        <v>648</v>
      </c>
      <c r="AK180" s="364" t="s">
        <v>647</v>
      </c>
      <c r="AL180" s="364" t="s">
        <v>646</v>
      </c>
      <c r="AM180" s="364" t="s">
        <v>668</v>
      </c>
      <c r="AN180" s="364" t="s">
        <v>644</v>
      </c>
    </row>
    <row r="181" spans="1:40" x14ac:dyDescent="0.3">
      <c r="A181" s="364" t="s">
        <v>2563</v>
      </c>
      <c r="B181" s="364" t="s">
        <v>661</v>
      </c>
      <c r="C181" s="364" t="s">
        <v>660</v>
      </c>
      <c r="D181" s="364" t="s">
        <v>87</v>
      </c>
      <c r="E181" s="364" t="s">
        <v>759</v>
      </c>
      <c r="F181" s="364" t="s">
        <v>759</v>
      </c>
      <c r="G181" s="364" t="s">
        <v>658</v>
      </c>
      <c r="H181" s="364" t="s">
        <v>2562</v>
      </c>
      <c r="I181" s="364" t="s">
        <v>2561</v>
      </c>
      <c r="J181" s="364" t="s">
        <v>88</v>
      </c>
      <c r="K181" s="364" t="s">
        <v>88</v>
      </c>
      <c r="L181" s="364" t="s">
        <v>88</v>
      </c>
      <c r="M181" s="364" t="s">
        <v>138</v>
      </c>
      <c r="N181" s="364" t="s">
        <v>654</v>
      </c>
      <c r="O181" s="364" t="s">
        <v>653</v>
      </c>
      <c r="P181" s="364" t="s">
        <v>88</v>
      </c>
      <c r="Q181" s="364" t="s">
        <v>88</v>
      </c>
      <c r="R181" s="364" t="s">
        <v>88</v>
      </c>
      <c r="S181" s="364" t="s">
        <v>88</v>
      </c>
      <c r="T181" s="364" t="s">
        <v>88</v>
      </c>
      <c r="U181" s="364" t="s">
        <v>88</v>
      </c>
      <c r="V181" s="364" t="s">
        <v>88</v>
      </c>
      <c r="W181" s="364" t="s">
        <v>88</v>
      </c>
      <c r="X181" s="364" t="s">
        <v>88</v>
      </c>
      <c r="Y181" s="364" t="s">
        <v>88</v>
      </c>
      <c r="Z181" s="364" t="s">
        <v>88</v>
      </c>
      <c r="AA181" s="364" t="s">
        <v>649</v>
      </c>
      <c r="AB181" s="364" t="s">
        <v>88</v>
      </c>
      <c r="AC181" s="364" t="s">
        <v>88</v>
      </c>
      <c r="AD181" s="364" t="s">
        <v>88</v>
      </c>
      <c r="AE181" s="364" t="s">
        <v>88</v>
      </c>
      <c r="AF181" s="364" t="s">
        <v>88</v>
      </c>
      <c r="AG181" s="364" t="s">
        <v>88</v>
      </c>
      <c r="AH181" s="364" t="s">
        <v>88</v>
      </c>
      <c r="AI181" s="364" t="s">
        <v>2560</v>
      </c>
      <c r="AJ181" s="364" t="s">
        <v>798</v>
      </c>
      <c r="AK181" s="364" t="s">
        <v>2466</v>
      </c>
      <c r="AL181" s="364" t="s">
        <v>2465</v>
      </c>
      <c r="AM181" s="364" t="s">
        <v>88</v>
      </c>
      <c r="AN181" s="364" t="s">
        <v>792</v>
      </c>
    </row>
    <row r="182" spans="1:40" x14ac:dyDescent="0.3">
      <c r="A182" s="364" t="s">
        <v>2559</v>
      </c>
      <c r="B182" s="364" t="s">
        <v>661</v>
      </c>
      <c r="C182" s="364" t="s">
        <v>660</v>
      </c>
      <c r="D182" s="364" t="s">
        <v>90</v>
      </c>
      <c r="E182" s="364" t="s">
        <v>759</v>
      </c>
      <c r="F182" s="364" t="s">
        <v>759</v>
      </c>
      <c r="G182" s="364" t="s">
        <v>658</v>
      </c>
      <c r="H182" s="364" t="s">
        <v>2558</v>
      </c>
      <c r="I182" s="364" t="s">
        <v>2557</v>
      </c>
      <c r="J182" s="364" t="s">
        <v>673</v>
      </c>
      <c r="K182" s="364" t="s">
        <v>668</v>
      </c>
      <c r="L182" s="364" t="s">
        <v>190</v>
      </c>
      <c r="M182" s="364" t="s">
        <v>721</v>
      </c>
      <c r="N182" s="364" t="s">
        <v>654</v>
      </c>
      <c r="O182" s="364" t="s">
        <v>653</v>
      </c>
      <c r="P182" s="364" t="s">
        <v>198</v>
      </c>
      <c r="Q182" s="364" t="s">
        <v>652</v>
      </c>
      <c r="R182" s="364" t="s">
        <v>88</v>
      </c>
      <c r="S182" s="364" t="s">
        <v>88</v>
      </c>
      <c r="T182" s="364" t="s">
        <v>88</v>
      </c>
      <c r="U182" s="364" t="s">
        <v>88</v>
      </c>
      <c r="V182" s="364" t="s">
        <v>88</v>
      </c>
      <c r="W182" s="364" t="s">
        <v>88</v>
      </c>
      <c r="X182" s="364" t="s">
        <v>88</v>
      </c>
      <c r="Y182" s="364" t="s">
        <v>88</v>
      </c>
      <c r="Z182" s="364" t="s">
        <v>720</v>
      </c>
      <c r="AA182" s="364" t="s">
        <v>649</v>
      </c>
      <c r="AB182" s="364" t="s">
        <v>649</v>
      </c>
      <c r="AC182" s="364" t="s">
        <v>649</v>
      </c>
      <c r="AD182" s="364" t="s">
        <v>649</v>
      </c>
      <c r="AE182" s="364" t="s">
        <v>88</v>
      </c>
      <c r="AF182" s="364" t="s">
        <v>88</v>
      </c>
      <c r="AG182" s="364" t="s">
        <v>88</v>
      </c>
      <c r="AH182" s="364" t="s">
        <v>88</v>
      </c>
      <c r="AI182" s="364" t="s">
        <v>1155</v>
      </c>
      <c r="AJ182" s="364" t="s">
        <v>648</v>
      </c>
      <c r="AK182" s="364" t="s">
        <v>647</v>
      </c>
      <c r="AL182" s="364" t="s">
        <v>646</v>
      </c>
      <c r="AM182" s="364" t="s">
        <v>668</v>
      </c>
      <c r="AN182" s="364" t="s">
        <v>644</v>
      </c>
    </row>
    <row r="183" spans="1:40" x14ac:dyDescent="0.3">
      <c r="A183" s="364" t="s">
        <v>2559</v>
      </c>
      <c r="B183" s="364" t="s">
        <v>661</v>
      </c>
      <c r="C183" s="364" t="s">
        <v>660</v>
      </c>
      <c r="D183" s="364" t="s">
        <v>90</v>
      </c>
      <c r="E183" s="364" t="s">
        <v>759</v>
      </c>
      <c r="F183" s="364" t="s">
        <v>759</v>
      </c>
      <c r="G183" s="364" t="s">
        <v>658</v>
      </c>
      <c r="H183" s="364" t="s">
        <v>2558</v>
      </c>
      <c r="I183" s="364" t="s">
        <v>2557</v>
      </c>
      <c r="J183" s="364" t="s">
        <v>673</v>
      </c>
      <c r="K183" s="364" t="s">
        <v>668</v>
      </c>
      <c r="L183" s="364" t="s">
        <v>190</v>
      </c>
      <c r="M183" s="364" t="s">
        <v>55</v>
      </c>
      <c r="N183" s="364" t="s">
        <v>654</v>
      </c>
      <c r="O183" s="364" t="s">
        <v>653</v>
      </c>
      <c r="P183" s="364" t="s">
        <v>198</v>
      </c>
      <c r="Q183" s="364" t="s">
        <v>652</v>
      </c>
      <c r="R183" s="364" t="s">
        <v>88</v>
      </c>
      <c r="S183" s="364" t="s">
        <v>88</v>
      </c>
      <c r="T183" s="364" t="s">
        <v>88</v>
      </c>
      <c r="U183" s="364" t="s">
        <v>88</v>
      </c>
      <c r="V183" s="364" t="s">
        <v>88</v>
      </c>
      <c r="W183" s="364" t="s">
        <v>88</v>
      </c>
      <c r="X183" s="364" t="s">
        <v>88</v>
      </c>
      <c r="Y183" s="364" t="s">
        <v>88</v>
      </c>
      <c r="Z183" s="364" t="s">
        <v>719</v>
      </c>
      <c r="AA183" s="364" t="s">
        <v>649</v>
      </c>
      <c r="AB183" s="364" t="s">
        <v>649</v>
      </c>
      <c r="AC183" s="364" t="s">
        <v>649</v>
      </c>
      <c r="AD183" s="364" t="s">
        <v>649</v>
      </c>
      <c r="AE183" s="364" t="s">
        <v>88</v>
      </c>
      <c r="AF183" s="364" t="s">
        <v>88</v>
      </c>
      <c r="AG183" s="364" t="s">
        <v>88</v>
      </c>
      <c r="AH183" s="364" t="s">
        <v>88</v>
      </c>
      <c r="AI183" s="364" t="s">
        <v>1155</v>
      </c>
      <c r="AJ183" s="364" t="s">
        <v>648</v>
      </c>
      <c r="AK183" s="364" t="s">
        <v>647</v>
      </c>
      <c r="AL183" s="364" t="s">
        <v>646</v>
      </c>
      <c r="AM183" s="364" t="s">
        <v>668</v>
      </c>
      <c r="AN183" s="364" t="s">
        <v>644</v>
      </c>
    </row>
    <row r="184" spans="1:40" x14ac:dyDescent="0.3">
      <c r="A184" s="364" t="s">
        <v>2559</v>
      </c>
      <c r="B184" s="364" t="s">
        <v>661</v>
      </c>
      <c r="C184" s="364" t="s">
        <v>660</v>
      </c>
      <c r="D184" s="364" t="s">
        <v>90</v>
      </c>
      <c r="E184" s="364" t="s">
        <v>759</v>
      </c>
      <c r="F184" s="364" t="s">
        <v>759</v>
      </c>
      <c r="G184" s="364" t="s">
        <v>658</v>
      </c>
      <c r="H184" s="364" t="s">
        <v>2558</v>
      </c>
      <c r="I184" s="364" t="s">
        <v>2557</v>
      </c>
      <c r="J184" s="364" t="s">
        <v>673</v>
      </c>
      <c r="K184" s="364" t="s">
        <v>668</v>
      </c>
      <c r="L184" s="364" t="s">
        <v>190</v>
      </c>
      <c r="M184" s="364" t="s">
        <v>718</v>
      </c>
      <c r="N184" s="364" t="s">
        <v>654</v>
      </c>
      <c r="O184" s="364" t="s">
        <v>653</v>
      </c>
      <c r="P184" s="364" t="s">
        <v>198</v>
      </c>
      <c r="Q184" s="364" t="s">
        <v>652</v>
      </c>
      <c r="R184" s="364" t="s">
        <v>88</v>
      </c>
      <c r="S184" s="364" t="s">
        <v>88</v>
      </c>
      <c r="T184" s="364" t="s">
        <v>88</v>
      </c>
      <c r="U184" s="364" t="s">
        <v>88</v>
      </c>
      <c r="V184" s="364" t="s">
        <v>88</v>
      </c>
      <c r="W184" s="364" t="s">
        <v>88</v>
      </c>
      <c r="X184" s="364" t="s">
        <v>88</v>
      </c>
      <c r="Y184" s="364" t="s">
        <v>88</v>
      </c>
      <c r="Z184" s="364" t="s">
        <v>717</v>
      </c>
      <c r="AA184" s="364" t="s">
        <v>649</v>
      </c>
      <c r="AB184" s="364" t="s">
        <v>649</v>
      </c>
      <c r="AC184" s="364" t="s">
        <v>649</v>
      </c>
      <c r="AD184" s="364" t="s">
        <v>649</v>
      </c>
      <c r="AE184" s="364" t="s">
        <v>88</v>
      </c>
      <c r="AF184" s="364" t="s">
        <v>88</v>
      </c>
      <c r="AG184" s="364" t="s">
        <v>88</v>
      </c>
      <c r="AH184" s="364" t="s">
        <v>88</v>
      </c>
      <c r="AI184" s="364" t="s">
        <v>1155</v>
      </c>
      <c r="AJ184" s="364" t="s">
        <v>648</v>
      </c>
      <c r="AK184" s="364" t="s">
        <v>647</v>
      </c>
      <c r="AL184" s="364" t="s">
        <v>646</v>
      </c>
      <c r="AM184" s="364" t="s">
        <v>668</v>
      </c>
      <c r="AN184" s="364" t="s">
        <v>644</v>
      </c>
    </row>
    <row r="185" spans="1:40" x14ac:dyDescent="0.3">
      <c r="A185" s="364" t="s">
        <v>2559</v>
      </c>
      <c r="B185" s="364" t="s">
        <v>661</v>
      </c>
      <c r="C185" s="364" t="s">
        <v>660</v>
      </c>
      <c r="D185" s="364" t="s">
        <v>90</v>
      </c>
      <c r="E185" s="364" t="s">
        <v>759</v>
      </c>
      <c r="F185" s="364" t="s">
        <v>759</v>
      </c>
      <c r="G185" s="364" t="s">
        <v>658</v>
      </c>
      <c r="H185" s="364" t="s">
        <v>2558</v>
      </c>
      <c r="I185" s="364" t="s">
        <v>2557</v>
      </c>
      <c r="J185" s="364" t="s">
        <v>673</v>
      </c>
      <c r="K185" s="364" t="s">
        <v>668</v>
      </c>
      <c r="L185" s="364" t="s">
        <v>190</v>
      </c>
      <c r="M185" s="364" t="s">
        <v>725</v>
      </c>
      <c r="N185" s="364" t="s">
        <v>654</v>
      </c>
      <c r="O185" s="364" t="s">
        <v>653</v>
      </c>
      <c r="P185" s="364" t="s">
        <v>198</v>
      </c>
      <c r="Q185" s="364" t="s">
        <v>652</v>
      </c>
      <c r="R185" s="364" t="s">
        <v>88</v>
      </c>
      <c r="S185" s="364" t="s">
        <v>88</v>
      </c>
      <c r="T185" s="364" t="s">
        <v>88</v>
      </c>
      <c r="U185" s="364" t="s">
        <v>88</v>
      </c>
      <c r="V185" s="364" t="s">
        <v>88</v>
      </c>
      <c r="W185" s="364" t="s">
        <v>88</v>
      </c>
      <c r="X185" s="364" t="s">
        <v>88</v>
      </c>
      <c r="Y185" s="364" t="s">
        <v>88</v>
      </c>
      <c r="Z185" s="364" t="s">
        <v>724</v>
      </c>
      <c r="AA185" s="364" t="s">
        <v>649</v>
      </c>
      <c r="AB185" s="364" t="s">
        <v>649</v>
      </c>
      <c r="AC185" s="364" t="s">
        <v>649</v>
      </c>
      <c r="AD185" s="364" t="s">
        <v>649</v>
      </c>
      <c r="AE185" s="364" t="s">
        <v>88</v>
      </c>
      <c r="AF185" s="364" t="s">
        <v>88</v>
      </c>
      <c r="AG185" s="364" t="s">
        <v>88</v>
      </c>
      <c r="AH185" s="364" t="s">
        <v>88</v>
      </c>
      <c r="AI185" s="364" t="s">
        <v>1155</v>
      </c>
      <c r="AJ185" s="364" t="s">
        <v>648</v>
      </c>
      <c r="AK185" s="364" t="s">
        <v>647</v>
      </c>
      <c r="AL185" s="364" t="s">
        <v>646</v>
      </c>
      <c r="AM185" s="364" t="s">
        <v>668</v>
      </c>
      <c r="AN185" s="364" t="s">
        <v>644</v>
      </c>
    </row>
    <row r="186" spans="1:40" x14ac:dyDescent="0.3">
      <c r="A186" s="364" t="s">
        <v>2559</v>
      </c>
      <c r="B186" s="364" t="s">
        <v>661</v>
      </c>
      <c r="C186" s="364" t="s">
        <v>660</v>
      </c>
      <c r="D186" s="364" t="s">
        <v>90</v>
      </c>
      <c r="E186" s="364" t="s">
        <v>759</v>
      </c>
      <c r="F186" s="364" t="s">
        <v>759</v>
      </c>
      <c r="G186" s="364" t="s">
        <v>658</v>
      </c>
      <c r="H186" s="364" t="s">
        <v>2558</v>
      </c>
      <c r="I186" s="364" t="s">
        <v>2557</v>
      </c>
      <c r="J186" s="364" t="s">
        <v>673</v>
      </c>
      <c r="K186" s="364" t="s">
        <v>668</v>
      </c>
      <c r="L186" s="364" t="s">
        <v>190</v>
      </c>
      <c r="M186" s="364" t="s">
        <v>723</v>
      </c>
      <c r="N186" s="364" t="s">
        <v>654</v>
      </c>
      <c r="O186" s="364" t="s">
        <v>653</v>
      </c>
      <c r="P186" s="364" t="s">
        <v>198</v>
      </c>
      <c r="Q186" s="364" t="s">
        <v>652</v>
      </c>
      <c r="R186" s="364" t="s">
        <v>88</v>
      </c>
      <c r="S186" s="364" t="s">
        <v>88</v>
      </c>
      <c r="T186" s="364" t="s">
        <v>88</v>
      </c>
      <c r="U186" s="364" t="s">
        <v>88</v>
      </c>
      <c r="V186" s="364" t="s">
        <v>88</v>
      </c>
      <c r="W186" s="364" t="s">
        <v>88</v>
      </c>
      <c r="X186" s="364" t="s">
        <v>88</v>
      </c>
      <c r="Y186" s="364" t="s">
        <v>88</v>
      </c>
      <c r="Z186" s="364" t="s">
        <v>722</v>
      </c>
      <c r="AA186" s="364" t="s">
        <v>649</v>
      </c>
      <c r="AB186" s="364" t="s">
        <v>649</v>
      </c>
      <c r="AC186" s="364" t="s">
        <v>649</v>
      </c>
      <c r="AD186" s="364" t="s">
        <v>649</v>
      </c>
      <c r="AE186" s="364" t="s">
        <v>88</v>
      </c>
      <c r="AF186" s="364" t="s">
        <v>88</v>
      </c>
      <c r="AG186" s="364" t="s">
        <v>88</v>
      </c>
      <c r="AH186" s="364" t="s">
        <v>88</v>
      </c>
      <c r="AI186" s="364" t="s">
        <v>1155</v>
      </c>
      <c r="AJ186" s="364" t="s">
        <v>648</v>
      </c>
      <c r="AK186" s="364" t="s">
        <v>647</v>
      </c>
      <c r="AL186" s="364" t="s">
        <v>646</v>
      </c>
      <c r="AM186" s="364" t="s">
        <v>668</v>
      </c>
      <c r="AN186" s="364" t="s">
        <v>644</v>
      </c>
    </row>
    <row r="187" spans="1:40" x14ac:dyDescent="0.3">
      <c r="A187" s="364" t="s">
        <v>2556</v>
      </c>
      <c r="B187" s="364" t="s">
        <v>661</v>
      </c>
      <c r="C187" s="364" t="s">
        <v>660</v>
      </c>
      <c r="D187" s="364" t="s">
        <v>87</v>
      </c>
      <c r="E187" s="364" t="s">
        <v>692</v>
      </c>
      <c r="F187" s="364" t="s">
        <v>692</v>
      </c>
      <c r="G187" s="364" t="s">
        <v>658</v>
      </c>
      <c r="H187" s="364" t="s">
        <v>2555</v>
      </c>
      <c r="I187" s="364" t="s">
        <v>2554</v>
      </c>
      <c r="J187" s="364" t="s">
        <v>88</v>
      </c>
      <c r="K187" s="364" t="s">
        <v>88</v>
      </c>
      <c r="L187" s="364" t="s">
        <v>88</v>
      </c>
      <c r="M187" s="364" t="s">
        <v>138</v>
      </c>
      <c r="N187" s="364" t="s">
        <v>654</v>
      </c>
      <c r="O187" s="364" t="s">
        <v>653</v>
      </c>
      <c r="P187" s="364" t="s">
        <v>88</v>
      </c>
      <c r="Q187" s="364" t="s">
        <v>88</v>
      </c>
      <c r="R187" s="364" t="s">
        <v>88</v>
      </c>
      <c r="S187" s="364" t="s">
        <v>88</v>
      </c>
      <c r="T187" s="364" t="s">
        <v>88</v>
      </c>
      <c r="U187" s="364" t="s">
        <v>88</v>
      </c>
      <c r="V187" s="364" t="s">
        <v>88</v>
      </c>
      <c r="W187" s="364" t="s">
        <v>88</v>
      </c>
      <c r="X187" s="364" t="s">
        <v>88</v>
      </c>
      <c r="Y187" s="364" t="s">
        <v>88</v>
      </c>
      <c r="Z187" s="364" t="s">
        <v>88</v>
      </c>
      <c r="AA187" s="364" t="s">
        <v>649</v>
      </c>
      <c r="AB187" s="364" t="s">
        <v>88</v>
      </c>
      <c r="AC187" s="364" t="s">
        <v>88</v>
      </c>
      <c r="AD187" s="364" t="s">
        <v>88</v>
      </c>
      <c r="AE187" s="364" t="s">
        <v>88</v>
      </c>
      <c r="AF187" s="364" t="s">
        <v>88</v>
      </c>
      <c r="AG187" s="364" t="s">
        <v>88</v>
      </c>
      <c r="AH187" s="364" t="s">
        <v>88</v>
      </c>
      <c r="AI187" s="364" t="s">
        <v>2553</v>
      </c>
      <c r="AJ187" s="364" t="s">
        <v>798</v>
      </c>
      <c r="AK187" s="364" t="s">
        <v>2466</v>
      </c>
      <c r="AL187" s="364" t="s">
        <v>2465</v>
      </c>
      <c r="AM187" s="364" t="s">
        <v>88</v>
      </c>
      <c r="AN187" s="364" t="s">
        <v>792</v>
      </c>
    </row>
    <row r="188" spans="1:40" x14ac:dyDescent="0.3">
      <c r="A188" s="364" t="s">
        <v>2552</v>
      </c>
      <c r="B188" s="364" t="s">
        <v>661</v>
      </c>
      <c r="C188" s="364" t="s">
        <v>660</v>
      </c>
      <c r="D188" s="364" t="s">
        <v>90</v>
      </c>
      <c r="E188" s="364" t="s">
        <v>736</v>
      </c>
      <c r="F188" s="364" t="s">
        <v>736</v>
      </c>
      <c r="G188" s="364" t="s">
        <v>658</v>
      </c>
      <c r="H188" s="364" t="s">
        <v>2551</v>
      </c>
      <c r="I188" s="364" t="s">
        <v>2550</v>
      </c>
      <c r="J188" s="364" t="s">
        <v>673</v>
      </c>
      <c r="K188" s="364" t="s">
        <v>668</v>
      </c>
      <c r="L188" s="364" t="s">
        <v>190</v>
      </c>
      <c r="M188" s="364" t="s">
        <v>721</v>
      </c>
      <c r="N188" s="364" t="s">
        <v>654</v>
      </c>
      <c r="O188" s="364" t="s">
        <v>653</v>
      </c>
      <c r="P188" s="364" t="s">
        <v>198</v>
      </c>
      <c r="Q188" s="364" t="s">
        <v>652</v>
      </c>
      <c r="R188" s="364" t="s">
        <v>88</v>
      </c>
      <c r="S188" s="364" t="s">
        <v>88</v>
      </c>
      <c r="T188" s="364" t="s">
        <v>88</v>
      </c>
      <c r="U188" s="364" t="s">
        <v>88</v>
      </c>
      <c r="V188" s="364" t="s">
        <v>88</v>
      </c>
      <c r="W188" s="364" t="s">
        <v>88</v>
      </c>
      <c r="X188" s="364" t="s">
        <v>88</v>
      </c>
      <c r="Y188" s="364" t="s">
        <v>88</v>
      </c>
      <c r="Z188" s="364" t="s">
        <v>720</v>
      </c>
      <c r="AA188" s="364" t="s">
        <v>649</v>
      </c>
      <c r="AB188" s="364" t="s">
        <v>649</v>
      </c>
      <c r="AC188" s="364" t="s">
        <v>649</v>
      </c>
      <c r="AD188" s="364" t="s">
        <v>649</v>
      </c>
      <c r="AE188" s="364" t="s">
        <v>88</v>
      </c>
      <c r="AF188" s="364" t="s">
        <v>88</v>
      </c>
      <c r="AG188" s="364" t="s">
        <v>88</v>
      </c>
      <c r="AH188" s="364" t="s">
        <v>88</v>
      </c>
      <c r="AI188" s="364" t="s">
        <v>1155</v>
      </c>
      <c r="AJ188" s="364" t="s">
        <v>648</v>
      </c>
      <c r="AK188" s="364" t="s">
        <v>647</v>
      </c>
      <c r="AL188" s="364" t="s">
        <v>646</v>
      </c>
      <c r="AM188" s="364" t="s">
        <v>668</v>
      </c>
      <c r="AN188" s="364" t="s">
        <v>644</v>
      </c>
    </row>
    <row r="189" spans="1:40" x14ac:dyDescent="0.3">
      <c r="A189" s="364" t="s">
        <v>2552</v>
      </c>
      <c r="B189" s="364" t="s">
        <v>661</v>
      </c>
      <c r="C189" s="364" t="s">
        <v>660</v>
      </c>
      <c r="D189" s="364" t="s">
        <v>90</v>
      </c>
      <c r="E189" s="364" t="s">
        <v>736</v>
      </c>
      <c r="F189" s="364" t="s">
        <v>736</v>
      </c>
      <c r="G189" s="364" t="s">
        <v>658</v>
      </c>
      <c r="H189" s="364" t="s">
        <v>2551</v>
      </c>
      <c r="I189" s="364" t="s">
        <v>2550</v>
      </c>
      <c r="J189" s="364" t="s">
        <v>673</v>
      </c>
      <c r="K189" s="364" t="s">
        <v>668</v>
      </c>
      <c r="L189" s="364" t="s">
        <v>190</v>
      </c>
      <c r="M189" s="364" t="s">
        <v>55</v>
      </c>
      <c r="N189" s="364" t="s">
        <v>654</v>
      </c>
      <c r="O189" s="364" t="s">
        <v>653</v>
      </c>
      <c r="P189" s="364" t="s">
        <v>198</v>
      </c>
      <c r="Q189" s="364" t="s">
        <v>652</v>
      </c>
      <c r="R189" s="364" t="s">
        <v>88</v>
      </c>
      <c r="S189" s="364" t="s">
        <v>88</v>
      </c>
      <c r="T189" s="364" t="s">
        <v>88</v>
      </c>
      <c r="U189" s="364" t="s">
        <v>88</v>
      </c>
      <c r="V189" s="364" t="s">
        <v>88</v>
      </c>
      <c r="W189" s="364" t="s">
        <v>88</v>
      </c>
      <c r="X189" s="364" t="s">
        <v>88</v>
      </c>
      <c r="Y189" s="364" t="s">
        <v>88</v>
      </c>
      <c r="Z189" s="364" t="s">
        <v>719</v>
      </c>
      <c r="AA189" s="364" t="s">
        <v>649</v>
      </c>
      <c r="AB189" s="364" t="s">
        <v>649</v>
      </c>
      <c r="AC189" s="364" t="s">
        <v>649</v>
      </c>
      <c r="AD189" s="364" t="s">
        <v>649</v>
      </c>
      <c r="AE189" s="364" t="s">
        <v>88</v>
      </c>
      <c r="AF189" s="364" t="s">
        <v>88</v>
      </c>
      <c r="AG189" s="364" t="s">
        <v>88</v>
      </c>
      <c r="AH189" s="364" t="s">
        <v>88</v>
      </c>
      <c r="AI189" s="364" t="s">
        <v>1155</v>
      </c>
      <c r="AJ189" s="364" t="s">
        <v>648</v>
      </c>
      <c r="AK189" s="364" t="s">
        <v>647</v>
      </c>
      <c r="AL189" s="364" t="s">
        <v>646</v>
      </c>
      <c r="AM189" s="364" t="s">
        <v>668</v>
      </c>
      <c r="AN189" s="364" t="s">
        <v>644</v>
      </c>
    </row>
    <row r="190" spans="1:40" x14ac:dyDescent="0.3">
      <c r="A190" s="364" t="s">
        <v>2552</v>
      </c>
      <c r="B190" s="364" t="s">
        <v>661</v>
      </c>
      <c r="C190" s="364" t="s">
        <v>660</v>
      </c>
      <c r="D190" s="364" t="s">
        <v>90</v>
      </c>
      <c r="E190" s="364" t="s">
        <v>736</v>
      </c>
      <c r="F190" s="364" t="s">
        <v>736</v>
      </c>
      <c r="G190" s="364" t="s">
        <v>658</v>
      </c>
      <c r="H190" s="364" t="s">
        <v>2551</v>
      </c>
      <c r="I190" s="364" t="s">
        <v>2550</v>
      </c>
      <c r="J190" s="364" t="s">
        <v>673</v>
      </c>
      <c r="K190" s="364" t="s">
        <v>668</v>
      </c>
      <c r="L190" s="364" t="s">
        <v>190</v>
      </c>
      <c r="M190" s="364" t="s">
        <v>718</v>
      </c>
      <c r="N190" s="364" t="s">
        <v>654</v>
      </c>
      <c r="O190" s="364" t="s">
        <v>653</v>
      </c>
      <c r="P190" s="364" t="s">
        <v>198</v>
      </c>
      <c r="Q190" s="364" t="s">
        <v>652</v>
      </c>
      <c r="R190" s="364" t="s">
        <v>88</v>
      </c>
      <c r="S190" s="364" t="s">
        <v>88</v>
      </c>
      <c r="T190" s="364" t="s">
        <v>88</v>
      </c>
      <c r="U190" s="364" t="s">
        <v>88</v>
      </c>
      <c r="V190" s="364" t="s">
        <v>88</v>
      </c>
      <c r="W190" s="364" t="s">
        <v>88</v>
      </c>
      <c r="X190" s="364" t="s">
        <v>88</v>
      </c>
      <c r="Y190" s="364" t="s">
        <v>88</v>
      </c>
      <c r="Z190" s="364" t="s">
        <v>717</v>
      </c>
      <c r="AA190" s="364" t="s">
        <v>649</v>
      </c>
      <c r="AB190" s="364" t="s">
        <v>649</v>
      </c>
      <c r="AC190" s="364" t="s">
        <v>649</v>
      </c>
      <c r="AD190" s="364" t="s">
        <v>649</v>
      </c>
      <c r="AE190" s="364" t="s">
        <v>88</v>
      </c>
      <c r="AF190" s="364" t="s">
        <v>88</v>
      </c>
      <c r="AG190" s="364" t="s">
        <v>88</v>
      </c>
      <c r="AH190" s="364" t="s">
        <v>88</v>
      </c>
      <c r="AI190" s="364" t="s">
        <v>1155</v>
      </c>
      <c r="AJ190" s="364" t="s">
        <v>648</v>
      </c>
      <c r="AK190" s="364" t="s">
        <v>647</v>
      </c>
      <c r="AL190" s="364" t="s">
        <v>646</v>
      </c>
      <c r="AM190" s="364" t="s">
        <v>668</v>
      </c>
      <c r="AN190" s="364" t="s">
        <v>644</v>
      </c>
    </row>
    <row r="191" spans="1:40" x14ac:dyDescent="0.3">
      <c r="A191" s="364" t="s">
        <v>2552</v>
      </c>
      <c r="B191" s="364" t="s">
        <v>661</v>
      </c>
      <c r="C191" s="364" t="s">
        <v>660</v>
      </c>
      <c r="D191" s="364" t="s">
        <v>90</v>
      </c>
      <c r="E191" s="364" t="s">
        <v>736</v>
      </c>
      <c r="F191" s="364" t="s">
        <v>736</v>
      </c>
      <c r="G191" s="364" t="s">
        <v>658</v>
      </c>
      <c r="H191" s="364" t="s">
        <v>2551</v>
      </c>
      <c r="I191" s="364" t="s">
        <v>2550</v>
      </c>
      <c r="J191" s="364" t="s">
        <v>673</v>
      </c>
      <c r="K191" s="364" t="s">
        <v>668</v>
      </c>
      <c r="L191" s="364" t="s">
        <v>190</v>
      </c>
      <c r="M191" s="364" t="s">
        <v>725</v>
      </c>
      <c r="N191" s="364" t="s">
        <v>654</v>
      </c>
      <c r="O191" s="364" t="s">
        <v>653</v>
      </c>
      <c r="P191" s="364" t="s">
        <v>198</v>
      </c>
      <c r="Q191" s="364" t="s">
        <v>652</v>
      </c>
      <c r="R191" s="364" t="s">
        <v>88</v>
      </c>
      <c r="S191" s="364" t="s">
        <v>88</v>
      </c>
      <c r="T191" s="364" t="s">
        <v>88</v>
      </c>
      <c r="U191" s="364" t="s">
        <v>88</v>
      </c>
      <c r="V191" s="364" t="s">
        <v>88</v>
      </c>
      <c r="W191" s="364" t="s">
        <v>88</v>
      </c>
      <c r="X191" s="364" t="s">
        <v>88</v>
      </c>
      <c r="Y191" s="364" t="s">
        <v>88</v>
      </c>
      <c r="Z191" s="364" t="s">
        <v>724</v>
      </c>
      <c r="AA191" s="364" t="s">
        <v>649</v>
      </c>
      <c r="AB191" s="364" t="s">
        <v>649</v>
      </c>
      <c r="AC191" s="364" t="s">
        <v>649</v>
      </c>
      <c r="AD191" s="364" t="s">
        <v>649</v>
      </c>
      <c r="AE191" s="364" t="s">
        <v>88</v>
      </c>
      <c r="AF191" s="364" t="s">
        <v>88</v>
      </c>
      <c r="AG191" s="364" t="s">
        <v>88</v>
      </c>
      <c r="AH191" s="364" t="s">
        <v>88</v>
      </c>
      <c r="AI191" s="364" t="s">
        <v>1155</v>
      </c>
      <c r="AJ191" s="364" t="s">
        <v>648</v>
      </c>
      <c r="AK191" s="364" t="s">
        <v>647</v>
      </c>
      <c r="AL191" s="364" t="s">
        <v>646</v>
      </c>
      <c r="AM191" s="364" t="s">
        <v>668</v>
      </c>
      <c r="AN191" s="364" t="s">
        <v>644</v>
      </c>
    </row>
    <row r="192" spans="1:40" x14ac:dyDescent="0.3">
      <c r="A192" s="364" t="s">
        <v>2552</v>
      </c>
      <c r="B192" s="364" t="s">
        <v>661</v>
      </c>
      <c r="C192" s="364" t="s">
        <v>660</v>
      </c>
      <c r="D192" s="364" t="s">
        <v>90</v>
      </c>
      <c r="E192" s="364" t="s">
        <v>736</v>
      </c>
      <c r="F192" s="364" t="s">
        <v>736</v>
      </c>
      <c r="G192" s="364" t="s">
        <v>658</v>
      </c>
      <c r="H192" s="364" t="s">
        <v>2551</v>
      </c>
      <c r="I192" s="364" t="s">
        <v>2550</v>
      </c>
      <c r="J192" s="364" t="s">
        <v>673</v>
      </c>
      <c r="K192" s="364" t="s">
        <v>668</v>
      </c>
      <c r="L192" s="364" t="s">
        <v>190</v>
      </c>
      <c r="M192" s="364" t="s">
        <v>723</v>
      </c>
      <c r="N192" s="364" t="s">
        <v>654</v>
      </c>
      <c r="O192" s="364" t="s">
        <v>653</v>
      </c>
      <c r="P192" s="364" t="s">
        <v>198</v>
      </c>
      <c r="Q192" s="364" t="s">
        <v>652</v>
      </c>
      <c r="R192" s="364" t="s">
        <v>88</v>
      </c>
      <c r="S192" s="364" t="s">
        <v>88</v>
      </c>
      <c r="T192" s="364" t="s">
        <v>88</v>
      </c>
      <c r="U192" s="364" t="s">
        <v>88</v>
      </c>
      <c r="V192" s="364" t="s">
        <v>88</v>
      </c>
      <c r="W192" s="364" t="s">
        <v>88</v>
      </c>
      <c r="X192" s="364" t="s">
        <v>88</v>
      </c>
      <c r="Y192" s="364" t="s">
        <v>88</v>
      </c>
      <c r="Z192" s="364" t="s">
        <v>722</v>
      </c>
      <c r="AA192" s="364" t="s">
        <v>649</v>
      </c>
      <c r="AB192" s="364" t="s">
        <v>649</v>
      </c>
      <c r="AC192" s="364" t="s">
        <v>649</v>
      </c>
      <c r="AD192" s="364" t="s">
        <v>649</v>
      </c>
      <c r="AE192" s="364" t="s">
        <v>88</v>
      </c>
      <c r="AF192" s="364" t="s">
        <v>88</v>
      </c>
      <c r="AG192" s="364" t="s">
        <v>88</v>
      </c>
      <c r="AH192" s="364" t="s">
        <v>88</v>
      </c>
      <c r="AI192" s="364" t="s">
        <v>1155</v>
      </c>
      <c r="AJ192" s="364" t="s">
        <v>648</v>
      </c>
      <c r="AK192" s="364" t="s">
        <v>647</v>
      </c>
      <c r="AL192" s="364" t="s">
        <v>646</v>
      </c>
      <c r="AM192" s="364" t="s">
        <v>668</v>
      </c>
      <c r="AN192" s="364" t="s">
        <v>644</v>
      </c>
    </row>
    <row r="193" spans="1:40" x14ac:dyDescent="0.3">
      <c r="A193" s="364" t="s">
        <v>2549</v>
      </c>
      <c r="B193" s="364" t="s">
        <v>661</v>
      </c>
      <c r="C193" s="364" t="s">
        <v>660</v>
      </c>
      <c r="D193" s="364" t="s">
        <v>90</v>
      </c>
      <c r="E193" s="364" t="s">
        <v>752</v>
      </c>
      <c r="F193" s="364" t="s">
        <v>752</v>
      </c>
      <c r="G193" s="364" t="s">
        <v>658</v>
      </c>
      <c r="H193" s="364" t="s">
        <v>2548</v>
      </c>
      <c r="I193" s="364" t="s">
        <v>814</v>
      </c>
      <c r="J193" s="364" t="s">
        <v>673</v>
      </c>
      <c r="K193" s="364" t="s">
        <v>668</v>
      </c>
      <c r="L193" s="364" t="s">
        <v>190</v>
      </c>
      <c r="M193" s="364" t="s">
        <v>721</v>
      </c>
      <c r="N193" s="364" t="s">
        <v>654</v>
      </c>
      <c r="O193" s="364" t="s">
        <v>653</v>
      </c>
      <c r="P193" s="364" t="s">
        <v>198</v>
      </c>
      <c r="Q193" s="364" t="s">
        <v>652</v>
      </c>
      <c r="R193" s="364" t="s">
        <v>88</v>
      </c>
      <c r="S193" s="364" t="s">
        <v>88</v>
      </c>
      <c r="T193" s="364" t="s">
        <v>88</v>
      </c>
      <c r="U193" s="364" t="s">
        <v>88</v>
      </c>
      <c r="V193" s="364" t="s">
        <v>88</v>
      </c>
      <c r="W193" s="364" t="s">
        <v>88</v>
      </c>
      <c r="X193" s="364" t="s">
        <v>88</v>
      </c>
      <c r="Y193" s="364" t="s">
        <v>88</v>
      </c>
      <c r="Z193" s="364" t="s">
        <v>720</v>
      </c>
      <c r="AA193" s="364" t="s">
        <v>649</v>
      </c>
      <c r="AB193" s="364" t="s">
        <v>649</v>
      </c>
      <c r="AC193" s="364" t="s">
        <v>649</v>
      </c>
      <c r="AD193" s="364" t="s">
        <v>649</v>
      </c>
      <c r="AE193" s="364" t="s">
        <v>88</v>
      </c>
      <c r="AF193" s="364" t="s">
        <v>88</v>
      </c>
      <c r="AG193" s="364" t="s">
        <v>88</v>
      </c>
      <c r="AH193" s="364" t="s">
        <v>88</v>
      </c>
      <c r="AI193" s="364" t="s">
        <v>1155</v>
      </c>
      <c r="AJ193" s="364" t="s">
        <v>648</v>
      </c>
      <c r="AK193" s="364" t="s">
        <v>647</v>
      </c>
      <c r="AL193" s="364" t="s">
        <v>646</v>
      </c>
      <c r="AM193" s="364" t="s">
        <v>668</v>
      </c>
      <c r="AN193" s="364" t="s">
        <v>644</v>
      </c>
    </row>
    <row r="194" spans="1:40" x14ac:dyDescent="0.3">
      <c r="A194" s="364" t="s">
        <v>2549</v>
      </c>
      <c r="B194" s="364" t="s">
        <v>661</v>
      </c>
      <c r="C194" s="364" t="s">
        <v>660</v>
      </c>
      <c r="D194" s="364" t="s">
        <v>90</v>
      </c>
      <c r="E194" s="364" t="s">
        <v>752</v>
      </c>
      <c r="F194" s="364" t="s">
        <v>752</v>
      </c>
      <c r="G194" s="364" t="s">
        <v>658</v>
      </c>
      <c r="H194" s="364" t="s">
        <v>2548</v>
      </c>
      <c r="I194" s="364" t="s">
        <v>814</v>
      </c>
      <c r="J194" s="364" t="s">
        <v>673</v>
      </c>
      <c r="K194" s="364" t="s">
        <v>668</v>
      </c>
      <c r="L194" s="364" t="s">
        <v>190</v>
      </c>
      <c r="M194" s="364" t="s">
        <v>55</v>
      </c>
      <c r="N194" s="364" t="s">
        <v>654</v>
      </c>
      <c r="O194" s="364" t="s">
        <v>653</v>
      </c>
      <c r="P194" s="364" t="s">
        <v>198</v>
      </c>
      <c r="Q194" s="364" t="s">
        <v>652</v>
      </c>
      <c r="R194" s="364" t="s">
        <v>88</v>
      </c>
      <c r="S194" s="364" t="s">
        <v>88</v>
      </c>
      <c r="T194" s="364" t="s">
        <v>88</v>
      </c>
      <c r="U194" s="364" t="s">
        <v>88</v>
      </c>
      <c r="V194" s="364" t="s">
        <v>88</v>
      </c>
      <c r="W194" s="364" t="s">
        <v>88</v>
      </c>
      <c r="X194" s="364" t="s">
        <v>88</v>
      </c>
      <c r="Y194" s="364" t="s">
        <v>88</v>
      </c>
      <c r="Z194" s="364" t="s">
        <v>719</v>
      </c>
      <c r="AA194" s="364" t="s">
        <v>649</v>
      </c>
      <c r="AB194" s="364" t="s">
        <v>649</v>
      </c>
      <c r="AC194" s="364" t="s">
        <v>649</v>
      </c>
      <c r="AD194" s="364" t="s">
        <v>649</v>
      </c>
      <c r="AE194" s="364" t="s">
        <v>88</v>
      </c>
      <c r="AF194" s="364" t="s">
        <v>88</v>
      </c>
      <c r="AG194" s="364" t="s">
        <v>88</v>
      </c>
      <c r="AH194" s="364" t="s">
        <v>88</v>
      </c>
      <c r="AI194" s="364" t="s">
        <v>1155</v>
      </c>
      <c r="AJ194" s="364" t="s">
        <v>648</v>
      </c>
      <c r="AK194" s="364" t="s">
        <v>647</v>
      </c>
      <c r="AL194" s="364" t="s">
        <v>646</v>
      </c>
      <c r="AM194" s="364" t="s">
        <v>668</v>
      </c>
      <c r="AN194" s="364" t="s">
        <v>644</v>
      </c>
    </row>
    <row r="195" spans="1:40" x14ac:dyDescent="0.3">
      <c r="A195" s="364" t="s">
        <v>2549</v>
      </c>
      <c r="B195" s="364" t="s">
        <v>661</v>
      </c>
      <c r="C195" s="364" t="s">
        <v>660</v>
      </c>
      <c r="D195" s="364" t="s">
        <v>90</v>
      </c>
      <c r="E195" s="364" t="s">
        <v>752</v>
      </c>
      <c r="F195" s="364" t="s">
        <v>752</v>
      </c>
      <c r="G195" s="364" t="s">
        <v>658</v>
      </c>
      <c r="H195" s="364" t="s">
        <v>2548</v>
      </c>
      <c r="I195" s="364" t="s">
        <v>814</v>
      </c>
      <c r="J195" s="364" t="s">
        <v>673</v>
      </c>
      <c r="K195" s="364" t="s">
        <v>668</v>
      </c>
      <c r="L195" s="364" t="s">
        <v>190</v>
      </c>
      <c r="M195" s="364" t="s">
        <v>718</v>
      </c>
      <c r="N195" s="364" t="s">
        <v>654</v>
      </c>
      <c r="O195" s="364" t="s">
        <v>653</v>
      </c>
      <c r="P195" s="364" t="s">
        <v>198</v>
      </c>
      <c r="Q195" s="364" t="s">
        <v>652</v>
      </c>
      <c r="R195" s="364" t="s">
        <v>88</v>
      </c>
      <c r="S195" s="364" t="s">
        <v>88</v>
      </c>
      <c r="T195" s="364" t="s">
        <v>88</v>
      </c>
      <c r="U195" s="364" t="s">
        <v>88</v>
      </c>
      <c r="V195" s="364" t="s">
        <v>88</v>
      </c>
      <c r="W195" s="364" t="s">
        <v>88</v>
      </c>
      <c r="X195" s="364" t="s">
        <v>88</v>
      </c>
      <c r="Y195" s="364" t="s">
        <v>88</v>
      </c>
      <c r="Z195" s="364" t="s">
        <v>717</v>
      </c>
      <c r="AA195" s="364" t="s">
        <v>649</v>
      </c>
      <c r="AB195" s="364" t="s">
        <v>649</v>
      </c>
      <c r="AC195" s="364" t="s">
        <v>649</v>
      </c>
      <c r="AD195" s="364" t="s">
        <v>649</v>
      </c>
      <c r="AE195" s="364" t="s">
        <v>88</v>
      </c>
      <c r="AF195" s="364" t="s">
        <v>88</v>
      </c>
      <c r="AG195" s="364" t="s">
        <v>88</v>
      </c>
      <c r="AH195" s="364" t="s">
        <v>88</v>
      </c>
      <c r="AI195" s="364" t="s">
        <v>1155</v>
      </c>
      <c r="AJ195" s="364" t="s">
        <v>648</v>
      </c>
      <c r="AK195" s="364" t="s">
        <v>647</v>
      </c>
      <c r="AL195" s="364" t="s">
        <v>646</v>
      </c>
      <c r="AM195" s="364" t="s">
        <v>668</v>
      </c>
      <c r="AN195" s="364" t="s">
        <v>644</v>
      </c>
    </row>
    <row r="196" spans="1:40" x14ac:dyDescent="0.3">
      <c r="A196" s="364" t="s">
        <v>2549</v>
      </c>
      <c r="B196" s="364" t="s">
        <v>661</v>
      </c>
      <c r="C196" s="364" t="s">
        <v>660</v>
      </c>
      <c r="D196" s="364" t="s">
        <v>90</v>
      </c>
      <c r="E196" s="364" t="s">
        <v>752</v>
      </c>
      <c r="F196" s="364" t="s">
        <v>752</v>
      </c>
      <c r="G196" s="364" t="s">
        <v>658</v>
      </c>
      <c r="H196" s="364" t="s">
        <v>2548</v>
      </c>
      <c r="I196" s="364" t="s">
        <v>814</v>
      </c>
      <c r="J196" s="364" t="s">
        <v>673</v>
      </c>
      <c r="K196" s="364" t="s">
        <v>668</v>
      </c>
      <c r="L196" s="364" t="s">
        <v>190</v>
      </c>
      <c r="M196" s="364" t="s">
        <v>725</v>
      </c>
      <c r="N196" s="364" t="s">
        <v>654</v>
      </c>
      <c r="O196" s="364" t="s">
        <v>653</v>
      </c>
      <c r="P196" s="364" t="s">
        <v>198</v>
      </c>
      <c r="Q196" s="364" t="s">
        <v>652</v>
      </c>
      <c r="R196" s="364" t="s">
        <v>88</v>
      </c>
      <c r="S196" s="364" t="s">
        <v>88</v>
      </c>
      <c r="T196" s="364" t="s">
        <v>88</v>
      </c>
      <c r="U196" s="364" t="s">
        <v>88</v>
      </c>
      <c r="V196" s="364" t="s">
        <v>88</v>
      </c>
      <c r="W196" s="364" t="s">
        <v>88</v>
      </c>
      <c r="X196" s="364" t="s">
        <v>88</v>
      </c>
      <c r="Y196" s="364" t="s">
        <v>88</v>
      </c>
      <c r="Z196" s="364" t="s">
        <v>724</v>
      </c>
      <c r="AA196" s="364" t="s">
        <v>649</v>
      </c>
      <c r="AB196" s="364" t="s">
        <v>649</v>
      </c>
      <c r="AC196" s="364" t="s">
        <v>649</v>
      </c>
      <c r="AD196" s="364" t="s">
        <v>649</v>
      </c>
      <c r="AE196" s="364" t="s">
        <v>88</v>
      </c>
      <c r="AF196" s="364" t="s">
        <v>88</v>
      </c>
      <c r="AG196" s="364" t="s">
        <v>88</v>
      </c>
      <c r="AH196" s="364" t="s">
        <v>88</v>
      </c>
      <c r="AI196" s="364" t="s">
        <v>1155</v>
      </c>
      <c r="AJ196" s="364" t="s">
        <v>648</v>
      </c>
      <c r="AK196" s="364" t="s">
        <v>647</v>
      </c>
      <c r="AL196" s="364" t="s">
        <v>646</v>
      </c>
      <c r="AM196" s="364" t="s">
        <v>668</v>
      </c>
      <c r="AN196" s="364" t="s">
        <v>644</v>
      </c>
    </row>
    <row r="197" spans="1:40" x14ac:dyDescent="0.3">
      <c r="A197" s="364" t="s">
        <v>2549</v>
      </c>
      <c r="B197" s="364" t="s">
        <v>661</v>
      </c>
      <c r="C197" s="364" t="s">
        <v>660</v>
      </c>
      <c r="D197" s="364" t="s">
        <v>90</v>
      </c>
      <c r="E197" s="364" t="s">
        <v>752</v>
      </c>
      <c r="F197" s="364" t="s">
        <v>752</v>
      </c>
      <c r="G197" s="364" t="s">
        <v>658</v>
      </c>
      <c r="H197" s="364" t="s">
        <v>2548</v>
      </c>
      <c r="I197" s="364" t="s">
        <v>814</v>
      </c>
      <c r="J197" s="364" t="s">
        <v>673</v>
      </c>
      <c r="K197" s="364" t="s">
        <v>668</v>
      </c>
      <c r="L197" s="364" t="s">
        <v>190</v>
      </c>
      <c r="M197" s="364" t="s">
        <v>723</v>
      </c>
      <c r="N197" s="364" t="s">
        <v>654</v>
      </c>
      <c r="O197" s="364" t="s">
        <v>653</v>
      </c>
      <c r="P197" s="364" t="s">
        <v>198</v>
      </c>
      <c r="Q197" s="364" t="s">
        <v>652</v>
      </c>
      <c r="R197" s="364" t="s">
        <v>88</v>
      </c>
      <c r="S197" s="364" t="s">
        <v>88</v>
      </c>
      <c r="T197" s="364" t="s">
        <v>88</v>
      </c>
      <c r="U197" s="364" t="s">
        <v>88</v>
      </c>
      <c r="V197" s="364" t="s">
        <v>88</v>
      </c>
      <c r="W197" s="364" t="s">
        <v>88</v>
      </c>
      <c r="X197" s="364" t="s">
        <v>88</v>
      </c>
      <c r="Y197" s="364" t="s">
        <v>88</v>
      </c>
      <c r="Z197" s="364" t="s">
        <v>722</v>
      </c>
      <c r="AA197" s="364" t="s">
        <v>649</v>
      </c>
      <c r="AB197" s="364" t="s">
        <v>649</v>
      </c>
      <c r="AC197" s="364" t="s">
        <v>649</v>
      </c>
      <c r="AD197" s="364" t="s">
        <v>649</v>
      </c>
      <c r="AE197" s="364" t="s">
        <v>88</v>
      </c>
      <c r="AF197" s="364" t="s">
        <v>88</v>
      </c>
      <c r="AG197" s="364" t="s">
        <v>88</v>
      </c>
      <c r="AH197" s="364" t="s">
        <v>88</v>
      </c>
      <c r="AI197" s="364" t="s">
        <v>1155</v>
      </c>
      <c r="AJ197" s="364" t="s">
        <v>648</v>
      </c>
      <c r="AK197" s="364" t="s">
        <v>647</v>
      </c>
      <c r="AL197" s="364" t="s">
        <v>646</v>
      </c>
      <c r="AM197" s="364" t="s">
        <v>668</v>
      </c>
      <c r="AN197" s="364" t="s">
        <v>644</v>
      </c>
    </row>
    <row r="198" spans="1:40" x14ac:dyDescent="0.3">
      <c r="A198" s="364" t="s">
        <v>2547</v>
      </c>
      <c r="B198" s="364" t="s">
        <v>661</v>
      </c>
      <c r="C198" s="364" t="s">
        <v>660</v>
      </c>
      <c r="D198" s="364" t="s">
        <v>90</v>
      </c>
      <c r="E198" s="364" t="s">
        <v>692</v>
      </c>
      <c r="F198" s="364" t="s">
        <v>692</v>
      </c>
      <c r="G198" s="364" t="s">
        <v>658</v>
      </c>
      <c r="H198" s="364" t="s">
        <v>2546</v>
      </c>
      <c r="I198" s="364" t="s">
        <v>2545</v>
      </c>
      <c r="J198" s="364" t="s">
        <v>673</v>
      </c>
      <c r="K198" s="364" t="s">
        <v>668</v>
      </c>
      <c r="L198" s="364" t="s">
        <v>190</v>
      </c>
      <c r="M198" s="364" t="s">
        <v>721</v>
      </c>
      <c r="N198" s="364" t="s">
        <v>654</v>
      </c>
      <c r="O198" s="364" t="s">
        <v>653</v>
      </c>
      <c r="P198" s="364" t="s">
        <v>198</v>
      </c>
      <c r="Q198" s="364" t="s">
        <v>652</v>
      </c>
      <c r="R198" s="364" t="s">
        <v>88</v>
      </c>
      <c r="S198" s="364" t="s">
        <v>88</v>
      </c>
      <c r="T198" s="364" t="s">
        <v>88</v>
      </c>
      <c r="U198" s="364" t="s">
        <v>88</v>
      </c>
      <c r="V198" s="364" t="s">
        <v>88</v>
      </c>
      <c r="W198" s="364" t="s">
        <v>88</v>
      </c>
      <c r="X198" s="364" t="s">
        <v>88</v>
      </c>
      <c r="Y198" s="364" t="s">
        <v>88</v>
      </c>
      <c r="Z198" s="364" t="s">
        <v>720</v>
      </c>
      <c r="AA198" s="364" t="s">
        <v>649</v>
      </c>
      <c r="AB198" s="364" t="s">
        <v>649</v>
      </c>
      <c r="AC198" s="364" t="s">
        <v>649</v>
      </c>
      <c r="AD198" s="364" t="s">
        <v>649</v>
      </c>
      <c r="AE198" s="364" t="s">
        <v>88</v>
      </c>
      <c r="AF198" s="364" t="s">
        <v>88</v>
      </c>
      <c r="AG198" s="364" t="s">
        <v>88</v>
      </c>
      <c r="AH198" s="364" t="s">
        <v>88</v>
      </c>
      <c r="AI198" s="364" t="s">
        <v>1155</v>
      </c>
      <c r="AJ198" s="364" t="s">
        <v>648</v>
      </c>
      <c r="AK198" s="364" t="s">
        <v>647</v>
      </c>
      <c r="AL198" s="364" t="s">
        <v>646</v>
      </c>
      <c r="AM198" s="364" t="s">
        <v>668</v>
      </c>
      <c r="AN198" s="364" t="s">
        <v>644</v>
      </c>
    </row>
    <row r="199" spans="1:40" x14ac:dyDescent="0.3">
      <c r="A199" s="364" t="s">
        <v>2547</v>
      </c>
      <c r="B199" s="364" t="s">
        <v>661</v>
      </c>
      <c r="C199" s="364" t="s">
        <v>660</v>
      </c>
      <c r="D199" s="364" t="s">
        <v>90</v>
      </c>
      <c r="E199" s="364" t="s">
        <v>692</v>
      </c>
      <c r="F199" s="364" t="s">
        <v>692</v>
      </c>
      <c r="G199" s="364" t="s">
        <v>658</v>
      </c>
      <c r="H199" s="364" t="s">
        <v>2546</v>
      </c>
      <c r="I199" s="364" t="s">
        <v>2545</v>
      </c>
      <c r="J199" s="364" t="s">
        <v>673</v>
      </c>
      <c r="K199" s="364" t="s">
        <v>668</v>
      </c>
      <c r="L199" s="364" t="s">
        <v>190</v>
      </c>
      <c r="M199" s="364" t="s">
        <v>55</v>
      </c>
      <c r="N199" s="364" t="s">
        <v>654</v>
      </c>
      <c r="O199" s="364" t="s">
        <v>653</v>
      </c>
      <c r="P199" s="364" t="s">
        <v>198</v>
      </c>
      <c r="Q199" s="364" t="s">
        <v>652</v>
      </c>
      <c r="R199" s="364" t="s">
        <v>88</v>
      </c>
      <c r="S199" s="364" t="s">
        <v>88</v>
      </c>
      <c r="T199" s="364" t="s">
        <v>88</v>
      </c>
      <c r="U199" s="364" t="s">
        <v>88</v>
      </c>
      <c r="V199" s="364" t="s">
        <v>88</v>
      </c>
      <c r="W199" s="364" t="s">
        <v>88</v>
      </c>
      <c r="X199" s="364" t="s">
        <v>88</v>
      </c>
      <c r="Y199" s="364" t="s">
        <v>88</v>
      </c>
      <c r="Z199" s="364" t="s">
        <v>719</v>
      </c>
      <c r="AA199" s="364" t="s">
        <v>649</v>
      </c>
      <c r="AB199" s="364" t="s">
        <v>649</v>
      </c>
      <c r="AC199" s="364" t="s">
        <v>649</v>
      </c>
      <c r="AD199" s="364" t="s">
        <v>649</v>
      </c>
      <c r="AE199" s="364" t="s">
        <v>88</v>
      </c>
      <c r="AF199" s="364" t="s">
        <v>88</v>
      </c>
      <c r="AG199" s="364" t="s">
        <v>88</v>
      </c>
      <c r="AH199" s="364" t="s">
        <v>88</v>
      </c>
      <c r="AI199" s="364" t="s">
        <v>1155</v>
      </c>
      <c r="AJ199" s="364" t="s">
        <v>648</v>
      </c>
      <c r="AK199" s="364" t="s">
        <v>647</v>
      </c>
      <c r="AL199" s="364" t="s">
        <v>646</v>
      </c>
      <c r="AM199" s="364" t="s">
        <v>668</v>
      </c>
      <c r="AN199" s="364" t="s">
        <v>644</v>
      </c>
    </row>
    <row r="200" spans="1:40" x14ac:dyDescent="0.3">
      <c r="A200" s="364" t="s">
        <v>2547</v>
      </c>
      <c r="B200" s="364" t="s">
        <v>661</v>
      </c>
      <c r="C200" s="364" t="s">
        <v>660</v>
      </c>
      <c r="D200" s="364" t="s">
        <v>90</v>
      </c>
      <c r="E200" s="364" t="s">
        <v>692</v>
      </c>
      <c r="F200" s="364" t="s">
        <v>692</v>
      </c>
      <c r="G200" s="364" t="s">
        <v>658</v>
      </c>
      <c r="H200" s="364" t="s">
        <v>2546</v>
      </c>
      <c r="I200" s="364" t="s">
        <v>2545</v>
      </c>
      <c r="J200" s="364" t="s">
        <v>673</v>
      </c>
      <c r="K200" s="364" t="s">
        <v>668</v>
      </c>
      <c r="L200" s="364" t="s">
        <v>190</v>
      </c>
      <c r="M200" s="364" t="s">
        <v>718</v>
      </c>
      <c r="N200" s="364" t="s">
        <v>654</v>
      </c>
      <c r="O200" s="364" t="s">
        <v>653</v>
      </c>
      <c r="P200" s="364" t="s">
        <v>198</v>
      </c>
      <c r="Q200" s="364" t="s">
        <v>652</v>
      </c>
      <c r="R200" s="364" t="s">
        <v>88</v>
      </c>
      <c r="S200" s="364" t="s">
        <v>88</v>
      </c>
      <c r="T200" s="364" t="s">
        <v>88</v>
      </c>
      <c r="U200" s="364" t="s">
        <v>88</v>
      </c>
      <c r="V200" s="364" t="s">
        <v>88</v>
      </c>
      <c r="W200" s="364" t="s">
        <v>88</v>
      </c>
      <c r="X200" s="364" t="s">
        <v>88</v>
      </c>
      <c r="Y200" s="364" t="s">
        <v>88</v>
      </c>
      <c r="Z200" s="364" t="s">
        <v>717</v>
      </c>
      <c r="AA200" s="364" t="s">
        <v>649</v>
      </c>
      <c r="AB200" s="364" t="s">
        <v>649</v>
      </c>
      <c r="AC200" s="364" t="s">
        <v>649</v>
      </c>
      <c r="AD200" s="364" t="s">
        <v>649</v>
      </c>
      <c r="AE200" s="364" t="s">
        <v>88</v>
      </c>
      <c r="AF200" s="364" t="s">
        <v>88</v>
      </c>
      <c r="AG200" s="364" t="s">
        <v>88</v>
      </c>
      <c r="AH200" s="364" t="s">
        <v>88</v>
      </c>
      <c r="AI200" s="364" t="s">
        <v>1155</v>
      </c>
      <c r="AJ200" s="364" t="s">
        <v>648</v>
      </c>
      <c r="AK200" s="364" t="s">
        <v>647</v>
      </c>
      <c r="AL200" s="364" t="s">
        <v>646</v>
      </c>
      <c r="AM200" s="364" t="s">
        <v>668</v>
      </c>
      <c r="AN200" s="364" t="s">
        <v>644</v>
      </c>
    </row>
    <row r="201" spans="1:40" x14ac:dyDescent="0.3">
      <c r="A201" s="364" t="s">
        <v>2547</v>
      </c>
      <c r="B201" s="364" t="s">
        <v>661</v>
      </c>
      <c r="C201" s="364" t="s">
        <v>660</v>
      </c>
      <c r="D201" s="364" t="s">
        <v>90</v>
      </c>
      <c r="E201" s="364" t="s">
        <v>692</v>
      </c>
      <c r="F201" s="364" t="s">
        <v>692</v>
      </c>
      <c r="G201" s="364" t="s">
        <v>658</v>
      </c>
      <c r="H201" s="364" t="s">
        <v>2546</v>
      </c>
      <c r="I201" s="364" t="s">
        <v>2545</v>
      </c>
      <c r="J201" s="364" t="s">
        <v>673</v>
      </c>
      <c r="K201" s="364" t="s">
        <v>668</v>
      </c>
      <c r="L201" s="364" t="s">
        <v>190</v>
      </c>
      <c r="M201" s="364" t="s">
        <v>725</v>
      </c>
      <c r="N201" s="364" t="s">
        <v>654</v>
      </c>
      <c r="O201" s="364" t="s">
        <v>653</v>
      </c>
      <c r="P201" s="364" t="s">
        <v>198</v>
      </c>
      <c r="Q201" s="364" t="s">
        <v>652</v>
      </c>
      <c r="R201" s="364" t="s">
        <v>88</v>
      </c>
      <c r="S201" s="364" t="s">
        <v>88</v>
      </c>
      <c r="T201" s="364" t="s">
        <v>88</v>
      </c>
      <c r="U201" s="364" t="s">
        <v>88</v>
      </c>
      <c r="V201" s="364" t="s">
        <v>88</v>
      </c>
      <c r="W201" s="364" t="s">
        <v>88</v>
      </c>
      <c r="X201" s="364" t="s">
        <v>88</v>
      </c>
      <c r="Y201" s="364" t="s">
        <v>88</v>
      </c>
      <c r="Z201" s="364" t="s">
        <v>724</v>
      </c>
      <c r="AA201" s="364" t="s">
        <v>649</v>
      </c>
      <c r="AB201" s="364" t="s">
        <v>649</v>
      </c>
      <c r="AC201" s="364" t="s">
        <v>649</v>
      </c>
      <c r="AD201" s="364" t="s">
        <v>649</v>
      </c>
      <c r="AE201" s="364" t="s">
        <v>88</v>
      </c>
      <c r="AF201" s="364" t="s">
        <v>88</v>
      </c>
      <c r="AG201" s="364" t="s">
        <v>88</v>
      </c>
      <c r="AH201" s="364" t="s">
        <v>88</v>
      </c>
      <c r="AI201" s="364" t="s">
        <v>1155</v>
      </c>
      <c r="AJ201" s="364" t="s">
        <v>648</v>
      </c>
      <c r="AK201" s="364" t="s">
        <v>647</v>
      </c>
      <c r="AL201" s="364" t="s">
        <v>646</v>
      </c>
      <c r="AM201" s="364" t="s">
        <v>668</v>
      </c>
      <c r="AN201" s="364" t="s">
        <v>644</v>
      </c>
    </row>
    <row r="202" spans="1:40" x14ac:dyDescent="0.3">
      <c r="A202" s="364" t="s">
        <v>2547</v>
      </c>
      <c r="B202" s="364" t="s">
        <v>661</v>
      </c>
      <c r="C202" s="364" t="s">
        <v>660</v>
      </c>
      <c r="D202" s="364" t="s">
        <v>90</v>
      </c>
      <c r="E202" s="364" t="s">
        <v>692</v>
      </c>
      <c r="F202" s="364" t="s">
        <v>692</v>
      </c>
      <c r="G202" s="364" t="s">
        <v>658</v>
      </c>
      <c r="H202" s="364" t="s">
        <v>2546</v>
      </c>
      <c r="I202" s="364" t="s">
        <v>2545</v>
      </c>
      <c r="J202" s="364" t="s">
        <v>673</v>
      </c>
      <c r="K202" s="364" t="s">
        <v>668</v>
      </c>
      <c r="L202" s="364" t="s">
        <v>190</v>
      </c>
      <c r="M202" s="364" t="s">
        <v>723</v>
      </c>
      <c r="N202" s="364" t="s">
        <v>654</v>
      </c>
      <c r="O202" s="364" t="s">
        <v>653</v>
      </c>
      <c r="P202" s="364" t="s">
        <v>198</v>
      </c>
      <c r="Q202" s="364" t="s">
        <v>652</v>
      </c>
      <c r="R202" s="364" t="s">
        <v>88</v>
      </c>
      <c r="S202" s="364" t="s">
        <v>88</v>
      </c>
      <c r="T202" s="364" t="s">
        <v>88</v>
      </c>
      <c r="U202" s="364" t="s">
        <v>88</v>
      </c>
      <c r="V202" s="364" t="s">
        <v>88</v>
      </c>
      <c r="W202" s="364" t="s">
        <v>88</v>
      </c>
      <c r="X202" s="364" t="s">
        <v>88</v>
      </c>
      <c r="Y202" s="364" t="s">
        <v>88</v>
      </c>
      <c r="Z202" s="364" t="s">
        <v>722</v>
      </c>
      <c r="AA202" s="364" t="s">
        <v>649</v>
      </c>
      <c r="AB202" s="364" t="s">
        <v>649</v>
      </c>
      <c r="AC202" s="364" t="s">
        <v>649</v>
      </c>
      <c r="AD202" s="364" t="s">
        <v>649</v>
      </c>
      <c r="AE202" s="364" t="s">
        <v>88</v>
      </c>
      <c r="AF202" s="364" t="s">
        <v>88</v>
      </c>
      <c r="AG202" s="364" t="s">
        <v>88</v>
      </c>
      <c r="AH202" s="364" t="s">
        <v>88</v>
      </c>
      <c r="AI202" s="364" t="s">
        <v>1155</v>
      </c>
      <c r="AJ202" s="364" t="s">
        <v>648</v>
      </c>
      <c r="AK202" s="364" t="s">
        <v>647</v>
      </c>
      <c r="AL202" s="364" t="s">
        <v>646</v>
      </c>
      <c r="AM202" s="364" t="s">
        <v>668</v>
      </c>
      <c r="AN202" s="364" t="s">
        <v>644</v>
      </c>
    </row>
    <row r="203" spans="1:40" x14ac:dyDescent="0.3">
      <c r="A203" s="364" t="s">
        <v>2544</v>
      </c>
      <c r="B203" s="364" t="s">
        <v>661</v>
      </c>
      <c r="C203" s="364" t="s">
        <v>660</v>
      </c>
      <c r="D203" s="364" t="s">
        <v>90</v>
      </c>
      <c r="E203" s="364" t="s">
        <v>859</v>
      </c>
      <c r="F203" s="364" t="s">
        <v>859</v>
      </c>
      <c r="G203" s="364" t="s">
        <v>658</v>
      </c>
      <c r="H203" s="364" t="s">
        <v>2543</v>
      </c>
      <c r="I203" s="364" t="s">
        <v>2542</v>
      </c>
      <c r="J203" s="364" t="s">
        <v>673</v>
      </c>
      <c r="K203" s="364" t="s">
        <v>668</v>
      </c>
      <c r="L203" s="364" t="s">
        <v>190</v>
      </c>
      <c r="M203" s="364" t="s">
        <v>721</v>
      </c>
      <c r="N203" s="364" t="s">
        <v>654</v>
      </c>
      <c r="O203" s="364" t="s">
        <v>653</v>
      </c>
      <c r="P203" s="364" t="s">
        <v>198</v>
      </c>
      <c r="Q203" s="364" t="s">
        <v>652</v>
      </c>
      <c r="R203" s="364" t="s">
        <v>88</v>
      </c>
      <c r="S203" s="364" t="s">
        <v>88</v>
      </c>
      <c r="T203" s="364" t="s">
        <v>88</v>
      </c>
      <c r="U203" s="364" t="s">
        <v>88</v>
      </c>
      <c r="V203" s="364" t="s">
        <v>88</v>
      </c>
      <c r="W203" s="364" t="s">
        <v>88</v>
      </c>
      <c r="X203" s="364" t="s">
        <v>88</v>
      </c>
      <c r="Y203" s="364" t="s">
        <v>88</v>
      </c>
      <c r="Z203" s="364" t="s">
        <v>720</v>
      </c>
      <c r="AA203" s="364" t="s">
        <v>649</v>
      </c>
      <c r="AB203" s="364" t="s">
        <v>649</v>
      </c>
      <c r="AC203" s="364" t="s">
        <v>649</v>
      </c>
      <c r="AD203" s="364" t="s">
        <v>649</v>
      </c>
      <c r="AE203" s="364" t="s">
        <v>88</v>
      </c>
      <c r="AF203" s="364" t="s">
        <v>88</v>
      </c>
      <c r="AG203" s="364" t="s">
        <v>88</v>
      </c>
      <c r="AH203" s="364" t="s">
        <v>88</v>
      </c>
      <c r="AI203" s="364" t="s">
        <v>1155</v>
      </c>
      <c r="AJ203" s="364" t="s">
        <v>648</v>
      </c>
      <c r="AK203" s="364" t="s">
        <v>647</v>
      </c>
      <c r="AL203" s="364" t="s">
        <v>646</v>
      </c>
      <c r="AM203" s="364" t="s">
        <v>668</v>
      </c>
      <c r="AN203" s="364" t="s">
        <v>644</v>
      </c>
    </row>
    <row r="204" spans="1:40" x14ac:dyDescent="0.3">
      <c r="A204" s="364" t="s">
        <v>2544</v>
      </c>
      <c r="B204" s="364" t="s">
        <v>661</v>
      </c>
      <c r="C204" s="364" t="s">
        <v>660</v>
      </c>
      <c r="D204" s="364" t="s">
        <v>90</v>
      </c>
      <c r="E204" s="364" t="s">
        <v>859</v>
      </c>
      <c r="F204" s="364" t="s">
        <v>859</v>
      </c>
      <c r="G204" s="364" t="s">
        <v>658</v>
      </c>
      <c r="H204" s="364" t="s">
        <v>2543</v>
      </c>
      <c r="I204" s="364" t="s">
        <v>2542</v>
      </c>
      <c r="J204" s="364" t="s">
        <v>673</v>
      </c>
      <c r="K204" s="364" t="s">
        <v>668</v>
      </c>
      <c r="L204" s="364" t="s">
        <v>190</v>
      </c>
      <c r="M204" s="364" t="s">
        <v>55</v>
      </c>
      <c r="N204" s="364" t="s">
        <v>654</v>
      </c>
      <c r="O204" s="364" t="s">
        <v>653</v>
      </c>
      <c r="P204" s="364" t="s">
        <v>198</v>
      </c>
      <c r="Q204" s="364" t="s">
        <v>652</v>
      </c>
      <c r="R204" s="364" t="s">
        <v>88</v>
      </c>
      <c r="S204" s="364" t="s">
        <v>88</v>
      </c>
      <c r="T204" s="364" t="s">
        <v>88</v>
      </c>
      <c r="U204" s="364" t="s">
        <v>88</v>
      </c>
      <c r="V204" s="364" t="s">
        <v>88</v>
      </c>
      <c r="W204" s="364" t="s">
        <v>88</v>
      </c>
      <c r="X204" s="364" t="s">
        <v>88</v>
      </c>
      <c r="Y204" s="364" t="s">
        <v>88</v>
      </c>
      <c r="Z204" s="364" t="s">
        <v>719</v>
      </c>
      <c r="AA204" s="364" t="s">
        <v>649</v>
      </c>
      <c r="AB204" s="364" t="s">
        <v>649</v>
      </c>
      <c r="AC204" s="364" t="s">
        <v>649</v>
      </c>
      <c r="AD204" s="364" t="s">
        <v>649</v>
      </c>
      <c r="AE204" s="364" t="s">
        <v>88</v>
      </c>
      <c r="AF204" s="364" t="s">
        <v>88</v>
      </c>
      <c r="AG204" s="364" t="s">
        <v>88</v>
      </c>
      <c r="AH204" s="364" t="s">
        <v>88</v>
      </c>
      <c r="AI204" s="364" t="s">
        <v>1155</v>
      </c>
      <c r="AJ204" s="364" t="s">
        <v>648</v>
      </c>
      <c r="AK204" s="364" t="s">
        <v>647</v>
      </c>
      <c r="AL204" s="364" t="s">
        <v>646</v>
      </c>
      <c r="AM204" s="364" t="s">
        <v>668</v>
      </c>
      <c r="AN204" s="364" t="s">
        <v>644</v>
      </c>
    </row>
    <row r="205" spans="1:40" x14ac:dyDescent="0.3">
      <c r="A205" s="364" t="s">
        <v>2544</v>
      </c>
      <c r="B205" s="364" t="s">
        <v>661</v>
      </c>
      <c r="C205" s="364" t="s">
        <v>660</v>
      </c>
      <c r="D205" s="364" t="s">
        <v>90</v>
      </c>
      <c r="E205" s="364" t="s">
        <v>859</v>
      </c>
      <c r="F205" s="364" t="s">
        <v>859</v>
      </c>
      <c r="G205" s="364" t="s">
        <v>658</v>
      </c>
      <c r="H205" s="364" t="s">
        <v>2543</v>
      </c>
      <c r="I205" s="364" t="s">
        <v>2542</v>
      </c>
      <c r="J205" s="364" t="s">
        <v>673</v>
      </c>
      <c r="K205" s="364" t="s">
        <v>668</v>
      </c>
      <c r="L205" s="364" t="s">
        <v>190</v>
      </c>
      <c r="M205" s="364" t="s">
        <v>718</v>
      </c>
      <c r="N205" s="364" t="s">
        <v>654</v>
      </c>
      <c r="O205" s="364" t="s">
        <v>653</v>
      </c>
      <c r="P205" s="364" t="s">
        <v>198</v>
      </c>
      <c r="Q205" s="364" t="s">
        <v>652</v>
      </c>
      <c r="R205" s="364" t="s">
        <v>88</v>
      </c>
      <c r="S205" s="364" t="s">
        <v>88</v>
      </c>
      <c r="T205" s="364" t="s">
        <v>88</v>
      </c>
      <c r="U205" s="364" t="s">
        <v>88</v>
      </c>
      <c r="V205" s="364" t="s">
        <v>88</v>
      </c>
      <c r="W205" s="364" t="s">
        <v>88</v>
      </c>
      <c r="X205" s="364" t="s">
        <v>88</v>
      </c>
      <c r="Y205" s="364" t="s">
        <v>88</v>
      </c>
      <c r="Z205" s="364" t="s">
        <v>717</v>
      </c>
      <c r="AA205" s="364" t="s">
        <v>649</v>
      </c>
      <c r="AB205" s="364" t="s">
        <v>649</v>
      </c>
      <c r="AC205" s="364" t="s">
        <v>649</v>
      </c>
      <c r="AD205" s="364" t="s">
        <v>649</v>
      </c>
      <c r="AE205" s="364" t="s">
        <v>88</v>
      </c>
      <c r="AF205" s="364" t="s">
        <v>88</v>
      </c>
      <c r="AG205" s="364" t="s">
        <v>88</v>
      </c>
      <c r="AH205" s="364" t="s">
        <v>88</v>
      </c>
      <c r="AI205" s="364" t="s">
        <v>1155</v>
      </c>
      <c r="AJ205" s="364" t="s">
        <v>648</v>
      </c>
      <c r="AK205" s="364" t="s">
        <v>647</v>
      </c>
      <c r="AL205" s="364" t="s">
        <v>646</v>
      </c>
      <c r="AM205" s="364" t="s">
        <v>668</v>
      </c>
      <c r="AN205" s="364" t="s">
        <v>644</v>
      </c>
    </row>
    <row r="206" spans="1:40" x14ac:dyDescent="0.3">
      <c r="A206" s="364" t="s">
        <v>2544</v>
      </c>
      <c r="B206" s="364" t="s">
        <v>661</v>
      </c>
      <c r="C206" s="364" t="s">
        <v>660</v>
      </c>
      <c r="D206" s="364" t="s">
        <v>90</v>
      </c>
      <c r="E206" s="364" t="s">
        <v>859</v>
      </c>
      <c r="F206" s="364" t="s">
        <v>859</v>
      </c>
      <c r="G206" s="364" t="s">
        <v>658</v>
      </c>
      <c r="H206" s="364" t="s">
        <v>2543</v>
      </c>
      <c r="I206" s="364" t="s">
        <v>2542</v>
      </c>
      <c r="J206" s="364" t="s">
        <v>673</v>
      </c>
      <c r="K206" s="364" t="s">
        <v>668</v>
      </c>
      <c r="L206" s="364" t="s">
        <v>190</v>
      </c>
      <c r="M206" s="364" t="s">
        <v>725</v>
      </c>
      <c r="N206" s="364" t="s">
        <v>654</v>
      </c>
      <c r="O206" s="364" t="s">
        <v>653</v>
      </c>
      <c r="P206" s="364" t="s">
        <v>198</v>
      </c>
      <c r="Q206" s="364" t="s">
        <v>652</v>
      </c>
      <c r="R206" s="364" t="s">
        <v>88</v>
      </c>
      <c r="S206" s="364" t="s">
        <v>88</v>
      </c>
      <c r="T206" s="364" t="s">
        <v>88</v>
      </c>
      <c r="U206" s="364" t="s">
        <v>88</v>
      </c>
      <c r="V206" s="364" t="s">
        <v>88</v>
      </c>
      <c r="W206" s="364" t="s">
        <v>88</v>
      </c>
      <c r="X206" s="364" t="s">
        <v>88</v>
      </c>
      <c r="Y206" s="364" t="s">
        <v>88</v>
      </c>
      <c r="Z206" s="364" t="s">
        <v>724</v>
      </c>
      <c r="AA206" s="364" t="s">
        <v>649</v>
      </c>
      <c r="AB206" s="364" t="s">
        <v>649</v>
      </c>
      <c r="AC206" s="364" t="s">
        <v>649</v>
      </c>
      <c r="AD206" s="364" t="s">
        <v>649</v>
      </c>
      <c r="AE206" s="364" t="s">
        <v>88</v>
      </c>
      <c r="AF206" s="364" t="s">
        <v>88</v>
      </c>
      <c r="AG206" s="364" t="s">
        <v>88</v>
      </c>
      <c r="AH206" s="364" t="s">
        <v>88</v>
      </c>
      <c r="AI206" s="364" t="s">
        <v>1155</v>
      </c>
      <c r="AJ206" s="364" t="s">
        <v>648</v>
      </c>
      <c r="AK206" s="364" t="s">
        <v>647</v>
      </c>
      <c r="AL206" s="364" t="s">
        <v>646</v>
      </c>
      <c r="AM206" s="364" t="s">
        <v>668</v>
      </c>
      <c r="AN206" s="364" t="s">
        <v>644</v>
      </c>
    </row>
    <row r="207" spans="1:40" x14ac:dyDescent="0.3">
      <c r="A207" s="364" t="s">
        <v>2544</v>
      </c>
      <c r="B207" s="364" t="s">
        <v>661</v>
      </c>
      <c r="C207" s="364" t="s">
        <v>660</v>
      </c>
      <c r="D207" s="364" t="s">
        <v>90</v>
      </c>
      <c r="E207" s="364" t="s">
        <v>859</v>
      </c>
      <c r="F207" s="364" t="s">
        <v>859</v>
      </c>
      <c r="G207" s="364" t="s">
        <v>658</v>
      </c>
      <c r="H207" s="364" t="s">
        <v>2543</v>
      </c>
      <c r="I207" s="364" t="s">
        <v>2542</v>
      </c>
      <c r="J207" s="364" t="s">
        <v>673</v>
      </c>
      <c r="K207" s="364" t="s">
        <v>668</v>
      </c>
      <c r="L207" s="364" t="s">
        <v>190</v>
      </c>
      <c r="M207" s="364" t="s">
        <v>723</v>
      </c>
      <c r="N207" s="364" t="s">
        <v>654</v>
      </c>
      <c r="O207" s="364" t="s">
        <v>653</v>
      </c>
      <c r="P207" s="364" t="s">
        <v>198</v>
      </c>
      <c r="Q207" s="364" t="s">
        <v>652</v>
      </c>
      <c r="R207" s="364" t="s">
        <v>88</v>
      </c>
      <c r="S207" s="364" t="s">
        <v>88</v>
      </c>
      <c r="T207" s="364" t="s">
        <v>88</v>
      </c>
      <c r="U207" s="364" t="s">
        <v>88</v>
      </c>
      <c r="V207" s="364" t="s">
        <v>88</v>
      </c>
      <c r="W207" s="364" t="s">
        <v>88</v>
      </c>
      <c r="X207" s="364" t="s">
        <v>88</v>
      </c>
      <c r="Y207" s="364" t="s">
        <v>88</v>
      </c>
      <c r="Z207" s="364" t="s">
        <v>722</v>
      </c>
      <c r="AA207" s="364" t="s">
        <v>649</v>
      </c>
      <c r="AB207" s="364" t="s">
        <v>649</v>
      </c>
      <c r="AC207" s="364" t="s">
        <v>649</v>
      </c>
      <c r="AD207" s="364" t="s">
        <v>649</v>
      </c>
      <c r="AE207" s="364" t="s">
        <v>88</v>
      </c>
      <c r="AF207" s="364" t="s">
        <v>88</v>
      </c>
      <c r="AG207" s="364" t="s">
        <v>88</v>
      </c>
      <c r="AH207" s="364" t="s">
        <v>88</v>
      </c>
      <c r="AI207" s="364" t="s">
        <v>1155</v>
      </c>
      <c r="AJ207" s="364" t="s">
        <v>648</v>
      </c>
      <c r="AK207" s="364" t="s">
        <v>647</v>
      </c>
      <c r="AL207" s="364" t="s">
        <v>646</v>
      </c>
      <c r="AM207" s="364" t="s">
        <v>668</v>
      </c>
      <c r="AN207" s="364" t="s">
        <v>644</v>
      </c>
    </row>
    <row r="208" spans="1:40" x14ac:dyDescent="0.3">
      <c r="A208" s="364" t="s">
        <v>2541</v>
      </c>
      <c r="B208" s="364" t="s">
        <v>661</v>
      </c>
      <c r="C208" s="364" t="s">
        <v>660</v>
      </c>
      <c r="D208" s="364" t="s">
        <v>87</v>
      </c>
      <c r="E208" s="364" t="s">
        <v>915</v>
      </c>
      <c r="F208" s="364" t="s">
        <v>915</v>
      </c>
      <c r="G208" s="364" t="s">
        <v>658</v>
      </c>
      <c r="H208" s="364" t="s">
        <v>2540</v>
      </c>
      <c r="I208" s="364" t="s">
        <v>2539</v>
      </c>
      <c r="J208" s="364" t="s">
        <v>88</v>
      </c>
      <c r="K208" s="364" t="s">
        <v>88</v>
      </c>
      <c r="L208" s="364" t="s">
        <v>88</v>
      </c>
      <c r="M208" s="364" t="s">
        <v>138</v>
      </c>
      <c r="N208" s="364" t="s">
        <v>654</v>
      </c>
      <c r="O208" s="364" t="s">
        <v>653</v>
      </c>
      <c r="P208" s="364" t="s">
        <v>88</v>
      </c>
      <c r="Q208" s="364" t="s">
        <v>88</v>
      </c>
      <c r="R208" s="364" t="s">
        <v>88</v>
      </c>
      <c r="S208" s="364" t="s">
        <v>88</v>
      </c>
      <c r="T208" s="364" t="s">
        <v>88</v>
      </c>
      <c r="U208" s="364" t="s">
        <v>88</v>
      </c>
      <c r="V208" s="364" t="s">
        <v>88</v>
      </c>
      <c r="W208" s="364" t="s">
        <v>88</v>
      </c>
      <c r="X208" s="364" t="s">
        <v>88</v>
      </c>
      <c r="Y208" s="364" t="s">
        <v>88</v>
      </c>
      <c r="Z208" s="364" t="s">
        <v>88</v>
      </c>
      <c r="AA208" s="364" t="s">
        <v>649</v>
      </c>
      <c r="AB208" s="364" t="s">
        <v>88</v>
      </c>
      <c r="AC208" s="364" t="s">
        <v>88</v>
      </c>
      <c r="AD208" s="364" t="s">
        <v>88</v>
      </c>
      <c r="AE208" s="364" t="s">
        <v>88</v>
      </c>
      <c r="AF208" s="364" t="s">
        <v>88</v>
      </c>
      <c r="AG208" s="364" t="s">
        <v>88</v>
      </c>
      <c r="AH208" s="364" t="s">
        <v>88</v>
      </c>
      <c r="AI208" s="364" t="s">
        <v>2538</v>
      </c>
      <c r="AJ208" s="364" t="s">
        <v>793</v>
      </c>
      <c r="AK208" s="364" t="s">
        <v>2466</v>
      </c>
      <c r="AL208" s="364" t="s">
        <v>2465</v>
      </c>
      <c r="AM208" s="364" t="s">
        <v>88</v>
      </c>
      <c r="AN208" s="364" t="s">
        <v>792</v>
      </c>
    </row>
    <row r="209" spans="1:40" x14ac:dyDescent="0.3">
      <c r="A209" s="364" t="s">
        <v>2537</v>
      </c>
      <c r="B209" s="364" t="s">
        <v>661</v>
      </c>
      <c r="C209" s="364" t="s">
        <v>660</v>
      </c>
      <c r="D209" s="364" t="s">
        <v>87</v>
      </c>
      <c r="E209" s="364" t="s">
        <v>974</v>
      </c>
      <c r="F209" s="364" t="s">
        <v>974</v>
      </c>
      <c r="G209" s="364" t="s">
        <v>658</v>
      </c>
      <c r="H209" s="364" t="s">
        <v>2536</v>
      </c>
      <c r="I209" s="364" t="s">
        <v>2468</v>
      </c>
      <c r="J209" s="364" t="s">
        <v>88</v>
      </c>
      <c r="K209" s="364" t="s">
        <v>88</v>
      </c>
      <c r="L209" s="364" t="s">
        <v>88</v>
      </c>
      <c r="M209" s="364" t="s">
        <v>138</v>
      </c>
      <c r="N209" s="364" t="s">
        <v>654</v>
      </c>
      <c r="O209" s="364" t="s">
        <v>653</v>
      </c>
      <c r="P209" s="364" t="s">
        <v>88</v>
      </c>
      <c r="Q209" s="364" t="s">
        <v>88</v>
      </c>
      <c r="R209" s="364" t="s">
        <v>88</v>
      </c>
      <c r="S209" s="364" t="s">
        <v>88</v>
      </c>
      <c r="T209" s="364" t="s">
        <v>88</v>
      </c>
      <c r="U209" s="364" t="s">
        <v>88</v>
      </c>
      <c r="V209" s="364" t="s">
        <v>88</v>
      </c>
      <c r="W209" s="364" t="s">
        <v>88</v>
      </c>
      <c r="X209" s="364" t="s">
        <v>88</v>
      </c>
      <c r="Y209" s="364" t="s">
        <v>88</v>
      </c>
      <c r="Z209" s="364" t="s">
        <v>88</v>
      </c>
      <c r="AA209" s="364" t="s">
        <v>649</v>
      </c>
      <c r="AB209" s="364" t="s">
        <v>88</v>
      </c>
      <c r="AC209" s="364" t="s">
        <v>88</v>
      </c>
      <c r="AD209" s="364" t="s">
        <v>88</v>
      </c>
      <c r="AE209" s="364" t="s">
        <v>88</v>
      </c>
      <c r="AF209" s="364" t="s">
        <v>88</v>
      </c>
      <c r="AG209" s="364" t="s">
        <v>88</v>
      </c>
      <c r="AH209" s="364" t="s">
        <v>88</v>
      </c>
      <c r="AI209" s="364" t="s">
        <v>2535</v>
      </c>
      <c r="AJ209" s="364" t="s">
        <v>798</v>
      </c>
      <c r="AK209" s="364" t="s">
        <v>2466</v>
      </c>
      <c r="AL209" s="364" t="s">
        <v>2465</v>
      </c>
      <c r="AM209" s="364" t="s">
        <v>88</v>
      </c>
      <c r="AN209" s="364" t="s">
        <v>792</v>
      </c>
    </row>
    <row r="210" spans="1:40" x14ac:dyDescent="0.3">
      <c r="A210" s="364" t="s">
        <v>2534</v>
      </c>
      <c r="B210" s="364" t="s">
        <v>661</v>
      </c>
      <c r="C210" s="364" t="s">
        <v>660</v>
      </c>
      <c r="D210" s="364" t="s">
        <v>90</v>
      </c>
      <c r="E210" s="364" t="s">
        <v>898</v>
      </c>
      <c r="F210" s="364" t="s">
        <v>898</v>
      </c>
      <c r="G210" s="364" t="s">
        <v>658</v>
      </c>
      <c r="H210" s="364" t="s">
        <v>2533</v>
      </c>
      <c r="I210" s="364" t="s">
        <v>2532</v>
      </c>
      <c r="J210" s="364" t="s">
        <v>673</v>
      </c>
      <c r="K210" s="364" t="s">
        <v>668</v>
      </c>
      <c r="L210" s="364" t="s">
        <v>190</v>
      </c>
      <c r="M210" s="364" t="s">
        <v>721</v>
      </c>
      <c r="N210" s="364" t="s">
        <v>654</v>
      </c>
      <c r="O210" s="364" t="s">
        <v>653</v>
      </c>
      <c r="P210" s="364" t="s">
        <v>198</v>
      </c>
      <c r="Q210" s="364" t="s">
        <v>652</v>
      </c>
      <c r="R210" s="364" t="s">
        <v>88</v>
      </c>
      <c r="S210" s="364" t="s">
        <v>88</v>
      </c>
      <c r="T210" s="364" t="s">
        <v>88</v>
      </c>
      <c r="U210" s="364" t="s">
        <v>88</v>
      </c>
      <c r="V210" s="364" t="s">
        <v>88</v>
      </c>
      <c r="W210" s="364" t="s">
        <v>88</v>
      </c>
      <c r="X210" s="364" t="s">
        <v>88</v>
      </c>
      <c r="Y210" s="364" t="s">
        <v>88</v>
      </c>
      <c r="Z210" s="364" t="s">
        <v>720</v>
      </c>
      <c r="AA210" s="364" t="s">
        <v>649</v>
      </c>
      <c r="AB210" s="364" t="s">
        <v>649</v>
      </c>
      <c r="AC210" s="364" t="s">
        <v>649</v>
      </c>
      <c r="AD210" s="364" t="s">
        <v>649</v>
      </c>
      <c r="AE210" s="364" t="s">
        <v>88</v>
      </c>
      <c r="AF210" s="364" t="s">
        <v>88</v>
      </c>
      <c r="AG210" s="364" t="s">
        <v>88</v>
      </c>
      <c r="AH210" s="364" t="s">
        <v>88</v>
      </c>
      <c r="AI210" s="364" t="s">
        <v>1155</v>
      </c>
      <c r="AJ210" s="364" t="s">
        <v>710</v>
      </c>
      <c r="AK210" s="364" t="s">
        <v>647</v>
      </c>
      <c r="AL210" s="364" t="s">
        <v>646</v>
      </c>
      <c r="AM210" s="364" t="s">
        <v>668</v>
      </c>
      <c r="AN210" s="364" t="s">
        <v>644</v>
      </c>
    </row>
    <row r="211" spans="1:40" x14ac:dyDescent="0.3">
      <c r="A211" s="364" t="s">
        <v>2534</v>
      </c>
      <c r="B211" s="364" t="s">
        <v>661</v>
      </c>
      <c r="C211" s="364" t="s">
        <v>660</v>
      </c>
      <c r="D211" s="364" t="s">
        <v>90</v>
      </c>
      <c r="E211" s="364" t="s">
        <v>898</v>
      </c>
      <c r="F211" s="364" t="s">
        <v>898</v>
      </c>
      <c r="G211" s="364" t="s">
        <v>658</v>
      </c>
      <c r="H211" s="364" t="s">
        <v>2533</v>
      </c>
      <c r="I211" s="364" t="s">
        <v>2532</v>
      </c>
      <c r="J211" s="364" t="s">
        <v>673</v>
      </c>
      <c r="K211" s="364" t="s">
        <v>668</v>
      </c>
      <c r="L211" s="364" t="s">
        <v>190</v>
      </c>
      <c r="M211" s="364" t="s">
        <v>55</v>
      </c>
      <c r="N211" s="364" t="s">
        <v>654</v>
      </c>
      <c r="O211" s="364" t="s">
        <v>653</v>
      </c>
      <c r="P211" s="364" t="s">
        <v>198</v>
      </c>
      <c r="Q211" s="364" t="s">
        <v>652</v>
      </c>
      <c r="R211" s="364" t="s">
        <v>88</v>
      </c>
      <c r="S211" s="364" t="s">
        <v>88</v>
      </c>
      <c r="T211" s="364" t="s">
        <v>88</v>
      </c>
      <c r="U211" s="364" t="s">
        <v>88</v>
      </c>
      <c r="V211" s="364" t="s">
        <v>88</v>
      </c>
      <c r="W211" s="364" t="s">
        <v>88</v>
      </c>
      <c r="X211" s="364" t="s">
        <v>88</v>
      </c>
      <c r="Y211" s="364" t="s">
        <v>88</v>
      </c>
      <c r="Z211" s="364" t="s">
        <v>719</v>
      </c>
      <c r="AA211" s="364" t="s">
        <v>649</v>
      </c>
      <c r="AB211" s="364" t="s">
        <v>649</v>
      </c>
      <c r="AC211" s="364" t="s">
        <v>649</v>
      </c>
      <c r="AD211" s="364" t="s">
        <v>649</v>
      </c>
      <c r="AE211" s="364" t="s">
        <v>88</v>
      </c>
      <c r="AF211" s="364" t="s">
        <v>88</v>
      </c>
      <c r="AG211" s="364" t="s">
        <v>88</v>
      </c>
      <c r="AH211" s="364" t="s">
        <v>88</v>
      </c>
      <c r="AI211" s="364" t="s">
        <v>1155</v>
      </c>
      <c r="AJ211" s="364" t="s">
        <v>710</v>
      </c>
      <c r="AK211" s="364" t="s">
        <v>647</v>
      </c>
      <c r="AL211" s="364" t="s">
        <v>646</v>
      </c>
      <c r="AM211" s="364" t="s">
        <v>668</v>
      </c>
      <c r="AN211" s="364" t="s">
        <v>644</v>
      </c>
    </row>
    <row r="212" spans="1:40" x14ac:dyDescent="0.3">
      <c r="A212" s="364" t="s">
        <v>2534</v>
      </c>
      <c r="B212" s="364" t="s">
        <v>661</v>
      </c>
      <c r="C212" s="364" t="s">
        <v>660</v>
      </c>
      <c r="D212" s="364" t="s">
        <v>90</v>
      </c>
      <c r="E212" s="364" t="s">
        <v>898</v>
      </c>
      <c r="F212" s="364" t="s">
        <v>898</v>
      </c>
      <c r="G212" s="364" t="s">
        <v>658</v>
      </c>
      <c r="H212" s="364" t="s">
        <v>2533</v>
      </c>
      <c r="I212" s="364" t="s">
        <v>2532</v>
      </c>
      <c r="J212" s="364" t="s">
        <v>673</v>
      </c>
      <c r="K212" s="364" t="s">
        <v>668</v>
      </c>
      <c r="L212" s="364" t="s">
        <v>190</v>
      </c>
      <c r="M212" s="364" t="s">
        <v>718</v>
      </c>
      <c r="N212" s="364" t="s">
        <v>654</v>
      </c>
      <c r="O212" s="364" t="s">
        <v>653</v>
      </c>
      <c r="P212" s="364" t="s">
        <v>198</v>
      </c>
      <c r="Q212" s="364" t="s">
        <v>652</v>
      </c>
      <c r="R212" s="364" t="s">
        <v>88</v>
      </c>
      <c r="S212" s="364" t="s">
        <v>88</v>
      </c>
      <c r="T212" s="364" t="s">
        <v>88</v>
      </c>
      <c r="U212" s="364" t="s">
        <v>88</v>
      </c>
      <c r="V212" s="364" t="s">
        <v>88</v>
      </c>
      <c r="W212" s="364" t="s">
        <v>88</v>
      </c>
      <c r="X212" s="364" t="s">
        <v>88</v>
      </c>
      <c r="Y212" s="364" t="s">
        <v>88</v>
      </c>
      <c r="Z212" s="364" t="s">
        <v>717</v>
      </c>
      <c r="AA212" s="364" t="s">
        <v>649</v>
      </c>
      <c r="AB212" s="364" t="s">
        <v>649</v>
      </c>
      <c r="AC212" s="364" t="s">
        <v>649</v>
      </c>
      <c r="AD212" s="364" t="s">
        <v>649</v>
      </c>
      <c r="AE212" s="364" t="s">
        <v>88</v>
      </c>
      <c r="AF212" s="364" t="s">
        <v>88</v>
      </c>
      <c r="AG212" s="364" t="s">
        <v>88</v>
      </c>
      <c r="AH212" s="364" t="s">
        <v>88</v>
      </c>
      <c r="AI212" s="364" t="s">
        <v>1155</v>
      </c>
      <c r="AJ212" s="364" t="s">
        <v>710</v>
      </c>
      <c r="AK212" s="364" t="s">
        <v>647</v>
      </c>
      <c r="AL212" s="364" t="s">
        <v>646</v>
      </c>
      <c r="AM212" s="364" t="s">
        <v>668</v>
      </c>
      <c r="AN212" s="364" t="s">
        <v>644</v>
      </c>
    </row>
    <row r="213" spans="1:40" x14ac:dyDescent="0.3">
      <c r="A213" s="364" t="s">
        <v>2534</v>
      </c>
      <c r="B213" s="364" t="s">
        <v>661</v>
      </c>
      <c r="C213" s="364" t="s">
        <v>660</v>
      </c>
      <c r="D213" s="364" t="s">
        <v>90</v>
      </c>
      <c r="E213" s="364" t="s">
        <v>898</v>
      </c>
      <c r="F213" s="364" t="s">
        <v>898</v>
      </c>
      <c r="G213" s="364" t="s">
        <v>658</v>
      </c>
      <c r="H213" s="364" t="s">
        <v>2533</v>
      </c>
      <c r="I213" s="364" t="s">
        <v>2532</v>
      </c>
      <c r="J213" s="364" t="s">
        <v>673</v>
      </c>
      <c r="K213" s="364" t="s">
        <v>668</v>
      </c>
      <c r="L213" s="364" t="s">
        <v>190</v>
      </c>
      <c r="M213" s="364" t="s">
        <v>725</v>
      </c>
      <c r="N213" s="364" t="s">
        <v>654</v>
      </c>
      <c r="O213" s="364" t="s">
        <v>653</v>
      </c>
      <c r="P213" s="364" t="s">
        <v>198</v>
      </c>
      <c r="Q213" s="364" t="s">
        <v>652</v>
      </c>
      <c r="R213" s="364" t="s">
        <v>88</v>
      </c>
      <c r="S213" s="364" t="s">
        <v>88</v>
      </c>
      <c r="T213" s="364" t="s">
        <v>88</v>
      </c>
      <c r="U213" s="364" t="s">
        <v>88</v>
      </c>
      <c r="V213" s="364" t="s">
        <v>88</v>
      </c>
      <c r="W213" s="364" t="s">
        <v>88</v>
      </c>
      <c r="X213" s="364" t="s">
        <v>88</v>
      </c>
      <c r="Y213" s="364" t="s">
        <v>88</v>
      </c>
      <c r="Z213" s="364" t="s">
        <v>724</v>
      </c>
      <c r="AA213" s="364" t="s">
        <v>649</v>
      </c>
      <c r="AB213" s="364" t="s">
        <v>649</v>
      </c>
      <c r="AC213" s="364" t="s">
        <v>649</v>
      </c>
      <c r="AD213" s="364" t="s">
        <v>649</v>
      </c>
      <c r="AE213" s="364" t="s">
        <v>88</v>
      </c>
      <c r="AF213" s="364" t="s">
        <v>88</v>
      </c>
      <c r="AG213" s="364" t="s">
        <v>88</v>
      </c>
      <c r="AH213" s="364" t="s">
        <v>88</v>
      </c>
      <c r="AI213" s="364" t="s">
        <v>1155</v>
      </c>
      <c r="AJ213" s="364" t="s">
        <v>710</v>
      </c>
      <c r="AK213" s="364" t="s">
        <v>647</v>
      </c>
      <c r="AL213" s="364" t="s">
        <v>646</v>
      </c>
      <c r="AM213" s="364" t="s">
        <v>668</v>
      </c>
      <c r="AN213" s="364" t="s">
        <v>644</v>
      </c>
    </row>
    <row r="214" spans="1:40" x14ac:dyDescent="0.3">
      <c r="A214" s="364" t="s">
        <v>2534</v>
      </c>
      <c r="B214" s="364" t="s">
        <v>661</v>
      </c>
      <c r="C214" s="364" t="s">
        <v>660</v>
      </c>
      <c r="D214" s="364" t="s">
        <v>90</v>
      </c>
      <c r="E214" s="364" t="s">
        <v>898</v>
      </c>
      <c r="F214" s="364" t="s">
        <v>898</v>
      </c>
      <c r="G214" s="364" t="s">
        <v>658</v>
      </c>
      <c r="H214" s="364" t="s">
        <v>2533</v>
      </c>
      <c r="I214" s="364" t="s">
        <v>2532</v>
      </c>
      <c r="J214" s="364" t="s">
        <v>673</v>
      </c>
      <c r="K214" s="364" t="s">
        <v>668</v>
      </c>
      <c r="L214" s="364" t="s">
        <v>190</v>
      </c>
      <c r="M214" s="364" t="s">
        <v>723</v>
      </c>
      <c r="N214" s="364" t="s">
        <v>654</v>
      </c>
      <c r="O214" s="364" t="s">
        <v>653</v>
      </c>
      <c r="P214" s="364" t="s">
        <v>198</v>
      </c>
      <c r="Q214" s="364" t="s">
        <v>652</v>
      </c>
      <c r="R214" s="364" t="s">
        <v>88</v>
      </c>
      <c r="S214" s="364" t="s">
        <v>88</v>
      </c>
      <c r="T214" s="364" t="s">
        <v>88</v>
      </c>
      <c r="U214" s="364" t="s">
        <v>88</v>
      </c>
      <c r="V214" s="364" t="s">
        <v>88</v>
      </c>
      <c r="W214" s="364" t="s">
        <v>88</v>
      </c>
      <c r="X214" s="364" t="s">
        <v>88</v>
      </c>
      <c r="Y214" s="364" t="s">
        <v>88</v>
      </c>
      <c r="Z214" s="364" t="s">
        <v>722</v>
      </c>
      <c r="AA214" s="364" t="s">
        <v>649</v>
      </c>
      <c r="AB214" s="364" t="s">
        <v>649</v>
      </c>
      <c r="AC214" s="364" t="s">
        <v>649</v>
      </c>
      <c r="AD214" s="364" t="s">
        <v>649</v>
      </c>
      <c r="AE214" s="364" t="s">
        <v>88</v>
      </c>
      <c r="AF214" s="364" t="s">
        <v>88</v>
      </c>
      <c r="AG214" s="364" t="s">
        <v>88</v>
      </c>
      <c r="AH214" s="364" t="s">
        <v>88</v>
      </c>
      <c r="AI214" s="364" t="s">
        <v>1155</v>
      </c>
      <c r="AJ214" s="364" t="s">
        <v>710</v>
      </c>
      <c r="AK214" s="364" t="s">
        <v>647</v>
      </c>
      <c r="AL214" s="364" t="s">
        <v>646</v>
      </c>
      <c r="AM214" s="364" t="s">
        <v>668</v>
      </c>
      <c r="AN214" s="364" t="s">
        <v>644</v>
      </c>
    </row>
    <row r="215" spans="1:40" x14ac:dyDescent="0.3">
      <c r="A215" s="364" t="s">
        <v>2531</v>
      </c>
      <c r="B215" s="364" t="s">
        <v>661</v>
      </c>
      <c r="C215" s="364" t="s">
        <v>660</v>
      </c>
      <c r="D215" s="364" t="s">
        <v>90</v>
      </c>
      <c r="E215" s="364" t="s">
        <v>974</v>
      </c>
      <c r="F215" s="364" t="s">
        <v>974</v>
      </c>
      <c r="G215" s="364" t="s">
        <v>658</v>
      </c>
      <c r="H215" s="364" t="s">
        <v>2530</v>
      </c>
      <c r="I215" s="364" t="s">
        <v>2529</v>
      </c>
      <c r="J215" s="364" t="s">
        <v>673</v>
      </c>
      <c r="K215" s="364" t="s">
        <v>668</v>
      </c>
      <c r="L215" s="364" t="s">
        <v>190</v>
      </c>
      <c r="M215" s="364" t="s">
        <v>721</v>
      </c>
      <c r="N215" s="364" t="s">
        <v>654</v>
      </c>
      <c r="O215" s="364" t="s">
        <v>653</v>
      </c>
      <c r="P215" s="364" t="s">
        <v>198</v>
      </c>
      <c r="Q215" s="364" t="s">
        <v>652</v>
      </c>
      <c r="R215" s="364" t="s">
        <v>88</v>
      </c>
      <c r="S215" s="364" t="s">
        <v>88</v>
      </c>
      <c r="T215" s="364" t="s">
        <v>88</v>
      </c>
      <c r="U215" s="364" t="s">
        <v>88</v>
      </c>
      <c r="V215" s="364" t="s">
        <v>88</v>
      </c>
      <c r="W215" s="364" t="s">
        <v>88</v>
      </c>
      <c r="X215" s="364" t="s">
        <v>88</v>
      </c>
      <c r="Y215" s="364" t="s">
        <v>88</v>
      </c>
      <c r="Z215" s="364" t="s">
        <v>720</v>
      </c>
      <c r="AA215" s="364" t="s">
        <v>649</v>
      </c>
      <c r="AB215" s="364" t="s">
        <v>649</v>
      </c>
      <c r="AC215" s="364" t="s">
        <v>649</v>
      </c>
      <c r="AD215" s="364" t="s">
        <v>649</v>
      </c>
      <c r="AE215" s="364" t="s">
        <v>88</v>
      </c>
      <c r="AF215" s="364" t="s">
        <v>88</v>
      </c>
      <c r="AG215" s="364" t="s">
        <v>88</v>
      </c>
      <c r="AH215" s="364" t="s">
        <v>88</v>
      </c>
      <c r="AI215" s="364" t="s">
        <v>1155</v>
      </c>
      <c r="AJ215" s="364" t="s">
        <v>710</v>
      </c>
      <c r="AK215" s="364" t="s">
        <v>647</v>
      </c>
      <c r="AL215" s="364" t="s">
        <v>646</v>
      </c>
      <c r="AM215" s="364" t="s">
        <v>668</v>
      </c>
      <c r="AN215" s="364" t="s">
        <v>644</v>
      </c>
    </row>
    <row r="216" spans="1:40" x14ac:dyDescent="0.3">
      <c r="A216" s="364" t="s">
        <v>2531</v>
      </c>
      <c r="B216" s="364" t="s">
        <v>661</v>
      </c>
      <c r="C216" s="364" t="s">
        <v>660</v>
      </c>
      <c r="D216" s="364" t="s">
        <v>90</v>
      </c>
      <c r="E216" s="364" t="s">
        <v>974</v>
      </c>
      <c r="F216" s="364" t="s">
        <v>974</v>
      </c>
      <c r="G216" s="364" t="s">
        <v>658</v>
      </c>
      <c r="H216" s="364" t="s">
        <v>2530</v>
      </c>
      <c r="I216" s="364" t="s">
        <v>2529</v>
      </c>
      <c r="J216" s="364" t="s">
        <v>673</v>
      </c>
      <c r="K216" s="364" t="s">
        <v>668</v>
      </c>
      <c r="L216" s="364" t="s">
        <v>190</v>
      </c>
      <c r="M216" s="364" t="s">
        <v>55</v>
      </c>
      <c r="N216" s="364" t="s">
        <v>654</v>
      </c>
      <c r="O216" s="364" t="s">
        <v>653</v>
      </c>
      <c r="P216" s="364" t="s">
        <v>198</v>
      </c>
      <c r="Q216" s="364" t="s">
        <v>652</v>
      </c>
      <c r="R216" s="364" t="s">
        <v>88</v>
      </c>
      <c r="S216" s="364" t="s">
        <v>88</v>
      </c>
      <c r="T216" s="364" t="s">
        <v>88</v>
      </c>
      <c r="U216" s="364" t="s">
        <v>88</v>
      </c>
      <c r="V216" s="364" t="s">
        <v>88</v>
      </c>
      <c r="W216" s="364" t="s">
        <v>88</v>
      </c>
      <c r="X216" s="364" t="s">
        <v>88</v>
      </c>
      <c r="Y216" s="364" t="s">
        <v>88</v>
      </c>
      <c r="Z216" s="364" t="s">
        <v>719</v>
      </c>
      <c r="AA216" s="364" t="s">
        <v>649</v>
      </c>
      <c r="AB216" s="364" t="s">
        <v>649</v>
      </c>
      <c r="AC216" s="364" t="s">
        <v>649</v>
      </c>
      <c r="AD216" s="364" t="s">
        <v>649</v>
      </c>
      <c r="AE216" s="364" t="s">
        <v>88</v>
      </c>
      <c r="AF216" s="364" t="s">
        <v>88</v>
      </c>
      <c r="AG216" s="364" t="s">
        <v>88</v>
      </c>
      <c r="AH216" s="364" t="s">
        <v>88</v>
      </c>
      <c r="AI216" s="364" t="s">
        <v>1155</v>
      </c>
      <c r="AJ216" s="364" t="s">
        <v>710</v>
      </c>
      <c r="AK216" s="364" t="s">
        <v>647</v>
      </c>
      <c r="AL216" s="364" t="s">
        <v>646</v>
      </c>
      <c r="AM216" s="364" t="s">
        <v>668</v>
      </c>
      <c r="AN216" s="364" t="s">
        <v>644</v>
      </c>
    </row>
    <row r="217" spans="1:40" x14ac:dyDescent="0.3">
      <c r="A217" s="364" t="s">
        <v>2531</v>
      </c>
      <c r="B217" s="364" t="s">
        <v>661</v>
      </c>
      <c r="C217" s="364" t="s">
        <v>660</v>
      </c>
      <c r="D217" s="364" t="s">
        <v>90</v>
      </c>
      <c r="E217" s="364" t="s">
        <v>974</v>
      </c>
      <c r="F217" s="364" t="s">
        <v>974</v>
      </c>
      <c r="G217" s="364" t="s">
        <v>658</v>
      </c>
      <c r="H217" s="364" t="s">
        <v>2530</v>
      </c>
      <c r="I217" s="364" t="s">
        <v>2529</v>
      </c>
      <c r="J217" s="364" t="s">
        <v>673</v>
      </c>
      <c r="K217" s="364" t="s">
        <v>668</v>
      </c>
      <c r="L217" s="364" t="s">
        <v>190</v>
      </c>
      <c r="M217" s="364" t="s">
        <v>718</v>
      </c>
      <c r="N217" s="364" t="s">
        <v>654</v>
      </c>
      <c r="O217" s="364" t="s">
        <v>653</v>
      </c>
      <c r="P217" s="364" t="s">
        <v>198</v>
      </c>
      <c r="Q217" s="364" t="s">
        <v>652</v>
      </c>
      <c r="R217" s="364" t="s">
        <v>88</v>
      </c>
      <c r="S217" s="364" t="s">
        <v>88</v>
      </c>
      <c r="T217" s="364" t="s">
        <v>88</v>
      </c>
      <c r="U217" s="364" t="s">
        <v>88</v>
      </c>
      <c r="V217" s="364" t="s">
        <v>88</v>
      </c>
      <c r="W217" s="364" t="s">
        <v>88</v>
      </c>
      <c r="X217" s="364" t="s">
        <v>88</v>
      </c>
      <c r="Y217" s="364" t="s">
        <v>88</v>
      </c>
      <c r="Z217" s="364" t="s">
        <v>717</v>
      </c>
      <c r="AA217" s="364" t="s">
        <v>649</v>
      </c>
      <c r="AB217" s="364" t="s">
        <v>649</v>
      </c>
      <c r="AC217" s="364" t="s">
        <v>649</v>
      </c>
      <c r="AD217" s="364" t="s">
        <v>649</v>
      </c>
      <c r="AE217" s="364" t="s">
        <v>88</v>
      </c>
      <c r="AF217" s="364" t="s">
        <v>88</v>
      </c>
      <c r="AG217" s="364" t="s">
        <v>88</v>
      </c>
      <c r="AH217" s="364" t="s">
        <v>88</v>
      </c>
      <c r="AI217" s="364" t="s">
        <v>1155</v>
      </c>
      <c r="AJ217" s="364" t="s">
        <v>710</v>
      </c>
      <c r="AK217" s="364" t="s">
        <v>647</v>
      </c>
      <c r="AL217" s="364" t="s">
        <v>646</v>
      </c>
      <c r="AM217" s="364" t="s">
        <v>668</v>
      </c>
      <c r="AN217" s="364" t="s">
        <v>644</v>
      </c>
    </row>
    <row r="218" spans="1:40" x14ac:dyDescent="0.3">
      <c r="A218" s="364" t="s">
        <v>2531</v>
      </c>
      <c r="B218" s="364" t="s">
        <v>661</v>
      </c>
      <c r="C218" s="364" t="s">
        <v>660</v>
      </c>
      <c r="D218" s="364" t="s">
        <v>90</v>
      </c>
      <c r="E218" s="364" t="s">
        <v>974</v>
      </c>
      <c r="F218" s="364" t="s">
        <v>974</v>
      </c>
      <c r="G218" s="364" t="s">
        <v>658</v>
      </c>
      <c r="H218" s="364" t="s">
        <v>2530</v>
      </c>
      <c r="I218" s="364" t="s">
        <v>2529</v>
      </c>
      <c r="J218" s="364" t="s">
        <v>673</v>
      </c>
      <c r="K218" s="364" t="s">
        <v>668</v>
      </c>
      <c r="L218" s="364" t="s">
        <v>190</v>
      </c>
      <c r="M218" s="364" t="s">
        <v>725</v>
      </c>
      <c r="N218" s="364" t="s">
        <v>654</v>
      </c>
      <c r="O218" s="364" t="s">
        <v>653</v>
      </c>
      <c r="P218" s="364" t="s">
        <v>198</v>
      </c>
      <c r="Q218" s="364" t="s">
        <v>652</v>
      </c>
      <c r="R218" s="364" t="s">
        <v>88</v>
      </c>
      <c r="S218" s="364" t="s">
        <v>88</v>
      </c>
      <c r="T218" s="364" t="s">
        <v>88</v>
      </c>
      <c r="U218" s="364" t="s">
        <v>88</v>
      </c>
      <c r="V218" s="364" t="s">
        <v>88</v>
      </c>
      <c r="W218" s="364" t="s">
        <v>88</v>
      </c>
      <c r="X218" s="364" t="s">
        <v>88</v>
      </c>
      <c r="Y218" s="364" t="s">
        <v>88</v>
      </c>
      <c r="Z218" s="364" t="s">
        <v>724</v>
      </c>
      <c r="AA218" s="364" t="s">
        <v>649</v>
      </c>
      <c r="AB218" s="364" t="s">
        <v>649</v>
      </c>
      <c r="AC218" s="364" t="s">
        <v>649</v>
      </c>
      <c r="AD218" s="364" t="s">
        <v>649</v>
      </c>
      <c r="AE218" s="364" t="s">
        <v>88</v>
      </c>
      <c r="AF218" s="364" t="s">
        <v>88</v>
      </c>
      <c r="AG218" s="364" t="s">
        <v>88</v>
      </c>
      <c r="AH218" s="364" t="s">
        <v>88</v>
      </c>
      <c r="AI218" s="364" t="s">
        <v>1155</v>
      </c>
      <c r="AJ218" s="364" t="s">
        <v>710</v>
      </c>
      <c r="AK218" s="364" t="s">
        <v>647</v>
      </c>
      <c r="AL218" s="364" t="s">
        <v>646</v>
      </c>
      <c r="AM218" s="364" t="s">
        <v>668</v>
      </c>
      <c r="AN218" s="364" t="s">
        <v>644</v>
      </c>
    </row>
    <row r="219" spans="1:40" x14ac:dyDescent="0.3">
      <c r="A219" s="364" t="s">
        <v>2531</v>
      </c>
      <c r="B219" s="364" t="s">
        <v>661</v>
      </c>
      <c r="C219" s="364" t="s">
        <v>660</v>
      </c>
      <c r="D219" s="364" t="s">
        <v>90</v>
      </c>
      <c r="E219" s="364" t="s">
        <v>974</v>
      </c>
      <c r="F219" s="364" t="s">
        <v>974</v>
      </c>
      <c r="G219" s="364" t="s">
        <v>658</v>
      </c>
      <c r="H219" s="364" t="s">
        <v>2530</v>
      </c>
      <c r="I219" s="364" t="s">
        <v>2529</v>
      </c>
      <c r="J219" s="364" t="s">
        <v>673</v>
      </c>
      <c r="K219" s="364" t="s">
        <v>668</v>
      </c>
      <c r="L219" s="364" t="s">
        <v>190</v>
      </c>
      <c r="M219" s="364" t="s">
        <v>723</v>
      </c>
      <c r="N219" s="364" t="s">
        <v>654</v>
      </c>
      <c r="O219" s="364" t="s">
        <v>653</v>
      </c>
      <c r="P219" s="364" t="s">
        <v>198</v>
      </c>
      <c r="Q219" s="364" t="s">
        <v>652</v>
      </c>
      <c r="R219" s="364" t="s">
        <v>88</v>
      </c>
      <c r="S219" s="364" t="s">
        <v>88</v>
      </c>
      <c r="T219" s="364" t="s">
        <v>88</v>
      </c>
      <c r="U219" s="364" t="s">
        <v>88</v>
      </c>
      <c r="V219" s="364" t="s">
        <v>88</v>
      </c>
      <c r="W219" s="364" t="s">
        <v>88</v>
      </c>
      <c r="X219" s="364" t="s">
        <v>88</v>
      </c>
      <c r="Y219" s="364" t="s">
        <v>88</v>
      </c>
      <c r="Z219" s="364" t="s">
        <v>722</v>
      </c>
      <c r="AA219" s="364" t="s">
        <v>649</v>
      </c>
      <c r="AB219" s="364" t="s">
        <v>649</v>
      </c>
      <c r="AC219" s="364" t="s">
        <v>649</v>
      </c>
      <c r="AD219" s="364" t="s">
        <v>649</v>
      </c>
      <c r="AE219" s="364" t="s">
        <v>88</v>
      </c>
      <c r="AF219" s="364" t="s">
        <v>88</v>
      </c>
      <c r="AG219" s="364" t="s">
        <v>88</v>
      </c>
      <c r="AH219" s="364" t="s">
        <v>88</v>
      </c>
      <c r="AI219" s="364" t="s">
        <v>1155</v>
      </c>
      <c r="AJ219" s="364" t="s">
        <v>710</v>
      </c>
      <c r="AK219" s="364" t="s">
        <v>647</v>
      </c>
      <c r="AL219" s="364" t="s">
        <v>646</v>
      </c>
      <c r="AM219" s="364" t="s">
        <v>668</v>
      </c>
      <c r="AN219" s="364" t="s">
        <v>644</v>
      </c>
    </row>
    <row r="220" spans="1:40" x14ac:dyDescent="0.3">
      <c r="A220" s="364" t="s">
        <v>2528</v>
      </c>
      <c r="B220" s="364" t="s">
        <v>661</v>
      </c>
      <c r="C220" s="364" t="s">
        <v>660</v>
      </c>
      <c r="D220" s="364" t="s">
        <v>90</v>
      </c>
      <c r="E220" s="364" t="s">
        <v>915</v>
      </c>
      <c r="F220" s="364" t="s">
        <v>915</v>
      </c>
      <c r="G220" s="364" t="s">
        <v>658</v>
      </c>
      <c r="H220" s="364" t="s">
        <v>2527</v>
      </c>
      <c r="I220" s="364" t="s">
        <v>2526</v>
      </c>
      <c r="J220" s="364" t="s">
        <v>673</v>
      </c>
      <c r="K220" s="364" t="s">
        <v>668</v>
      </c>
      <c r="L220" s="364" t="s">
        <v>190</v>
      </c>
      <c r="M220" s="364" t="s">
        <v>721</v>
      </c>
      <c r="N220" s="364" t="s">
        <v>654</v>
      </c>
      <c r="O220" s="364" t="s">
        <v>653</v>
      </c>
      <c r="P220" s="364" t="s">
        <v>198</v>
      </c>
      <c r="Q220" s="364" t="s">
        <v>652</v>
      </c>
      <c r="R220" s="364" t="s">
        <v>88</v>
      </c>
      <c r="S220" s="364" t="s">
        <v>88</v>
      </c>
      <c r="T220" s="364" t="s">
        <v>88</v>
      </c>
      <c r="U220" s="364" t="s">
        <v>88</v>
      </c>
      <c r="V220" s="364" t="s">
        <v>88</v>
      </c>
      <c r="W220" s="364" t="s">
        <v>88</v>
      </c>
      <c r="X220" s="364" t="s">
        <v>88</v>
      </c>
      <c r="Y220" s="364" t="s">
        <v>88</v>
      </c>
      <c r="Z220" s="364" t="s">
        <v>720</v>
      </c>
      <c r="AA220" s="364" t="s">
        <v>649</v>
      </c>
      <c r="AB220" s="364" t="s">
        <v>649</v>
      </c>
      <c r="AC220" s="364" t="s">
        <v>649</v>
      </c>
      <c r="AD220" s="364" t="s">
        <v>649</v>
      </c>
      <c r="AE220" s="364" t="s">
        <v>88</v>
      </c>
      <c r="AF220" s="364" t="s">
        <v>88</v>
      </c>
      <c r="AG220" s="364" t="s">
        <v>88</v>
      </c>
      <c r="AH220" s="364" t="s">
        <v>88</v>
      </c>
      <c r="AI220" s="364" t="s">
        <v>1155</v>
      </c>
      <c r="AJ220" s="364" t="s">
        <v>710</v>
      </c>
      <c r="AK220" s="364" t="s">
        <v>647</v>
      </c>
      <c r="AL220" s="364" t="s">
        <v>646</v>
      </c>
      <c r="AM220" s="364" t="s">
        <v>668</v>
      </c>
      <c r="AN220" s="364" t="s">
        <v>644</v>
      </c>
    </row>
    <row r="221" spans="1:40" x14ac:dyDescent="0.3">
      <c r="A221" s="364" t="s">
        <v>2528</v>
      </c>
      <c r="B221" s="364" t="s">
        <v>661</v>
      </c>
      <c r="C221" s="364" t="s">
        <v>660</v>
      </c>
      <c r="D221" s="364" t="s">
        <v>90</v>
      </c>
      <c r="E221" s="364" t="s">
        <v>915</v>
      </c>
      <c r="F221" s="364" t="s">
        <v>915</v>
      </c>
      <c r="G221" s="364" t="s">
        <v>658</v>
      </c>
      <c r="H221" s="364" t="s">
        <v>2527</v>
      </c>
      <c r="I221" s="364" t="s">
        <v>2526</v>
      </c>
      <c r="J221" s="364" t="s">
        <v>673</v>
      </c>
      <c r="K221" s="364" t="s">
        <v>668</v>
      </c>
      <c r="L221" s="364" t="s">
        <v>190</v>
      </c>
      <c r="M221" s="364" t="s">
        <v>55</v>
      </c>
      <c r="N221" s="364" t="s">
        <v>654</v>
      </c>
      <c r="O221" s="364" t="s">
        <v>653</v>
      </c>
      <c r="P221" s="364" t="s">
        <v>198</v>
      </c>
      <c r="Q221" s="364" t="s">
        <v>652</v>
      </c>
      <c r="R221" s="364" t="s">
        <v>88</v>
      </c>
      <c r="S221" s="364" t="s">
        <v>88</v>
      </c>
      <c r="T221" s="364" t="s">
        <v>88</v>
      </c>
      <c r="U221" s="364" t="s">
        <v>88</v>
      </c>
      <c r="V221" s="364" t="s">
        <v>88</v>
      </c>
      <c r="W221" s="364" t="s">
        <v>88</v>
      </c>
      <c r="X221" s="364" t="s">
        <v>88</v>
      </c>
      <c r="Y221" s="364" t="s">
        <v>88</v>
      </c>
      <c r="Z221" s="364" t="s">
        <v>719</v>
      </c>
      <c r="AA221" s="364" t="s">
        <v>649</v>
      </c>
      <c r="AB221" s="364" t="s">
        <v>649</v>
      </c>
      <c r="AC221" s="364" t="s">
        <v>649</v>
      </c>
      <c r="AD221" s="364" t="s">
        <v>649</v>
      </c>
      <c r="AE221" s="364" t="s">
        <v>88</v>
      </c>
      <c r="AF221" s="364" t="s">
        <v>88</v>
      </c>
      <c r="AG221" s="364" t="s">
        <v>88</v>
      </c>
      <c r="AH221" s="364" t="s">
        <v>88</v>
      </c>
      <c r="AI221" s="364" t="s">
        <v>1155</v>
      </c>
      <c r="AJ221" s="364" t="s">
        <v>710</v>
      </c>
      <c r="AK221" s="364" t="s">
        <v>647</v>
      </c>
      <c r="AL221" s="364" t="s">
        <v>646</v>
      </c>
      <c r="AM221" s="364" t="s">
        <v>668</v>
      </c>
      <c r="AN221" s="364" t="s">
        <v>644</v>
      </c>
    </row>
    <row r="222" spans="1:40" x14ac:dyDescent="0.3">
      <c r="A222" s="364" t="s">
        <v>2528</v>
      </c>
      <c r="B222" s="364" t="s">
        <v>661</v>
      </c>
      <c r="C222" s="364" t="s">
        <v>660</v>
      </c>
      <c r="D222" s="364" t="s">
        <v>90</v>
      </c>
      <c r="E222" s="364" t="s">
        <v>915</v>
      </c>
      <c r="F222" s="364" t="s">
        <v>915</v>
      </c>
      <c r="G222" s="364" t="s">
        <v>658</v>
      </c>
      <c r="H222" s="364" t="s">
        <v>2527</v>
      </c>
      <c r="I222" s="364" t="s">
        <v>2526</v>
      </c>
      <c r="J222" s="364" t="s">
        <v>673</v>
      </c>
      <c r="K222" s="364" t="s">
        <v>668</v>
      </c>
      <c r="L222" s="364" t="s">
        <v>190</v>
      </c>
      <c r="M222" s="364" t="s">
        <v>718</v>
      </c>
      <c r="N222" s="364" t="s">
        <v>654</v>
      </c>
      <c r="O222" s="364" t="s">
        <v>653</v>
      </c>
      <c r="P222" s="364" t="s">
        <v>198</v>
      </c>
      <c r="Q222" s="364" t="s">
        <v>652</v>
      </c>
      <c r="R222" s="364" t="s">
        <v>88</v>
      </c>
      <c r="S222" s="364" t="s">
        <v>88</v>
      </c>
      <c r="T222" s="364" t="s">
        <v>88</v>
      </c>
      <c r="U222" s="364" t="s">
        <v>88</v>
      </c>
      <c r="V222" s="364" t="s">
        <v>88</v>
      </c>
      <c r="W222" s="364" t="s">
        <v>88</v>
      </c>
      <c r="X222" s="364" t="s">
        <v>88</v>
      </c>
      <c r="Y222" s="364" t="s">
        <v>88</v>
      </c>
      <c r="Z222" s="364" t="s">
        <v>717</v>
      </c>
      <c r="AA222" s="364" t="s">
        <v>649</v>
      </c>
      <c r="AB222" s="364" t="s">
        <v>649</v>
      </c>
      <c r="AC222" s="364" t="s">
        <v>649</v>
      </c>
      <c r="AD222" s="364" t="s">
        <v>649</v>
      </c>
      <c r="AE222" s="364" t="s">
        <v>88</v>
      </c>
      <c r="AF222" s="364" t="s">
        <v>88</v>
      </c>
      <c r="AG222" s="364" t="s">
        <v>88</v>
      </c>
      <c r="AH222" s="364" t="s">
        <v>88</v>
      </c>
      <c r="AI222" s="364" t="s">
        <v>1155</v>
      </c>
      <c r="AJ222" s="364" t="s">
        <v>710</v>
      </c>
      <c r="AK222" s="364" t="s">
        <v>647</v>
      </c>
      <c r="AL222" s="364" t="s">
        <v>646</v>
      </c>
      <c r="AM222" s="364" t="s">
        <v>668</v>
      </c>
      <c r="AN222" s="364" t="s">
        <v>644</v>
      </c>
    </row>
    <row r="223" spans="1:40" x14ac:dyDescent="0.3">
      <c r="A223" s="364" t="s">
        <v>2528</v>
      </c>
      <c r="B223" s="364" t="s">
        <v>661</v>
      </c>
      <c r="C223" s="364" t="s">
        <v>660</v>
      </c>
      <c r="D223" s="364" t="s">
        <v>90</v>
      </c>
      <c r="E223" s="364" t="s">
        <v>915</v>
      </c>
      <c r="F223" s="364" t="s">
        <v>915</v>
      </c>
      <c r="G223" s="364" t="s">
        <v>658</v>
      </c>
      <c r="H223" s="364" t="s">
        <v>2527</v>
      </c>
      <c r="I223" s="364" t="s">
        <v>2526</v>
      </c>
      <c r="J223" s="364" t="s">
        <v>673</v>
      </c>
      <c r="K223" s="364" t="s">
        <v>668</v>
      </c>
      <c r="L223" s="364" t="s">
        <v>190</v>
      </c>
      <c r="M223" s="364" t="s">
        <v>725</v>
      </c>
      <c r="N223" s="364" t="s">
        <v>654</v>
      </c>
      <c r="O223" s="364" t="s">
        <v>653</v>
      </c>
      <c r="P223" s="364" t="s">
        <v>198</v>
      </c>
      <c r="Q223" s="364" t="s">
        <v>652</v>
      </c>
      <c r="R223" s="364" t="s">
        <v>88</v>
      </c>
      <c r="S223" s="364" t="s">
        <v>88</v>
      </c>
      <c r="T223" s="364" t="s">
        <v>88</v>
      </c>
      <c r="U223" s="364" t="s">
        <v>88</v>
      </c>
      <c r="V223" s="364" t="s">
        <v>88</v>
      </c>
      <c r="W223" s="364" t="s">
        <v>88</v>
      </c>
      <c r="X223" s="364" t="s">
        <v>88</v>
      </c>
      <c r="Y223" s="364" t="s">
        <v>88</v>
      </c>
      <c r="Z223" s="364" t="s">
        <v>724</v>
      </c>
      <c r="AA223" s="364" t="s">
        <v>649</v>
      </c>
      <c r="AB223" s="364" t="s">
        <v>649</v>
      </c>
      <c r="AC223" s="364" t="s">
        <v>649</v>
      </c>
      <c r="AD223" s="364" t="s">
        <v>649</v>
      </c>
      <c r="AE223" s="364" t="s">
        <v>88</v>
      </c>
      <c r="AF223" s="364" t="s">
        <v>88</v>
      </c>
      <c r="AG223" s="364" t="s">
        <v>88</v>
      </c>
      <c r="AH223" s="364" t="s">
        <v>88</v>
      </c>
      <c r="AI223" s="364" t="s">
        <v>1155</v>
      </c>
      <c r="AJ223" s="364" t="s">
        <v>710</v>
      </c>
      <c r="AK223" s="364" t="s">
        <v>647</v>
      </c>
      <c r="AL223" s="364" t="s">
        <v>646</v>
      </c>
      <c r="AM223" s="364" t="s">
        <v>668</v>
      </c>
      <c r="AN223" s="364" t="s">
        <v>644</v>
      </c>
    </row>
    <row r="224" spans="1:40" x14ac:dyDescent="0.3">
      <c r="A224" s="364" t="s">
        <v>2528</v>
      </c>
      <c r="B224" s="364" t="s">
        <v>661</v>
      </c>
      <c r="C224" s="364" t="s">
        <v>660</v>
      </c>
      <c r="D224" s="364" t="s">
        <v>90</v>
      </c>
      <c r="E224" s="364" t="s">
        <v>915</v>
      </c>
      <c r="F224" s="364" t="s">
        <v>915</v>
      </c>
      <c r="G224" s="364" t="s">
        <v>658</v>
      </c>
      <c r="H224" s="364" t="s">
        <v>2527</v>
      </c>
      <c r="I224" s="364" t="s">
        <v>2526</v>
      </c>
      <c r="J224" s="364" t="s">
        <v>673</v>
      </c>
      <c r="K224" s="364" t="s">
        <v>668</v>
      </c>
      <c r="L224" s="364" t="s">
        <v>190</v>
      </c>
      <c r="M224" s="364" t="s">
        <v>723</v>
      </c>
      <c r="N224" s="364" t="s">
        <v>654</v>
      </c>
      <c r="O224" s="364" t="s">
        <v>653</v>
      </c>
      <c r="P224" s="364" t="s">
        <v>198</v>
      </c>
      <c r="Q224" s="364" t="s">
        <v>652</v>
      </c>
      <c r="R224" s="364" t="s">
        <v>88</v>
      </c>
      <c r="S224" s="364" t="s">
        <v>88</v>
      </c>
      <c r="T224" s="364" t="s">
        <v>88</v>
      </c>
      <c r="U224" s="364" t="s">
        <v>88</v>
      </c>
      <c r="V224" s="364" t="s">
        <v>88</v>
      </c>
      <c r="W224" s="364" t="s">
        <v>88</v>
      </c>
      <c r="X224" s="364" t="s">
        <v>88</v>
      </c>
      <c r="Y224" s="364" t="s">
        <v>88</v>
      </c>
      <c r="Z224" s="364" t="s">
        <v>722</v>
      </c>
      <c r="AA224" s="364" t="s">
        <v>649</v>
      </c>
      <c r="AB224" s="364" t="s">
        <v>649</v>
      </c>
      <c r="AC224" s="364" t="s">
        <v>649</v>
      </c>
      <c r="AD224" s="364" t="s">
        <v>649</v>
      </c>
      <c r="AE224" s="364" t="s">
        <v>88</v>
      </c>
      <c r="AF224" s="364" t="s">
        <v>88</v>
      </c>
      <c r="AG224" s="364" t="s">
        <v>88</v>
      </c>
      <c r="AH224" s="364" t="s">
        <v>88</v>
      </c>
      <c r="AI224" s="364" t="s">
        <v>1155</v>
      </c>
      <c r="AJ224" s="364" t="s">
        <v>710</v>
      </c>
      <c r="AK224" s="364" t="s">
        <v>647</v>
      </c>
      <c r="AL224" s="364" t="s">
        <v>646</v>
      </c>
      <c r="AM224" s="364" t="s">
        <v>668</v>
      </c>
      <c r="AN224" s="364" t="s">
        <v>644</v>
      </c>
    </row>
    <row r="225" spans="1:40" x14ac:dyDescent="0.3">
      <c r="A225" s="364" t="s">
        <v>2525</v>
      </c>
      <c r="B225" s="364" t="s">
        <v>661</v>
      </c>
      <c r="C225" s="364" t="s">
        <v>660</v>
      </c>
      <c r="D225" s="364" t="s">
        <v>90</v>
      </c>
      <c r="E225" s="364" t="s">
        <v>829</v>
      </c>
      <c r="F225" s="364" t="s">
        <v>829</v>
      </c>
      <c r="G225" s="364" t="s">
        <v>658</v>
      </c>
      <c r="H225" s="364" t="s">
        <v>2524</v>
      </c>
      <c r="I225" s="364" t="s">
        <v>2523</v>
      </c>
      <c r="J225" s="364" t="s">
        <v>673</v>
      </c>
      <c r="K225" s="364" t="s">
        <v>668</v>
      </c>
      <c r="L225" s="364" t="s">
        <v>190</v>
      </c>
      <c r="M225" s="364" t="s">
        <v>721</v>
      </c>
      <c r="N225" s="364" t="s">
        <v>654</v>
      </c>
      <c r="O225" s="364" t="s">
        <v>653</v>
      </c>
      <c r="P225" s="364" t="s">
        <v>198</v>
      </c>
      <c r="Q225" s="364" t="s">
        <v>652</v>
      </c>
      <c r="R225" s="364" t="s">
        <v>88</v>
      </c>
      <c r="S225" s="364" t="s">
        <v>88</v>
      </c>
      <c r="T225" s="364" t="s">
        <v>88</v>
      </c>
      <c r="U225" s="364" t="s">
        <v>88</v>
      </c>
      <c r="V225" s="364" t="s">
        <v>88</v>
      </c>
      <c r="W225" s="364" t="s">
        <v>88</v>
      </c>
      <c r="X225" s="364" t="s">
        <v>88</v>
      </c>
      <c r="Y225" s="364" t="s">
        <v>88</v>
      </c>
      <c r="Z225" s="364" t="s">
        <v>720</v>
      </c>
      <c r="AA225" s="364" t="s">
        <v>649</v>
      </c>
      <c r="AB225" s="364" t="s">
        <v>649</v>
      </c>
      <c r="AC225" s="364" t="s">
        <v>649</v>
      </c>
      <c r="AD225" s="364" t="s">
        <v>649</v>
      </c>
      <c r="AE225" s="364" t="s">
        <v>88</v>
      </c>
      <c r="AF225" s="364" t="s">
        <v>88</v>
      </c>
      <c r="AG225" s="364" t="s">
        <v>88</v>
      </c>
      <c r="AH225" s="364" t="s">
        <v>88</v>
      </c>
      <c r="AI225" s="364" t="s">
        <v>1155</v>
      </c>
      <c r="AJ225" s="364" t="s">
        <v>710</v>
      </c>
      <c r="AK225" s="364" t="s">
        <v>647</v>
      </c>
      <c r="AL225" s="364" t="s">
        <v>646</v>
      </c>
      <c r="AM225" s="364" t="s">
        <v>668</v>
      </c>
      <c r="AN225" s="364" t="s">
        <v>644</v>
      </c>
    </row>
    <row r="226" spans="1:40" x14ac:dyDescent="0.3">
      <c r="A226" s="364" t="s">
        <v>2525</v>
      </c>
      <c r="B226" s="364" t="s">
        <v>661</v>
      </c>
      <c r="C226" s="364" t="s">
        <v>660</v>
      </c>
      <c r="D226" s="364" t="s">
        <v>90</v>
      </c>
      <c r="E226" s="364" t="s">
        <v>829</v>
      </c>
      <c r="F226" s="364" t="s">
        <v>829</v>
      </c>
      <c r="G226" s="364" t="s">
        <v>658</v>
      </c>
      <c r="H226" s="364" t="s">
        <v>2524</v>
      </c>
      <c r="I226" s="364" t="s">
        <v>2523</v>
      </c>
      <c r="J226" s="364" t="s">
        <v>673</v>
      </c>
      <c r="K226" s="364" t="s">
        <v>668</v>
      </c>
      <c r="L226" s="364" t="s">
        <v>190</v>
      </c>
      <c r="M226" s="364" t="s">
        <v>55</v>
      </c>
      <c r="N226" s="364" t="s">
        <v>654</v>
      </c>
      <c r="O226" s="364" t="s">
        <v>653</v>
      </c>
      <c r="P226" s="364" t="s">
        <v>198</v>
      </c>
      <c r="Q226" s="364" t="s">
        <v>652</v>
      </c>
      <c r="R226" s="364" t="s">
        <v>88</v>
      </c>
      <c r="S226" s="364" t="s">
        <v>88</v>
      </c>
      <c r="T226" s="364" t="s">
        <v>88</v>
      </c>
      <c r="U226" s="364" t="s">
        <v>88</v>
      </c>
      <c r="V226" s="364" t="s">
        <v>88</v>
      </c>
      <c r="W226" s="364" t="s">
        <v>88</v>
      </c>
      <c r="X226" s="364" t="s">
        <v>88</v>
      </c>
      <c r="Y226" s="364" t="s">
        <v>88</v>
      </c>
      <c r="Z226" s="364" t="s">
        <v>719</v>
      </c>
      <c r="AA226" s="364" t="s">
        <v>649</v>
      </c>
      <c r="AB226" s="364" t="s">
        <v>649</v>
      </c>
      <c r="AC226" s="364" t="s">
        <v>649</v>
      </c>
      <c r="AD226" s="364" t="s">
        <v>649</v>
      </c>
      <c r="AE226" s="364" t="s">
        <v>88</v>
      </c>
      <c r="AF226" s="364" t="s">
        <v>88</v>
      </c>
      <c r="AG226" s="364" t="s">
        <v>88</v>
      </c>
      <c r="AH226" s="364" t="s">
        <v>88</v>
      </c>
      <c r="AI226" s="364" t="s">
        <v>1155</v>
      </c>
      <c r="AJ226" s="364" t="s">
        <v>710</v>
      </c>
      <c r="AK226" s="364" t="s">
        <v>647</v>
      </c>
      <c r="AL226" s="364" t="s">
        <v>646</v>
      </c>
      <c r="AM226" s="364" t="s">
        <v>668</v>
      </c>
      <c r="AN226" s="364" t="s">
        <v>644</v>
      </c>
    </row>
    <row r="227" spans="1:40" x14ac:dyDescent="0.3">
      <c r="A227" s="364" t="s">
        <v>2525</v>
      </c>
      <c r="B227" s="364" t="s">
        <v>661</v>
      </c>
      <c r="C227" s="364" t="s">
        <v>660</v>
      </c>
      <c r="D227" s="364" t="s">
        <v>90</v>
      </c>
      <c r="E227" s="364" t="s">
        <v>829</v>
      </c>
      <c r="F227" s="364" t="s">
        <v>829</v>
      </c>
      <c r="G227" s="364" t="s">
        <v>658</v>
      </c>
      <c r="H227" s="364" t="s">
        <v>2524</v>
      </c>
      <c r="I227" s="364" t="s">
        <v>2523</v>
      </c>
      <c r="J227" s="364" t="s">
        <v>673</v>
      </c>
      <c r="K227" s="364" t="s">
        <v>668</v>
      </c>
      <c r="L227" s="364" t="s">
        <v>190</v>
      </c>
      <c r="M227" s="364" t="s">
        <v>718</v>
      </c>
      <c r="N227" s="364" t="s">
        <v>654</v>
      </c>
      <c r="O227" s="364" t="s">
        <v>653</v>
      </c>
      <c r="P227" s="364" t="s">
        <v>198</v>
      </c>
      <c r="Q227" s="364" t="s">
        <v>652</v>
      </c>
      <c r="R227" s="364" t="s">
        <v>88</v>
      </c>
      <c r="S227" s="364" t="s">
        <v>88</v>
      </c>
      <c r="T227" s="364" t="s">
        <v>88</v>
      </c>
      <c r="U227" s="364" t="s">
        <v>88</v>
      </c>
      <c r="V227" s="364" t="s">
        <v>88</v>
      </c>
      <c r="W227" s="364" t="s">
        <v>88</v>
      </c>
      <c r="X227" s="364" t="s">
        <v>88</v>
      </c>
      <c r="Y227" s="364" t="s">
        <v>88</v>
      </c>
      <c r="Z227" s="364" t="s">
        <v>717</v>
      </c>
      <c r="AA227" s="364" t="s">
        <v>649</v>
      </c>
      <c r="AB227" s="364" t="s">
        <v>649</v>
      </c>
      <c r="AC227" s="364" t="s">
        <v>649</v>
      </c>
      <c r="AD227" s="364" t="s">
        <v>649</v>
      </c>
      <c r="AE227" s="364" t="s">
        <v>88</v>
      </c>
      <c r="AF227" s="364" t="s">
        <v>88</v>
      </c>
      <c r="AG227" s="364" t="s">
        <v>88</v>
      </c>
      <c r="AH227" s="364" t="s">
        <v>88</v>
      </c>
      <c r="AI227" s="364" t="s">
        <v>1155</v>
      </c>
      <c r="AJ227" s="364" t="s">
        <v>710</v>
      </c>
      <c r="AK227" s="364" t="s">
        <v>647</v>
      </c>
      <c r="AL227" s="364" t="s">
        <v>646</v>
      </c>
      <c r="AM227" s="364" t="s">
        <v>668</v>
      </c>
      <c r="AN227" s="364" t="s">
        <v>644</v>
      </c>
    </row>
    <row r="228" spans="1:40" x14ac:dyDescent="0.3">
      <c r="A228" s="364" t="s">
        <v>2525</v>
      </c>
      <c r="B228" s="364" t="s">
        <v>661</v>
      </c>
      <c r="C228" s="364" t="s">
        <v>660</v>
      </c>
      <c r="D228" s="364" t="s">
        <v>90</v>
      </c>
      <c r="E228" s="364" t="s">
        <v>829</v>
      </c>
      <c r="F228" s="364" t="s">
        <v>829</v>
      </c>
      <c r="G228" s="364" t="s">
        <v>658</v>
      </c>
      <c r="H228" s="364" t="s">
        <v>2524</v>
      </c>
      <c r="I228" s="364" t="s">
        <v>2523</v>
      </c>
      <c r="J228" s="364" t="s">
        <v>673</v>
      </c>
      <c r="K228" s="364" t="s">
        <v>668</v>
      </c>
      <c r="L228" s="364" t="s">
        <v>190</v>
      </c>
      <c r="M228" s="364" t="s">
        <v>725</v>
      </c>
      <c r="N228" s="364" t="s">
        <v>654</v>
      </c>
      <c r="O228" s="364" t="s">
        <v>653</v>
      </c>
      <c r="P228" s="364" t="s">
        <v>198</v>
      </c>
      <c r="Q228" s="364" t="s">
        <v>652</v>
      </c>
      <c r="R228" s="364" t="s">
        <v>88</v>
      </c>
      <c r="S228" s="364" t="s">
        <v>88</v>
      </c>
      <c r="T228" s="364" t="s">
        <v>88</v>
      </c>
      <c r="U228" s="364" t="s">
        <v>88</v>
      </c>
      <c r="V228" s="364" t="s">
        <v>88</v>
      </c>
      <c r="W228" s="364" t="s">
        <v>88</v>
      </c>
      <c r="X228" s="364" t="s">
        <v>88</v>
      </c>
      <c r="Y228" s="364" t="s">
        <v>88</v>
      </c>
      <c r="Z228" s="364" t="s">
        <v>724</v>
      </c>
      <c r="AA228" s="364" t="s">
        <v>649</v>
      </c>
      <c r="AB228" s="364" t="s">
        <v>649</v>
      </c>
      <c r="AC228" s="364" t="s">
        <v>649</v>
      </c>
      <c r="AD228" s="364" t="s">
        <v>649</v>
      </c>
      <c r="AE228" s="364" t="s">
        <v>88</v>
      </c>
      <c r="AF228" s="364" t="s">
        <v>88</v>
      </c>
      <c r="AG228" s="364" t="s">
        <v>88</v>
      </c>
      <c r="AH228" s="364" t="s">
        <v>88</v>
      </c>
      <c r="AI228" s="364" t="s">
        <v>1155</v>
      </c>
      <c r="AJ228" s="364" t="s">
        <v>710</v>
      </c>
      <c r="AK228" s="364" t="s">
        <v>647</v>
      </c>
      <c r="AL228" s="364" t="s">
        <v>646</v>
      </c>
      <c r="AM228" s="364" t="s">
        <v>668</v>
      </c>
      <c r="AN228" s="364" t="s">
        <v>644</v>
      </c>
    </row>
    <row r="229" spans="1:40" x14ac:dyDescent="0.3">
      <c r="A229" s="364" t="s">
        <v>2525</v>
      </c>
      <c r="B229" s="364" t="s">
        <v>661</v>
      </c>
      <c r="C229" s="364" t="s">
        <v>660</v>
      </c>
      <c r="D229" s="364" t="s">
        <v>90</v>
      </c>
      <c r="E229" s="364" t="s">
        <v>829</v>
      </c>
      <c r="F229" s="364" t="s">
        <v>829</v>
      </c>
      <c r="G229" s="364" t="s">
        <v>658</v>
      </c>
      <c r="H229" s="364" t="s">
        <v>2524</v>
      </c>
      <c r="I229" s="364" t="s">
        <v>2523</v>
      </c>
      <c r="J229" s="364" t="s">
        <v>673</v>
      </c>
      <c r="K229" s="364" t="s">
        <v>668</v>
      </c>
      <c r="L229" s="364" t="s">
        <v>190</v>
      </c>
      <c r="M229" s="364" t="s">
        <v>723</v>
      </c>
      <c r="N229" s="364" t="s">
        <v>654</v>
      </c>
      <c r="O229" s="364" t="s">
        <v>653</v>
      </c>
      <c r="P229" s="364" t="s">
        <v>198</v>
      </c>
      <c r="Q229" s="364" t="s">
        <v>652</v>
      </c>
      <c r="R229" s="364" t="s">
        <v>88</v>
      </c>
      <c r="S229" s="364" t="s">
        <v>88</v>
      </c>
      <c r="T229" s="364" t="s">
        <v>88</v>
      </c>
      <c r="U229" s="364" t="s">
        <v>88</v>
      </c>
      <c r="V229" s="364" t="s">
        <v>88</v>
      </c>
      <c r="W229" s="364" t="s">
        <v>88</v>
      </c>
      <c r="X229" s="364" t="s">
        <v>88</v>
      </c>
      <c r="Y229" s="364" t="s">
        <v>88</v>
      </c>
      <c r="Z229" s="364" t="s">
        <v>722</v>
      </c>
      <c r="AA229" s="364" t="s">
        <v>649</v>
      </c>
      <c r="AB229" s="364" t="s">
        <v>649</v>
      </c>
      <c r="AC229" s="364" t="s">
        <v>649</v>
      </c>
      <c r="AD229" s="364" t="s">
        <v>649</v>
      </c>
      <c r="AE229" s="364" t="s">
        <v>88</v>
      </c>
      <c r="AF229" s="364" t="s">
        <v>88</v>
      </c>
      <c r="AG229" s="364" t="s">
        <v>88</v>
      </c>
      <c r="AH229" s="364" t="s">
        <v>88</v>
      </c>
      <c r="AI229" s="364" t="s">
        <v>1155</v>
      </c>
      <c r="AJ229" s="364" t="s">
        <v>710</v>
      </c>
      <c r="AK229" s="364" t="s">
        <v>647</v>
      </c>
      <c r="AL229" s="364" t="s">
        <v>646</v>
      </c>
      <c r="AM229" s="364" t="s">
        <v>668</v>
      </c>
      <c r="AN229" s="364" t="s">
        <v>644</v>
      </c>
    </row>
    <row r="230" spans="1:40" x14ac:dyDescent="0.3">
      <c r="A230" s="364" t="s">
        <v>2522</v>
      </c>
      <c r="B230" s="364" t="s">
        <v>661</v>
      </c>
      <c r="C230" s="364" t="s">
        <v>660</v>
      </c>
      <c r="D230" s="364" t="s">
        <v>90</v>
      </c>
      <c r="E230" s="364" t="s">
        <v>967</v>
      </c>
      <c r="F230" s="364" t="s">
        <v>967</v>
      </c>
      <c r="G230" s="364" t="s">
        <v>658</v>
      </c>
      <c r="H230" s="364" t="s">
        <v>2521</v>
      </c>
      <c r="I230" s="364" t="s">
        <v>814</v>
      </c>
      <c r="J230" s="364" t="s">
        <v>673</v>
      </c>
      <c r="K230" s="364" t="s">
        <v>668</v>
      </c>
      <c r="L230" s="364" t="s">
        <v>190</v>
      </c>
      <c r="M230" s="364" t="s">
        <v>721</v>
      </c>
      <c r="N230" s="364" t="s">
        <v>654</v>
      </c>
      <c r="O230" s="364" t="s">
        <v>653</v>
      </c>
      <c r="P230" s="364" t="s">
        <v>198</v>
      </c>
      <c r="Q230" s="364" t="s">
        <v>652</v>
      </c>
      <c r="R230" s="364" t="s">
        <v>88</v>
      </c>
      <c r="S230" s="364" t="s">
        <v>88</v>
      </c>
      <c r="T230" s="364" t="s">
        <v>88</v>
      </c>
      <c r="U230" s="364" t="s">
        <v>88</v>
      </c>
      <c r="V230" s="364" t="s">
        <v>88</v>
      </c>
      <c r="W230" s="364" t="s">
        <v>88</v>
      </c>
      <c r="X230" s="364" t="s">
        <v>88</v>
      </c>
      <c r="Y230" s="364" t="s">
        <v>88</v>
      </c>
      <c r="Z230" s="364" t="s">
        <v>720</v>
      </c>
      <c r="AA230" s="364" t="s">
        <v>649</v>
      </c>
      <c r="AB230" s="364" t="s">
        <v>649</v>
      </c>
      <c r="AC230" s="364" t="s">
        <v>649</v>
      </c>
      <c r="AD230" s="364" t="s">
        <v>649</v>
      </c>
      <c r="AE230" s="364" t="s">
        <v>88</v>
      </c>
      <c r="AF230" s="364" t="s">
        <v>88</v>
      </c>
      <c r="AG230" s="364" t="s">
        <v>88</v>
      </c>
      <c r="AH230" s="364" t="s">
        <v>88</v>
      </c>
      <c r="AI230" s="364" t="s">
        <v>1155</v>
      </c>
      <c r="AJ230" s="364" t="s">
        <v>710</v>
      </c>
      <c r="AK230" s="364" t="s">
        <v>647</v>
      </c>
      <c r="AL230" s="364" t="s">
        <v>646</v>
      </c>
      <c r="AM230" s="364" t="s">
        <v>668</v>
      </c>
      <c r="AN230" s="364" t="s">
        <v>644</v>
      </c>
    </row>
    <row r="231" spans="1:40" x14ac:dyDescent="0.3">
      <c r="A231" s="364" t="s">
        <v>2522</v>
      </c>
      <c r="B231" s="364" t="s">
        <v>661</v>
      </c>
      <c r="C231" s="364" t="s">
        <v>660</v>
      </c>
      <c r="D231" s="364" t="s">
        <v>90</v>
      </c>
      <c r="E231" s="364" t="s">
        <v>967</v>
      </c>
      <c r="F231" s="364" t="s">
        <v>967</v>
      </c>
      <c r="G231" s="364" t="s">
        <v>658</v>
      </c>
      <c r="H231" s="364" t="s">
        <v>2521</v>
      </c>
      <c r="I231" s="364" t="s">
        <v>814</v>
      </c>
      <c r="J231" s="364" t="s">
        <v>673</v>
      </c>
      <c r="K231" s="364" t="s">
        <v>668</v>
      </c>
      <c r="L231" s="364" t="s">
        <v>190</v>
      </c>
      <c r="M231" s="364" t="s">
        <v>55</v>
      </c>
      <c r="N231" s="364" t="s">
        <v>654</v>
      </c>
      <c r="O231" s="364" t="s">
        <v>653</v>
      </c>
      <c r="P231" s="364" t="s">
        <v>198</v>
      </c>
      <c r="Q231" s="364" t="s">
        <v>652</v>
      </c>
      <c r="R231" s="364" t="s">
        <v>88</v>
      </c>
      <c r="S231" s="364" t="s">
        <v>88</v>
      </c>
      <c r="T231" s="364" t="s">
        <v>88</v>
      </c>
      <c r="U231" s="364" t="s">
        <v>88</v>
      </c>
      <c r="V231" s="364" t="s">
        <v>88</v>
      </c>
      <c r="W231" s="364" t="s">
        <v>88</v>
      </c>
      <c r="X231" s="364" t="s">
        <v>88</v>
      </c>
      <c r="Y231" s="364" t="s">
        <v>88</v>
      </c>
      <c r="Z231" s="364" t="s">
        <v>719</v>
      </c>
      <c r="AA231" s="364" t="s">
        <v>649</v>
      </c>
      <c r="AB231" s="364" t="s">
        <v>649</v>
      </c>
      <c r="AC231" s="364" t="s">
        <v>649</v>
      </c>
      <c r="AD231" s="364" t="s">
        <v>649</v>
      </c>
      <c r="AE231" s="364" t="s">
        <v>88</v>
      </c>
      <c r="AF231" s="364" t="s">
        <v>88</v>
      </c>
      <c r="AG231" s="364" t="s">
        <v>88</v>
      </c>
      <c r="AH231" s="364" t="s">
        <v>88</v>
      </c>
      <c r="AI231" s="364" t="s">
        <v>1155</v>
      </c>
      <c r="AJ231" s="364" t="s">
        <v>710</v>
      </c>
      <c r="AK231" s="364" t="s">
        <v>647</v>
      </c>
      <c r="AL231" s="364" t="s">
        <v>646</v>
      </c>
      <c r="AM231" s="364" t="s">
        <v>668</v>
      </c>
      <c r="AN231" s="364" t="s">
        <v>644</v>
      </c>
    </row>
    <row r="232" spans="1:40" x14ac:dyDescent="0.3">
      <c r="A232" s="364" t="s">
        <v>2522</v>
      </c>
      <c r="B232" s="364" t="s">
        <v>661</v>
      </c>
      <c r="C232" s="364" t="s">
        <v>660</v>
      </c>
      <c r="D232" s="364" t="s">
        <v>90</v>
      </c>
      <c r="E232" s="364" t="s">
        <v>967</v>
      </c>
      <c r="F232" s="364" t="s">
        <v>967</v>
      </c>
      <c r="G232" s="364" t="s">
        <v>658</v>
      </c>
      <c r="H232" s="364" t="s">
        <v>2521</v>
      </c>
      <c r="I232" s="364" t="s">
        <v>814</v>
      </c>
      <c r="J232" s="364" t="s">
        <v>673</v>
      </c>
      <c r="K232" s="364" t="s">
        <v>668</v>
      </c>
      <c r="L232" s="364" t="s">
        <v>190</v>
      </c>
      <c r="M232" s="364" t="s">
        <v>718</v>
      </c>
      <c r="N232" s="364" t="s">
        <v>654</v>
      </c>
      <c r="O232" s="364" t="s">
        <v>653</v>
      </c>
      <c r="P232" s="364" t="s">
        <v>198</v>
      </c>
      <c r="Q232" s="364" t="s">
        <v>652</v>
      </c>
      <c r="R232" s="364" t="s">
        <v>88</v>
      </c>
      <c r="S232" s="364" t="s">
        <v>88</v>
      </c>
      <c r="T232" s="364" t="s">
        <v>88</v>
      </c>
      <c r="U232" s="364" t="s">
        <v>88</v>
      </c>
      <c r="V232" s="364" t="s">
        <v>88</v>
      </c>
      <c r="W232" s="364" t="s">
        <v>88</v>
      </c>
      <c r="X232" s="364" t="s">
        <v>88</v>
      </c>
      <c r="Y232" s="364" t="s">
        <v>88</v>
      </c>
      <c r="Z232" s="364" t="s">
        <v>717</v>
      </c>
      <c r="AA232" s="364" t="s">
        <v>649</v>
      </c>
      <c r="AB232" s="364" t="s">
        <v>649</v>
      </c>
      <c r="AC232" s="364" t="s">
        <v>649</v>
      </c>
      <c r="AD232" s="364" t="s">
        <v>649</v>
      </c>
      <c r="AE232" s="364" t="s">
        <v>88</v>
      </c>
      <c r="AF232" s="364" t="s">
        <v>88</v>
      </c>
      <c r="AG232" s="364" t="s">
        <v>88</v>
      </c>
      <c r="AH232" s="364" t="s">
        <v>88</v>
      </c>
      <c r="AI232" s="364" t="s">
        <v>1155</v>
      </c>
      <c r="AJ232" s="364" t="s">
        <v>710</v>
      </c>
      <c r="AK232" s="364" t="s">
        <v>647</v>
      </c>
      <c r="AL232" s="364" t="s">
        <v>646</v>
      </c>
      <c r="AM232" s="364" t="s">
        <v>668</v>
      </c>
      <c r="AN232" s="364" t="s">
        <v>644</v>
      </c>
    </row>
    <row r="233" spans="1:40" x14ac:dyDescent="0.3">
      <c r="A233" s="364" t="s">
        <v>2522</v>
      </c>
      <c r="B233" s="364" t="s">
        <v>661</v>
      </c>
      <c r="C233" s="364" t="s">
        <v>660</v>
      </c>
      <c r="D233" s="364" t="s">
        <v>90</v>
      </c>
      <c r="E233" s="364" t="s">
        <v>967</v>
      </c>
      <c r="F233" s="364" t="s">
        <v>967</v>
      </c>
      <c r="G233" s="364" t="s">
        <v>658</v>
      </c>
      <c r="H233" s="364" t="s">
        <v>2521</v>
      </c>
      <c r="I233" s="364" t="s">
        <v>814</v>
      </c>
      <c r="J233" s="364" t="s">
        <v>673</v>
      </c>
      <c r="K233" s="364" t="s">
        <v>668</v>
      </c>
      <c r="L233" s="364" t="s">
        <v>190</v>
      </c>
      <c r="M233" s="364" t="s">
        <v>725</v>
      </c>
      <c r="N233" s="364" t="s">
        <v>654</v>
      </c>
      <c r="O233" s="364" t="s">
        <v>653</v>
      </c>
      <c r="P233" s="364" t="s">
        <v>198</v>
      </c>
      <c r="Q233" s="364" t="s">
        <v>652</v>
      </c>
      <c r="R233" s="364" t="s">
        <v>88</v>
      </c>
      <c r="S233" s="364" t="s">
        <v>88</v>
      </c>
      <c r="T233" s="364" t="s">
        <v>88</v>
      </c>
      <c r="U233" s="364" t="s">
        <v>88</v>
      </c>
      <c r="V233" s="364" t="s">
        <v>88</v>
      </c>
      <c r="W233" s="364" t="s">
        <v>88</v>
      </c>
      <c r="X233" s="364" t="s">
        <v>88</v>
      </c>
      <c r="Y233" s="364" t="s">
        <v>88</v>
      </c>
      <c r="Z233" s="364" t="s">
        <v>724</v>
      </c>
      <c r="AA233" s="364" t="s">
        <v>649</v>
      </c>
      <c r="AB233" s="364" t="s">
        <v>649</v>
      </c>
      <c r="AC233" s="364" t="s">
        <v>649</v>
      </c>
      <c r="AD233" s="364" t="s">
        <v>649</v>
      </c>
      <c r="AE233" s="364" t="s">
        <v>88</v>
      </c>
      <c r="AF233" s="364" t="s">
        <v>88</v>
      </c>
      <c r="AG233" s="364" t="s">
        <v>88</v>
      </c>
      <c r="AH233" s="364" t="s">
        <v>88</v>
      </c>
      <c r="AI233" s="364" t="s">
        <v>1155</v>
      </c>
      <c r="AJ233" s="364" t="s">
        <v>710</v>
      </c>
      <c r="AK233" s="364" t="s">
        <v>647</v>
      </c>
      <c r="AL233" s="364" t="s">
        <v>646</v>
      </c>
      <c r="AM233" s="364" t="s">
        <v>668</v>
      </c>
      <c r="AN233" s="364" t="s">
        <v>644</v>
      </c>
    </row>
    <row r="234" spans="1:40" x14ac:dyDescent="0.3">
      <c r="A234" s="364" t="s">
        <v>2522</v>
      </c>
      <c r="B234" s="364" t="s">
        <v>661</v>
      </c>
      <c r="C234" s="364" t="s">
        <v>660</v>
      </c>
      <c r="D234" s="364" t="s">
        <v>90</v>
      </c>
      <c r="E234" s="364" t="s">
        <v>967</v>
      </c>
      <c r="F234" s="364" t="s">
        <v>967</v>
      </c>
      <c r="G234" s="364" t="s">
        <v>658</v>
      </c>
      <c r="H234" s="364" t="s">
        <v>2521</v>
      </c>
      <c r="I234" s="364" t="s">
        <v>814</v>
      </c>
      <c r="J234" s="364" t="s">
        <v>673</v>
      </c>
      <c r="K234" s="364" t="s">
        <v>668</v>
      </c>
      <c r="L234" s="364" t="s">
        <v>190</v>
      </c>
      <c r="M234" s="364" t="s">
        <v>723</v>
      </c>
      <c r="N234" s="364" t="s">
        <v>654</v>
      </c>
      <c r="O234" s="364" t="s">
        <v>653</v>
      </c>
      <c r="P234" s="364" t="s">
        <v>198</v>
      </c>
      <c r="Q234" s="364" t="s">
        <v>652</v>
      </c>
      <c r="R234" s="364" t="s">
        <v>88</v>
      </c>
      <c r="S234" s="364" t="s">
        <v>88</v>
      </c>
      <c r="T234" s="364" t="s">
        <v>88</v>
      </c>
      <c r="U234" s="364" t="s">
        <v>88</v>
      </c>
      <c r="V234" s="364" t="s">
        <v>88</v>
      </c>
      <c r="W234" s="364" t="s">
        <v>88</v>
      </c>
      <c r="X234" s="364" t="s">
        <v>88</v>
      </c>
      <c r="Y234" s="364" t="s">
        <v>88</v>
      </c>
      <c r="Z234" s="364" t="s">
        <v>722</v>
      </c>
      <c r="AA234" s="364" t="s">
        <v>649</v>
      </c>
      <c r="AB234" s="364" t="s">
        <v>649</v>
      </c>
      <c r="AC234" s="364" t="s">
        <v>649</v>
      </c>
      <c r="AD234" s="364" t="s">
        <v>649</v>
      </c>
      <c r="AE234" s="364" t="s">
        <v>88</v>
      </c>
      <c r="AF234" s="364" t="s">
        <v>88</v>
      </c>
      <c r="AG234" s="364" t="s">
        <v>88</v>
      </c>
      <c r="AH234" s="364" t="s">
        <v>88</v>
      </c>
      <c r="AI234" s="364" t="s">
        <v>1155</v>
      </c>
      <c r="AJ234" s="364" t="s">
        <v>710</v>
      </c>
      <c r="AK234" s="364" t="s">
        <v>647</v>
      </c>
      <c r="AL234" s="364" t="s">
        <v>646</v>
      </c>
      <c r="AM234" s="364" t="s">
        <v>668</v>
      </c>
      <c r="AN234" s="364" t="s">
        <v>644</v>
      </c>
    </row>
    <row r="235" spans="1:40" x14ac:dyDescent="0.3">
      <c r="A235" s="364" t="s">
        <v>2520</v>
      </c>
      <c r="B235" s="364" t="s">
        <v>661</v>
      </c>
      <c r="C235" s="364" t="s">
        <v>660</v>
      </c>
      <c r="D235" s="364" t="s">
        <v>87</v>
      </c>
      <c r="E235" s="364" t="s">
        <v>845</v>
      </c>
      <c r="F235" s="364" t="s">
        <v>845</v>
      </c>
      <c r="G235" s="364" t="s">
        <v>658</v>
      </c>
      <c r="H235" s="364" t="s">
        <v>2519</v>
      </c>
      <c r="I235" s="364" t="s">
        <v>2518</v>
      </c>
      <c r="J235" s="364" t="s">
        <v>88</v>
      </c>
      <c r="K235" s="364" t="s">
        <v>88</v>
      </c>
      <c r="L235" s="364" t="s">
        <v>88</v>
      </c>
      <c r="M235" s="364" t="s">
        <v>138</v>
      </c>
      <c r="N235" s="364" t="s">
        <v>654</v>
      </c>
      <c r="O235" s="364" t="s">
        <v>653</v>
      </c>
      <c r="P235" s="364" t="s">
        <v>88</v>
      </c>
      <c r="Q235" s="364" t="s">
        <v>88</v>
      </c>
      <c r="R235" s="364" t="s">
        <v>88</v>
      </c>
      <c r="S235" s="364" t="s">
        <v>88</v>
      </c>
      <c r="T235" s="364" t="s">
        <v>88</v>
      </c>
      <c r="U235" s="364" t="s">
        <v>88</v>
      </c>
      <c r="V235" s="364" t="s">
        <v>88</v>
      </c>
      <c r="W235" s="364" t="s">
        <v>88</v>
      </c>
      <c r="X235" s="364" t="s">
        <v>88</v>
      </c>
      <c r="Y235" s="364" t="s">
        <v>88</v>
      </c>
      <c r="Z235" s="364" t="s">
        <v>88</v>
      </c>
      <c r="AA235" s="364" t="s">
        <v>649</v>
      </c>
      <c r="AB235" s="364" t="s">
        <v>88</v>
      </c>
      <c r="AC235" s="364" t="s">
        <v>88</v>
      </c>
      <c r="AD235" s="364" t="s">
        <v>88</v>
      </c>
      <c r="AE235" s="364" t="s">
        <v>88</v>
      </c>
      <c r="AF235" s="364" t="s">
        <v>88</v>
      </c>
      <c r="AG235" s="364" t="s">
        <v>88</v>
      </c>
      <c r="AH235" s="364" t="s">
        <v>88</v>
      </c>
      <c r="AI235" s="364" t="s">
        <v>2517</v>
      </c>
      <c r="AJ235" s="364" t="s">
        <v>793</v>
      </c>
      <c r="AK235" s="364" t="s">
        <v>2466</v>
      </c>
      <c r="AL235" s="364" t="s">
        <v>2465</v>
      </c>
      <c r="AM235" s="364" t="s">
        <v>88</v>
      </c>
      <c r="AN235" s="364" t="s">
        <v>792</v>
      </c>
    </row>
    <row r="236" spans="1:40" x14ac:dyDescent="0.3">
      <c r="A236" s="364" t="s">
        <v>2516</v>
      </c>
      <c r="B236" s="364" t="s">
        <v>661</v>
      </c>
      <c r="C236" s="364" t="s">
        <v>660</v>
      </c>
      <c r="D236" s="364" t="s">
        <v>87</v>
      </c>
      <c r="E236" s="364" t="s">
        <v>905</v>
      </c>
      <c r="F236" s="364" t="s">
        <v>905</v>
      </c>
      <c r="G236" s="364" t="s">
        <v>658</v>
      </c>
      <c r="H236" s="364" t="s">
        <v>2515</v>
      </c>
      <c r="I236" s="364" t="s">
        <v>2514</v>
      </c>
      <c r="J236" s="364" t="s">
        <v>88</v>
      </c>
      <c r="K236" s="364" t="s">
        <v>88</v>
      </c>
      <c r="L236" s="364" t="s">
        <v>88</v>
      </c>
      <c r="M236" s="364" t="s">
        <v>138</v>
      </c>
      <c r="N236" s="364" t="s">
        <v>654</v>
      </c>
      <c r="O236" s="364" t="s">
        <v>653</v>
      </c>
      <c r="P236" s="364" t="s">
        <v>88</v>
      </c>
      <c r="Q236" s="364" t="s">
        <v>88</v>
      </c>
      <c r="R236" s="364" t="s">
        <v>88</v>
      </c>
      <c r="S236" s="364" t="s">
        <v>88</v>
      </c>
      <c r="T236" s="364" t="s">
        <v>88</v>
      </c>
      <c r="U236" s="364" t="s">
        <v>88</v>
      </c>
      <c r="V236" s="364" t="s">
        <v>88</v>
      </c>
      <c r="W236" s="364" t="s">
        <v>88</v>
      </c>
      <c r="X236" s="364" t="s">
        <v>88</v>
      </c>
      <c r="Y236" s="364" t="s">
        <v>88</v>
      </c>
      <c r="Z236" s="364" t="s">
        <v>88</v>
      </c>
      <c r="AA236" s="364" t="s">
        <v>649</v>
      </c>
      <c r="AB236" s="364" t="s">
        <v>88</v>
      </c>
      <c r="AC236" s="364" t="s">
        <v>88</v>
      </c>
      <c r="AD236" s="364" t="s">
        <v>88</v>
      </c>
      <c r="AE236" s="364" t="s">
        <v>88</v>
      </c>
      <c r="AF236" s="364" t="s">
        <v>88</v>
      </c>
      <c r="AG236" s="364" t="s">
        <v>88</v>
      </c>
      <c r="AH236" s="364" t="s">
        <v>88</v>
      </c>
      <c r="AI236" s="364" t="s">
        <v>2513</v>
      </c>
      <c r="AJ236" s="364" t="s">
        <v>793</v>
      </c>
      <c r="AK236" s="364" t="s">
        <v>2466</v>
      </c>
      <c r="AL236" s="364" t="s">
        <v>2465</v>
      </c>
      <c r="AM236" s="364" t="s">
        <v>88</v>
      </c>
      <c r="AN236" s="364" t="s">
        <v>792</v>
      </c>
    </row>
    <row r="237" spans="1:40" x14ac:dyDescent="0.3">
      <c r="A237" s="364" t="s">
        <v>2512</v>
      </c>
      <c r="B237" s="364" t="s">
        <v>661</v>
      </c>
      <c r="C237" s="364" t="s">
        <v>660</v>
      </c>
      <c r="D237" s="364" t="s">
        <v>87</v>
      </c>
      <c r="E237" s="364" t="s">
        <v>905</v>
      </c>
      <c r="F237" s="364" t="s">
        <v>905</v>
      </c>
      <c r="G237" s="364" t="s">
        <v>658</v>
      </c>
      <c r="H237" s="364" t="s">
        <v>2511</v>
      </c>
      <c r="I237" s="364" t="s">
        <v>2468</v>
      </c>
      <c r="J237" s="364" t="s">
        <v>88</v>
      </c>
      <c r="K237" s="364" t="s">
        <v>88</v>
      </c>
      <c r="L237" s="364" t="s">
        <v>88</v>
      </c>
      <c r="M237" s="364" t="s">
        <v>138</v>
      </c>
      <c r="N237" s="364" t="s">
        <v>654</v>
      </c>
      <c r="O237" s="364" t="s">
        <v>653</v>
      </c>
      <c r="P237" s="364" t="s">
        <v>88</v>
      </c>
      <c r="Q237" s="364" t="s">
        <v>88</v>
      </c>
      <c r="R237" s="364" t="s">
        <v>88</v>
      </c>
      <c r="S237" s="364" t="s">
        <v>88</v>
      </c>
      <c r="T237" s="364" t="s">
        <v>88</v>
      </c>
      <c r="U237" s="364" t="s">
        <v>88</v>
      </c>
      <c r="V237" s="364" t="s">
        <v>88</v>
      </c>
      <c r="W237" s="364" t="s">
        <v>88</v>
      </c>
      <c r="X237" s="364" t="s">
        <v>88</v>
      </c>
      <c r="Y237" s="364" t="s">
        <v>88</v>
      </c>
      <c r="Z237" s="364" t="s">
        <v>88</v>
      </c>
      <c r="AA237" s="364" t="s">
        <v>649</v>
      </c>
      <c r="AB237" s="364" t="s">
        <v>88</v>
      </c>
      <c r="AC237" s="364" t="s">
        <v>88</v>
      </c>
      <c r="AD237" s="364" t="s">
        <v>88</v>
      </c>
      <c r="AE237" s="364" t="s">
        <v>88</v>
      </c>
      <c r="AF237" s="364" t="s">
        <v>88</v>
      </c>
      <c r="AG237" s="364" t="s">
        <v>88</v>
      </c>
      <c r="AH237" s="364" t="s">
        <v>88</v>
      </c>
      <c r="AI237" s="364" t="s">
        <v>2510</v>
      </c>
      <c r="AJ237" s="364" t="s">
        <v>798</v>
      </c>
      <c r="AK237" s="364" t="s">
        <v>2466</v>
      </c>
      <c r="AL237" s="364" t="s">
        <v>2465</v>
      </c>
      <c r="AM237" s="364" t="s">
        <v>88</v>
      </c>
      <c r="AN237" s="364" t="s">
        <v>792</v>
      </c>
    </row>
    <row r="238" spans="1:40" x14ac:dyDescent="0.3">
      <c r="A238" s="364" t="s">
        <v>2497</v>
      </c>
      <c r="B238" s="364" t="s">
        <v>661</v>
      </c>
      <c r="C238" s="364" t="s">
        <v>1420</v>
      </c>
      <c r="D238" s="364" t="s">
        <v>90</v>
      </c>
      <c r="E238" s="364" t="s">
        <v>816</v>
      </c>
      <c r="F238" s="364" t="s">
        <v>1019</v>
      </c>
      <c r="G238" s="364" t="s">
        <v>658</v>
      </c>
      <c r="H238" s="364" t="s">
        <v>2496</v>
      </c>
      <c r="I238" s="364" t="s">
        <v>2495</v>
      </c>
      <c r="J238" s="364" t="s">
        <v>673</v>
      </c>
      <c r="K238" s="364" t="s">
        <v>668</v>
      </c>
      <c r="L238" s="364" t="s">
        <v>190</v>
      </c>
      <c r="M238" s="364" t="s">
        <v>56</v>
      </c>
      <c r="N238" s="364" t="s">
        <v>654</v>
      </c>
      <c r="O238" s="364" t="s">
        <v>653</v>
      </c>
      <c r="P238" s="364" t="s">
        <v>198</v>
      </c>
      <c r="Q238" s="364" t="s">
        <v>652</v>
      </c>
      <c r="R238" s="364" t="s">
        <v>88</v>
      </c>
      <c r="S238" s="364" t="s">
        <v>88</v>
      </c>
      <c r="T238" s="364" t="s">
        <v>88</v>
      </c>
      <c r="U238" s="364" t="s">
        <v>88</v>
      </c>
      <c r="V238" s="364" t="s">
        <v>88</v>
      </c>
      <c r="W238" s="364" t="s">
        <v>88</v>
      </c>
      <c r="X238" s="364" t="s">
        <v>88</v>
      </c>
      <c r="Y238" s="364" t="s">
        <v>88</v>
      </c>
      <c r="Z238" s="364" t="s">
        <v>1165</v>
      </c>
      <c r="AA238" s="364" t="s">
        <v>1164</v>
      </c>
      <c r="AB238" s="364" t="s">
        <v>2509</v>
      </c>
      <c r="AC238" s="364" t="s">
        <v>2509</v>
      </c>
      <c r="AD238" s="364" t="s">
        <v>2509</v>
      </c>
      <c r="AE238" s="364" t="s">
        <v>88</v>
      </c>
      <c r="AF238" s="364" t="s">
        <v>1416</v>
      </c>
      <c r="AG238" s="364" t="s">
        <v>1415</v>
      </c>
      <c r="AH238" s="364" t="s">
        <v>2508</v>
      </c>
      <c r="AI238" s="364" t="s">
        <v>2493</v>
      </c>
      <c r="AJ238" s="364" t="s">
        <v>995</v>
      </c>
      <c r="AK238" s="364" t="s">
        <v>647</v>
      </c>
      <c r="AL238" s="364" t="s">
        <v>1412</v>
      </c>
      <c r="AM238" s="364" t="s">
        <v>668</v>
      </c>
      <c r="AN238" s="364" t="s">
        <v>1411</v>
      </c>
    </row>
    <row r="239" spans="1:40" x14ac:dyDescent="0.3">
      <c r="A239" s="364" t="s">
        <v>2497</v>
      </c>
      <c r="B239" s="364" t="s">
        <v>661</v>
      </c>
      <c r="C239" s="364" t="s">
        <v>1420</v>
      </c>
      <c r="D239" s="364" t="s">
        <v>90</v>
      </c>
      <c r="E239" s="364" t="s">
        <v>816</v>
      </c>
      <c r="F239" s="364" t="s">
        <v>1019</v>
      </c>
      <c r="G239" s="364" t="s">
        <v>658</v>
      </c>
      <c r="H239" s="364" t="s">
        <v>2496</v>
      </c>
      <c r="I239" s="364" t="s">
        <v>2495</v>
      </c>
      <c r="J239" s="364" t="s">
        <v>673</v>
      </c>
      <c r="K239" s="364" t="s">
        <v>668</v>
      </c>
      <c r="L239" s="364" t="s">
        <v>190</v>
      </c>
      <c r="M239" s="364" t="s">
        <v>725</v>
      </c>
      <c r="N239" s="364" t="s">
        <v>654</v>
      </c>
      <c r="O239" s="364" t="s">
        <v>653</v>
      </c>
      <c r="P239" s="364" t="s">
        <v>198</v>
      </c>
      <c r="Q239" s="364" t="s">
        <v>652</v>
      </c>
      <c r="R239" s="364" t="s">
        <v>88</v>
      </c>
      <c r="S239" s="364" t="s">
        <v>88</v>
      </c>
      <c r="T239" s="364" t="s">
        <v>88</v>
      </c>
      <c r="U239" s="364" t="s">
        <v>88</v>
      </c>
      <c r="V239" s="364" t="s">
        <v>88</v>
      </c>
      <c r="W239" s="364" t="s">
        <v>88</v>
      </c>
      <c r="X239" s="364" t="s">
        <v>88</v>
      </c>
      <c r="Y239" s="364" t="s">
        <v>88</v>
      </c>
      <c r="Z239" s="364" t="s">
        <v>724</v>
      </c>
      <c r="AA239" s="364" t="s">
        <v>649</v>
      </c>
      <c r="AB239" s="364" t="s">
        <v>2507</v>
      </c>
      <c r="AC239" s="364" t="s">
        <v>2507</v>
      </c>
      <c r="AD239" s="364" t="s">
        <v>2507</v>
      </c>
      <c r="AE239" s="364" t="s">
        <v>88</v>
      </c>
      <c r="AF239" s="364" t="s">
        <v>1416</v>
      </c>
      <c r="AG239" s="364" t="s">
        <v>1415</v>
      </c>
      <c r="AH239" s="364" t="s">
        <v>2118</v>
      </c>
      <c r="AI239" s="364" t="s">
        <v>2493</v>
      </c>
      <c r="AJ239" s="364" t="s">
        <v>995</v>
      </c>
      <c r="AK239" s="364" t="s">
        <v>647</v>
      </c>
      <c r="AL239" s="364" t="s">
        <v>1412</v>
      </c>
      <c r="AM239" s="364" t="s">
        <v>668</v>
      </c>
      <c r="AN239" s="364" t="s">
        <v>1411</v>
      </c>
    </row>
    <row r="240" spans="1:40" x14ac:dyDescent="0.3">
      <c r="A240" s="364" t="s">
        <v>2497</v>
      </c>
      <c r="B240" s="364" t="s">
        <v>661</v>
      </c>
      <c r="C240" s="364" t="s">
        <v>1420</v>
      </c>
      <c r="D240" s="364" t="s">
        <v>90</v>
      </c>
      <c r="E240" s="364" t="s">
        <v>816</v>
      </c>
      <c r="F240" s="364" t="s">
        <v>1019</v>
      </c>
      <c r="G240" s="364" t="s">
        <v>658</v>
      </c>
      <c r="H240" s="364" t="s">
        <v>2496</v>
      </c>
      <c r="I240" s="364" t="s">
        <v>2495</v>
      </c>
      <c r="J240" s="364" t="s">
        <v>198</v>
      </c>
      <c r="K240" s="364" t="s">
        <v>645</v>
      </c>
      <c r="L240" s="364" t="s">
        <v>188</v>
      </c>
      <c r="M240" s="364" t="s">
        <v>655</v>
      </c>
      <c r="N240" s="364" t="s">
        <v>654</v>
      </c>
      <c r="O240" s="364" t="s">
        <v>653</v>
      </c>
      <c r="P240" s="364" t="s">
        <v>198</v>
      </c>
      <c r="Q240" s="364" t="s">
        <v>652</v>
      </c>
      <c r="R240" s="364" t="s">
        <v>88</v>
      </c>
      <c r="S240" s="364" t="s">
        <v>88</v>
      </c>
      <c r="T240" s="364" t="s">
        <v>88</v>
      </c>
      <c r="U240" s="364" t="s">
        <v>88</v>
      </c>
      <c r="V240" s="364" t="s">
        <v>88</v>
      </c>
      <c r="W240" s="364" t="s">
        <v>88</v>
      </c>
      <c r="X240" s="364" t="s">
        <v>88</v>
      </c>
      <c r="Y240" s="364" t="s">
        <v>88</v>
      </c>
      <c r="Z240" s="364" t="s">
        <v>651</v>
      </c>
      <c r="AA240" s="364" t="s">
        <v>650</v>
      </c>
      <c r="AB240" s="364" t="s">
        <v>1424</v>
      </c>
      <c r="AC240" s="364" t="s">
        <v>1424</v>
      </c>
      <c r="AD240" s="364" t="s">
        <v>1424</v>
      </c>
      <c r="AE240" s="364" t="s">
        <v>88</v>
      </c>
      <c r="AF240" s="364" t="s">
        <v>2021</v>
      </c>
      <c r="AG240" s="364" t="s">
        <v>1415</v>
      </c>
      <c r="AH240" s="364" t="s">
        <v>2123</v>
      </c>
      <c r="AI240" s="364" t="s">
        <v>2493</v>
      </c>
      <c r="AJ240" s="364" t="s">
        <v>995</v>
      </c>
      <c r="AK240" s="364" t="s">
        <v>647</v>
      </c>
      <c r="AL240" s="364" t="s">
        <v>1412</v>
      </c>
      <c r="AM240" s="364" t="s">
        <v>645</v>
      </c>
      <c r="AN240" s="364" t="s">
        <v>1411</v>
      </c>
    </row>
    <row r="241" spans="1:40" x14ac:dyDescent="0.3">
      <c r="A241" s="364" t="s">
        <v>2497</v>
      </c>
      <c r="B241" s="364" t="s">
        <v>661</v>
      </c>
      <c r="C241" s="364" t="s">
        <v>1420</v>
      </c>
      <c r="D241" s="364" t="s">
        <v>90</v>
      </c>
      <c r="E241" s="364" t="s">
        <v>816</v>
      </c>
      <c r="F241" s="364" t="s">
        <v>1019</v>
      </c>
      <c r="G241" s="364" t="s">
        <v>658</v>
      </c>
      <c r="H241" s="364" t="s">
        <v>2496</v>
      </c>
      <c r="I241" s="364" t="s">
        <v>2495</v>
      </c>
      <c r="J241" s="364" t="s">
        <v>198</v>
      </c>
      <c r="K241" s="364" t="s">
        <v>645</v>
      </c>
      <c r="L241" s="364" t="s">
        <v>188</v>
      </c>
      <c r="M241" s="364" t="s">
        <v>655</v>
      </c>
      <c r="N241" s="364" t="s">
        <v>654</v>
      </c>
      <c r="O241" s="364" t="s">
        <v>653</v>
      </c>
      <c r="P241" s="364" t="s">
        <v>198</v>
      </c>
      <c r="Q241" s="364" t="s">
        <v>652</v>
      </c>
      <c r="R241" s="364" t="s">
        <v>88</v>
      </c>
      <c r="S241" s="364" t="s">
        <v>88</v>
      </c>
      <c r="T241" s="364" t="s">
        <v>88</v>
      </c>
      <c r="U241" s="364" t="s">
        <v>88</v>
      </c>
      <c r="V241" s="364" t="s">
        <v>88</v>
      </c>
      <c r="W241" s="364" t="s">
        <v>88</v>
      </c>
      <c r="X241" s="364" t="s">
        <v>88</v>
      </c>
      <c r="Y241" s="364" t="s">
        <v>88</v>
      </c>
      <c r="Z241" s="364" t="s">
        <v>651</v>
      </c>
      <c r="AA241" s="364" t="s">
        <v>650</v>
      </c>
      <c r="AB241" s="364" t="s">
        <v>1424</v>
      </c>
      <c r="AC241" s="364" t="s">
        <v>1424</v>
      </c>
      <c r="AD241" s="364" t="s">
        <v>1424</v>
      </c>
      <c r="AE241" s="364" t="s">
        <v>88</v>
      </c>
      <c r="AF241" s="364" t="s">
        <v>2506</v>
      </c>
      <c r="AG241" s="364" t="s">
        <v>1415</v>
      </c>
      <c r="AH241" s="364" t="s">
        <v>2118</v>
      </c>
      <c r="AI241" s="364" t="s">
        <v>2493</v>
      </c>
      <c r="AJ241" s="364" t="s">
        <v>995</v>
      </c>
      <c r="AK241" s="364" t="s">
        <v>647</v>
      </c>
      <c r="AL241" s="364" t="s">
        <v>1412</v>
      </c>
      <c r="AM241" s="364" t="s">
        <v>645</v>
      </c>
      <c r="AN241" s="364" t="s">
        <v>1411</v>
      </c>
    </row>
    <row r="242" spans="1:40" x14ac:dyDescent="0.3">
      <c r="A242" s="364" t="s">
        <v>2497</v>
      </c>
      <c r="B242" s="364" t="s">
        <v>661</v>
      </c>
      <c r="C242" s="364" t="s">
        <v>1420</v>
      </c>
      <c r="D242" s="364" t="s">
        <v>90</v>
      </c>
      <c r="E242" s="364" t="s">
        <v>816</v>
      </c>
      <c r="F242" s="364" t="s">
        <v>1019</v>
      </c>
      <c r="G242" s="364" t="s">
        <v>658</v>
      </c>
      <c r="H242" s="364" t="s">
        <v>2496</v>
      </c>
      <c r="I242" s="364" t="s">
        <v>2495</v>
      </c>
      <c r="J242" s="364" t="s">
        <v>198</v>
      </c>
      <c r="K242" s="364" t="s">
        <v>645</v>
      </c>
      <c r="L242" s="364" t="s">
        <v>188</v>
      </c>
      <c r="M242" s="364" t="s">
        <v>655</v>
      </c>
      <c r="N242" s="364" t="s">
        <v>654</v>
      </c>
      <c r="O242" s="364" t="s">
        <v>653</v>
      </c>
      <c r="P242" s="364" t="s">
        <v>198</v>
      </c>
      <c r="Q242" s="364" t="s">
        <v>652</v>
      </c>
      <c r="R242" s="364" t="s">
        <v>88</v>
      </c>
      <c r="S242" s="364" t="s">
        <v>88</v>
      </c>
      <c r="T242" s="364" t="s">
        <v>88</v>
      </c>
      <c r="U242" s="364" t="s">
        <v>88</v>
      </c>
      <c r="V242" s="364" t="s">
        <v>88</v>
      </c>
      <c r="W242" s="364" t="s">
        <v>88</v>
      </c>
      <c r="X242" s="364" t="s">
        <v>88</v>
      </c>
      <c r="Y242" s="364" t="s">
        <v>88</v>
      </c>
      <c r="Z242" s="364" t="s">
        <v>651</v>
      </c>
      <c r="AA242" s="364" t="s">
        <v>650</v>
      </c>
      <c r="AB242" s="364" t="s">
        <v>1424</v>
      </c>
      <c r="AC242" s="364" t="s">
        <v>1424</v>
      </c>
      <c r="AD242" s="364" t="s">
        <v>1424</v>
      </c>
      <c r="AE242" s="364" t="s">
        <v>88</v>
      </c>
      <c r="AF242" s="364" t="s">
        <v>2505</v>
      </c>
      <c r="AG242" s="364" t="s">
        <v>1415</v>
      </c>
      <c r="AH242" s="364" t="s">
        <v>2014</v>
      </c>
      <c r="AI242" s="364" t="s">
        <v>2493</v>
      </c>
      <c r="AJ242" s="364" t="s">
        <v>995</v>
      </c>
      <c r="AK242" s="364" t="s">
        <v>647</v>
      </c>
      <c r="AL242" s="364" t="s">
        <v>1412</v>
      </c>
      <c r="AM242" s="364" t="s">
        <v>645</v>
      </c>
      <c r="AN242" s="364" t="s">
        <v>1411</v>
      </c>
    </row>
    <row r="243" spans="1:40" x14ac:dyDescent="0.3">
      <c r="A243" s="364" t="s">
        <v>2497</v>
      </c>
      <c r="B243" s="364" t="s">
        <v>661</v>
      </c>
      <c r="C243" s="364" t="s">
        <v>1420</v>
      </c>
      <c r="D243" s="364" t="s">
        <v>90</v>
      </c>
      <c r="E243" s="364" t="s">
        <v>816</v>
      </c>
      <c r="F243" s="364" t="s">
        <v>1019</v>
      </c>
      <c r="G243" s="364" t="s">
        <v>658</v>
      </c>
      <c r="H243" s="364" t="s">
        <v>2496</v>
      </c>
      <c r="I243" s="364" t="s">
        <v>2495</v>
      </c>
      <c r="J243" s="364" t="s">
        <v>673</v>
      </c>
      <c r="K243" s="364" t="s">
        <v>668</v>
      </c>
      <c r="L243" s="364" t="s">
        <v>190</v>
      </c>
      <c r="M243" s="364" t="s">
        <v>54</v>
      </c>
      <c r="N243" s="364" t="s">
        <v>654</v>
      </c>
      <c r="O243" s="364" t="s">
        <v>653</v>
      </c>
      <c r="P243" s="364" t="s">
        <v>198</v>
      </c>
      <c r="Q243" s="364" t="s">
        <v>652</v>
      </c>
      <c r="R243" s="364" t="s">
        <v>88</v>
      </c>
      <c r="S243" s="364" t="s">
        <v>88</v>
      </c>
      <c r="T243" s="364" t="s">
        <v>88</v>
      </c>
      <c r="U243" s="364" t="s">
        <v>88</v>
      </c>
      <c r="V243" s="364" t="s">
        <v>88</v>
      </c>
      <c r="W243" s="364" t="s">
        <v>88</v>
      </c>
      <c r="X243" s="364" t="s">
        <v>88</v>
      </c>
      <c r="Y243" s="364" t="s">
        <v>88</v>
      </c>
      <c r="Z243" s="364" t="s">
        <v>1265</v>
      </c>
      <c r="AA243" s="364" t="s">
        <v>649</v>
      </c>
      <c r="AB243" s="364" t="s">
        <v>2504</v>
      </c>
      <c r="AC243" s="364" t="s">
        <v>2504</v>
      </c>
      <c r="AD243" s="364" t="s">
        <v>2504</v>
      </c>
      <c r="AE243" s="364" t="s">
        <v>88</v>
      </c>
      <c r="AF243" s="364" t="s">
        <v>1416</v>
      </c>
      <c r="AG243" s="364" t="s">
        <v>1415</v>
      </c>
      <c r="AH243" s="364" t="s">
        <v>1751</v>
      </c>
      <c r="AI243" s="364" t="s">
        <v>2493</v>
      </c>
      <c r="AJ243" s="364" t="s">
        <v>995</v>
      </c>
      <c r="AK243" s="364" t="s">
        <v>647</v>
      </c>
      <c r="AL243" s="364" t="s">
        <v>1412</v>
      </c>
      <c r="AM243" s="364" t="s">
        <v>668</v>
      </c>
      <c r="AN243" s="364" t="s">
        <v>1411</v>
      </c>
    </row>
    <row r="244" spans="1:40" x14ac:dyDescent="0.3">
      <c r="A244" s="364" t="s">
        <v>2497</v>
      </c>
      <c r="B244" s="364" t="s">
        <v>661</v>
      </c>
      <c r="C244" s="364" t="s">
        <v>1420</v>
      </c>
      <c r="D244" s="364" t="s">
        <v>90</v>
      </c>
      <c r="E244" s="364" t="s">
        <v>816</v>
      </c>
      <c r="F244" s="364" t="s">
        <v>1019</v>
      </c>
      <c r="G244" s="364" t="s">
        <v>658</v>
      </c>
      <c r="H244" s="364" t="s">
        <v>2496</v>
      </c>
      <c r="I244" s="364" t="s">
        <v>2495</v>
      </c>
      <c r="J244" s="364" t="s">
        <v>673</v>
      </c>
      <c r="K244" s="364" t="s">
        <v>668</v>
      </c>
      <c r="L244" s="364" t="s">
        <v>190</v>
      </c>
      <c r="M244" s="364" t="s">
        <v>723</v>
      </c>
      <c r="N244" s="364" t="s">
        <v>654</v>
      </c>
      <c r="O244" s="364" t="s">
        <v>653</v>
      </c>
      <c r="P244" s="364" t="s">
        <v>198</v>
      </c>
      <c r="Q244" s="364" t="s">
        <v>652</v>
      </c>
      <c r="R244" s="364" t="s">
        <v>88</v>
      </c>
      <c r="S244" s="364" t="s">
        <v>88</v>
      </c>
      <c r="T244" s="364" t="s">
        <v>88</v>
      </c>
      <c r="U244" s="364" t="s">
        <v>88</v>
      </c>
      <c r="V244" s="364" t="s">
        <v>88</v>
      </c>
      <c r="W244" s="364" t="s">
        <v>88</v>
      </c>
      <c r="X244" s="364" t="s">
        <v>88</v>
      </c>
      <c r="Y244" s="364" t="s">
        <v>88</v>
      </c>
      <c r="Z244" s="364" t="s">
        <v>722</v>
      </c>
      <c r="AA244" s="364" t="s">
        <v>649</v>
      </c>
      <c r="AB244" s="364" t="s">
        <v>2503</v>
      </c>
      <c r="AC244" s="364" t="s">
        <v>2503</v>
      </c>
      <c r="AD244" s="364" t="s">
        <v>2503</v>
      </c>
      <c r="AE244" s="364" t="s">
        <v>88</v>
      </c>
      <c r="AF244" s="364" t="s">
        <v>1416</v>
      </c>
      <c r="AG244" s="364" t="s">
        <v>1415</v>
      </c>
      <c r="AH244" s="364" t="s">
        <v>2019</v>
      </c>
      <c r="AI244" s="364" t="s">
        <v>2493</v>
      </c>
      <c r="AJ244" s="364" t="s">
        <v>995</v>
      </c>
      <c r="AK244" s="364" t="s">
        <v>647</v>
      </c>
      <c r="AL244" s="364" t="s">
        <v>1412</v>
      </c>
      <c r="AM244" s="364" t="s">
        <v>668</v>
      </c>
      <c r="AN244" s="364" t="s">
        <v>1411</v>
      </c>
    </row>
    <row r="245" spans="1:40" x14ac:dyDescent="0.3">
      <c r="A245" s="364" t="s">
        <v>2497</v>
      </c>
      <c r="B245" s="364" t="s">
        <v>661</v>
      </c>
      <c r="C245" s="364" t="s">
        <v>1420</v>
      </c>
      <c r="D245" s="364" t="s">
        <v>90</v>
      </c>
      <c r="E245" s="364" t="s">
        <v>816</v>
      </c>
      <c r="F245" s="364" t="s">
        <v>1019</v>
      </c>
      <c r="G245" s="364" t="s">
        <v>658</v>
      </c>
      <c r="H245" s="364" t="s">
        <v>2496</v>
      </c>
      <c r="I245" s="364" t="s">
        <v>2495</v>
      </c>
      <c r="J245" s="364" t="s">
        <v>673</v>
      </c>
      <c r="K245" s="364" t="s">
        <v>668</v>
      </c>
      <c r="L245" s="364" t="s">
        <v>190</v>
      </c>
      <c r="M245" s="364" t="s">
        <v>713</v>
      </c>
      <c r="N245" s="364" t="s">
        <v>654</v>
      </c>
      <c r="O245" s="364" t="s">
        <v>653</v>
      </c>
      <c r="P245" s="364" t="s">
        <v>198</v>
      </c>
      <c r="Q245" s="364" t="s">
        <v>652</v>
      </c>
      <c r="R245" s="364" t="s">
        <v>88</v>
      </c>
      <c r="S245" s="364" t="s">
        <v>88</v>
      </c>
      <c r="T245" s="364" t="s">
        <v>88</v>
      </c>
      <c r="U245" s="364" t="s">
        <v>88</v>
      </c>
      <c r="V245" s="364" t="s">
        <v>88</v>
      </c>
      <c r="W245" s="364" t="s">
        <v>88</v>
      </c>
      <c r="X245" s="364" t="s">
        <v>88</v>
      </c>
      <c r="Y245" s="364" t="s">
        <v>88</v>
      </c>
      <c r="Z245" s="364" t="s">
        <v>712</v>
      </c>
      <c r="AA245" s="364" t="s">
        <v>711</v>
      </c>
      <c r="AB245" s="364" t="s">
        <v>2502</v>
      </c>
      <c r="AC245" s="364" t="s">
        <v>2502</v>
      </c>
      <c r="AD245" s="364" t="s">
        <v>2502</v>
      </c>
      <c r="AE245" s="364" t="s">
        <v>88</v>
      </c>
      <c r="AF245" s="364" t="s">
        <v>1416</v>
      </c>
      <c r="AG245" s="364" t="s">
        <v>1415</v>
      </c>
      <c r="AH245" s="364" t="s">
        <v>1427</v>
      </c>
      <c r="AI245" s="364" t="s">
        <v>2493</v>
      </c>
      <c r="AJ245" s="364" t="s">
        <v>995</v>
      </c>
      <c r="AK245" s="364" t="s">
        <v>647</v>
      </c>
      <c r="AL245" s="364" t="s">
        <v>1412</v>
      </c>
      <c r="AM245" s="364" t="s">
        <v>668</v>
      </c>
      <c r="AN245" s="364" t="s">
        <v>1411</v>
      </c>
    </row>
    <row r="246" spans="1:40" x14ac:dyDescent="0.3">
      <c r="A246" s="364" t="s">
        <v>2497</v>
      </c>
      <c r="B246" s="364" t="s">
        <v>661</v>
      </c>
      <c r="C246" s="364" t="s">
        <v>1420</v>
      </c>
      <c r="D246" s="364" t="s">
        <v>90</v>
      </c>
      <c r="E246" s="364" t="s">
        <v>816</v>
      </c>
      <c r="F246" s="364" t="s">
        <v>1019</v>
      </c>
      <c r="G246" s="364" t="s">
        <v>658</v>
      </c>
      <c r="H246" s="364" t="s">
        <v>2496</v>
      </c>
      <c r="I246" s="364" t="s">
        <v>2495</v>
      </c>
      <c r="J246" s="364" t="s">
        <v>673</v>
      </c>
      <c r="K246" s="364" t="s">
        <v>668</v>
      </c>
      <c r="L246" s="364" t="s">
        <v>190</v>
      </c>
      <c r="M246" s="364" t="s">
        <v>55</v>
      </c>
      <c r="N246" s="364" t="s">
        <v>654</v>
      </c>
      <c r="O246" s="364" t="s">
        <v>653</v>
      </c>
      <c r="P246" s="364" t="s">
        <v>198</v>
      </c>
      <c r="Q246" s="364" t="s">
        <v>652</v>
      </c>
      <c r="R246" s="364" t="s">
        <v>88</v>
      </c>
      <c r="S246" s="364" t="s">
        <v>88</v>
      </c>
      <c r="T246" s="364" t="s">
        <v>88</v>
      </c>
      <c r="U246" s="364" t="s">
        <v>88</v>
      </c>
      <c r="V246" s="364" t="s">
        <v>88</v>
      </c>
      <c r="W246" s="364" t="s">
        <v>88</v>
      </c>
      <c r="X246" s="364" t="s">
        <v>88</v>
      </c>
      <c r="Y246" s="364" t="s">
        <v>88</v>
      </c>
      <c r="Z246" s="364" t="s">
        <v>719</v>
      </c>
      <c r="AA246" s="364" t="s">
        <v>649</v>
      </c>
      <c r="AB246" s="364" t="s">
        <v>2501</v>
      </c>
      <c r="AC246" s="364" t="s">
        <v>2501</v>
      </c>
      <c r="AD246" s="364" t="s">
        <v>2501</v>
      </c>
      <c r="AE246" s="364" t="s">
        <v>88</v>
      </c>
      <c r="AF246" s="364" t="s">
        <v>1416</v>
      </c>
      <c r="AG246" s="364" t="s">
        <v>1415</v>
      </c>
      <c r="AH246" s="364" t="s">
        <v>2123</v>
      </c>
      <c r="AI246" s="364" t="s">
        <v>2493</v>
      </c>
      <c r="AJ246" s="364" t="s">
        <v>995</v>
      </c>
      <c r="AK246" s="364" t="s">
        <v>647</v>
      </c>
      <c r="AL246" s="364" t="s">
        <v>1412</v>
      </c>
      <c r="AM246" s="364" t="s">
        <v>668</v>
      </c>
      <c r="AN246" s="364" t="s">
        <v>1411</v>
      </c>
    </row>
    <row r="247" spans="1:40" x14ac:dyDescent="0.3">
      <c r="A247" s="364" t="s">
        <v>2497</v>
      </c>
      <c r="B247" s="364" t="s">
        <v>661</v>
      </c>
      <c r="C247" s="364" t="s">
        <v>1420</v>
      </c>
      <c r="D247" s="364" t="s">
        <v>90</v>
      </c>
      <c r="E247" s="364" t="s">
        <v>816</v>
      </c>
      <c r="F247" s="364" t="s">
        <v>1019</v>
      </c>
      <c r="G247" s="364" t="s">
        <v>658</v>
      </c>
      <c r="H247" s="364" t="s">
        <v>2496</v>
      </c>
      <c r="I247" s="364" t="s">
        <v>2495</v>
      </c>
      <c r="J247" s="364" t="s">
        <v>673</v>
      </c>
      <c r="K247" s="364" t="s">
        <v>668</v>
      </c>
      <c r="L247" s="364" t="s">
        <v>190</v>
      </c>
      <c r="M247" s="364" t="s">
        <v>718</v>
      </c>
      <c r="N247" s="364" t="s">
        <v>654</v>
      </c>
      <c r="O247" s="364" t="s">
        <v>653</v>
      </c>
      <c r="P247" s="364" t="s">
        <v>198</v>
      </c>
      <c r="Q247" s="364" t="s">
        <v>652</v>
      </c>
      <c r="R247" s="364" t="s">
        <v>88</v>
      </c>
      <c r="S247" s="364" t="s">
        <v>88</v>
      </c>
      <c r="T247" s="364" t="s">
        <v>88</v>
      </c>
      <c r="U247" s="364" t="s">
        <v>88</v>
      </c>
      <c r="V247" s="364" t="s">
        <v>88</v>
      </c>
      <c r="W247" s="364" t="s">
        <v>88</v>
      </c>
      <c r="X247" s="364" t="s">
        <v>88</v>
      </c>
      <c r="Y247" s="364" t="s">
        <v>88</v>
      </c>
      <c r="Z247" s="364" t="s">
        <v>717</v>
      </c>
      <c r="AA247" s="364" t="s">
        <v>649</v>
      </c>
      <c r="AB247" s="364" t="s">
        <v>2500</v>
      </c>
      <c r="AC247" s="364" t="s">
        <v>2500</v>
      </c>
      <c r="AD247" s="364" t="s">
        <v>2500</v>
      </c>
      <c r="AE247" s="364" t="s">
        <v>88</v>
      </c>
      <c r="AF247" s="364" t="s">
        <v>1416</v>
      </c>
      <c r="AG247" s="364" t="s">
        <v>1415</v>
      </c>
      <c r="AH247" s="364" t="s">
        <v>2007</v>
      </c>
      <c r="AI247" s="364" t="s">
        <v>2493</v>
      </c>
      <c r="AJ247" s="364" t="s">
        <v>995</v>
      </c>
      <c r="AK247" s="364" t="s">
        <v>647</v>
      </c>
      <c r="AL247" s="364" t="s">
        <v>1412</v>
      </c>
      <c r="AM247" s="364" t="s">
        <v>668</v>
      </c>
      <c r="AN247" s="364" t="s">
        <v>1411</v>
      </c>
    </row>
    <row r="248" spans="1:40" x14ac:dyDescent="0.3">
      <c r="A248" s="364" t="s">
        <v>2497</v>
      </c>
      <c r="B248" s="364" t="s">
        <v>661</v>
      </c>
      <c r="C248" s="364" t="s">
        <v>1420</v>
      </c>
      <c r="D248" s="364" t="s">
        <v>90</v>
      </c>
      <c r="E248" s="364" t="s">
        <v>816</v>
      </c>
      <c r="F248" s="364" t="s">
        <v>1019</v>
      </c>
      <c r="G248" s="364" t="s">
        <v>658</v>
      </c>
      <c r="H248" s="364" t="s">
        <v>2496</v>
      </c>
      <c r="I248" s="364" t="s">
        <v>2495</v>
      </c>
      <c r="J248" s="364" t="s">
        <v>673</v>
      </c>
      <c r="K248" s="364" t="s">
        <v>668</v>
      </c>
      <c r="L248" s="364" t="s">
        <v>190</v>
      </c>
      <c r="M248" s="364" t="s">
        <v>61</v>
      </c>
      <c r="N248" s="364" t="s">
        <v>654</v>
      </c>
      <c r="O248" s="364" t="s">
        <v>653</v>
      </c>
      <c r="P248" s="364" t="s">
        <v>198</v>
      </c>
      <c r="Q248" s="364" t="s">
        <v>652</v>
      </c>
      <c r="R248" s="364" t="s">
        <v>88</v>
      </c>
      <c r="S248" s="364" t="s">
        <v>88</v>
      </c>
      <c r="T248" s="364" t="s">
        <v>88</v>
      </c>
      <c r="U248" s="364" t="s">
        <v>88</v>
      </c>
      <c r="V248" s="364" t="s">
        <v>88</v>
      </c>
      <c r="W248" s="364" t="s">
        <v>88</v>
      </c>
      <c r="X248" s="364" t="s">
        <v>88</v>
      </c>
      <c r="Y248" s="364" t="s">
        <v>88</v>
      </c>
      <c r="Z248" s="364" t="s">
        <v>1021</v>
      </c>
      <c r="AA248" s="364" t="s">
        <v>671</v>
      </c>
      <c r="AB248" s="364" t="s">
        <v>2499</v>
      </c>
      <c r="AC248" s="364" t="s">
        <v>2499</v>
      </c>
      <c r="AD248" s="364" t="s">
        <v>2499</v>
      </c>
      <c r="AE248" s="364" t="s">
        <v>88</v>
      </c>
      <c r="AF248" s="364" t="s">
        <v>1416</v>
      </c>
      <c r="AG248" s="364" t="s">
        <v>1415</v>
      </c>
      <c r="AH248" s="364" t="s">
        <v>1433</v>
      </c>
      <c r="AI248" s="364" t="s">
        <v>2493</v>
      </c>
      <c r="AJ248" s="364" t="s">
        <v>995</v>
      </c>
      <c r="AK248" s="364" t="s">
        <v>647</v>
      </c>
      <c r="AL248" s="364" t="s">
        <v>1412</v>
      </c>
      <c r="AM248" s="364" t="s">
        <v>668</v>
      </c>
      <c r="AN248" s="364" t="s">
        <v>1411</v>
      </c>
    </row>
    <row r="249" spans="1:40" x14ac:dyDescent="0.3">
      <c r="A249" s="364" t="s">
        <v>2497</v>
      </c>
      <c r="B249" s="364" t="s">
        <v>661</v>
      </c>
      <c r="C249" s="364" t="s">
        <v>1420</v>
      </c>
      <c r="D249" s="364" t="s">
        <v>90</v>
      </c>
      <c r="E249" s="364" t="s">
        <v>816</v>
      </c>
      <c r="F249" s="364" t="s">
        <v>1019</v>
      </c>
      <c r="G249" s="364" t="s">
        <v>658</v>
      </c>
      <c r="H249" s="364" t="s">
        <v>2496</v>
      </c>
      <c r="I249" s="364" t="s">
        <v>2495</v>
      </c>
      <c r="J249" s="364" t="s">
        <v>673</v>
      </c>
      <c r="K249" s="364" t="s">
        <v>668</v>
      </c>
      <c r="L249" s="364" t="s">
        <v>190</v>
      </c>
      <c r="M249" s="364" t="s">
        <v>63</v>
      </c>
      <c r="N249" s="364" t="s">
        <v>654</v>
      </c>
      <c r="O249" s="364" t="s">
        <v>653</v>
      </c>
      <c r="P249" s="364" t="s">
        <v>198</v>
      </c>
      <c r="Q249" s="364" t="s">
        <v>652</v>
      </c>
      <c r="R249" s="364" t="s">
        <v>88</v>
      </c>
      <c r="S249" s="364" t="s">
        <v>88</v>
      </c>
      <c r="T249" s="364" t="s">
        <v>88</v>
      </c>
      <c r="U249" s="364" t="s">
        <v>88</v>
      </c>
      <c r="V249" s="364" t="s">
        <v>88</v>
      </c>
      <c r="W249" s="364" t="s">
        <v>88</v>
      </c>
      <c r="X249" s="364" t="s">
        <v>88</v>
      </c>
      <c r="Y249" s="364" t="s">
        <v>88</v>
      </c>
      <c r="Z249" s="364" t="s">
        <v>1750</v>
      </c>
      <c r="AA249" s="364" t="s">
        <v>671</v>
      </c>
      <c r="AB249" s="364" t="s">
        <v>2498</v>
      </c>
      <c r="AC249" s="364" t="s">
        <v>2498</v>
      </c>
      <c r="AD249" s="364" t="s">
        <v>2498</v>
      </c>
      <c r="AE249" s="364" t="s">
        <v>88</v>
      </c>
      <c r="AF249" s="364" t="s">
        <v>1416</v>
      </c>
      <c r="AG249" s="364" t="s">
        <v>1415</v>
      </c>
      <c r="AH249" s="364" t="s">
        <v>1427</v>
      </c>
      <c r="AI249" s="364" t="s">
        <v>2493</v>
      </c>
      <c r="AJ249" s="364" t="s">
        <v>995</v>
      </c>
      <c r="AK249" s="364" t="s">
        <v>647</v>
      </c>
      <c r="AL249" s="364" t="s">
        <v>1412</v>
      </c>
      <c r="AM249" s="364" t="s">
        <v>668</v>
      </c>
      <c r="AN249" s="364" t="s">
        <v>1411</v>
      </c>
    </row>
    <row r="250" spans="1:40" x14ac:dyDescent="0.3">
      <c r="A250" s="364" t="s">
        <v>2497</v>
      </c>
      <c r="B250" s="364" t="s">
        <v>661</v>
      </c>
      <c r="C250" s="364" t="s">
        <v>1420</v>
      </c>
      <c r="D250" s="364" t="s">
        <v>90</v>
      </c>
      <c r="E250" s="364" t="s">
        <v>816</v>
      </c>
      <c r="F250" s="364" t="s">
        <v>1019</v>
      </c>
      <c r="G250" s="364" t="s">
        <v>658</v>
      </c>
      <c r="H250" s="364" t="s">
        <v>2496</v>
      </c>
      <c r="I250" s="364" t="s">
        <v>2495</v>
      </c>
      <c r="J250" s="364" t="s">
        <v>673</v>
      </c>
      <c r="K250" s="364" t="s">
        <v>668</v>
      </c>
      <c r="L250" s="364" t="s">
        <v>190</v>
      </c>
      <c r="M250" s="364" t="s">
        <v>1168</v>
      </c>
      <c r="N250" s="364" t="s">
        <v>654</v>
      </c>
      <c r="O250" s="364" t="s">
        <v>653</v>
      </c>
      <c r="P250" s="364" t="s">
        <v>198</v>
      </c>
      <c r="Q250" s="364" t="s">
        <v>652</v>
      </c>
      <c r="R250" s="364" t="s">
        <v>88</v>
      </c>
      <c r="S250" s="364" t="s">
        <v>88</v>
      </c>
      <c r="T250" s="364" t="s">
        <v>88</v>
      </c>
      <c r="U250" s="364" t="s">
        <v>88</v>
      </c>
      <c r="V250" s="364" t="s">
        <v>88</v>
      </c>
      <c r="W250" s="364" t="s">
        <v>88</v>
      </c>
      <c r="X250" s="364" t="s">
        <v>88</v>
      </c>
      <c r="Y250" s="364" t="s">
        <v>88</v>
      </c>
      <c r="Z250" s="364" t="s">
        <v>1167</v>
      </c>
      <c r="AA250" s="364" t="s">
        <v>1166</v>
      </c>
      <c r="AB250" s="364" t="s">
        <v>1445</v>
      </c>
      <c r="AC250" s="364" t="s">
        <v>1445</v>
      </c>
      <c r="AD250" s="364" t="s">
        <v>1445</v>
      </c>
      <c r="AE250" s="364" t="s">
        <v>88</v>
      </c>
      <c r="AF250" s="364" t="s">
        <v>1416</v>
      </c>
      <c r="AG250" s="364" t="s">
        <v>1415</v>
      </c>
      <c r="AH250" s="364" t="s">
        <v>1444</v>
      </c>
      <c r="AI250" s="364" t="s">
        <v>2493</v>
      </c>
      <c r="AJ250" s="364" t="s">
        <v>995</v>
      </c>
      <c r="AK250" s="364" t="s">
        <v>647</v>
      </c>
      <c r="AL250" s="364" t="s">
        <v>1412</v>
      </c>
      <c r="AM250" s="364" t="s">
        <v>668</v>
      </c>
      <c r="AN250" s="364" t="s">
        <v>1411</v>
      </c>
    </row>
    <row r="251" spans="1:40" x14ac:dyDescent="0.3">
      <c r="A251" s="364" t="s">
        <v>2497</v>
      </c>
      <c r="B251" s="364" t="s">
        <v>661</v>
      </c>
      <c r="C251" s="364" t="s">
        <v>1420</v>
      </c>
      <c r="D251" s="364" t="s">
        <v>90</v>
      </c>
      <c r="E251" s="364" t="s">
        <v>816</v>
      </c>
      <c r="F251" s="364" t="s">
        <v>1019</v>
      </c>
      <c r="G251" s="364" t="s">
        <v>658</v>
      </c>
      <c r="H251" s="364" t="s">
        <v>2496</v>
      </c>
      <c r="I251" s="364" t="s">
        <v>2495</v>
      </c>
      <c r="J251" s="364" t="s">
        <v>673</v>
      </c>
      <c r="K251" s="364" t="s">
        <v>668</v>
      </c>
      <c r="L251" s="364" t="s">
        <v>190</v>
      </c>
      <c r="M251" s="364" t="s">
        <v>165</v>
      </c>
      <c r="N251" s="364" t="s">
        <v>654</v>
      </c>
      <c r="O251" s="364" t="s">
        <v>653</v>
      </c>
      <c r="P251" s="364" t="s">
        <v>198</v>
      </c>
      <c r="Q251" s="364" t="s">
        <v>652</v>
      </c>
      <c r="R251" s="364" t="s">
        <v>88</v>
      </c>
      <c r="S251" s="364" t="s">
        <v>88</v>
      </c>
      <c r="T251" s="364" t="s">
        <v>88</v>
      </c>
      <c r="U251" s="364" t="s">
        <v>88</v>
      </c>
      <c r="V251" s="364" t="s">
        <v>88</v>
      </c>
      <c r="W251" s="364" t="s">
        <v>88</v>
      </c>
      <c r="X251" s="364" t="s">
        <v>88</v>
      </c>
      <c r="Y251" s="364" t="s">
        <v>88</v>
      </c>
      <c r="Z251" s="364" t="s">
        <v>2027</v>
      </c>
      <c r="AA251" s="364" t="s">
        <v>688</v>
      </c>
      <c r="AB251" s="364" t="s">
        <v>2494</v>
      </c>
      <c r="AC251" s="364" t="s">
        <v>2494</v>
      </c>
      <c r="AD251" s="364" t="s">
        <v>2494</v>
      </c>
      <c r="AE251" s="364" t="s">
        <v>88</v>
      </c>
      <c r="AF251" s="364" t="s">
        <v>1416</v>
      </c>
      <c r="AG251" s="364" t="s">
        <v>1415</v>
      </c>
      <c r="AH251" s="364" t="s">
        <v>2118</v>
      </c>
      <c r="AI251" s="364" t="s">
        <v>2493</v>
      </c>
      <c r="AJ251" s="364" t="s">
        <v>995</v>
      </c>
      <c r="AK251" s="364" t="s">
        <v>647</v>
      </c>
      <c r="AL251" s="364" t="s">
        <v>1412</v>
      </c>
      <c r="AM251" s="364" t="s">
        <v>668</v>
      </c>
      <c r="AN251" s="364" t="s">
        <v>1411</v>
      </c>
    </row>
    <row r="252" spans="1:40" x14ac:dyDescent="0.3">
      <c r="A252" s="364" t="s">
        <v>2488</v>
      </c>
      <c r="B252" s="364" t="s">
        <v>661</v>
      </c>
      <c r="C252" s="364" t="s">
        <v>1420</v>
      </c>
      <c r="D252" s="364" t="s">
        <v>87</v>
      </c>
      <c r="E252" s="364" t="s">
        <v>816</v>
      </c>
      <c r="F252" s="364" t="s">
        <v>1019</v>
      </c>
      <c r="G252" s="364" t="s">
        <v>658</v>
      </c>
      <c r="H252" s="364" t="s">
        <v>2487</v>
      </c>
      <c r="I252" s="364" t="s">
        <v>2486</v>
      </c>
      <c r="J252" s="364" t="s">
        <v>673</v>
      </c>
      <c r="K252" s="364" t="s">
        <v>668</v>
      </c>
      <c r="L252" s="364" t="s">
        <v>190</v>
      </c>
      <c r="M252" s="364" t="s">
        <v>166</v>
      </c>
      <c r="N252" s="364" t="s">
        <v>654</v>
      </c>
      <c r="O252" s="364" t="s">
        <v>653</v>
      </c>
      <c r="P252" s="364" t="s">
        <v>198</v>
      </c>
      <c r="Q252" s="364" t="s">
        <v>652</v>
      </c>
      <c r="R252" s="364" t="s">
        <v>88</v>
      </c>
      <c r="S252" s="364" t="s">
        <v>88</v>
      </c>
      <c r="T252" s="364" t="s">
        <v>88</v>
      </c>
      <c r="U252" s="364" t="s">
        <v>88</v>
      </c>
      <c r="V252" s="364" t="s">
        <v>88</v>
      </c>
      <c r="W252" s="364" t="s">
        <v>88</v>
      </c>
      <c r="X252" s="364" t="s">
        <v>88</v>
      </c>
      <c r="Y252" s="364" t="s">
        <v>88</v>
      </c>
      <c r="Z252" s="364" t="s">
        <v>877</v>
      </c>
      <c r="AA252" s="364" t="s">
        <v>876</v>
      </c>
      <c r="AB252" s="364" t="s">
        <v>2492</v>
      </c>
      <c r="AC252" s="364" t="s">
        <v>2492</v>
      </c>
      <c r="AD252" s="364" t="s">
        <v>2492</v>
      </c>
      <c r="AE252" s="364" t="s">
        <v>88</v>
      </c>
      <c r="AF252" s="364" t="s">
        <v>1416</v>
      </c>
      <c r="AG252" s="364" t="s">
        <v>1415</v>
      </c>
      <c r="AH252" s="364" t="s">
        <v>1456</v>
      </c>
      <c r="AI252" s="364" t="s">
        <v>2484</v>
      </c>
      <c r="AJ252" s="364" t="s">
        <v>1446</v>
      </c>
      <c r="AK252" s="364" t="s">
        <v>669</v>
      </c>
      <c r="AL252" s="364" t="s">
        <v>1412</v>
      </c>
      <c r="AM252" s="364" t="s">
        <v>668</v>
      </c>
      <c r="AN252" s="364" t="s">
        <v>1411</v>
      </c>
    </row>
    <row r="253" spans="1:40" x14ac:dyDescent="0.3">
      <c r="A253" s="364" t="s">
        <v>2488</v>
      </c>
      <c r="B253" s="364" t="s">
        <v>661</v>
      </c>
      <c r="C253" s="364" t="s">
        <v>1420</v>
      </c>
      <c r="D253" s="364" t="s">
        <v>87</v>
      </c>
      <c r="E253" s="364" t="s">
        <v>816</v>
      </c>
      <c r="F253" s="364" t="s">
        <v>1019</v>
      </c>
      <c r="G253" s="364" t="s">
        <v>658</v>
      </c>
      <c r="H253" s="364" t="s">
        <v>2487</v>
      </c>
      <c r="I253" s="364" t="s">
        <v>2486</v>
      </c>
      <c r="J253" s="364" t="s">
        <v>673</v>
      </c>
      <c r="K253" s="364" t="s">
        <v>668</v>
      </c>
      <c r="L253" s="364" t="s">
        <v>190</v>
      </c>
      <c r="M253" s="364" t="s">
        <v>62</v>
      </c>
      <c r="N253" s="364" t="s">
        <v>654</v>
      </c>
      <c r="O253" s="364" t="s">
        <v>653</v>
      </c>
      <c r="P253" s="364" t="s">
        <v>198</v>
      </c>
      <c r="Q253" s="364" t="s">
        <v>652</v>
      </c>
      <c r="R253" s="364" t="s">
        <v>88</v>
      </c>
      <c r="S253" s="364" t="s">
        <v>88</v>
      </c>
      <c r="T253" s="364" t="s">
        <v>88</v>
      </c>
      <c r="U253" s="364" t="s">
        <v>88</v>
      </c>
      <c r="V253" s="364" t="s">
        <v>88</v>
      </c>
      <c r="W253" s="364" t="s">
        <v>88</v>
      </c>
      <c r="X253" s="364" t="s">
        <v>88</v>
      </c>
      <c r="Y253" s="364" t="s">
        <v>88</v>
      </c>
      <c r="Z253" s="364" t="s">
        <v>689</v>
      </c>
      <c r="AA253" s="364" t="s">
        <v>688</v>
      </c>
      <c r="AB253" s="364" t="s">
        <v>2491</v>
      </c>
      <c r="AC253" s="364" t="s">
        <v>2491</v>
      </c>
      <c r="AD253" s="364" t="s">
        <v>2491</v>
      </c>
      <c r="AE253" s="364" t="s">
        <v>88</v>
      </c>
      <c r="AF253" s="364" t="s">
        <v>1416</v>
      </c>
      <c r="AG253" s="364" t="s">
        <v>1415</v>
      </c>
      <c r="AH253" s="364" t="s">
        <v>2131</v>
      </c>
      <c r="AI253" s="364" t="s">
        <v>2484</v>
      </c>
      <c r="AJ253" s="364" t="s">
        <v>1446</v>
      </c>
      <c r="AK253" s="364" t="s">
        <v>669</v>
      </c>
      <c r="AL253" s="364" t="s">
        <v>1412</v>
      </c>
      <c r="AM253" s="364" t="s">
        <v>668</v>
      </c>
      <c r="AN253" s="364" t="s">
        <v>1411</v>
      </c>
    </row>
    <row r="254" spans="1:40" x14ac:dyDescent="0.3">
      <c r="A254" s="364" t="s">
        <v>2488</v>
      </c>
      <c r="B254" s="364" t="s">
        <v>661</v>
      </c>
      <c r="C254" s="364" t="s">
        <v>1420</v>
      </c>
      <c r="D254" s="364" t="s">
        <v>87</v>
      </c>
      <c r="E254" s="364" t="s">
        <v>816</v>
      </c>
      <c r="F254" s="364" t="s">
        <v>1019</v>
      </c>
      <c r="G254" s="364" t="s">
        <v>658</v>
      </c>
      <c r="H254" s="364" t="s">
        <v>2487</v>
      </c>
      <c r="I254" s="364" t="s">
        <v>2486</v>
      </c>
      <c r="J254" s="364" t="s">
        <v>673</v>
      </c>
      <c r="K254" s="364" t="s">
        <v>668</v>
      </c>
      <c r="L254" s="364" t="s">
        <v>190</v>
      </c>
      <c r="M254" s="364" t="s">
        <v>60</v>
      </c>
      <c r="N254" s="364" t="s">
        <v>654</v>
      </c>
      <c r="O254" s="364" t="s">
        <v>653</v>
      </c>
      <c r="P254" s="364" t="s">
        <v>198</v>
      </c>
      <c r="Q254" s="364" t="s">
        <v>652</v>
      </c>
      <c r="R254" s="364" t="s">
        <v>88</v>
      </c>
      <c r="S254" s="364" t="s">
        <v>88</v>
      </c>
      <c r="T254" s="364" t="s">
        <v>88</v>
      </c>
      <c r="U254" s="364" t="s">
        <v>88</v>
      </c>
      <c r="V254" s="364" t="s">
        <v>88</v>
      </c>
      <c r="W254" s="364" t="s">
        <v>88</v>
      </c>
      <c r="X254" s="364" t="s">
        <v>88</v>
      </c>
      <c r="Y254" s="364" t="s">
        <v>88</v>
      </c>
      <c r="Z254" s="364" t="s">
        <v>709</v>
      </c>
      <c r="AA254" s="364" t="s">
        <v>708</v>
      </c>
      <c r="AB254" s="364" t="s">
        <v>2490</v>
      </c>
      <c r="AC254" s="364" t="s">
        <v>2490</v>
      </c>
      <c r="AD254" s="364" t="s">
        <v>2490</v>
      </c>
      <c r="AE254" s="364" t="s">
        <v>88</v>
      </c>
      <c r="AF254" s="364" t="s">
        <v>1416</v>
      </c>
      <c r="AG254" s="364" t="s">
        <v>1415</v>
      </c>
      <c r="AH254" s="364" t="s">
        <v>1461</v>
      </c>
      <c r="AI254" s="364" t="s">
        <v>2484</v>
      </c>
      <c r="AJ254" s="364" t="s">
        <v>1446</v>
      </c>
      <c r="AK254" s="364" t="s">
        <v>669</v>
      </c>
      <c r="AL254" s="364" t="s">
        <v>1412</v>
      </c>
      <c r="AM254" s="364" t="s">
        <v>668</v>
      </c>
      <c r="AN254" s="364" t="s">
        <v>1411</v>
      </c>
    </row>
    <row r="255" spans="1:40" x14ac:dyDescent="0.3">
      <c r="A255" s="364" t="s">
        <v>2488</v>
      </c>
      <c r="B255" s="364" t="s">
        <v>661</v>
      </c>
      <c r="C255" s="364" t="s">
        <v>1420</v>
      </c>
      <c r="D255" s="364" t="s">
        <v>87</v>
      </c>
      <c r="E255" s="364" t="s">
        <v>816</v>
      </c>
      <c r="F255" s="364" t="s">
        <v>1019</v>
      </c>
      <c r="G255" s="364" t="s">
        <v>658</v>
      </c>
      <c r="H255" s="364" t="s">
        <v>2487</v>
      </c>
      <c r="I255" s="364" t="s">
        <v>2486</v>
      </c>
      <c r="J255" s="364" t="s">
        <v>198</v>
      </c>
      <c r="K255" s="364" t="s">
        <v>645</v>
      </c>
      <c r="L255" s="364" t="s">
        <v>188</v>
      </c>
      <c r="M255" s="364" t="s">
        <v>696</v>
      </c>
      <c r="N255" s="364" t="s">
        <v>654</v>
      </c>
      <c r="O255" s="364" t="s">
        <v>653</v>
      </c>
      <c r="P255" s="364" t="s">
        <v>198</v>
      </c>
      <c r="Q255" s="364" t="s">
        <v>652</v>
      </c>
      <c r="R255" s="364" t="s">
        <v>88</v>
      </c>
      <c r="S255" s="364" t="s">
        <v>88</v>
      </c>
      <c r="T255" s="364" t="s">
        <v>88</v>
      </c>
      <c r="U255" s="364" t="s">
        <v>88</v>
      </c>
      <c r="V255" s="364" t="s">
        <v>88</v>
      </c>
      <c r="W255" s="364" t="s">
        <v>88</v>
      </c>
      <c r="X255" s="364" t="s">
        <v>88</v>
      </c>
      <c r="Y255" s="364" t="s">
        <v>88</v>
      </c>
      <c r="Z255" s="364" t="s">
        <v>695</v>
      </c>
      <c r="AA255" s="364" t="s">
        <v>694</v>
      </c>
      <c r="AB255" s="364" t="s">
        <v>1455</v>
      </c>
      <c r="AC255" s="364" t="s">
        <v>1455</v>
      </c>
      <c r="AD255" s="364" t="s">
        <v>1455</v>
      </c>
      <c r="AE255" s="364" t="s">
        <v>88</v>
      </c>
      <c r="AF255" s="364" t="s">
        <v>1416</v>
      </c>
      <c r="AG255" s="364" t="s">
        <v>1415</v>
      </c>
      <c r="AH255" s="364" t="s">
        <v>1461</v>
      </c>
      <c r="AI255" s="364" t="s">
        <v>2484</v>
      </c>
      <c r="AJ255" s="364" t="s">
        <v>1446</v>
      </c>
      <c r="AK255" s="364" t="s">
        <v>669</v>
      </c>
      <c r="AL255" s="364" t="s">
        <v>1412</v>
      </c>
      <c r="AM255" s="364" t="s">
        <v>645</v>
      </c>
      <c r="AN255" s="364" t="s">
        <v>1411</v>
      </c>
    </row>
    <row r="256" spans="1:40" x14ac:dyDescent="0.3">
      <c r="A256" s="364" t="s">
        <v>2488</v>
      </c>
      <c r="B256" s="364" t="s">
        <v>661</v>
      </c>
      <c r="C256" s="364" t="s">
        <v>1420</v>
      </c>
      <c r="D256" s="364" t="s">
        <v>87</v>
      </c>
      <c r="E256" s="364" t="s">
        <v>816</v>
      </c>
      <c r="F256" s="364" t="s">
        <v>1019</v>
      </c>
      <c r="G256" s="364" t="s">
        <v>658</v>
      </c>
      <c r="H256" s="364" t="s">
        <v>2487</v>
      </c>
      <c r="I256" s="364" t="s">
        <v>2486</v>
      </c>
      <c r="J256" s="364" t="s">
        <v>673</v>
      </c>
      <c r="K256" s="364" t="s">
        <v>668</v>
      </c>
      <c r="L256" s="364" t="s">
        <v>190</v>
      </c>
      <c r="M256" s="364" t="s">
        <v>58</v>
      </c>
      <c r="N256" s="364" t="s">
        <v>654</v>
      </c>
      <c r="O256" s="364" t="s">
        <v>653</v>
      </c>
      <c r="P256" s="364" t="s">
        <v>198</v>
      </c>
      <c r="Q256" s="364" t="s">
        <v>652</v>
      </c>
      <c r="R256" s="364" t="s">
        <v>88</v>
      </c>
      <c r="S256" s="364" t="s">
        <v>88</v>
      </c>
      <c r="T256" s="364" t="s">
        <v>88</v>
      </c>
      <c r="U256" s="364" t="s">
        <v>88</v>
      </c>
      <c r="V256" s="364" t="s">
        <v>88</v>
      </c>
      <c r="W256" s="364" t="s">
        <v>88</v>
      </c>
      <c r="X256" s="364" t="s">
        <v>88</v>
      </c>
      <c r="Y256" s="364" t="s">
        <v>88</v>
      </c>
      <c r="Z256" s="364" t="s">
        <v>702</v>
      </c>
      <c r="AA256" s="364" t="s">
        <v>701</v>
      </c>
      <c r="AB256" s="364" t="s">
        <v>2489</v>
      </c>
      <c r="AC256" s="364" t="s">
        <v>2489</v>
      </c>
      <c r="AD256" s="364" t="s">
        <v>2489</v>
      </c>
      <c r="AE256" s="364" t="s">
        <v>88</v>
      </c>
      <c r="AF256" s="364" t="s">
        <v>1416</v>
      </c>
      <c r="AG256" s="364" t="s">
        <v>1415</v>
      </c>
      <c r="AH256" s="364" t="s">
        <v>1456</v>
      </c>
      <c r="AI256" s="364" t="s">
        <v>2484</v>
      </c>
      <c r="AJ256" s="364" t="s">
        <v>1446</v>
      </c>
      <c r="AK256" s="364" t="s">
        <v>669</v>
      </c>
      <c r="AL256" s="364" t="s">
        <v>1412</v>
      </c>
      <c r="AM256" s="364" t="s">
        <v>668</v>
      </c>
      <c r="AN256" s="364" t="s">
        <v>1411</v>
      </c>
    </row>
    <row r="257" spans="1:40" x14ac:dyDescent="0.3">
      <c r="A257" s="364" t="s">
        <v>2488</v>
      </c>
      <c r="B257" s="364" t="s">
        <v>661</v>
      </c>
      <c r="C257" s="364" t="s">
        <v>1420</v>
      </c>
      <c r="D257" s="364" t="s">
        <v>87</v>
      </c>
      <c r="E257" s="364" t="s">
        <v>816</v>
      </c>
      <c r="F257" s="364" t="s">
        <v>1019</v>
      </c>
      <c r="G257" s="364" t="s">
        <v>658</v>
      </c>
      <c r="H257" s="364" t="s">
        <v>2487</v>
      </c>
      <c r="I257" s="364" t="s">
        <v>2486</v>
      </c>
      <c r="J257" s="364" t="s">
        <v>673</v>
      </c>
      <c r="K257" s="364" t="s">
        <v>668</v>
      </c>
      <c r="L257" s="364" t="s">
        <v>190</v>
      </c>
      <c r="M257" s="364" t="s">
        <v>59</v>
      </c>
      <c r="N257" s="364" t="s">
        <v>654</v>
      </c>
      <c r="O257" s="364" t="s">
        <v>653</v>
      </c>
      <c r="P257" s="364" t="s">
        <v>198</v>
      </c>
      <c r="Q257" s="364" t="s">
        <v>652</v>
      </c>
      <c r="R257" s="364" t="s">
        <v>88</v>
      </c>
      <c r="S257" s="364" t="s">
        <v>88</v>
      </c>
      <c r="T257" s="364" t="s">
        <v>88</v>
      </c>
      <c r="U257" s="364" t="s">
        <v>88</v>
      </c>
      <c r="V257" s="364" t="s">
        <v>88</v>
      </c>
      <c r="W257" s="364" t="s">
        <v>88</v>
      </c>
      <c r="X257" s="364" t="s">
        <v>88</v>
      </c>
      <c r="Y257" s="364" t="s">
        <v>88</v>
      </c>
      <c r="Z257" s="364" t="s">
        <v>672</v>
      </c>
      <c r="AA257" s="364" t="s">
        <v>671</v>
      </c>
      <c r="AB257" s="364" t="s">
        <v>2485</v>
      </c>
      <c r="AC257" s="364" t="s">
        <v>2485</v>
      </c>
      <c r="AD257" s="364" t="s">
        <v>2485</v>
      </c>
      <c r="AE257" s="364" t="s">
        <v>88</v>
      </c>
      <c r="AF257" s="364" t="s">
        <v>1416</v>
      </c>
      <c r="AG257" s="364" t="s">
        <v>1415</v>
      </c>
      <c r="AH257" s="364" t="s">
        <v>1456</v>
      </c>
      <c r="AI257" s="364" t="s">
        <v>2484</v>
      </c>
      <c r="AJ257" s="364" t="s">
        <v>1446</v>
      </c>
      <c r="AK257" s="364" t="s">
        <v>669</v>
      </c>
      <c r="AL257" s="364" t="s">
        <v>1412</v>
      </c>
      <c r="AM257" s="364" t="s">
        <v>668</v>
      </c>
      <c r="AN257" s="364" t="s">
        <v>1411</v>
      </c>
    </row>
    <row r="258" spans="1:40" x14ac:dyDescent="0.3">
      <c r="A258" s="364" t="s">
        <v>2483</v>
      </c>
      <c r="B258" s="364" t="s">
        <v>661</v>
      </c>
      <c r="C258" s="364" t="s">
        <v>660</v>
      </c>
      <c r="D258" s="364" t="s">
        <v>90</v>
      </c>
      <c r="E258" s="364" t="s">
        <v>845</v>
      </c>
      <c r="F258" s="364" t="s">
        <v>845</v>
      </c>
      <c r="G258" s="364" t="s">
        <v>658</v>
      </c>
      <c r="H258" s="364" t="s">
        <v>2482</v>
      </c>
      <c r="I258" s="364" t="s">
        <v>2481</v>
      </c>
      <c r="J258" s="364" t="s">
        <v>673</v>
      </c>
      <c r="K258" s="364" t="s">
        <v>668</v>
      </c>
      <c r="L258" s="364" t="s">
        <v>190</v>
      </c>
      <c r="M258" s="364" t="s">
        <v>721</v>
      </c>
      <c r="N258" s="364" t="s">
        <v>654</v>
      </c>
      <c r="O258" s="364" t="s">
        <v>653</v>
      </c>
      <c r="P258" s="364" t="s">
        <v>198</v>
      </c>
      <c r="Q258" s="364" t="s">
        <v>652</v>
      </c>
      <c r="R258" s="364" t="s">
        <v>88</v>
      </c>
      <c r="S258" s="364" t="s">
        <v>88</v>
      </c>
      <c r="T258" s="364" t="s">
        <v>88</v>
      </c>
      <c r="U258" s="364" t="s">
        <v>88</v>
      </c>
      <c r="V258" s="364" t="s">
        <v>88</v>
      </c>
      <c r="W258" s="364" t="s">
        <v>88</v>
      </c>
      <c r="X258" s="364" t="s">
        <v>88</v>
      </c>
      <c r="Y258" s="364" t="s">
        <v>88</v>
      </c>
      <c r="Z258" s="364" t="s">
        <v>720</v>
      </c>
      <c r="AA258" s="364" t="s">
        <v>649</v>
      </c>
      <c r="AB258" s="364" t="s">
        <v>649</v>
      </c>
      <c r="AC258" s="364" t="s">
        <v>649</v>
      </c>
      <c r="AD258" s="364" t="s">
        <v>649</v>
      </c>
      <c r="AE258" s="364" t="s">
        <v>88</v>
      </c>
      <c r="AF258" s="364" t="s">
        <v>88</v>
      </c>
      <c r="AG258" s="364" t="s">
        <v>88</v>
      </c>
      <c r="AH258" s="364" t="s">
        <v>88</v>
      </c>
      <c r="AI258" s="364" t="s">
        <v>1155</v>
      </c>
      <c r="AJ258" s="364" t="s">
        <v>710</v>
      </c>
      <c r="AK258" s="364" t="s">
        <v>647</v>
      </c>
      <c r="AL258" s="364" t="s">
        <v>646</v>
      </c>
      <c r="AM258" s="364" t="s">
        <v>668</v>
      </c>
      <c r="AN258" s="364" t="s">
        <v>644</v>
      </c>
    </row>
    <row r="259" spans="1:40" x14ac:dyDescent="0.3">
      <c r="A259" s="364" t="s">
        <v>2483</v>
      </c>
      <c r="B259" s="364" t="s">
        <v>661</v>
      </c>
      <c r="C259" s="364" t="s">
        <v>660</v>
      </c>
      <c r="D259" s="364" t="s">
        <v>90</v>
      </c>
      <c r="E259" s="364" t="s">
        <v>845</v>
      </c>
      <c r="F259" s="364" t="s">
        <v>845</v>
      </c>
      <c r="G259" s="364" t="s">
        <v>658</v>
      </c>
      <c r="H259" s="364" t="s">
        <v>2482</v>
      </c>
      <c r="I259" s="364" t="s">
        <v>2481</v>
      </c>
      <c r="J259" s="364" t="s">
        <v>673</v>
      </c>
      <c r="K259" s="364" t="s">
        <v>668</v>
      </c>
      <c r="L259" s="364" t="s">
        <v>190</v>
      </c>
      <c r="M259" s="364" t="s">
        <v>55</v>
      </c>
      <c r="N259" s="364" t="s">
        <v>654</v>
      </c>
      <c r="O259" s="364" t="s">
        <v>653</v>
      </c>
      <c r="P259" s="364" t="s">
        <v>198</v>
      </c>
      <c r="Q259" s="364" t="s">
        <v>652</v>
      </c>
      <c r="R259" s="364" t="s">
        <v>88</v>
      </c>
      <c r="S259" s="364" t="s">
        <v>88</v>
      </c>
      <c r="T259" s="364" t="s">
        <v>88</v>
      </c>
      <c r="U259" s="364" t="s">
        <v>88</v>
      </c>
      <c r="V259" s="364" t="s">
        <v>88</v>
      </c>
      <c r="W259" s="364" t="s">
        <v>88</v>
      </c>
      <c r="X259" s="364" t="s">
        <v>88</v>
      </c>
      <c r="Y259" s="364" t="s">
        <v>88</v>
      </c>
      <c r="Z259" s="364" t="s">
        <v>719</v>
      </c>
      <c r="AA259" s="364" t="s">
        <v>649</v>
      </c>
      <c r="AB259" s="364" t="s">
        <v>649</v>
      </c>
      <c r="AC259" s="364" t="s">
        <v>649</v>
      </c>
      <c r="AD259" s="364" t="s">
        <v>649</v>
      </c>
      <c r="AE259" s="364" t="s">
        <v>88</v>
      </c>
      <c r="AF259" s="364" t="s">
        <v>88</v>
      </c>
      <c r="AG259" s="364" t="s">
        <v>88</v>
      </c>
      <c r="AH259" s="364" t="s">
        <v>88</v>
      </c>
      <c r="AI259" s="364" t="s">
        <v>1155</v>
      </c>
      <c r="AJ259" s="364" t="s">
        <v>710</v>
      </c>
      <c r="AK259" s="364" t="s">
        <v>647</v>
      </c>
      <c r="AL259" s="364" t="s">
        <v>646</v>
      </c>
      <c r="AM259" s="364" t="s">
        <v>668</v>
      </c>
      <c r="AN259" s="364" t="s">
        <v>644</v>
      </c>
    </row>
    <row r="260" spans="1:40" x14ac:dyDescent="0.3">
      <c r="A260" s="364" t="s">
        <v>2483</v>
      </c>
      <c r="B260" s="364" t="s">
        <v>661</v>
      </c>
      <c r="C260" s="364" t="s">
        <v>660</v>
      </c>
      <c r="D260" s="364" t="s">
        <v>90</v>
      </c>
      <c r="E260" s="364" t="s">
        <v>845</v>
      </c>
      <c r="F260" s="364" t="s">
        <v>845</v>
      </c>
      <c r="G260" s="364" t="s">
        <v>658</v>
      </c>
      <c r="H260" s="364" t="s">
        <v>2482</v>
      </c>
      <c r="I260" s="364" t="s">
        <v>2481</v>
      </c>
      <c r="J260" s="364" t="s">
        <v>673</v>
      </c>
      <c r="K260" s="364" t="s">
        <v>668</v>
      </c>
      <c r="L260" s="364" t="s">
        <v>190</v>
      </c>
      <c r="M260" s="364" t="s">
        <v>718</v>
      </c>
      <c r="N260" s="364" t="s">
        <v>654</v>
      </c>
      <c r="O260" s="364" t="s">
        <v>653</v>
      </c>
      <c r="P260" s="364" t="s">
        <v>198</v>
      </c>
      <c r="Q260" s="364" t="s">
        <v>652</v>
      </c>
      <c r="R260" s="364" t="s">
        <v>88</v>
      </c>
      <c r="S260" s="364" t="s">
        <v>88</v>
      </c>
      <c r="T260" s="364" t="s">
        <v>88</v>
      </c>
      <c r="U260" s="364" t="s">
        <v>88</v>
      </c>
      <c r="V260" s="364" t="s">
        <v>88</v>
      </c>
      <c r="W260" s="364" t="s">
        <v>88</v>
      </c>
      <c r="X260" s="364" t="s">
        <v>88</v>
      </c>
      <c r="Y260" s="364" t="s">
        <v>88</v>
      </c>
      <c r="Z260" s="364" t="s">
        <v>717</v>
      </c>
      <c r="AA260" s="364" t="s">
        <v>649</v>
      </c>
      <c r="AB260" s="364" t="s">
        <v>649</v>
      </c>
      <c r="AC260" s="364" t="s">
        <v>649</v>
      </c>
      <c r="AD260" s="364" t="s">
        <v>649</v>
      </c>
      <c r="AE260" s="364" t="s">
        <v>88</v>
      </c>
      <c r="AF260" s="364" t="s">
        <v>88</v>
      </c>
      <c r="AG260" s="364" t="s">
        <v>88</v>
      </c>
      <c r="AH260" s="364" t="s">
        <v>88</v>
      </c>
      <c r="AI260" s="364" t="s">
        <v>1155</v>
      </c>
      <c r="AJ260" s="364" t="s">
        <v>710</v>
      </c>
      <c r="AK260" s="364" t="s">
        <v>647</v>
      </c>
      <c r="AL260" s="364" t="s">
        <v>646</v>
      </c>
      <c r="AM260" s="364" t="s">
        <v>668</v>
      </c>
      <c r="AN260" s="364" t="s">
        <v>644</v>
      </c>
    </row>
    <row r="261" spans="1:40" x14ac:dyDescent="0.3">
      <c r="A261" s="364" t="s">
        <v>2483</v>
      </c>
      <c r="B261" s="364" t="s">
        <v>661</v>
      </c>
      <c r="C261" s="364" t="s">
        <v>660</v>
      </c>
      <c r="D261" s="364" t="s">
        <v>90</v>
      </c>
      <c r="E261" s="364" t="s">
        <v>845</v>
      </c>
      <c r="F261" s="364" t="s">
        <v>845</v>
      </c>
      <c r="G261" s="364" t="s">
        <v>658</v>
      </c>
      <c r="H261" s="364" t="s">
        <v>2482</v>
      </c>
      <c r="I261" s="364" t="s">
        <v>2481</v>
      </c>
      <c r="J261" s="364" t="s">
        <v>673</v>
      </c>
      <c r="K261" s="364" t="s">
        <v>668</v>
      </c>
      <c r="L261" s="364" t="s">
        <v>190</v>
      </c>
      <c r="M261" s="364" t="s">
        <v>725</v>
      </c>
      <c r="N261" s="364" t="s">
        <v>654</v>
      </c>
      <c r="O261" s="364" t="s">
        <v>653</v>
      </c>
      <c r="P261" s="364" t="s">
        <v>198</v>
      </c>
      <c r="Q261" s="364" t="s">
        <v>652</v>
      </c>
      <c r="R261" s="364" t="s">
        <v>88</v>
      </c>
      <c r="S261" s="364" t="s">
        <v>88</v>
      </c>
      <c r="T261" s="364" t="s">
        <v>88</v>
      </c>
      <c r="U261" s="364" t="s">
        <v>88</v>
      </c>
      <c r="V261" s="364" t="s">
        <v>88</v>
      </c>
      <c r="W261" s="364" t="s">
        <v>88</v>
      </c>
      <c r="X261" s="364" t="s">
        <v>88</v>
      </c>
      <c r="Y261" s="364" t="s">
        <v>88</v>
      </c>
      <c r="Z261" s="364" t="s">
        <v>724</v>
      </c>
      <c r="AA261" s="364" t="s">
        <v>649</v>
      </c>
      <c r="AB261" s="364" t="s">
        <v>649</v>
      </c>
      <c r="AC261" s="364" t="s">
        <v>649</v>
      </c>
      <c r="AD261" s="364" t="s">
        <v>649</v>
      </c>
      <c r="AE261" s="364" t="s">
        <v>88</v>
      </c>
      <c r="AF261" s="364" t="s">
        <v>88</v>
      </c>
      <c r="AG261" s="364" t="s">
        <v>88</v>
      </c>
      <c r="AH261" s="364" t="s">
        <v>88</v>
      </c>
      <c r="AI261" s="364" t="s">
        <v>1155</v>
      </c>
      <c r="AJ261" s="364" t="s">
        <v>710</v>
      </c>
      <c r="AK261" s="364" t="s">
        <v>647</v>
      </c>
      <c r="AL261" s="364" t="s">
        <v>646</v>
      </c>
      <c r="AM261" s="364" t="s">
        <v>668</v>
      </c>
      <c r="AN261" s="364" t="s">
        <v>644</v>
      </c>
    </row>
    <row r="262" spans="1:40" x14ac:dyDescent="0.3">
      <c r="A262" s="364" t="s">
        <v>2483</v>
      </c>
      <c r="B262" s="364" t="s">
        <v>661</v>
      </c>
      <c r="C262" s="364" t="s">
        <v>660</v>
      </c>
      <c r="D262" s="364" t="s">
        <v>90</v>
      </c>
      <c r="E262" s="364" t="s">
        <v>845</v>
      </c>
      <c r="F262" s="364" t="s">
        <v>845</v>
      </c>
      <c r="G262" s="364" t="s">
        <v>658</v>
      </c>
      <c r="H262" s="364" t="s">
        <v>2482</v>
      </c>
      <c r="I262" s="364" t="s">
        <v>2481</v>
      </c>
      <c r="J262" s="364" t="s">
        <v>673</v>
      </c>
      <c r="K262" s="364" t="s">
        <v>668</v>
      </c>
      <c r="L262" s="364" t="s">
        <v>190</v>
      </c>
      <c r="M262" s="364" t="s">
        <v>723</v>
      </c>
      <c r="N262" s="364" t="s">
        <v>654</v>
      </c>
      <c r="O262" s="364" t="s">
        <v>653</v>
      </c>
      <c r="P262" s="364" t="s">
        <v>198</v>
      </c>
      <c r="Q262" s="364" t="s">
        <v>652</v>
      </c>
      <c r="R262" s="364" t="s">
        <v>88</v>
      </c>
      <c r="S262" s="364" t="s">
        <v>88</v>
      </c>
      <c r="T262" s="364" t="s">
        <v>88</v>
      </c>
      <c r="U262" s="364" t="s">
        <v>88</v>
      </c>
      <c r="V262" s="364" t="s">
        <v>88</v>
      </c>
      <c r="W262" s="364" t="s">
        <v>88</v>
      </c>
      <c r="X262" s="364" t="s">
        <v>88</v>
      </c>
      <c r="Y262" s="364" t="s">
        <v>88</v>
      </c>
      <c r="Z262" s="364" t="s">
        <v>722</v>
      </c>
      <c r="AA262" s="364" t="s">
        <v>649</v>
      </c>
      <c r="AB262" s="364" t="s">
        <v>649</v>
      </c>
      <c r="AC262" s="364" t="s">
        <v>649</v>
      </c>
      <c r="AD262" s="364" t="s">
        <v>649</v>
      </c>
      <c r="AE262" s="364" t="s">
        <v>88</v>
      </c>
      <c r="AF262" s="364" t="s">
        <v>88</v>
      </c>
      <c r="AG262" s="364" t="s">
        <v>88</v>
      </c>
      <c r="AH262" s="364" t="s">
        <v>88</v>
      </c>
      <c r="AI262" s="364" t="s">
        <v>1155</v>
      </c>
      <c r="AJ262" s="364" t="s">
        <v>710</v>
      </c>
      <c r="AK262" s="364" t="s">
        <v>647</v>
      </c>
      <c r="AL262" s="364" t="s">
        <v>646</v>
      </c>
      <c r="AM262" s="364" t="s">
        <v>668</v>
      </c>
      <c r="AN262" s="364" t="s">
        <v>644</v>
      </c>
    </row>
    <row r="263" spans="1:40" x14ac:dyDescent="0.3">
      <c r="A263" s="364" t="s">
        <v>2483</v>
      </c>
      <c r="B263" s="364" t="s">
        <v>661</v>
      </c>
      <c r="C263" s="364" t="s">
        <v>660</v>
      </c>
      <c r="D263" s="364" t="s">
        <v>90</v>
      </c>
      <c r="E263" s="364" t="s">
        <v>845</v>
      </c>
      <c r="F263" s="364" t="s">
        <v>845</v>
      </c>
      <c r="G263" s="364" t="s">
        <v>658</v>
      </c>
      <c r="H263" s="364" t="s">
        <v>2482</v>
      </c>
      <c r="I263" s="364" t="s">
        <v>2481</v>
      </c>
      <c r="J263" s="364" t="s">
        <v>673</v>
      </c>
      <c r="K263" s="364" t="s">
        <v>668</v>
      </c>
      <c r="L263" s="364" t="s">
        <v>190</v>
      </c>
      <c r="M263" s="364" t="s">
        <v>713</v>
      </c>
      <c r="N263" s="364" t="s">
        <v>654</v>
      </c>
      <c r="O263" s="364" t="s">
        <v>653</v>
      </c>
      <c r="P263" s="364" t="s">
        <v>198</v>
      </c>
      <c r="Q263" s="364" t="s">
        <v>652</v>
      </c>
      <c r="R263" s="364" t="s">
        <v>88</v>
      </c>
      <c r="S263" s="364" t="s">
        <v>88</v>
      </c>
      <c r="T263" s="364" t="s">
        <v>88</v>
      </c>
      <c r="U263" s="364" t="s">
        <v>88</v>
      </c>
      <c r="V263" s="364" t="s">
        <v>88</v>
      </c>
      <c r="W263" s="364" t="s">
        <v>88</v>
      </c>
      <c r="X263" s="364" t="s">
        <v>88</v>
      </c>
      <c r="Y263" s="364" t="s">
        <v>88</v>
      </c>
      <c r="Z263" s="364" t="s">
        <v>712</v>
      </c>
      <c r="AA263" s="364" t="s">
        <v>711</v>
      </c>
      <c r="AB263" s="364" t="s">
        <v>649</v>
      </c>
      <c r="AC263" s="364" t="s">
        <v>649</v>
      </c>
      <c r="AD263" s="364" t="s">
        <v>649</v>
      </c>
      <c r="AE263" s="364" t="s">
        <v>88</v>
      </c>
      <c r="AF263" s="364" t="s">
        <v>88</v>
      </c>
      <c r="AG263" s="364" t="s">
        <v>88</v>
      </c>
      <c r="AH263" s="364" t="s">
        <v>88</v>
      </c>
      <c r="AI263" s="364" t="s">
        <v>1155</v>
      </c>
      <c r="AJ263" s="364" t="s">
        <v>710</v>
      </c>
      <c r="AK263" s="364" t="s">
        <v>647</v>
      </c>
      <c r="AL263" s="364" t="s">
        <v>646</v>
      </c>
      <c r="AM263" s="364" t="s">
        <v>668</v>
      </c>
      <c r="AN263" s="364" t="s">
        <v>644</v>
      </c>
    </row>
    <row r="264" spans="1:40" x14ac:dyDescent="0.3">
      <c r="A264" s="364" t="s">
        <v>2480</v>
      </c>
      <c r="B264" s="364" t="s">
        <v>661</v>
      </c>
      <c r="C264" s="364" t="s">
        <v>660</v>
      </c>
      <c r="D264" s="364" t="s">
        <v>90</v>
      </c>
      <c r="E264" s="364" t="s">
        <v>905</v>
      </c>
      <c r="F264" s="364" t="s">
        <v>905</v>
      </c>
      <c r="G264" s="364" t="s">
        <v>658</v>
      </c>
      <c r="H264" s="364" t="s">
        <v>2479</v>
      </c>
      <c r="I264" s="364" t="s">
        <v>2478</v>
      </c>
      <c r="J264" s="364" t="s">
        <v>673</v>
      </c>
      <c r="K264" s="364" t="s">
        <v>668</v>
      </c>
      <c r="L264" s="364" t="s">
        <v>190</v>
      </c>
      <c r="M264" s="364" t="s">
        <v>721</v>
      </c>
      <c r="N264" s="364" t="s">
        <v>654</v>
      </c>
      <c r="O264" s="364" t="s">
        <v>653</v>
      </c>
      <c r="P264" s="364" t="s">
        <v>198</v>
      </c>
      <c r="Q264" s="364" t="s">
        <v>652</v>
      </c>
      <c r="R264" s="364" t="s">
        <v>88</v>
      </c>
      <c r="S264" s="364" t="s">
        <v>88</v>
      </c>
      <c r="T264" s="364" t="s">
        <v>88</v>
      </c>
      <c r="U264" s="364" t="s">
        <v>88</v>
      </c>
      <c r="V264" s="364" t="s">
        <v>88</v>
      </c>
      <c r="W264" s="364" t="s">
        <v>88</v>
      </c>
      <c r="X264" s="364" t="s">
        <v>88</v>
      </c>
      <c r="Y264" s="364" t="s">
        <v>88</v>
      </c>
      <c r="Z264" s="364" t="s">
        <v>720</v>
      </c>
      <c r="AA264" s="364" t="s">
        <v>649</v>
      </c>
      <c r="AB264" s="364" t="s">
        <v>649</v>
      </c>
      <c r="AC264" s="364" t="s">
        <v>649</v>
      </c>
      <c r="AD264" s="364" t="s">
        <v>649</v>
      </c>
      <c r="AE264" s="364" t="s">
        <v>88</v>
      </c>
      <c r="AF264" s="364" t="s">
        <v>88</v>
      </c>
      <c r="AG264" s="364" t="s">
        <v>88</v>
      </c>
      <c r="AH264" s="364" t="s">
        <v>88</v>
      </c>
      <c r="AI264" s="364" t="s">
        <v>1155</v>
      </c>
      <c r="AJ264" s="364" t="s">
        <v>710</v>
      </c>
      <c r="AK264" s="364" t="s">
        <v>647</v>
      </c>
      <c r="AL264" s="364" t="s">
        <v>646</v>
      </c>
      <c r="AM264" s="364" t="s">
        <v>668</v>
      </c>
      <c r="AN264" s="364" t="s">
        <v>644</v>
      </c>
    </row>
    <row r="265" spans="1:40" x14ac:dyDescent="0.3">
      <c r="A265" s="364" t="s">
        <v>2480</v>
      </c>
      <c r="B265" s="364" t="s">
        <v>661</v>
      </c>
      <c r="C265" s="364" t="s">
        <v>660</v>
      </c>
      <c r="D265" s="364" t="s">
        <v>90</v>
      </c>
      <c r="E265" s="364" t="s">
        <v>905</v>
      </c>
      <c r="F265" s="364" t="s">
        <v>905</v>
      </c>
      <c r="G265" s="364" t="s">
        <v>658</v>
      </c>
      <c r="H265" s="364" t="s">
        <v>2479</v>
      </c>
      <c r="I265" s="364" t="s">
        <v>2478</v>
      </c>
      <c r="J265" s="364" t="s">
        <v>673</v>
      </c>
      <c r="K265" s="364" t="s">
        <v>668</v>
      </c>
      <c r="L265" s="364" t="s">
        <v>190</v>
      </c>
      <c r="M265" s="364" t="s">
        <v>55</v>
      </c>
      <c r="N265" s="364" t="s">
        <v>654</v>
      </c>
      <c r="O265" s="364" t="s">
        <v>653</v>
      </c>
      <c r="P265" s="364" t="s">
        <v>198</v>
      </c>
      <c r="Q265" s="364" t="s">
        <v>652</v>
      </c>
      <c r="R265" s="364" t="s">
        <v>88</v>
      </c>
      <c r="S265" s="364" t="s">
        <v>88</v>
      </c>
      <c r="T265" s="364" t="s">
        <v>88</v>
      </c>
      <c r="U265" s="364" t="s">
        <v>88</v>
      </c>
      <c r="V265" s="364" t="s">
        <v>88</v>
      </c>
      <c r="W265" s="364" t="s">
        <v>88</v>
      </c>
      <c r="X265" s="364" t="s">
        <v>88</v>
      </c>
      <c r="Y265" s="364" t="s">
        <v>88</v>
      </c>
      <c r="Z265" s="364" t="s">
        <v>719</v>
      </c>
      <c r="AA265" s="364" t="s">
        <v>649</v>
      </c>
      <c r="AB265" s="364" t="s">
        <v>649</v>
      </c>
      <c r="AC265" s="364" t="s">
        <v>649</v>
      </c>
      <c r="AD265" s="364" t="s">
        <v>649</v>
      </c>
      <c r="AE265" s="364" t="s">
        <v>88</v>
      </c>
      <c r="AF265" s="364" t="s">
        <v>88</v>
      </c>
      <c r="AG265" s="364" t="s">
        <v>88</v>
      </c>
      <c r="AH265" s="364" t="s">
        <v>88</v>
      </c>
      <c r="AI265" s="364" t="s">
        <v>1155</v>
      </c>
      <c r="AJ265" s="364" t="s">
        <v>710</v>
      </c>
      <c r="AK265" s="364" t="s">
        <v>647</v>
      </c>
      <c r="AL265" s="364" t="s">
        <v>646</v>
      </c>
      <c r="AM265" s="364" t="s">
        <v>668</v>
      </c>
      <c r="AN265" s="364" t="s">
        <v>644</v>
      </c>
    </row>
    <row r="266" spans="1:40" x14ac:dyDescent="0.3">
      <c r="A266" s="364" t="s">
        <v>2480</v>
      </c>
      <c r="B266" s="364" t="s">
        <v>661</v>
      </c>
      <c r="C266" s="364" t="s">
        <v>660</v>
      </c>
      <c r="D266" s="364" t="s">
        <v>90</v>
      </c>
      <c r="E266" s="364" t="s">
        <v>905</v>
      </c>
      <c r="F266" s="364" t="s">
        <v>905</v>
      </c>
      <c r="G266" s="364" t="s">
        <v>658</v>
      </c>
      <c r="H266" s="364" t="s">
        <v>2479</v>
      </c>
      <c r="I266" s="364" t="s">
        <v>2478</v>
      </c>
      <c r="J266" s="364" t="s">
        <v>673</v>
      </c>
      <c r="K266" s="364" t="s">
        <v>668</v>
      </c>
      <c r="L266" s="364" t="s">
        <v>190</v>
      </c>
      <c r="M266" s="364" t="s">
        <v>718</v>
      </c>
      <c r="N266" s="364" t="s">
        <v>654</v>
      </c>
      <c r="O266" s="364" t="s">
        <v>653</v>
      </c>
      <c r="P266" s="364" t="s">
        <v>198</v>
      </c>
      <c r="Q266" s="364" t="s">
        <v>652</v>
      </c>
      <c r="R266" s="364" t="s">
        <v>88</v>
      </c>
      <c r="S266" s="364" t="s">
        <v>88</v>
      </c>
      <c r="T266" s="364" t="s">
        <v>88</v>
      </c>
      <c r="U266" s="364" t="s">
        <v>88</v>
      </c>
      <c r="V266" s="364" t="s">
        <v>88</v>
      </c>
      <c r="W266" s="364" t="s">
        <v>88</v>
      </c>
      <c r="X266" s="364" t="s">
        <v>88</v>
      </c>
      <c r="Y266" s="364" t="s">
        <v>88</v>
      </c>
      <c r="Z266" s="364" t="s">
        <v>717</v>
      </c>
      <c r="AA266" s="364" t="s">
        <v>649</v>
      </c>
      <c r="AB266" s="364" t="s">
        <v>649</v>
      </c>
      <c r="AC266" s="364" t="s">
        <v>649</v>
      </c>
      <c r="AD266" s="364" t="s">
        <v>649</v>
      </c>
      <c r="AE266" s="364" t="s">
        <v>88</v>
      </c>
      <c r="AF266" s="364" t="s">
        <v>88</v>
      </c>
      <c r="AG266" s="364" t="s">
        <v>88</v>
      </c>
      <c r="AH266" s="364" t="s">
        <v>88</v>
      </c>
      <c r="AI266" s="364" t="s">
        <v>1155</v>
      </c>
      <c r="AJ266" s="364" t="s">
        <v>710</v>
      </c>
      <c r="AK266" s="364" t="s">
        <v>647</v>
      </c>
      <c r="AL266" s="364" t="s">
        <v>646</v>
      </c>
      <c r="AM266" s="364" t="s">
        <v>668</v>
      </c>
      <c r="AN266" s="364" t="s">
        <v>644</v>
      </c>
    </row>
    <row r="267" spans="1:40" x14ac:dyDescent="0.3">
      <c r="A267" s="364" t="s">
        <v>2480</v>
      </c>
      <c r="B267" s="364" t="s">
        <v>661</v>
      </c>
      <c r="C267" s="364" t="s">
        <v>660</v>
      </c>
      <c r="D267" s="364" t="s">
        <v>90</v>
      </c>
      <c r="E267" s="364" t="s">
        <v>905</v>
      </c>
      <c r="F267" s="364" t="s">
        <v>905</v>
      </c>
      <c r="G267" s="364" t="s">
        <v>658</v>
      </c>
      <c r="H267" s="364" t="s">
        <v>2479</v>
      </c>
      <c r="I267" s="364" t="s">
        <v>2478</v>
      </c>
      <c r="J267" s="364" t="s">
        <v>673</v>
      </c>
      <c r="K267" s="364" t="s">
        <v>668</v>
      </c>
      <c r="L267" s="364" t="s">
        <v>190</v>
      </c>
      <c r="M267" s="364" t="s">
        <v>725</v>
      </c>
      <c r="N267" s="364" t="s">
        <v>654</v>
      </c>
      <c r="O267" s="364" t="s">
        <v>653</v>
      </c>
      <c r="P267" s="364" t="s">
        <v>198</v>
      </c>
      <c r="Q267" s="364" t="s">
        <v>652</v>
      </c>
      <c r="R267" s="364" t="s">
        <v>88</v>
      </c>
      <c r="S267" s="364" t="s">
        <v>88</v>
      </c>
      <c r="T267" s="364" t="s">
        <v>88</v>
      </c>
      <c r="U267" s="364" t="s">
        <v>88</v>
      </c>
      <c r="V267" s="364" t="s">
        <v>88</v>
      </c>
      <c r="W267" s="364" t="s">
        <v>88</v>
      </c>
      <c r="X267" s="364" t="s">
        <v>88</v>
      </c>
      <c r="Y267" s="364" t="s">
        <v>88</v>
      </c>
      <c r="Z267" s="364" t="s">
        <v>724</v>
      </c>
      <c r="AA267" s="364" t="s">
        <v>649</v>
      </c>
      <c r="AB267" s="364" t="s">
        <v>649</v>
      </c>
      <c r="AC267" s="364" t="s">
        <v>649</v>
      </c>
      <c r="AD267" s="364" t="s">
        <v>649</v>
      </c>
      <c r="AE267" s="364" t="s">
        <v>88</v>
      </c>
      <c r="AF267" s="364" t="s">
        <v>88</v>
      </c>
      <c r="AG267" s="364" t="s">
        <v>88</v>
      </c>
      <c r="AH267" s="364" t="s">
        <v>88</v>
      </c>
      <c r="AI267" s="364" t="s">
        <v>1155</v>
      </c>
      <c r="AJ267" s="364" t="s">
        <v>710</v>
      </c>
      <c r="AK267" s="364" t="s">
        <v>647</v>
      </c>
      <c r="AL267" s="364" t="s">
        <v>646</v>
      </c>
      <c r="AM267" s="364" t="s">
        <v>668</v>
      </c>
      <c r="AN267" s="364" t="s">
        <v>644</v>
      </c>
    </row>
    <row r="268" spans="1:40" x14ac:dyDescent="0.3">
      <c r="A268" s="364" t="s">
        <v>2480</v>
      </c>
      <c r="B268" s="364" t="s">
        <v>661</v>
      </c>
      <c r="C268" s="364" t="s">
        <v>660</v>
      </c>
      <c r="D268" s="364" t="s">
        <v>90</v>
      </c>
      <c r="E268" s="364" t="s">
        <v>905</v>
      </c>
      <c r="F268" s="364" t="s">
        <v>905</v>
      </c>
      <c r="G268" s="364" t="s">
        <v>658</v>
      </c>
      <c r="H268" s="364" t="s">
        <v>2479</v>
      </c>
      <c r="I268" s="364" t="s">
        <v>2478</v>
      </c>
      <c r="J268" s="364" t="s">
        <v>673</v>
      </c>
      <c r="K268" s="364" t="s">
        <v>668</v>
      </c>
      <c r="L268" s="364" t="s">
        <v>190</v>
      </c>
      <c r="M268" s="364" t="s">
        <v>723</v>
      </c>
      <c r="N268" s="364" t="s">
        <v>654</v>
      </c>
      <c r="O268" s="364" t="s">
        <v>653</v>
      </c>
      <c r="P268" s="364" t="s">
        <v>198</v>
      </c>
      <c r="Q268" s="364" t="s">
        <v>652</v>
      </c>
      <c r="R268" s="364" t="s">
        <v>88</v>
      </c>
      <c r="S268" s="364" t="s">
        <v>88</v>
      </c>
      <c r="T268" s="364" t="s">
        <v>88</v>
      </c>
      <c r="U268" s="364" t="s">
        <v>88</v>
      </c>
      <c r="V268" s="364" t="s">
        <v>88</v>
      </c>
      <c r="W268" s="364" t="s">
        <v>88</v>
      </c>
      <c r="X268" s="364" t="s">
        <v>88</v>
      </c>
      <c r="Y268" s="364" t="s">
        <v>88</v>
      </c>
      <c r="Z268" s="364" t="s">
        <v>722</v>
      </c>
      <c r="AA268" s="364" t="s">
        <v>649</v>
      </c>
      <c r="AB268" s="364" t="s">
        <v>649</v>
      </c>
      <c r="AC268" s="364" t="s">
        <v>649</v>
      </c>
      <c r="AD268" s="364" t="s">
        <v>649</v>
      </c>
      <c r="AE268" s="364" t="s">
        <v>88</v>
      </c>
      <c r="AF268" s="364" t="s">
        <v>88</v>
      </c>
      <c r="AG268" s="364" t="s">
        <v>88</v>
      </c>
      <c r="AH268" s="364" t="s">
        <v>88</v>
      </c>
      <c r="AI268" s="364" t="s">
        <v>1155</v>
      </c>
      <c r="AJ268" s="364" t="s">
        <v>710</v>
      </c>
      <c r="AK268" s="364" t="s">
        <v>647</v>
      </c>
      <c r="AL268" s="364" t="s">
        <v>646</v>
      </c>
      <c r="AM268" s="364" t="s">
        <v>668</v>
      </c>
      <c r="AN268" s="364" t="s">
        <v>644</v>
      </c>
    </row>
    <row r="269" spans="1:40" x14ac:dyDescent="0.3">
      <c r="A269" s="364" t="s">
        <v>2480</v>
      </c>
      <c r="B269" s="364" t="s">
        <v>661</v>
      </c>
      <c r="C269" s="364" t="s">
        <v>660</v>
      </c>
      <c r="D269" s="364" t="s">
        <v>90</v>
      </c>
      <c r="E269" s="364" t="s">
        <v>905</v>
      </c>
      <c r="F269" s="364" t="s">
        <v>905</v>
      </c>
      <c r="G269" s="364" t="s">
        <v>658</v>
      </c>
      <c r="H269" s="364" t="s">
        <v>2479</v>
      </c>
      <c r="I269" s="364" t="s">
        <v>2478</v>
      </c>
      <c r="J269" s="364" t="s">
        <v>673</v>
      </c>
      <c r="K269" s="364" t="s">
        <v>668</v>
      </c>
      <c r="L269" s="364" t="s">
        <v>190</v>
      </c>
      <c r="M269" s="364" t="s">
        <v>713</v>
      </c>
      <c r="N269" s="364" t="s">
        <v>654</v>
      </c>
      <c r="O269" s="364" t="s">
        <v>653</v>
      </c>
      <c r="P269" s="364" t="s">
        <v>198</v>
      </c>
      <c r="Q269" s="364" t="s">
        <v>652</v>
      </c>
      <c r="R269" s="364" t="s">
        <v>88</v>
      </c>
      <c r="S269" s="364" t="s">
        <v>88</v>
      </c>
      <c r="T269" s="364" t="s">
        <v>88</v>
      </c>
      <c r="U269" s="364" t="s">
        <v>88</v>
      </c>
      <c r="V269" s="364" t="s">
        <v>88</v>
      </c>
      <c r="W269" s="364" t="s">
        <v>88</v>
      </c>
      <c r="X269" s="364" t="s">
        <v>88</v>
      </c>
      <c r="Y269" s="364" t="s">
        <v>88</v>
      </c>
      <c r="Z269" s="364" t="s">
        <v>712</v>
      </c>
      <c r="AA269" s="364" t="s">
        <v>711</v>
      </c>
      <c r="AB269" s="364" t="s">
        <v>649</v>
      </c>
      <c r="AC269" s="364" t="s">
        <v>649</v>
      </c>
      <c r="AD269" s="364" t="s">
        <v>649</v>
      </c>
      <c r="AE269" s="364" t="s">
        <v>88</v>
      </c>
      <c r="AF269" s="364" t="s">
        <v>88</v>
      </c>
      <c r="AG269" s="364" t="s">
        <v>88</v>
      </c>
      <c r="AH269" s="364" t="s">
        <v>88</v>
      </c>
      <c r="AI269" s="364" t="s">
        <v>1155</v>
      </c>
      <c r="AJ269" s="364" t="s">
        <v>710</v>
      </c>
      <c r="AK269" s="364" t="s">
        <v>647</v>
      </c>
      <c r="AL269" s="364" t="s">
        <v>646</v>
      </c>
      <c r="AM269" s="364" t="s">
        <v>668</v>
      </c>
      <c r="AN269" s="364" t="s">
        <v>644</v>
      </c>
    </row>
    <row r="270" spans="1:40" x14ac:dyDescent="0.3">
      <c r="A270" s="364" t="s">
        <v>2477</v>
      </c>
      <c r="B270" s="364" t="s">
        <v>661</v>
      </c>
      <c r="C270" s="364" t="s">
        <v>660</v>
      </c>
      <c r="D270" s="364" t="s">
        <v>90</v>
      </c>
      <c r="E270" s="364" t="s">
        <v>782</v>
      </c>
      <c r="F270" s="364" t="s">
        <v>782</v>
      </c>
      <c r="G270" s="364" t="s">
        <v>658</v>
      </c>
      <c r="H270" s="364" t="s">
        <v>2476</v>
      </c>
      <c r="I270" s="364" t="s">
        <v>2475</v>
      </c>
      <c r="J270" s="364" t="s">
        <v>673</v>
      </c>
      <c r="K270" s="364" t="s">
        <v>668</v>
      </c>
      <c r="L270" s="364" t="s">
        <v>190</v>
      </c>
      <c r="M270" s="364" t="s">
        <v>725</v>
      </c>
      <c r="N270" s="364" t="s">
        <v>654</v>
      </c>
      <c r="O270" s="364" t="s">
        <v>653</v>
      </c>
      <c r="P270" s="364" t="s">
        <v>198</v>
      </c>
      <c r="Q270" s="364" t="s">
        <v>652</v>
      </c>
      <c r="R270" s="364" t="s">
        <v>88</v>
      </c>
      <c r="S270" s="364" t="s">
        <v>88</v>
      </c>
      <c r="T270" s="364" t="s">
        <v>88</v>
      </c>
      <c r="U270" s="364" t="s">
        <v>88</v>
      </c>
      <c r="V270" s="364" t="s">
        <v>88</v>
      </c>
      <c r="W270" s="364" t="s">
        <v>88</v>
      </c>
      <c r="X270" s="364" t="s">
        <v>88</v>
      </c>
      <c r="Y270" s="364" t="s">
        <v>88</v>
      </c>
      <c r="Z270" s="364" t="s">
        <v>724</v>
      </c>
      <c r="AA270" s="364" t="s">
        <v>649</v>
      </c>
      <c r="AB270" s="364" t="s">
        <v>649</v>
      </c>
      <c r="AC270" s="364" t="s">
        <v>649</v>
      </c>
      <c r="AD270" s="364" t="s">
        <v>649</v>
      </c>
      <c r="AE270" s="364" t="s">
        <v>88</v>
      </c>
      <c r="AF270" s="364" t="s">
        <v>88</v>
      </c>
      <c r="AG270" s="364" t="s">
        <v>88</v>
      </c>
      <c r="AH270" s="364" t="s">
        <v>88</v>
      </c>
      <c r="AI270" s="364" t="s">
        <v>1155</v>
      </c>
      <c r="AJ270" s="364" t="s">
        <v>710</v>
      </c>
      <c r="AK270" s="364" t="s">
        <v>647</v>
      </c>
      <c r="AL270" s="364" t="s">
        <v>646</v>
      </c>
      <c r="AM270" s="364" t="s">
        <v>668</v>
      </c>
      <c r="AN270" s="364" t="s">
        <v>644</v>
      </c>
    </row>
    <row r="271" spans="1:40" x14ac:dyDescent="0.3">
      <c r="A271" s="364" t="s">
        <v>2477</v>
      </c>
      <c r="B271" s="364" t="s">
        <v>661</v>
      </c>
      <c r="C271" s="364" t="s">
        <v>660</v>
      </c>
      <c r="D271" s="364" t="s">
        <v>90</v>
      </c>
      <c r="E271" s="364" t="s">
        <v>782</v>
      </c>
      <c r="F271" s="364" t="s">
        <v>782</v>
      </c>
      <c r="G271" s="364" t="s">
        <v>658</v>
      </c>
      <c r="H271" s="364" t="s">
        <v>2476</v>
      </c>
      <c r="I271" s="364" t="s">
        <v>2475</v>
      </c>
      <c r="J271" s="364" t="s">
        <v>673</v>
      </c>
      <c r="K271" s="364" t="s">
        <v>668</v>
      </c>
      <c r="L271" s="364" t="s">
        <v>190</v>
      </c>
      <c r="M271" s="364" t="s">
        <v>723</v>
      </c>
      <c r="N271" s="364" t="s">
        <v>654</v>
      </c>
      <c r="O271" s="364" t="s">
        <v>653</v>
      </c>
      <c r="P271" s="364" t="s">
        <v>198</v>
      </c>
      <c r="Q271" s="364" t="s">
        <v>652</v>
      </c>
      <c r="R271" s="364" t="s">
        <v>88</v>
      </c>
      <c r="S271" s="364" t="s">
        <v>88</v>
      </c>
      <c r="T271" s="364" t="s">
        <v>88</v>
      </c>
      <c r="U271" s="364" t="s">
        <v>88</v>
      </c>
      <c r="V271" s="364" t="s">
        <v>88</v>
      </c>
      <c r="W271" s="364" t="s">
        <v>88</v>
      </c>
      <c r="X271" s="364" t="s">
        <v>88</v>
      </c>
      <c r="Y271" s="364" t="s">
        <v>88</v>
      </c>
      <c r="Z271" s="364" t="s">
        <v>722</v>
      </c>
      <c r="AA271" s="364" t="s">
        <v>649</v>
      </c>
      <c r="AB271" s="364" t="s">
        <v>649</v>
      </c>
      <c r="AC271" s="364" t="s">
        <v>649</v>
      </c>
      <c r="AD271" s="364" t="s">
        <v>649</v>
      </c>
      <c r="AE271" s="364" t="s">
        <v>88</v>
      </c>
      <c r="AF271" s="364" t="s">
        <v>88</v>
      </c>
      <c r="AG271" s="364" t="s">
        <v>88</v>
      </c>
      <c r="AH271" s="364" t="s">
        <v>88</v>
      </c>
      <c r="AI271" s="364" t="s">
        <v>1155</v>
      </c>
      <c r="AJ271" s="364" t="s">
        <v>710</v>
      </c>
      <c r="AK271" s="364" t="s">
        <v>647</v>
      </c>
      <c r="AL271" s="364" t="s">
        <v>646</v>
      </c>
      <c r="AM271" s="364" t="s">
        <v>668</v>
      </c>
      <c r="AN271" s="364" t="s">
        <v>644</v>
      </c>
    </row>
    <row r="272" spans="1:40" x14ac:dyDescent="0.3">
      <c r="A272" s="364" t="s">
        <v>2477</v>
      </c>
      <c r="B272" s="364" t="s">
        <v>661</v>
      </c>
      <c r="C272" s="364" t="s">
        <v>660</v>
      </c>
      <c r="D272" s="364" t="s">
        <v>90</v>
      </c>
      <c r="E272" s="364" t="s">
        <v>782</v>
      </c>
      <c r="F272" s="364" t="s">
        <v>782</v>
      </c>
      <c r="G272" s="364" t="s">
        <v>658</v>
      </c>
      <c r="H272" s="364" t="s">
        <v>2476</v>
      </c>
      <c r="I272" s="364" t="s">
        <v>2475</v>
      </c>
      <c r="J272" s="364" t="s">
        <v>673</v>
      </c>
      <c r="K272" s="364" t="s">
        <v>668</v>
      </c>
      <c r="L272" s="364" t="s">
        <v>190</v>
      </c>
      <c r="M272" s="364" t="s">
        <v>721</v>
      </c>
      <c r="N272" s="364" t="s">
        <v>654</v>
      </c>
      <c r="O272" s="364" t="s">
        <v>653</v>
      </c>
      <c r="P272" s="364" t="s">
        <v>198</v>
      </c>
      <c r="Q272" s="364" t="s">
        <v>652</v>
      </c>
      <c r="R272" s="364" t="s">
        <v>88</v>
      </c>
      <c r="S272" s="364" t="s">
        <v>88</v>
      </c>
      <c r="T272" s="364" t="s">
        <v>88</v>
      </c>
      <c r="U272" s="364" t="s">
        <v>88</v>
      </c>
      <c r="V272" s="364" t="s">
        <v>88</v>
      </c>
      <c r="W272" s="364" t="s">
        <v>88</v>
      </c>
      <c r="X272" s="364" t="s">
        <v>88</v>
      </c>
      <c r="Y272" s="364" t="s">
        <v>88</v>
      </c>
      <c r="Z272" s="364" t="s">
        <v>720</v>
      </c>
      <c r="AA272" s="364" t="s">
        <v>649</v>
      </c>
      <c r="AB272" s="364" t="s">
        <v>649</v>
      </c>
      <c r="AC272" s="364" t="s">
        <v>649</v>
      </c>
      <c r="AD272" s="364" t="s">
        <v>649</v>
      </c>
      <c r="AE272" s="364" t="s">
        <v>88</v>
      </c>
      <c r="AF272" s="364" t="s">
        <v>88</v>
      </c>
      <c r="AG272" s="364" t="s">
        <v>88</v>
      </c>
      <c r="AH272" s="364" t="s">
        <v>88</v>
      </c>
      <c r="AI272" s="364" t="s">
        <v>1155</v>
      </c>
      <c r="AJ272" s="364" t="s">
        <v>710</v>
      </c>
      <c r="AK272" s="364" t="s">
        <v>647</v>
      </c>
      <c r="AL272" s="364" t="s">
        <v>646</v>
      </c>
      <c r="AM272" s="364" t="s">
        <v>668</v>
      </c>
      <c r="AN272" s="364" t="s">
        <v>644</v>
      </c>
    </row>
    <row r="273" spans="1:40" x14ac:dyDescent="0.3">
      <c r="A273" s="364" t="s">
        <v>2477</v>
      </c>
      <c r="B273" s="364" t="s">
        <v>661</v>
      </c>
      <c r="C273" s="364" t="s">
        <v>660</v>
      </c>
      <c r="D273" s="364" t="s">
        <v>90</v>
      </c>
      <c r="E273" s="364" t="s">
        <v>782</v>
      </c>
      <c r="F273" s="364" t="s">
        <v>782</v>
      </c>
      <c r="G273" s="364" t="s">
        <v>658</v>
      </c>
      <c r="H273" s="364" t="s">
        <v>2476</v>
      </c>
      <c r="I273" s="364" t="s">
        <v>2475</v>
      </c>
      <c r="J273" s="364" t="s">
        <v>673</v>
      </c>
      <c r="K273" s="364" t="s">
        <v>668</v>
      </c>
      <c r="L273" s="364" t="s">
        <v>190</v>
      </c>
      <c r="M273" s="364" t="s">
        <v>55</v>
      </c>
      <c r="N273" s="364" t="s">
        <v>654</v>
      </c>
      <c r="O273" s="364" t="s">
        <v>653</v>
      </c>
      <c r="P273" s="364" t="s">
        <v>198</v>
      </c>
      <c r="Q273" s="364" t="s">
        <v>652</v>
      </c>
      <c r="R273" s="364" t="s">
        <v>88</v>
      </c>
      <c r="S273" s="364" t="s">
        <v>88</v>
      </c>
      <c r="T273" s="364" t="s">
        <v>88</v>
      </c>
      <c r="U273" s="364" t="s">
        <v>88</v>
      </c>
      <c r="V273" s="364" t="s">
        <v>88</v>
      </c>
      <c r="W273" s="364" t="s">
        <v>88</v>
      </c>
      <c r="X273" s="364" t="s">
        <v>88</v>
      </c>
      <c r="Y273" s="364" t="s">
        <v>88</v>
      </c>
      <c r="Z273" s="364" t="s">
        <v>719</v>
      </c>
      <c r="AA273" s="364" t="s">
        <v>649</v>
      </c>
      <c r="AB273" s="364" t="s">
        <v>649</v>
      </c>
      <c r="AC273" s="364" t="s">
        <v>649</v>
      </c>
      <c r="AD273" s="364" t="s">
        <v>649</v>
      </c>
      <c r="AE273" s="364" t="s">
        <v>88</v>
      </c>
      <c r="AF273" s="364" t="s">
        <v>88</v>
      </c>
      <c r="AG273" s="364" t="s">
        <v>88</v>
      </c>
      <c r="AH273" s="364" t="s">
        <v>88</v>
      </c>
      <c r="AI273" s="364" t="s">
        <v>1155</v>
      </c>
      <c r="AJ273" s="364" t="s">
        <v>710</v>
      </c>
      <c r="AK273" s="364" t="s">
        <v>647</v>
      </c>
      <c r="AL273" s="364" t="s">
        <v>646</v>
      </c>
      <c r="AM273" s="364" t="s">
        <v>668</v>
      </c>
      <c r="AN273" s="364" t="s">
        <v>644</v>
      </c>
    </row>
    <row r="274" spans="1:40" x14ac:dyDescent="0.3">
      <c r="A274" s="364" t="s">
        <v>2477</v>
      </c>
      <c r="B274" s="364" t="s">
        <v>661</v>
      </c>
      <c r="C274" s="364" t="s">
        <v>660</v>
      </c>
      <c r="D274" s="364" t="s">
        <v>90</v>
      </c>
      <c r="E274" s="364" t="s">
        <v>782</v>
      </c>
      <c r="F274" s="364" t="s">
        <v>782</v>
      </c>
      <c r="G274" s="364" t="s">
        <v>658</v>
      </c>
      <c r="H274" s="364" t="s">
        <v>2476</v>
      </c>
      <c r="I274" s="364" t="s">
        <v>2475</v>
      </c>
      <c r="J274" s="364" t="s">
        <v>673</v>
      </c>
      <c r="K274" s="364" t="s">
        <v>668</v>
      </c>
      <c r="L274" s="364" t="s">
        <v>190</v>
      </c>
      <c r="M274" s="364" t="s">
        <v>718</v>
      </c>
      <c r="N274" s="364" t="s">
        <v>654</v>
      </c>
      <c r="O274" s="364" t="s">
        <v>653</v>
      </c>
      <c r="P274" s="364" t="s">
        <v>198</v>
      </c>
      <c r="Q274" s="364" t="s">
        <v>652</v>
      </c>
      <c r="R274" s="364" t="s">
        <v>88</v>
      </c>
      <c r="S274" s="364" t="s">
        <v>88</v>
      </c>
      <c r="T274" s="364" t="s">
        <v>88</v>
      </c>
      <c r="U274" s="364" t="s">
        <v>88</v>
      </c>
      <c r="V274" s="364" t="s">
        <v>88</v>
      </c>
      <c r="W274" s="364" t="s">
        <v>88</v>
      </c>
      <c r="X274" s="364" t="s">
        <v>88</v>
      </c>
      <c r="Y274" s="364" t="s">
        <v>88</v>
      </c>
      <c r="Z274" s="364" t="s">
        <v>717</v>
      </c>
      <c r="AA274" s="364" t="s">
        <v>649</v>
      </c>
      <c r="AB274" s="364" t="s">
        <v>649</v>
      </c>
      <c r="AC274" s="364" t="s">
        <v>649</v>
      </c>
      <c r="AD274" s="364" t="s">
        <v>649</v>
      </c>
      <c r="AE274" s="364" t="s">
        <v>88</v>
      </c>
      <c r="AF274" s="364" t="s">
        <v>88</v>
      </c>
      <c r="AG274" s="364" t="s">
        <v>88</v>
      </c>
      <c r="AH274" s="364" t="s">
        <v>88</v>
      </c>
      <c r="AI274" s="364" t="s">
        <v>1155</v>
      </c>
      <c r="AJ274" s="364" t="s">
        <v>710</v>
      </c>
      <c r="AK274" s="364" t="s">
        <v>647</v>
      </c>
      <c r="AL274" s="364" t="s">
        <v>646</v>
      </c>
      <c r="AM274" s="364" t="s">
        <v>668</v>
      </c>
      <c r="AN274" s="364" t="s">
        <v>644</v>
      </c>
    </row>
    <row r="275" spans="1:40" x14ac:dyDescent="0.3">
      <c r="A275" s="364" t="s">
        <v>2477</v>
      </c>
      <c r="B275" s="364" t="s">
        <v>661</v>
      </c>
      <c r="C275" s="364" t="s">
        <v>660</v>
      </c>
      <c r="D275" s="364" t="s">
        <v>90</v>
      </c>
      <c r="E275" s="364" t="s">
        <v>782</v>
      </c>
      <c r="F275" s="364" t="s">
        <v>782</v>
      </c>
      <c r="G275" s="364" t="s">
        <v>658</v>
      </c>
      <c r="H275" s="364" t="s">
        <v>2476</v>
      </c>
      <c r="I275" s="364" t="s">
        <v>2475</v>
      </c>
      <c r="J275" s="364" t="s">
        <v>673</v>
      </c>
      <c r="K275" s="364" t="s">
        <v>668</v>
      </c>
      <c r="L275" s="364" t="s">
        <v>190</v>
      </c>
      <c r="M275" s="364" t="s">
        <v>713</v>
      </c>
      <c r="N275" s="364" t="s">
        <v>654</v>
      </c>
      <c r="O275" s="364" t="s">
        <v>653</v>
      </c>
      <c r="P275" s="364" t="s">
        <v>198</v>
      </c>
      <c r="Q275" s="364" t="s">
        <v>652</v>
      </c>
      <c r="R275" s="364" t="s">
        <v>88</v>
      </c>
      <c r="S275" s="364" t="s">
        <v>88</v>
      </c>
      <c r="T275" s="364" t="s">
        <v>88</v>
      </c>
      <c r="U275" s="364" t="s">
        <v>88</v>
      </c>
      <c r="V275" s="364" t="s">
        <v>88</v>
      </c>
      <c r="W275" s="364" t="s">
        <v>88</v>
      </c>
      <c r="X275" s="364" t="s">
        <v>88</v>
      </c>
      <c r="Y275" s="364" t="s">
        <v>88</v>
      </c>
      <c r="Z275" s="364" t="s">
        <v>712</v>
      </c>
      <c r="AA275" s="364" t="s">
        <v>711</v>
      </c>
      <c r="AB275" s="364" t="s">
        <v>649</v>
      </c>
      <c r="AC275" s="364" t="s">
        <v>649</v>
      </c>
      <c r="AD275" s="364" t="s">
        <v>649</v>
      </c>
      <c r="AE275" s="364" t="s">
        <v>88</v>
      </c>
      <c r="AF275" s="364" t="s">
        <v>88</v>
      </c>
      <c r="AG275" s="364" t="s">
        <v>88</v>
      </c>
      <c r="AH275" s="364" t="s">
        <v>88</v>
      </c>
      <c r="AI275" s="364" t="s">
        <v>1155</v>
      </c>
      <c r="AJ275" s="364" t="s">
        <v>710</v>
      </c>
      <c r="AK275" s="364" t="s">
        <v>647</v>
      </c>
      <c r="AL275" s="364" t="s">
        <v>646</v>
      </c>
      <c r="AM275" s="364" t="s">
        <v>668</v>
      </c>
      <c r="AN275" s="364" t="s">
        <v>644</v>
      </c>
    </row>
    <row r="276" spans="1:40" x14ac:dyDescent="0.3">
      <c r="A276" s="364" t="s">
        <v>2474</v>
      </c>
      <c r="B276" s="364" t="s">
        <v>661</v>
      </c>
      <c r="C276" s="364" t="s">
        <v>660</v>
      </c>
      <c r="D276" s="364" t="s">
        <v>87</v>
      </c>
      <c r="E276" s="364" t="s">
        <v>1008</v>
      </c>
      <c r="F276" s="364" t="s">
        <v>1008</v>
      </c>
      <c r="G276" s="364" t="s">
        <v>658</v>
      </c>
      <c r="H276" s="364" t="s">
        <v>2473</v>
      </c>
      <c r="I276" s="364" t="s">
        <v>2472</v>
      </c>
      <c r="J276" s="364" t="s">
        <v>88</v>
      </c>
      <c r="K276" s="364" t="s">
        <v>88</v>
      </c>
      <c r="L276" s="364" t="s">
        <v>88</v>
      </c>
      <c r="M276" s="364" t="s">
        <v>138</v>
      </c>
      <c r="N276" s="364" t="s">
        <v>654</v>
      </c>
      <c r="O276" s="364" t="s">
        <v>653</v>
      </c>
      <c r="P276" s="364" t="s">
        <v>88</v>
      </c>
      <c r="Q276" s="364" t="s">
        <v>88</v>
      </c>
      <c r="R276" s="364" t="s">
        <v>88</v>
      </c>
      <c r="S276" s="364" t="s">
        <v>88</v>
      </c>
      <c r="T276" s="364" t="s">
        <v>88</v>
      </c>
      <c r="U276" s="364" t="s">
        <v>88</v>
      </c>
      <c r="V276" s="364" t="s">
        <v>88</v>
      </c>
      <c r="W276" s="364" t="s">
        <v>88</v>
      </c>
      <c r="X276" s="364" t="s">
        <v>88</v>
      </c>
      <c r="Y276" s="364" t="s">
        <v>88</v>
      </c>
      <c r="Z276" s="364" t="s">
        <v>88</v>
      </c>
      <c r="AA276" s="364" t="s">
        <v>649</v>
      </c>
      <c r="AB276" s="364" t="s">
        <v>88</v>
      </c>
      <c r="AC276" s="364" t="s">
        <v>88</v>
      </c>
      <c r="AD276" s="364" t="s">
        <v>88</v>
      </c>
      <c r="AE276" s="364" t="s">
        <v>88</v>
      </c>
      <c r="AF276" s="364" t="s">
        <v>88</v>
      </c>
      <c r="AG276" s="364" t="s">
        <v>88</v>
      </c>
      <c r="AH276" s="364" t="s">
        <v>88</v>
      </c>
      <c r="AI276" s="364" t="s">
        <v>2471</v>
      </c>
      <c r="AJ276" s="364" t="s">
        <v>793</v>
      </c>
      <c r="AK276" s="364" t="s">
        <v>2466</v>
      </c>
      <c r="AL276" s="364" t="s">
        <v>2465</v>
      </c>
      <c r="AM276" s="364" t="s">
        <v>88</v>
      </c>
      <c r="AN276" s="364" t="s">
        <v>792</v>
      </c>
    </row>
    <row r="277" spans="1:40" x14ac:dyDescent="0.3">
      <c r="A277" s="364" t="s">
        <v>2470</v>
      </c>
      <c r="B277" s="364" t="s">
        <v>661</v>
      </c>
      <c r="C277" s="364" t="s">
        <v>660</v>
      </c>
      <c r="D277" s="364" t="s">
        <v>87</v>
      </c>
      <c r="E277" s="364" t="s">
        <v>1008</v>
      </c>
      <c r="F277" s="364" t="s">
        <v>1008</v>
      </c>
      <c r="G277" s="364" t="s">
        <v>658</v>
      </c>
      <c r="H277" s="364" t="s">
        <v>2469</v>
      </c>
      <c r="I277" s="364" t="s">
        <v>2468</v>
      </c>
      <c r="J277" s="364" t="s">
        <v>88</v>
      </c>
      <c r="K277" s="364" t="s">
        <v>88</v>
      </c>
      <c r="L277" s="364" t="s">
        <v>88</v>
      </c>
      <c r="M277" s="364" t="s">
        <v>138</v>
      </c>
      <c r="N277" s="364" t="s">
        <v>654</v>
      </c>
      <c r="O277" s="364" t="s">
        <v>653</v>
      </c>
      <c r="P277" s="364" t="s">
        <v>88</v>
      </c>
      <c r="Q277" s="364" t="s">
        <v>88</v>
      </c>
      <c r="R277" s="364" t="s">
        <v>88</v>
      </c>
      <c r="S277" s="364" t="s">
        <v>88</v>
      </c>
      <c r="T277" s="364" t="s">
        <v>88</v>
      </c>
      <c r="U277" s="364" t="s">
        <v>88</v>
      </c>
      <c r="V277" s="364" t="s">
        <v>88</v>
      </c>
      <c r="W277" s="364" t="s">
        <v>88</v>
      </c>
      <c r="X277" s="364" t="s">
        <v>88</v>
      </c>
      <c r="Y277" s="364" t="s">
        <v>88</v>
      </c>
      <c r="Z277" s="364" t="s">
        <v>88</v>
      </c>
      <c r="AA277" s="364" t="s">
        <v>649</v>
      </c>
      <c r="AB277" s="364" t="s">
        <v>88</v>
      </c>
      <c r="AC277" s="364" t="s">
        <v>88</v>
      </c>
      <c r="AD277" s="364" t="s">
        <v>88</v>
      </c>
      <c r="AE277" s="364" t="s">
        <v>88</v>
      </c>
      <c r="AF277" s="364" t="s">
        <v>88</v>
      </c>
      <c r="AG277" s="364" t="s">
        <v>88</v>
      </c>
      <c r="AH277" s="364" t="s">
        <v>88</v>
      </c>
      <c r="AI277" s="364" t="s">
        <v>2467</v>
      </c>
      <c r="AJ277" s="364" t="s">
        <v>793</v>
      </c>
      <c r="AK277" s="364" t="s">
        <v>2466</v>
      </c>
      <c r="AL277" s="364" t="s">
        <v>2465</v>
      </c>
      <c r="AM277" s="364" t="s">
        <v>88</v>
      </c>
      <c r="AN277" s="364" t="s">
        <v>792</v>
      </c>
    </row>
    <row r="278" spans="1:40" x14ac:dyDescent="0.3">
      <c r="A278" s="364" t="s">
        <v>2464</v>
      </c>
      <c r="B278" s="364" t="s">
        <v>661</v>
      </c>
      <c r="C278" s="364" t="s">
        <v>660</v>
      </c>
      <c r="D278" s="364" t="s">
        <v>87</v>
      </c>
      <c r="E278" s="364" t="s">
        <v>1008</v>
      </c>
      <c r="F278" s="364" t="s">
        <v>1008</v>
      </c>
      <c r="G278" s="364" t="s">
        <v>658</v>
      </c>
      <c r="H278" s="364" t="s">
        <v>2463</v>
      </c>
      <c r="I278" s="364" t="s">
        <v>2462</v>
      </c>
      <c r="J278" s="364" t="s">
        <v>673</v>
      </c>
      <c r="K278" s="364" t="s">
        <v>668</v>
      </c>
      <c r="L278" s="364" t="s">
        <v>190</v>
      </c>
      <c r="M278" s="364" t="s">
        <v>62</v>
      </c>
      <c r="N278" s="364" t="s">
        <v>654</v>
      </c>
      <c r="O278" s="364" t="s">
        <v>653</v>
      </c>
      <c r="P278" s="364" t="s">
        <v>198</v>
      </c>
      <c r="Q278" s="364" t="s">
        <v>652</v>
      </c>
      <c r="R278" s="364" t="s">
        <v>88</v>
      </c>
      <c r="S278" s="364" t="s">
        <v>88</v>
      </c>
      <c r="T278" s="364" t="s">
        <v>88</v>
      </c>
      <c r="U278" s="364" t="s">
        <v>88</v>
      </c>
      <c r="V278" s="364" t="s">
        <v>88</v>
      </c>
      <c r="W278" s="364" t="s">
        <v>88</v>
      </c>
      <c r="X278" s="364" t="s">
        <v>88</v>
      </c>
      <c r="Y278" s="364" t="s">
        <v>88</v>
      </c>
      <c r="Z278" s="364" t="s">
        <v>689</v>
      </c>
      <c r="AA278" s="364" t="s">
        <v>688</v>
      </c>
      <c r="AB278" s="364" t="s">
        <v>649</v>
      </c>
      <c r="AC278" s="364" t="s">
        <v>649</v>
      </c>
      <c r="AD278" s="364" t="s">
        <v>649</v>
      </c>
      <c r="AE278" s="364" t="s">
        <v>88</v>
      </c>
      <c r="AF278" s="364" t="s">
        <v>88</v>
      </c>
      <c r="AG278" s="364" t="s">
        <v>88</v>
      </c>
      <c r="AH278" s="364" t="s">
        <v>88</v>
      </c>
      <c r="AI278" s="364" t="s">
        <v>1199</v>
      </c>
      <c r="AJ278" s="364" t="s">
        <v>648</v>
      </c>
      <c r="AK278" s="364" t="s">
        <v>669</v>
      </c>
      <c r="AL278" s="364" t="s">
        <v>646</v>
      </c>
      <c r="AM278" s="364" t="s">
        <v>668</v>
      </c>
      <c r="AN278" s="364" t="s">
        <v>644</v>
      </c>
    </row>
    <row r="279" spans="1:40" x14ac:dyDescent="0.3">
      <c r="A279" s="364" t="s">
        <v>2461</v>
      </c>
      <c r="B279" s="364" t="s">
        <v>661</v>
      </c>
      <c r="C279" s="364" t="s">
        <v>660</v>
      </c>
      <c r="D279" s="364" t="s">
        <v>87</v>
      </c>
      <c r="E279" s="364" t="s">
        <v>1008</v>
      </c>
      <c r="F279" s="364" t="s">
        <v>1008</v>
      </c>
      <c r="G279" s="364" t="s">
        <v>658</v>
      </c>
      <c r="H279" s="364" t="s">
        <v>2460</v>
      </c>
      <c r="I279" s="364" t="s">
        <v>2459</v>
      </c>
      <c r="J279" s="364" t="s">
        <v>673</v>
      </c>
      <c r="K279" s="364" t="s">
        <v>668</v>
      </c>
      <c r="L279" s="364" t="s">
        <v>190</v>
      </c>
      <c r="M279" s="364" t="s">
        <v>59</v>
      </c>
      <c r="N279" s="364" t="s">
        <v>654</v>
      </c>
      <c r="O279" s="364" t="s">
        <v>653</v>
      </c>
      <c r="P279" s="364" t="s">
        <v>198</v>
      </c>
      <c r="Q279" s="364" t="s">
        <v>652</v>
      </c>
      <c r="R279" s="364" t="s">
        <v>88</v>
      </c>
      <c r="S279" s="364" t="s">
        <v>88</v>
      </c>
      <c r="T279" s="364" t="s">
        <v>88</v>
      </c>
      <c r="U279" s="364" t="s">
        <v>88</v>
      </c>
      <c r="V279" s="364" t="s">
        <v>88</v>
      </c>
      <c r="W279" s="364" t="s">
        <v>88</v>
      </c>
      <c r="X279" s="364" t="s">
        <v>88</v>
      </c>
      <c r="Y279" s="364" t="s">
        <v>88</v>
      </c>
      <c r="Z279" s="364" t="s">
        <v>672</v>
      </c>
      <c r="AA279" s="364" t="s">
        <v>671</v>
      </c>
      <c r="AB279" s="364" t="s">
        <v>649</v>
      </c>
      <c r="AC279" s="364" t="s">
        <v>649</v>
      </c>
      <c r="AD279" s="364" t="s">
        <v>649</v>
      </c>
      <c r="AE279" s="364" t="s">
        <v>88</v>
      </c>
      <c r="AF279" s="364" t="s">
        <v>88</v>
      </c>
      <c r="AG279" s="364" t="s">
        <v>88</v>
      </c>
      <c r="AH279" s="364" t="s">
        <v>88</v>
      </c>
      <c r="AI279" s="364" t="s">
        <v>1199</v>
      </c>
      <c r="AJ279" s="364" t="s">
        <v>648</v>
      </c>
      <c r="AK279" s="364" t="s">
        <v>669</v>
      </c>
      <c r="AL279" s="364" t="s">
        <v>646</v>
      </c>
      <c r="AM279" s="364" t="s">
        <v>668</v>
      </c>
      <c r="AN279" s="364" t="s">
        <v>644</v>
      </c>
    </row>
    <row r="280" spans="1:40" x14ac:dyDescent="0.3">
      <c r="A280" s="364" t="s">
        <v>2458</v>
      </c>
      <c r="B280" s="364" t="s">
        <v>661</v>
      </c>
      <c r="C280" s="364" t="s">
        <v>660</v>
      </c>
      <c r="D280" s="364" t="s">
        <v>87</v>
      </c>
      <c r="E280" s="364" t="s">
        <v>1019</v>
      </c>
      <c r="F280" s="364" t="s">
        <v>1019</v>
      </c>
      <c r="G280" s="364" t="s">
        <v>658</v>
      </c>
      <c r="H280" s="364" t="s">
        <v>2457</v>
      </c>
      <c r="I280" s="364" t="s">
        <v>2456</v>
      </c>
      <c r="J280" s="364" t="s">
        <v>673</v>
      </c>
      <c r="K280" s="364" t="s">
        <v>668</v>
      </c>
      <c r="L280" s="364" t="s">
        <v>190</v>
      </c>
      <c r="M280" s="364" t="s">
        <v>62</v>
      </c>
      <c r="N280" s="364" t="s">
        <v>654</v>
      </c>
      <c r="O280" s="364" t="s">
        <v>653</v>
      </c>
      <c r="P280" s="364" t="s">
        <v>198</v>
      </c>
      <c r="Q280" s="364" t="s">
        <v>652</v>
      </c>
      <c r="R280" s="364" t="s">
        <v>88</v>
      </c>
      <c r="S280" s="364" t="s">
        <v>88</v>
      </c>
      <c r="T280" s="364" t="s">
        <v>88</v>
      </c>
      <c r="U280" s="364" t="s">
        <v>88</v>
      </c>
      <c r="V280" s="364" t="s">
        <v>88</v>
      </c>
      <c r="W280" s="364" t="s">
        <v>88</v>
      </c>
      <c r="X280" s="364" t="s">
        <v>88</v>
      </c>
      <c r="Y280" s="364" t="s">
        <v>88</v>
      </c>
      <c r="Z280" s="364" t="s">
        <v>689</v>
      </c>
      <c r="AA280" s="364" t="s">
        <v>688</v>
      </c>
      <c r="AB280" s="364" t="s">
        <v>649</v>
      </c>
      <c r="AC280" s="364" t="s">
        <v>649</v>
      </c>
      <c r="AD280" s="364" t="s">
        <v>649</v>
      </c>
      <c r="AE280" s="364" t="s">
        <v>88</v>
      </c>
      <c r="AF280" s="364" t="s">
        <v>88</v>
      </c>
      <c r="AG280" s="364" t="s">
        <v>88</v>
      </c>
      <c r="AH280" s="364" t="s">
        <v>88</v>
      </c>
      <c r="AI280" s="364" t="s">
        <v>1199</v>
      </c>
      <c r="AJ280" s="364" t="s">
        <v>648</v>
      </c>
      <c r="AK280" s="364" t="s">
        <v>669</v>
      </c>
      <c r="AL280" s="364" t="s">
        <v>646</v>
      </c>
      <c r="AM280" s="364" t="s">
        <v>668</v>
      </c>
      <c r="AN280" s="364" t="s">
        <v>644</v>
      </c>
    </row>
    <row r="281" spans="1:40" x14ac:dyDescent="0.3">
      <c r="A281" s="364" t="s">
        <v>2455</v>
      </c>
      <c r="B281" s="364" t="s">
        <v>661</v>
      </c>
      <c r="C281" s="364" t="s">
        <v>660</v>
      </c>
      <c r="D281" s="364" t="s">
        <v>87</v>
      </c>
      <c r="E281" s="364" t="s">
        <v>1019</v>
      </c>
      <c r="F281" s="364" t="s">
        <v>1019</v>
      </c>
      <c r="G281" s="364" t="s">
        <v>658</v>
      </c>
      <c r="H281" s="364" t="s">
        <v>2454</v>
      </c>
      <c r="I281" s="364" t="s">
        <v>2441</v>
      </c>
      <c r="J281" s="364" t="s">
        <v>673</v>
      </c>
      <c r="K281" s="364" t="s">
        <v>668</v>
      </c>
      <c r="L281" s="364" t="s">
        <v>190</v>
      </c>
      <c r="M281" s="364" t="s">
        <v>59</v>
      </c>
      <c r="N281" s="364" t="s">
        <v>654</v>
      </c>
      <c r="O281" s="364" t="s">
        <v>653</v>
      </c>
      <c r="P281" s="364" t="s">
        <v>198</v>
      </c>
      <c r="Q281" s="364" t="s">
        <v>652</v>
      </c>
      <c r="R281" s="364" t="s">
        <v>88</v>
      </c>
      <c r="S281" s="364" t="s">
        <v>88</v>
      </c>
      <c r="T281" s="364" t="s">
        <v>88</v>
      </c>
      <c r="U281" s="364" t="s">
        <v>88</v>
      </c>
      <c r="V281" s="364" t="s">
        <v>88</v>
      </c>
      <c r="W281" s="364" t="s">
        <v>88</v>
      </c>
      <c r="X281" s="364" t="s">
        <v>88</v>
      </c>
      <c r="Y281" s="364" t="s">
        <v>88</v>
      </c>
      <c r="Z281" s="364" t="s">
        <v>672</v>
      </c>
      <c r="AA281" s="364" t="s">
        <v>671</v>
      </c>
      <c r="AB281" s="364" t="s">
        <v>649</v>
      </c>
      <c r="AC281" s="364" t="s">
        <v>649</v>
      </c>
      <c r="AD281" s="364" t="s">
        <v>649</v>
      </c>
      <c r="AE281" s="364" t="s">
        <v>88</v>
      </c>
      <c r="AF281" s="364" t="s">
        <v>88</v>
      </c>
      <c r="AG281" s="364" t="s">
        <v>88</v>
      </c>
      <c r="AH281" s="364" t="s">
        <v>88</v>
      </c>
      <c r="AI281" s="364" t="s">
        <v>1199</v>
      </c>
      <c r="AJ281" s="364" t="s">
        <v>648</v>
      </c>
      <c r="AK281" s="364" t="s">
        <v>669</v>
      </c>
      <c r="AL281" s="364" t="s">
        <v>646</v>
      </c>
      <c r="AM281" s="364" t="s">
        <v>668</v>
      </c>
      <c r="AN281" s="364" t="s">
        <v>644</v>
      </c>
    </row>
    <row r="282" spans="1:40" x14ac:dyDescent="0.3">
      <c r="A282" s="364" t="s">
        <v>2453</v>
      </c>
      <c r="B282" s="364" t="s">
        <v>661</v>
      </c>
      <c r="C282" s="364" t="s">
        <v>796</v>
      </c>
      <c r="D282" s="364" t="s">
        <v>87</v>
      </c>
      <c r="E282" s="364" t="s">
        <v>1019</v>
      </c>
      <c r="F282" s="364" t="s">
        <v>1019</v>
      </c>
      <c r="G282" s="364" t="s">
        <v>658</v>
      </c>
      <c r="H282" s="364" t="s">
        <v>2452</v>
      </c>
      <c r="I282" s="364" t="s">
        <v>2451</v>
      </c>
      <c r="J282" s="364" t="s">
        <v>88</v>
      </c>
      <c r="K282" s="364" t="s">
        <v>88</v>
      </c>
      <c r="L282" s="364" t="s">
        <v>88</v>
      </c>
      <c r="M282" s="364" t="s">
        <v>138</v>
      </c>
      <c r="N282" s="364" t="s">
        <v>654</v>
      </c>
      <c r="O282" s="364" t="s">
        <v>653</v>
      </c>
      <c r="P282" s="364" t="s">
        <v>88</v>
      </c>
      <c r="Q282" s="364" t="s">
        <v>88</v>
      </c>
      <c r="R282" s="364" t="s">
        <v>88</v>
      </c>
      <c r="S282" s="364" t="s">
        <v>88</v>
      </c>
      <c r="T282" s="364" t="s">
        <v>88</v>
      </c>
      <c r="U282" s="364" t="s">
        <v>88</v>
      </c>
      <c r="V282" s="364" t="s">
        <v>88</v>
      </c>
      <c r="W282" s="364" t="s">
        <v>88</v>
      </c>
      <c r="X282" s="364" t="s">
        <v>88</v>
      </c>
      <c r="Y282" s="364" t="s">
        <v>88</v>
      </c>
      <c r="Z282" s="364" t="s">
        <v>88</v>
      </c>
      <c r="AA282" s="364" t="s">
        <v>649</v>
      </c>
      <c r="AB282" s="364" t="s">
        <v>88</v>
      </c>
      <c r="AC282" s="364" t="s">
        <v>88</v>
      </c>
      <c r="AD282" s="364" t="s">
        <v>88</v>
      </c>
      <c r="AE282" s="364" t="s">
        <v>88</v>
      </c>
      <c r="AF282" s="364" t="s">
        <v>88</v>
      </c>
      <c r="AG282" s="364" t="s">
        <v>88</v>
      </c>
      <c r="AH282" s="364" t="s">
        <v>88</v>
      </c>
      <c r="AI282" s="364" t="s">
        <v>2450</v>
      </c>
      <c r="AJ282" s="364" t="s">
        <v>793</v>
      </c>
      <c r="AK282" s="364" t="s">
        <v>88</v>
      </c>
      <c r="AL282" s="364" t="s">
        <v>88</v>
      </c>
      <c r="AM282" s="364" t="s">
        <v>88</v>
      </c>
      <c r="AN282" s="364" t="s">
        <v>792</v>
      </c>
    </row>
    <row r="283" spans="1:40" x14ac:dyDescent="0.3">
      <c r="A283" s="364" t="s">
        <v>2449</v>
      </c>
      <c r="B283" s="364" t="s">
        <v>661</v>
      </c>
      <c r="C283" s="364" t="s">
        <v>660</v>
      </c>
      <c r="D283" s="364" t="s">
        <v>87</v>
      </c>
      <c r="E283" s="364" t="s">
        <v>1994</v>
      </c>
      <c r="F283" s="364" t="s">
        <v>1994</v>
      </c>
      <c r="G283" s="364" t="s">
        <v>658</v>
      </c>
      <c r="H283" s="364" t="s">
        <v>2448</v>
      </c>
      <c r="I283" s="364" t="s">
        <v>2441</v>
      </c>
      <c r="J283" s="364" t="s">
        <v>673</v>
      </c>
      <c r="K283" s="364" t="s">
        <v>668</v>
      </c>
      <c r="L283" s="364" t="s">
        <v>190</v>
      </c>
      <c r="M283" s="364" t="s">
        <v>59</v>
      </c>
      <c r="N283" s="364" t="s">
        <v>654</v>
      </c>
      <c r="O283" s="364" t="s">
        <v>653</v>
      </c>
      <c r="P283" s="364" t="s">
        <v>198</v>
      </c>
      <c r="Q283" s="364" t="s">
        <v>652</v>
      </c>
      <c r="R283" s="364" t="s">
        <v>88</v>
      </c>
      <c r="S283" s="364" t="s">
        <v>88</v>
      </c>
      <c r="T283" s="364" t="s">
        <v>88</v>
      </c>
      <c r="U283" s="364" t="s">
        <v>88</v>
      </c>
      <c r="V283" s="364" t="s">
        <v>88</v>
      </c>
      <c r="W283" s="364" t="s">
        <v>88</v>
      </c>
      <c r="X283" s="364" t="s">
        <v>88</v>
      </c>
      <c r="Y283" s="364" t="s">
        <v>88</v>
      </c>
      <c r="Z283" s="364" t="s">
        <v>672</v>
      </c>
      <c r="AA283" s="364" t="s">
        <v>671</v>
      </c>
      <c r="AB283" s="364" t="s">
        <v>649</v>
      </c>
      <c r="AC283" s="364" t="s">
        <v>649</v>
      </c>
      <c r="AD283" s="364" t="s">
        <v>649</v>
      </c>
      <c r="AE283" s="364" t="s">
        <v>88</v>
      </c>
      <c r="AF283" s="364" t="s">
        <v>88</v>
      </c>
      <c r="AG283" s="364" t="s">
        <v>88</v>
      </c>
      <c r="AH283" s="364" t="s">
        <v>88</v>
      </c>
      <c r="AI283" s="364" t="s">
        <v>1199</v>
      </c>
      <c r="AJ283" s="364" t="s">
        <v>648</v>
      </c>
      <c r="AK283" s="364" t="s">
        <v>669</v>
      </c>
      <c r="AL283" s="364" t="s">
        <v>646</v>
      </c>
      <c r="AM283" s="364" t="s">
        <v>668</v>
      </c>
      <c r="AN283" s="364" t="s">
        <v>644</v>
      </c>
    </row>
    <row r="284" spans="1:40" x14ac:dyDescent="0.3">
      <c r="A284" s="364" t="s">
        <v>2447</v>
      </c>
      <c r="B284" s="364" t="s">
        <v>661</v>
      </c>
      <c r="C284" s="364" t="s">
        <v>660</v>
      </c>
      <c r="D284" s="364" t="s">
        <v>90</v>
      </c>
      <c r="E284" s="364" t="s">
        <v>1994</v>
      </c>
      <c r="F284" s="364" t="s">
        <v>1994</v>
      </c>
      <c r="G284" s="364" t="s">
        <v>658</v>
      </c>
      <c r="H284" s="364" t="s">
        <v>2444</v>
      </c>
      <c r="I284" s="364" t="s">
        <v>2446</v>
      </c>
      <c r="J284" s="364" t="s">
        <v>673</v>
      </c>
      <c r="K284" s="364" t="s">
        <v>668</v>
      </c>
      <c r="L284" s="364" t="s">
        <v>190</v>
      </c>
      <c r="M284" s="364" t="s">
        <v>54</v>
      </c>
      <c r="N284" s="364" t="s">
        <v>654</v>
      </c>
      <c r="O284" s="364" t="s">
        <v>653</v>
      </c>
      <c r="P284" s="364" t="s">
        <v>198</v>
      </c>
      <c r="Q284" s="364" t="s">
        <v>652</v>
      </c>
      <c r="R284" s="364" t="s">
        <v>88</v>
      </c>
      <c r="S284" s="364" t="s">
        <v>88</v>
      </c>
      <c r="T284" s="364" t="s">
        <v>88</v>
      </c>
      <c r="U284" s="364" t="s">
        <v>88</v>
      </c>
      <c r="V284" s="364" t="s">
        <v>88</v>
      </c>
      <c r="W284" s="364" t="s">
        <v>88</v>
      </c>
      <c r="X284" s="364" t="s">
        <v>88</v>
      </c>
      <c r="Y284" s="364" t="s">
        <v>88</v>
      </c>
      <c r="Z284" s="364" t="s">
        <v>1265</v>
      </c>
      <c r="AA284" s="364" t="s">
        <v>649</v>
      </c>
      <c r="AB284" s="364" t="s">
        <v>649</v>
      </c>
      <c r="AC284" s="364" t="s">
        <v>649</v>
      </c>
      <c r="AD284" s="364" t="s">
        <v>649</v>
      </c>
      <c r="AE284" s="364" t="s">
        <v>88</v>
      </c>
      <c r="AF284" s="364" t="s">
        <v>88</v>
      </c>
      <c r="AG284" s="364" t="s">
        <v>88</v>
      </c>
      <c r="AH284" s="364" t="s">
        <v>88</v>
      </c>
      <c r="AI284" s="364" t="s">
        <v>1155</v>
      </c>
      <c r="AJ284" s="364" t="s">
        <v>710</v>
      </c>
      <c r="AK284" s="364" t="s">
        <v>1016</v>
      </c>
      <c r="AL284" s="364" t="s">
        <v>646</v>
      </c>
      <c r="AM284" s="364" t="s">
        <v>668</v>
      </c>
      <c r="AN284" s="364" t="s">
        <v>644</v>
      </c>
    </row>
    <row r="285" spans="1:40" x14ac:dyDescent="0.3">
      <c r="A285" s="364" t="s">
        <v>2447</v>
      </c>
      <c r="B285" s="364" t="s">
        <v>661</v>
      </c>
      <c r="C285" s="364" t="s">
        <v>660</v>
      </c>
      <c r="D285" s="364" t="s">
        <v>90</v>
      </c>
      <c r="E285" s="364" t="s">
        <v>1994</v>
      </c>
      <c r="F285" s="364" t="s">
        <v>1994</v>
      </c>
      <c r="G285" s="364" t="s">
        <v>658</v>
      </c>
      <c r="H285" s="364" t="s">
        <v>2444</v>
      </c>
      <c r="I285" s="364" t="s">
        <v>2446</v>
      </c>
      <c r="J285" s="364" t="s">
        <v>673</v>
      </c>
      <c r="K285" s="364" t="s">
        <v>668</v>
      </c>
      <c r="L285" s="364" t="s">
        <v>190</v>
      </c>
      <c r="M285" s="364" t="s">
        <v>61</v>
      </c>
      <c r="N285" s="364" t="s">
        <v>654</v>
      </c>
      <c r="O285" s="364" t="s">
        <v>653</v>
      </c>
      <c r="P285" s="364" t="s">
        <v>198</v>
      </c>
      <c r="Q285" s="364" t="s">
        <v>652</v>
      </c>
      <c r="R285" s="364" t="s">
        <v>88</v>
      </c>
      <c r="S285" s="364" t="s">
        <v>88</v>
      </c>
      <c r="T285" s="364" t="s">
        <v>88</v>
      </c>
      <c r="U285" s="364" t="s">
        <v>88</v>
      </c>
      <c r="V285" s="364" t="s">
        <v>88</v>
      </c>
      <c r="W285" s="364" t="s">
        <v>88</v>
      </c>
      <c r="X285" s="364" t="s">
        <v>88</v>
      </c>
      <c r="Y285" s="364" t="s">
        <v>88</v>
      </c>
      <c r="Z285" s="364" t="s">
        <v>1021</v>
      </c>
      <c r="AA285" s="364" t="s">
        <v>671</v>
      </c>
      <c r="AB285" s="364" t="s">
        <v>649</v>
      </c>
      <c r="AC285" s="364" t="s">
        <v>649</v>
      </c>
      <c r="AD285" s="364" t="s">
        <v>649</v>
      </c>
      <c r="AE285" s="364" t="s">
        <v>88</v>
      </c>
      <c r="AF285" s="364" t="s">
        <v>88</v>
      </c>
      <c r="AG285" s="364" t="s">
        <v>88</v>
      </c>
      <c r="AH285" s="364" t="s">
        <v>88</v>
      </c>
      <c r="AI285" s="364" t="s">
        <v>1155</v>
      </c>
      <c r="AJ285" s="364" t="s">
        <v>710</v>
      </c>
      <c r="AK285" s="364" t="s">
        <v>1016</v>
      </c>
      <c r="AL285" s="364" t="s">
        <v>646</v>
      </c>
      <c r="AM285" s="364" t="s">
        <v>668</v>
      </c>
      <c r="AN285" s="364" t="s">
        <v>644</v>
      </c>
    </row>
    <row r="286" spans="1:40" x14ac:dyDescent="0.3">
      <c r="A286" s="364" t="s">
        <v>2447</v>
      </c>
      <c r="B286" s="364" t="s">
        <v>661</v>
      </c>
      <c r="C286" s="364" t="s">
        <v>660</v>
      </c>
      <c r="D286" s="364" t="s">
        <v>90</v>
      </c>
      <c r="E286" s="364" t="s">
        <v>1994</v>
      </c>
      <c r="F286" s="364" t="s">
        <v>1994</v>
      </c>
      <c r="G286" s="364" t="s">
        <v>658</v>
      </c>
      <c r="H286" s="364" t="s">
        <v>2444</v>
      </c>
      <c r="I286" s="364" t="s">
        <v>2446</v>
      </c>
      <c r="J286" s="364" t="s">
        <v>673</v>
      </c>
      <c r="K286" s="364" t="s">
        <v>668</v>
      </c>
      <c r="L286" s="364" t="s">
        <v>190</v>
      </c>
      <c r="M286" s="364" t="s">
        <v>725</v>
      </c>
      <c r="N286" s="364" t="s">
        <v>654</v>
      </c>
      <c r="O286" s="364" t="s">
        <v>653</v>
      </c>
      <c r="P286" s="364" t="s">
        <v>198</v>
      </c>
      <c r="Q286" s="364" t="s">
        <v>652</v>
      </c>
      <c r="R286" s="364" t="s">
        <v>88</v>
      </c>
      <c r="S286" s="364" t="s">
        <v>88</v>
      </c>
      <c r="T286" s="364" t="s">
        <v>88</v>
      </c>
      <c r="U286" s="364" t="s">
        <v>88</v>
      </c>
      <c r="V286" s="364" t="s">
        <v>88</v>
      </c>
      <c r="W286" s="364" t="s">
        <v>88</v>
      </c>
      <c r="X286" s="364" t="s">
        <v>88</v>
      </c>
      <c r="Y286" s="364" t="s">
        <v>88</v>
      </c>
      <c r="Z286" s="364" t="s">
        <v>724</v>
      </c>
      <c r="AA286" s="364" t="s">
        <v>649</v>
      </c>
      <c r="AB286" s="364" t="s">
        <v>649</v>
      </c>
      <c r="AC286" s="364" t="s">
        <v>649</v>
      </c>
      <c r="AD286" s="364" t="s">
        <v>649</v>
      </c>
      <c r="AE286" s="364" t="s">
        <v>88</v>
      </c>
      <c r="AF286" s="364" t="s">
        <v>88</v>
      </c>
      <c r="AG286" s="364" t="s">
        <v>88</v>
      </c>
      <c r="AH286" s="364" t="s">
        <v>88</v>
      </c>
      <c r="AI286" s="364" t="s">
        <v>1155</v>
      </c>
      <c r="AJ286" s="364" t="s">
        <v>710</v>
      </c>
      <c r="AK286" s="364" t="s">
        <v>1016</v>
      </c>
      <c r="AL286" s="364" t="s">
        <v>646</v>
      </c>
      <c r="AM286" s="364" t="s">
        <v>668</v>
      </c>
      <c r="AN286" s="364" t="s">
        <v>644</v>
      </c>
    </row>
    <row r="287" spans="1:40" x14ac:dyDescent="0.3">
      <c r="A287" s="364" t="s">
        <v>2447</v>
      </c>
      <c r="B287" s="364" t="s">
        <v>661</v>
      </c>
      <c r="C287" s="364" t="s">
        <v>660</v>
      </c>
      <c r="D287" s="364" t="s">
        <v>90</v>
      </c>
      <c r="E287" s="364" t="s">
        <v>1994</v>
      </c>
      <c r="F287" s="364" t="s">
        <v>1994</v>
      </c>
      <c r="G287" s="364" t="s">
        <v>658</v>
      </c>
      <c r="H287" s="364" t="s">
        <v>2444</v>
      </c>
      <c r="I287" s="364" t="s">
        <v>2446</v>
      </c>
      <c r="J287" s="364" t="s">
        <v>673</v>
      </c>
      <c r="K287" s="364" t="s">
        <v>668</v>
      </c>
      <c r="L287" s="364" t="s">
        <v>190</v>
      </c>
      <c r="M287" s="364" t="s">
        <v>723</v>
      </c>
      <c r="N287" s="364" t="s">
        <v>654</v>
      </c>
      <c r="O287" s="364" t="s">
        <v>653</v>
      </c>
      <c r="P287" s="364" t="s">
        <v>198</v>
      </c>
      <c r="Q287" s="364" t="s">
        <v>652</v>
      </c>
      <c r="R287" s="364" t="s">
        <v>88</v>
      </c>
      <c r="S287" s="364" t="s">
        <v>88</v>
      </c>
      <c r="T287" s="364" t="s">
        <v>88</v>
      </c>
      <c r="U287" s="364" t="s">
        <v>88</v>
      </c>
      <c r="V287" s="364" t="s">
        <v>88</v>
      </c>
      <c r="W287" s="364" t="s">
        <v>88</v>
      </c>
      <c r="X287" s="364" t="s">
        <v>88</v>
      </c>
      <c r="Y287" s="364" t="s">
        <v>88</v>
      </c>
      <c r="Z287" s="364" t="s">
        <v>722</v>
      </c>
      <c r="AA287" s="364" t="s">
        <v>649</v>
      </c>
      <c r="AB287" s="364" t="s">
        <v>649</v>
      </c>
      <c r="AC287" s="364" t="s">
        <v>649</v>
      </c>
      <c r="AD287" s="364" t="s">
        <v>649</v>
      </c>
      <c r="AE287" s="364" t="s">
        <v>88</v>
      </c>
      <c r="AF287" s="364" t="s">
        <v>88</v>
      </c>
      <c r="AG287" s="364" t="s">
        <v>88</v>
      </c>
      <c r="AH287" s="364" t="s">
        <v>88</v>
      </c>
      <c r="AI287" s="364" t="s">
        <v>1155</v>
      </c>
      <c r="AJ287" s="364" t="s">
        <v>710</v>
      </c>
      <c r="AK287" s="364" t="s">
        <v>1016</v>
      </c>
      <c r="AL287" s="364" t="s">
        <v>646</v>
      </c>
      <c r="AM287" s="364" t="s">
        <v>668</v>
      </c>
      <c r="AN287" s="364" t="s">
        <v>644</v>
      </c>
    </row>
    <row r="288" spans="1:40" x14ac:dyDescent="0.3">
      <c r="A288" s="364" t="s">
        <v>2447</v>
      </c>
      <c r="B288" s="364" t="s">
        <v>661</v>
      </c>
      <c r="C288" s="364" t="s">
        <v>660</v>
      </c>
      <c r="D288" s="364" t="s">
        <v>90</v>
      </c>
      <c r="E288" s="364" t="s">
        <v>1994</v>
      </c>
      <c r="F288" s="364" t="s">
        <v>1994</v>
      </c>
      <c r="G288" s="364" t="s">
        <v>658</v>
      </c>
      <c r="H288" s="364" t="s">
        <v>2444</v>
      </c>
      <c r="I288" s="364" t="s">
        <v>2446</v>
      </c>
      <c r="J288" s="364" t="s">
        <v>673</v>
      </c>
      <c r="K288" s="364" t="s">
        <v>668</v>
      </c>
      <c r="L288" s="364" t="s">
        <v>190</v>
      </c>
      <c r="M288" s="364" t="s">
        <v>721</v>
      </c>
      <c r="N288" s="364" t="s">
        <v>654</v>
      </c>
      <c r="O288" s="364" t="s">
        <v>653</v>
      </c>
      <c r="P288" s="364" t="s">
        <v>198</v>
      </c>
      <c r="Q288" s="364" t="s">
        <v>652</v>
      </c>
      <c r="R288" s="364" t="s">
        <v>88</v>
      </c>
      <c r="S288" s="364" t="s">
        <v>88</v>
      </c>
      <c r="T288" s="364" t="s">
        <v>88</v>
      </c>
      <c r="U288" s="364" t="s">
        <v>88</v>
      </c>
      <c r="V288" s="364" t="s">
        <v>88</v>
      </c>
      <c r="W288" s="364" t="s">
        <v>88</v>
      </c>
      <c r="X288" s="364" t="s">
        <v>88</v>
      </c>
      <c r="Y288" s="364" t="s">
        <v>88</v>
      </c>
      <c r="Z288" s="364" t="s">
        <v>720</v>
      </c>
      <c r="AA288" s="364" t="s">
        <v>649</v>
      </c>
      <c r="AB288" s="364" t="s">
        <v>649</v>
      </c>
      <c r="AC288" s="364" t="s">
        <v>649</v>
      </c>
      <c r="AD288" s="364" t="s">
        <v>649</v>
      </c>
      <c r="AE288" s="364" t="s">
        <v>88</v>
      </c>
      <c r="AF288" s="364" t="s">
        <v>88</v>
      </c>
      <c r="AG288" s="364" t="s">
        <v>88</v>
      </c>
      <c r="AH288" s="364" t="s">
        <v>88</v>
      </c>
      <c r="AI288" s="364" t="s">
        <v>1155</v>
      </c>
      <c r="AJ288" s="364" t="s">
        <v>710</v>
      </c>
      <c r="AK288" s="364" t="s">
        <v>1016</v>
      </c>
      <c r="AL288" s="364" t="s">
        <v>646</v>
      </c>
      <c r="AM288" s="364" t="s">
        <v>668</v>
      </c>
      <c r="AN288" s="364" t="s">
        <v>644</v>
      </c>
    </row>
    <row r="289" spans="1:40" x14ac:dyDescent="0.3">
      <c r="A289" s="364" t="s">
        <v>2447</v>
      </c>
      <c r="B289" s="364" t="s">
        <v>661</v>
      </c>
      <c r="C289" s="364" t="s">
        <v>660</v>
      </c>
      <c r="D289" s="364" t="s">
        <v>90</v>
      </c>
      <c r="E289" s="364" t="s">
        <v>1994</v>
      </c>
      <c r="F289" s="364" t="s">
        <v>1994</v>
      </c>
      <c r="G289" s="364" t="s">
        <v>658</v>
      </c>
      <c r="H289" s="364" t="s">
        <v>2444</v>
      </c>
      <c r="I289" s="364" t="s">
        <v>2446</v>
      </c>
      <c r="J289" s="364" t="s">
        <v>673</v>
      </c>
      <c r="K289" s="364" t="s">
        <v>668</v>
      </c>
      <c r="L289" s="364" t="s">
        <v>190</v>
      </c>
      <c r="M289" s="364" t="s">
        <v>55</v>
      </c>
      <c r="N289" s="364" t="s">
        <v>654</v>
      </c>
      <c r="O289" s="364" t="s">
        <v>653</v>
      </c>
      <c r="P289" s="364" t="s">
        <v>198</v>
      </c>
      <c r="Q289" s="364" t="s">
        <v>652</v>
      </c>
      <c r="R289" s="364" t="s">
        <v>88</v>
      </c>
      <c r="S289" s="364" t="s">
        <v>88</v>
      </c>
      <c r="T289" s="364" t="s">
        <v>88</v>
      </c>
      <c r="U289" s="364" t="s">
        <v>88</v>
      </c>
      <c r="V289" s="364" t="s">
        <v>88</v>
      </c>
      <c r="W289" s="364" t="s">
        <v>88</v>
      </c>
      <c r="X289" s="364" t="s">
        <v>88</v>
      </c>
      <c r="Y289" s="364" t="s">
        <v>88</v>
      </c>
      <c r="Z289" s="364" t="s">
        <v>719</v>
      </c>
      <c r="AA289" s="364" t="s">
        <v>649</v>
      </c>
      <c r="AB289" s="364" t="s">
        <v>649</v>
      </c>
      <c r="AC289" s="364" t="s">
        <v>649</v>
      </c>
      <c r="AD289" s="364" t="s">
        <v>649</v>
      </c>
      <c r="AE289" s="364" t="s">
        <v>88</v>
      </c>
      <c r="AF289" s="364" t="s">
        <v>88</v>
      </c>
      <c r="AG289" s="364" t="s">
        <v>88</v>
      </c>
      <c r="AH289" s="364" t="s">
        <v>88</v>
      </c>
      <c r="AI289" s="364" t="s">
        <v>1155</v>
      </c>
      <c r="AJ289" s="364" t="s">
        <v>710</v>
      </c>
      <c r="AK289" s="364" t="s">
        <v>1016</v>
      </c>
      <c r="AL289" s="364" t="s">
        <v>646</v>
      </c>
      <c r="AM289" s="364" t="s">
        <v>668</v>
      </c>
      <c r="AN289" s="364" t="s">
        <v>644</v>
      </c>
    </row>
    <row r="290" spans="1:40" x14ac:dyDescent="0.3">
      <c r="A290" s="364" t="s">
        <v>2447</v>
      </c>
      <c r="B290" s="364" t="s">
        <v>661</v>
      </c>
      <c r="C290" s="364" t="s">
        <v>660</v>
      </c>
      <c r="D290" s="364" t="s">
        <v>90</v>
      </c>
      <c r="E290" s="364" t="s">
        <v>1994</v>
      </c>
      <c r="F290" s="364" t="s">
        <v>1994</v>
      </c>
      <c r="G290" s="364" t="s">
        <v>658</v>
      </c>
      <c r="H290" s="364" t="s">
        <v>2444</v>
      </c>
      <c r="I290" s="364" t="s">
        <v>2446</v>
      </c>
      <c r="J290" s="364" t="s">
        <v>673</v>
      </c>
      <c r="K290" s="364" t="s">
        <v>668</v>
      </c>
      <c r="L290" s="364" t="s">
        <v>190</v>
      </c>
      <c r="M290" s="364" t="s">
        <v>718</v>
      </c>
      <c r="N290" s="364" t="s">
        <v>654</v>
      </c>
      <c r="O290" s="364" t="s">
        <v>653</v>
      </c>
      <c r="P290" s="364" t="s">
        <v>198</v>
      </c>
      <c r="Q290" s="364" t="s">
        <v>652</v>
      </c>
      <c r="R290" s="364" t="s">
        <v>88</v>
      </c>
      <c r="S290" s="364" t="s">
        <v>88</v>
      </c>
      <c r="T290" s="364" t="s">
        <v>88</v>
      </c>
      <c r="U290" s="364" t="s">
        <v>88</v>
      </c>
      <c r="V290" s="364" t="s">
        <v>88</v>
      </c>
      <c r="W290" s="364" t="s">
        <v>88</v>
      </c>
      <c r="X290" s="364" t="s">
        <v>88</v>
      </c>
      <c r="Y290" s="364" t="s">
        <v>88</v>
      </c>
      <c r="Z290" s="364" t="s">
        <v>717</v>
      </c>
      <c r="AA290" s="364" t="s">
        <v>649</v>
      </c>
      <c r="AB290" s="364" t="s">
        <v>649</v>
      </c>
      <c r="AC290" s="364" t="s">
        <v>649</v>
      </c>
      <c r="AD290" s="364" t="s">
        <v>649</v>
      </c>
      <c r="AE290" s="364" t="s">
        <v>88</v>
      </c>
      <c r="AF290" s="364" t="s">
        <v>88</v>
      </c>
      <c r="AG290" s="364" t="s">
        <v>88</v>
      </c>
      <c r="AH290" s="364" t="s">
        <v>88</v>
      </c>
      <c r="AI290" s="364" t="s">
        <v>1155</v>
      </c>
      <c r="AJ290" s="364" t="s">
        <v>710</v>
      </c>
      <c r="AK290" s="364" t="s">
        <v>1016</v>
      </c>
      <c r="AL290" s="364" t="s">
        <v>646</v>
      </c>
      <c r="AM290" s="364" t="s">
        <v>668</v>
      </c>
      <c r="AN290" s="364" t="s">
        <v>644</v>
      </c>
    </row>
    <row r="291" spans="1:40" x14ac:dyDescent="0.3">
      <c r="A291" s="364" t="s">
        <v>2447</v>
      </c>
      <c r="B291" s="364" t="s">
        <v>661</v>
      </c>
      <c r="C291" s="364" t="s">
        <v>660</v>
      </c>
      <c r="D291" s="364" t="s">
        <v>90</v>
      </c>
      <c r="E291" s="364" t="s">
        <v>1994</v>
      </c>
      <c r="F291" s="364" t="s">
        <v>1994</v>
      </c>
      <c r="G291" s="364" t="s">
        <v>658</v>
      </c>
      <c r="H291" s="364" t="s">
        <v>2444</v>
      </c>
      <c r="I291" s="364" t="s">
        <v>2446</v>
      </c>
      <c r="J291" s="364" t="s">
        <v>673</v>
      </c>
      <c r="K291" s="364" t="s">
        <v>668</v>
      </c>
      <c r="L291" s="364" t="s">
        <v>190</v>
      </c>
      <c r="M291" s="364" t="s">
        <v>713</v>
      </c>
      <c r="N291" s="364" t="s">
        <v>654</v>
      </c>
      <c r="O291" s="364" t="s">
        <v>653</v>
      </c>
      <c r="P291" s="364" t="s">
        <v>198</v>
      </c>
      <c r="Q291" s="364" t="s">
        <v>652</v>
      </c>
      <c r="R291" s="364" t="s">
        <v>88</v>
      </c>
      <c r="S291" s="364" t="s">
        <v>88</v>
      </c>
      <c r="T291" s="364" t="s">
        <v>88</v>
      </c>
      <c r="U291" s="364" t="s">
        <v>88</v>
      </c>
      <c r="V291" s="364" t="s">
        <v>88</v>
      </c>
      <c r="W291" s="364" t="s">
        <v>88</v>
      </c>
      <c r="X291" s="364" t="s">
        <v>88</v>
      </c>
      <c r="Y291" s="364" t="s">
        <v>88</v>
      </c>
      <c r="Z291" s="364" t="s">
        <v>712</v>
      </c>
      <c r="AA291" s="364" t="s">
        <v>711</v>
      </c>
      <c r="AB291" s="364" t="s">
        <v>649</v>
      </c>
      <c r="AC291" s="364" t="s">
        <v>649</v>
      </c>
      <c r="AD291" s="364" t="s">
        <v>649</v>
      </c>
      <c r="AE291" s="364" t="s">
        <v>88</v>
      </c>
      <c r="AF291" s="364" t="s">
        <v>88</v>
      </c>
      <c r="AG291" s="364" t="s">
        <v>88</v>
      </c>
      <c r="AH291" s="364" t="s">
        <v>88</v>
      </c>
      <c r="AI291" s="364" t="s">
        <v>1155</v>
      </c>
      <c r="AJ291" s="364" t="s">
        <v>710</v>
      </c>
      <c r="AK291" s="364" t="s">
        <v>1016</v>
      </c>
      <c r="AL291" s="364" t="s">
        <v>646</v>
      </c>
      <c r="AM291" s="364" t="s">
        <v>668</v>
      </c>
      <c r="AN291" s="364" t="s">
        <v>644</v>
      </c>
    </row>
    <row r="292" spans="1:40" x14ac:dyDescent="0.3">
      <c r="A292" s="364" t="s">
        <v>2445</v>
      </c>
      <c r="B292" s="364" t="s">
        <v>661</v>
      </c>
      <c r="C292" s="364" t="s">
        <v>796</v>
      </c>
      <c r="D292" s="364" t="s">
        <v>90</v>
      </c>
      <c r="E292" s="364" t="s">
        <v>1994</v>
      </c>
      <c r="F292" s="364" t="s">
        <v>1994</v>
      </c>
      <c r="G292" s="364" t="s">
        <v>658</v>
      </c>
      <c r="H292" s="364" t="s">
        <v>2444</v>
      </c>
      <c r="I292" s="364" t="s">
        <v>88</v>
      </c>
      <c r="J292" s="364" t="s">
        <v>673</v>
      </c>
      <c r="K292" s="364" t="s">
        <v>668</v>
      </c>
      <c r="L292" s="364" t="s">
        <v>190</v>
      </c>
      <c r="M292" s="364" t="s">
        <v>54</v>
      </c>
      <c r="N292" s="364" t="s">
        <v>654</v>
      </c>
      <c r="O292" s="364" t="s">
        <v>653</v>
      </c>
      <c r="P292" s="364" t="s">
        <v>198</v>
      </c>
      <c r="Q292" s="364" t="s">
        <v>652</v>
      </c>
      <c r="R292" s="364" t="s">
        <v>88</v>
      </c>
      <c r="S292" s="364" t="s">
        <v>88</v>
      </c>
      <c r="T292" s="364" t="s">
        <v>88</v>
      </c>
      <c r="U292" s="364" t="s">
        <v>88</v>
      </c>
      <c r="V292" s="364" t="s">
        <v>88</v>
      </c>
      <c r="W292" s="364" t="s">
        <v>88</v>
      </c>
      <c r="X292" s="364" t="s">
        <v>88</v>
      </c>
      <c r="Y292" s="364" t="s">
        <v>88</v>
      </c>
      <c r="Z292" s="364" t="s">
        <v>1265</v>
      </c>
      <c r="AA292" s="364" t="s">
        <v>649</v>
      </c>
      <c r="AB292" s="364" t="s">
        <v>649</v>
      </c>
      <c r="AC292" s="364" t="s">
        <v>88</v>
      </c>
      <c r="AD292" s="364" t="s">
        <v>88</v>
      </c>
      <c r="AE292" s="364" t="s">
        <v>88</v>
      </c>
      <c r="AF292" s="364" t="s">
        <v>88</v>
      </c>
      <c r="AG292" s="364" t="s">
        <v>88</v>
      </c>
      <c r="AH292" s="364" t="s">
        <v>88</v>
      </c>
      <c r="AI292" s="364" t="s">
        <v>1155</v>
      </c>
      <c r="AJ292" s="364" t="s">
        <v>710</v>
      </c>
      <c r="AK292" s="364" t="s">
        <v>88</v>
      </c>
      <c r="AL292" s="364" t="s">
        <v>88</v>
      </c>
      <c r="AM292" s="364" t="s">
        <v>668</v>
      </c>
      <c r="AN292" s="364" t="s">
        <v>644</v>
      </c>
    </row>
    <row r="293" spans="1:40" x14ac:dyDescent="0.3">
      <c r="A293" s="364" t="s">
        <v>2445</v>
      </c>
      <c r="B293" s="364" t="s">
        <v>661</v>
      </c>
      <c r="C293" s="364" t="s">
        <v>796</v>
      </c>
      <c r="D293" s="364" t="s">
        <v>90</v>
      </c>
      <c r="E293" s="364" t="s">
        <v>1994</v>
      </c>
      <c r="F293" s="364" t="s">
        <v>1994</v>
      </c>
      <c r="G293" s="364" t="s">
        <v>658</v>
      </c>
      <c r="H293" s="364" t="s">
        <v>2444</v>
      </c>
      <c r="I293" s="364" t="s">
        <v>88</v>
      </c>
      <c r="J293" s="364" t="s">
        <v>673</v>
      </c>
      <c r="K293" s="364" t="s">
        <v>668</v>
      </c>
      <c r="L293" s="364" t="s">
        <v>190</v>
      </c>
      <c r="M293" s="364" t="s">
        <v>61</v>
      </c>
      <c r="N293" s="364" t="s">
        <v>654</v>
      </c>
      <c r="O293" s="364" t="s">
        <v>653</v>
      </c>
      <c r="P293" s="364" t="s">
        <v>198</v>
      </c>
      <c r="Q293" s="364" t="s">
        <v>652</v>
      </c>
      <c r="R293" s="364" t="s">
        <v>88</v>
      </c>
      <c r="S293" s="364" t="s">
        <v>88</v>
      </c>
      <c r="T293" s="364" t="s">
        <v>88</v>
      </c>
      <c r="U293" s="364" t="s">
        <v>88</v>
      </c>
      <c r="V293" s="364" t="s">
        <v>88</v>
      </c>
      <c r="W293" s="364" t="s">
        <v>88</v>
      </c>
      <c r="X293" s="364" t="s">
        <v>88</v>
      </c>
      <c r="Y293" s="364" t="s">
        <v>88</v>
      </c>
      <c r="Z293" s="364" t="s">
        <v>1021</v>
      </c>
      <c r="AA293" s="364" t="s">
        <v>671</v>
      </c>
      <c r="AB293" s="364" t="s">
        <v>649</v>
      </c>
      <c r="AC293" s="364" t="s">
        <v>88</v>
      </c>
      <c r="AD293" s="364" t="s">
        <v>88</v>
      </c>
      <c r="AE293" s="364" t="s">
        <v>88</v>
      </c>
      <c r="AF293" s="364" t="s">
        <v>88</v>
      </c>
      <c r="AG293" s="364" t="s">
        <v>88</v>
      </c>
      <c r="AH293" s="364" t="s">
        <v>88</v>
      </c>
      <c r="AI293" s="364" t="s">
        <v>1155</v>
      </c>
      <c r="AJ293" s="364" t="s">
        <v>710</v>
      </c>
      <c r="AK293" s="364" t="s">
        <v>88</v>
      </c>
      <c r="AL293" s="364" t="s">
        <v>88</v>
      </c>
      <c r="AM293" s="364" t="s">
        <v>668</v>
      </c>
      <c r="AN293" s="364" t="s">
        <v>644</v>
      </c>
    </row>
    <row r="294" spans="1:40" x14ac:dyDescent="0.3">
      <c r="A294" s="364" t="s">
        <v>2445</v>
      </c>
      <c r="B294" s="364" t="s">
        <v>661</v>
      </c>
      <c r="C294" s="364" t="s">
        <v>796</v>
      </c>
      <c r="D294" s="364" t="s">
        <v>90</v>
      </c>
      <c r="E294" s="364" t="s">
        <v>1994</v>
      </c>
      <c r="F294" s="364" t="s">
        <v>1994</v>
      </c>
      <c r="G294" s="364" t="s">
        <v>658</v>
      </c>
      <c r="H294" s="364" t="s">
        <v>2444</v>
      </c>
      <c r="I294" s="364" t="s">
        <v>88</v>
      </c>
      <c r="J294" s="364" t="s">
        <v>673</v>
      </c>
      <c r="K294" s="364" t="s">
        <v>668</v>
      </c>
      <c r="L294" s="364" t="s">
        <v>190</v>
      </c>
      <c r="M294" s="364" t="s">
        <v>725</v>
      </c>
      <c r="N294" s="364" t="s">
        <v>654</v>
      </c>
      <c r="O294" s="364" t="s">
        <v>653</v>
      </c>
      <c r="P294" s="364" t="s">
        <v>198</v>
      </c>
      <c r="Q294" s="364" t="s">
        <v>652</v>
      </c>
      <c r="R294" s="364" t="s">
        <v>88</v>
      </c>
      <c r="S294" s="364" t="s">
        <v>88</v>
      </c>
      <c r="T294" s="364" t="s">
        <v>88</v>
      </c>
      <c r="U294" s="364" t="s">
        <v>88</v>
      </c>
      <c r="V294" s="364" t="s">
        <v>88</v>
      </c>
      <c r="W294" s="364" t="s">
        <v>88</v>
      </c>
      <c r="X294" s="364" t="s">
        <v>88</v>
      </c>
      <c r="Y294" s="364" t="s">
        <v>88</v>
      </c>
      <c r="Z294" s="364" t="s">
        <v>724</v>
      </c>
      <c r="AA294" s="364" t="s">
        <v>649</v>
      </c>
      <c r="AB294" s="364" t="s">
        <v>649</v>
      </c>
      <c r="AC294" s="364" t="s">
        <v>88</v>
      </c>
      <c r="AD294" s="364" t="s">
        <v>88</v>
      </c>
      <c r="AE294" s="364" t="s">
        <v>88</v>
      </c>
      <c r="AF294" s="364" t="s">
        <v>88</v>
      </c>
      <c r="AG294" s="364" t="s">
        <v>88</v>
      </c>
      <c r="AH294" s="364" t="s">
        <v>88</v>
      </c>
      <c r="AI294" s="364" t="s">
        <v>1155</v>
      </c>
      <c r="AJ294" s="364" t="s">
        <v>710</v>
      </c>
      <c r="AK294" s="364" t="s">
        <v>88</v>
      </c>
      <c r="AL294" s="364" t="s">
        <v>88</v>
      </c>
      <c r="AM294" s="364" t="s">
        <v>668</v>
      </c>
      <c r="AN294" s="364" t="s">
        <v>644</v>
      </c>
    </row>
    <row r="295" spans="1:40" x14ac:dyDescent="0.3">
      <c r="A295" s="364" t="s">
        <v>2445</v>
      </c>
      <c r="B295" s="364" t="s">
        <v>661</v>
      </c>
      <c r="C295" s="364" t="s">
        <v>796</v>
      </c>
      <c r="D295" s="364" t="s">
        <v>90</v>
      </c>
      <c r="E295" s="364" t="s">
        <v>1994</v>
      </c>
      <c r="F295" s="364" t="s">
        <v>1994</v>
      </c>
      <c r="G295" s="364" t="s">
        <v>658</v>
      </c>
      <c r="H295" s="364" t="s">
        <v>2444</v>
      </c>
      <c r="I295" s="364" t="s">
        <v>88</v>
      </c>
      <c r="J295" s="364" t="s">
        <v>673</v>
      </c>
      <c r="K295" s="364" t="s">
        <v>668</v>
      </c>
      <c r="L295" s="364" t="s">
        <v>190</v>
      </c>
      <c r="M295" s="364" t="s">
        <v>723</v>
      </c>
      <c r="N295" s="364" t="s">
        <v>654</v>
      </c>
      <c r="O295" s="364" t="s">
        <v>653</v>
      </c>
      <c r="P295" s="364" t="s">
        <v>198</v>
      </c>
      <c r="Q295" s="364" t="s">
        <v>652</v>
      </c>
      <c r="R295" s="364" t="s">
        <v>88</v>
      </c>
      <c r="S295" s="364" t="s">
        <v>88</v>
      </c>
      <c r="T295" s="364" t="s">
        <v>88</v>
      </c>
      <c r="U295" s="364" t="s">
        <v>88</v>
      </c>
      <c r="V295" s="364" t="s">
        <v>88</v>
      </c>
      <c r="W295" s="364" t="s">
        <v>88</v>
      </c>
      <c r="X295" s="364" t="s">
        <v>88</v>
      </c>
      <c r="Y295" s="364" t="s">
        <v>88</v>
      </c>
      <c r="Z295" s="364" t="s">
        <v>722</v>
      </c>
      <c r="AA295" s="364" t="s">
        <v>649</v>
      </c>
      <c r="AB295" s="364" t="s">
        <v>649</v>
      </c>
      <c r="AC295" s="364" t="s">
        <v>88</v>
      </c>
      <c r="AD295" s="364" t="s">
        <v>88</v>
      </c>
      <c r="AE295" s="364" t="s">
        <v>88</v>
      </c>
      <c r="AF295" s="364" t="s">
        <v>88</v>
      </c>
      <c r="AG295" s="364" t="s">
        <v>88</v>
      </c>
      <c r="AH295" s="364" t="s">
        <v>88</v>
      </c>
      <c r="AI295" s="364" t="s">
        <v>1155</v>
      </c>
      <c r="AJ295" s="364" t="s">
        <v>710</v>
      </c>
      <c r="AK295" s="364" t="s">
        <v>88</v>
      </c>
      <c r="AL295" s="364" t="s">
        <v>88</v>
      </c>
      <c r="AM295" s="364" t="s">
        <v>668</v>
      </c>
      <c r="AN295" s="364" t="s">
        <v>644</v>
      </c>
    </row>
    <row r="296" spans="1:40" x14ac:dyDescent="0.3">
      <c r="A296" s="364" t="s">
        <v>2445</v>
      </c>
      <c r="B296" s="364" t="s">
        <v>661</v>
      </c>
      <c r="C296" s="364" t="s">
        <v>796</v>
      </c>
      <c r="D296" s="364" t="s">
        <v>90</v>
      </c>
      <c r="E296" s="364" t="s">
        <v>1994</v>
      </c>
      <c r="F296" s="364" t="s">
        <v>1994</v>
      </c>
      <c r="G296" s="364" t="s">
        <v>658</v>
      </c>
      <c r="H296" s="364" t="s">
        <v>2444</v>
      </c>
      <c r="I296" s="364" t="s">
        <v>88</v>
      </c>
      <c r="J296" s="364" t="s">
        <v>673</v>
      </c>
      <c r="K296" s="364" t="s">
        <v>668</v>
      </c>
      <c r="L296" s="364" t="s">
        <v>190</v>
      </c>
      <c r="M296" s="364" t="s">
        <v>721</v>
      </c>
      <c r="N296" s="364" t="s">
        <v>654</v>
      </c>
      <c r="O296" s="364" t="s">
        <v>653</v>
      </c>
      <c r="P296" s="364" t="s">
        <v>198</v>
      </c>
      <c r="Q296" s="364" t="s">
        <v>652</v>
      </c>
      <c r="R296" s="364" t="s">
        <v>88</v>
      </c>
      <c r="S296" s="364" t="s">
        <v>88</v>
      </c>
      <c r="T296" s="364" t="s">
        <v>88</v>
      </c>
      <c r="U296" s="364" t="s">
        <v>88</v>
      </c>
      <c r="V296" s="364" t="s">
        <v>88</v>
      </c>
      <c r="W296" s="364" t="s">
        <v>88</v>
      </c>
      <c r="X296" s="364" t="s">
        <v>88</v>
      </c>
      <c r="Y296" s="364" t="s">
        <v>88</v>
      </c>
      <c r="Z296" s="364" t="s">
        <v>720</v>
      </c>
      <c r="AA296" s="364" t="s">
        <v>649</v>
      </c>
      <c r="AB296" s="364" t="s">
        <v>649</v>
      </c>
      <c r="AC296" s="364" t="s">
        <v>88</v>
      </c>
      <c r="AD296" s="364" t="s">
        <v>88</v>
      </c>
      <c r="AE296" s="364" t="s">
        <v>88</v>
      </c>
      <c r="AF296" s="364" t="s">
        <v>88</v>
      </c>
      <c r="AG296" s="364" t="s">
        <v>88</v>
      </c>
      <c r="AH296" s="364" t="s">
        <v>88</v>
      </c>
      <c r="AI296" s="364" t="s">
        <v>1155</v>
      </c>
      <c r="AJ296" s="364" t="s">
        <v>710</v>
      </c>
      <c r="AK296" s="364" t="s">
        <v>88</v>
      </c>
      <c r="AL296" s="364" t="s">
        <v>88</v>
      </c>
      <c r="AM296" s="364" t="s">
        <v>668</v>
      </c>
      <c r="AN296" s="364" t="s">
        <v>644</v>
      </c>
    </row>
    <row r="297" spans="1:40" x14ac:dyDescent="0.3">
      <c r="A297" s="364" t="s">
        <v>2445</v>
      </c>
      <c r="B297" s="364" t="s">
        <v>661</v>
      </c>
      <c r="C297" s="364" t="s">
        <v>796</v>
      </c>
      <c r="D297" s="364" t="s">
        <v>90</v>
      </c>
      <c r="E297" s="364" t="s">
        <v>1994</v>
      </c>
      <c r="F297" s="364" t="s">
        <v>1994</v>
      </c>
      <c r="G297" s="364" t="s">
        <v>658</v>
      </c>
      <c r="H297" s="364" t="s">
        <v>2444</v>
      </c>
      <c r="I297" s="364" t="s">
        <v>88</v>
      </c>
      <c r="J297" s="364" t="s">
        <v>673</v>
      </c>
      <c r="K297" s="364" t="s">
        <v>668</v>
      </c>
      <c r="L297" s="364" t="s">
        <v>190</v>
      </c>
      <c r="M297" s="364" t="s">
        <v>55</v>
      </c>
      <c r="N297" s="364" t="s">
        <v>654</v>
      </c>
      <c r="O297" s="364" t="s">
        <v>653</v>
      </c>
      <c r="P297" s="364" t="s">
        <v>198</v>
      </c>
      <c r="Q297" s="364" t="s">
        <v>652</v>
      </c>
      <c r="R297" s="364" t="s">
        <v>88</v>
      </c>
      <c r="S297" s="364" t="s">
        <v>88</v>
      </c>
      <c r="T297" s="364" t="s">
        <v>88</v>
      </c>
      <c r="U297" s="364" t="s">
        <v>88</v>
      </c>
      <c r="V297" s="364" t="s">
        <v>88</v>
      </c>
      <c r="W297" s="364" t="s">
        <v>88</v>
      </c>
      <c r="X297" s="364" t="s">
        <v>88</v>
      </c>
      <c r="Y297" s="364" t="s">
        <v>88</v>
      </c>
      <c r="Z297" s="364" t="s">
        <v>719</v>
      </c>
      <c r="AA297" s="364" t="s">
        <v>649</v>
      </c>
      <c r="AB297" s="364" t="s">
        <v>649</v>
      </c>
      <c r="AC297" s="364" t="s">
        <v>88</v>
      </c>
      <c r="AD297" s="364" t="s">
        <v>88</v>
      </c>
      <c r="AE297" s="364" t="s">
        <v>88</v>
      </c>
      <c r="AF297" s="364" t="s">
        <v>88</v>
      </c>
      <c r="AG297" s="364" t="s">
        <v>88</v>
      </c>
      <c r="AH297" s="364" t="s">
        <v>88</v>
      </c>
      <c r="AI297" s="364" t="s">
        <v>1155</v>
      </c>
      <c r="AJ297" s="364" t="s">
        <v>710</v>
      </c>
      <c r="AK297" s="364" t="s">
        <v>88</v>
      </c>
      <c r="AL297" s="364" t="s">
        <v>88</v>
      </c>
      <c r="AM297" s="364" t="s">
        <v>668</v>
      </c>
      <c r="AN297" s="364" t="s">
        <v>644</v>
      </c>
    </row>
    <row r="298" spans="1:40" x14ac:dyDescent="0.3">
      <c r="A298" s="364" t="s">
        <v>2445</v>
      </c>
      <c r="B298" s="364" t="s">
        <v>661</v>
      </c>
      <c r="C298" s="364" t="s">
        <v>796</v>
      </c>
      <c r="D298" s="364" t="s">
        <v>90</v>
      </c>
      <c r="E298" s="364" t="s">
        <v>1994</v>
      </c>
      <c r="F298" s="364" t="s">
        <v>1994</v>
      </c>
      <c r="G298" s="364" t="s">
        <v>658</v>
      </c>
      <c r="H298" s="364" t="s">
        <v>2444</v>
      </c>
      <c r="I298" s="364" t="s">
        <v>88</v>
      </c>
      <c r="J298" s="364" t="s">
        <v>673</v>
      </c>
      <c r="K298" s="364" t="s">
        <v>668</v>
      </c>
      <c r="L298" s="364" t="s">
        <v>190</v>
      </c>
      <c r="M298" s="364" t="s">
        <v>718</v>
      </c>
      <c r="N298" s="364" t="s">
        <v>654</v>
      </c>
      <c r="O298" s="364" t="s">
        <v>653</v>
      </c>
      <c r="P298" s="364" t="s">
        <v>198</v>
      </c>
      <c r="Q298" s="364" t="s">
        <v>652</v>
      </c>
      <c r="R298" s="364" t="s">
        <v>88</v>
      </c>
      <c r="S298" s="364" t="s">
        <v>88</v>
      </c>
      <c r="T298" s="364" t="s">
        <v>88</v>
      </c>
      <c r="U298" s="364" t="s">
        <v>88</v>
      </c>
      <c r="V298" s="364" t="s">
        <v>88</v>
      </c>
      <c r="W298" s="364" t="s">
        <v>88</v>
      </c>
      <c r="X298" s="364" t="s">
        <v>88</v>
      </c>
      <c r="Y298" s="364" t="s">
        <v>88</v>
      </c>
      <c r="Z298" s="364" t="s">
        <v>717</v>
      </c>
      <c r="AA298" s="364" t="s">
        <v>649</v>
      </c>
      <c r="AB298" s="364" t="s">
        <v>649</v>
      </c>
      <c r="AC298" s="364" t="s">
        <v>88</v>
      </c>
      <c r="AD298" s="364" t="s">
        <v>88</v>
      </c>
      <c r="AE298" s="364" t="s">
        <v>88</v>
      </c>
      <c r="AF298" s="364" t="s">
        <v>88</v>
      </c>
      <c r="AG298" s="364" t="s">
        <v>88</v>
      </c>
      <c r="AH298" s="364" t="s">
        <v>88</v>
      </c>
      <c r="AI298" s="364" t="s">
        <v>1155</v>
      </c>
      <c r="AJ298" s="364" t="s">
        <v>710</v>
      </c>
      <c r="AK298" s="364" t="s">
        <v>88</v>
      </c>
      <c r="AL298" s="364" t="s">
        <v>88</v>
      </c>
      <c r="AM298" s="364" t="s">
        <v>668</v>
      </c>
      <c r="AN298" s="364" t="s">
        <v>644</v>
      </c>
    </row>
    <row r="299" spans="1:40" x14ac:dyDescent="0.3">
      <c r="A299" s="364" t="s">
        <v>2445</v>
      </c>
      <c r="B299" s="364" t="s">
        <v>661</v>
      </c>
      <c r="C299" s="364" t="s">
        <v>796</v>
      </c>
      <c r="D299" s="364" t="s">
        <v>90</v>
      </c>
      <c r="E299" s="364" t="s">
        <v>1994</v>
      </c>
      <c r="F299" s="364" t="s">
        <v>1994</v>
      </c>
      <c r="G299" s="364" t="s">
        <v>658</v>
      </c>
      <c r="H299" s="364" t="s">
        <v>2444</v>
      </c>
      <c r="I299" s="364" t="s">
        <v>88</v>
      </c>
      <c r="J299" s="364" t="s">
        <v>673</v>
      </c>
      <c r="K299" s="364" t="s">
        <v>668</v>
      </c>
      <c r="L299" s="364" t="s">
        <v>190</v>
      </c>
      <c r="M299" s="364" t="s">
        <v>713</v>
      </c>
      <c r="N299" s="364" t="s">
        <v>654</v>
      </c>
      <c r="O299" s="364" t="s">
        <v>653</v>
      </c>
      <c r="P299" s="364" t="s">
        <v>198</v>
      </c>
      <c r="Q299" s="364" t="s">
        <v>652</v>
      </c>
      <c r="R299" s="364" t="s">
        <v>88</v>
      </c>
      <c r="S299" s="364" t="s">
        <v>88</v>
      </c>
      <c r="T299" s="364" t="s">
        <v>88</v>
      </c>
      <c r="U299" s="364" t="s">
        <v>88</v>
      </c>
      <c r="V299" s="364" t="s">
        <v>88</v>
      </c>
      <c r="W299" s="364" t="s">
        <v>88</v>
      </c>
      <c r="X299" s="364" t="s">
        <v>88</v>
      </c>
      <c r="Y299" s="364" t="s">
        <v>88</v>
      </c>
      <c r="Z299" s="364" t="s">
        <v>712</v>
      </c>
      <c r="AA299" s="364" t="s">
        <v>711</v>
      </c>
      <c r="AB299" s="364" t="s">
        <v>649</v>
      </c>
      <c r="AC299" s="364" t="s">
        <v>88</v>
      </c>
      <c r="AD299" s="364" t="s">
        <v>88</v>
      </c>
      <c r="AE299" s="364" t="s">
        <v>88</v>
      </c>
      <c r="AF299" s="364" t="s">
        <v>88</v>
      </c>
      <c r="AG299" s="364" t="s">
        <v>88</v>
      </c>
      <c r="AH299" s="364" t="s">
        <v>88</v>
      </c>
      <c r="AI299" s="364" t="s">
        <v>1155</v>
      </c>
      <c r="AJ299" s="364" t="s">
        <v>710</v>
      </c>
      <c r="AK299" s="364" t="s">
        <v>88</v>
      </c>
      <c r="AL299" s="364" t="s">
        <v>88</v>
      </c>
      <c r="AM299" s="364" t="s">
        <v>668</v>
      </c>
      <c r="AN299" s="364" t="s">
        <v>644</v>
      </c>
    </row>
    <row r="300" spans="1:40" x14ac:dyDescent="0.3">
      <c r="A300" s="364" t="s">
        <v>2443</v>
      </c>
      <c r="B300" s="364" t="s">
        <v>661</v>
      </c>
      <c r="C300" s="364" t="s">
        <v>660</v>
      </c>
      <c r="D300" s="364" t="s">
        <v>87</v>
      </c>
      <c r="E300" s="364" t="s">
        <v>2415</v>
      </c>
      <c r="F300" s="364" t="s">
        <v>2415</v>
      </c>
      <c r="G300" s="364" t="s">
        <v>658</v>
      </c>
      <c r="H300" s="364" t="s">
        <v>2442</v>
      </c>
      <c r="I300" s="364" t="s">
        <v>2441</v>
      </c>
      <c r="J300" s="364" t="s">
        <v>673</v>
      </c>
      <c r="K300" s="364" t="s">
        <v>668</v>
      </c>
      <c r="L300" s="364" t="s">
        <v>190</v>
      </c>
      <c r="M300" s="364" t="s">
        <v>59</v>
      </c>
      <c r="N300" s="364" t="s">
        <v>654</v>
      </c>
      <c r="O300" s="364" t="s">
        <v>653</v>
      </c>
      <c r="P300" s="364" t="s">
        <v>198</v>
      </c>
      <c r="Q300" s="364" t="s">
        <v>652</v>
      </c>
      <c r="R300" s="364" t="s">
        <v>88</v>
      </c>
      <c r="S300" s="364" t="s">
        <v>88</v>
      </c>
      <c r="T300" s="364" t="s">
        <v>88</v>
      </c>
      <c r="U300" s="364" t="s">
        <v>88</v>
      </c>
      <c r="V300" s="364" t="s">
        <v>88</v>
      </c>
      <c r="W300" s="364" t="s">
        <v>88</v>
      </c>
      <c r="X300" s="364" t="s">
        <v>88</v>
      </c>
      <c r="Y300" s="364" t="s">
        <v>88</v>
      </c>
      <c r="Z300" s="364" t="s">
        <v>672</v>
      </c>
      <c r="AA300" s="364" t="s">
        <v>671</v>
      </c>
      <c r="AB300" s="364" t="s">
        <v>649</v>
      </c>
      <c r="AC300" s="364" t="s">
        <v>649</v>
      </c>
      <c r="AD300" s="364" t="s">
        <v>649</v>
      </c>
      <c r="AE300" s="364" t="s">
        <v>88</v>
      </c>
      <c r="AF300" s="364" t="s">
        <v>88</v>
      </c>
      <c r="AG300" s="364" t="s">
        <v>88</v>
      </c>
      <c r="AH300" s="364" t="s">
        <v>88</v>
      </c>
      <c r="AI300" s="364" t="s">
        <v>1199</v>
      </c>
      <c r="AJ300" s="364" t="s">
        <v>648</v>
      </c>
      <c r="AK300" s="364" t="s">
        <v>669</v>
      </c>
      <c r="AL300" s="364" t="s">
        <v>646</v>
      </c>
      <c r="AM300" s="364" t="s">
        <v>668</v>
      </c>
      <c r="AN300" s="364" t="s">
        <v>644</v>
      </c>
    </row>
    <row r="301" spans="1:40" x14ac:dyDescent="0.3">
      <c r="A301" s="364" t="s">
        <v>2440</v>
      </c>
      <c r="B301" s="364" t="s">
        <v>661</v>
      </c>
      <c r="C301" s="364" t="s">
        <v>660</v>
      </c>
      <c r="D301" s="364" t="s">
        <v>87</v>
      </c>
      <c r="E301" s="364" t="s">
        <v>2415</v>
      </c>
      <c r="F301" s="364" t="s">
        <v>2415</v>
      </c>
      <c r="G301" s="364" t="s">
        <v>658</v>
      </c>
      <c r="H301" s="364" t="s">
        <v>2439</v>
      </c>
      <c r="I301" s="364" t="s">
        <v>2438</v>
      </c>
      <c r="J301" s="364" t="s">
        <v>673</v>
      </c>
      <c r="K301" s="364" t="s">
        <v>668</v>
      </c>
      <c r="L301" s="364" t="s">
        <v>190</v>
      </c>
      <c r="M301" s="364" t="s">
        <v>62</v>
      </c>
      <c r="N301" s="364" t="s">
        <v>654</v>
      </c>
      <c r="O301" s="364" t="s">
        <v>653</v>
      </c>
      <c r="P301" s="364" t="s">
        <v>198</v>
      </c>
      <c r="Q301" s="364" t="s">
        <v>652</v>
      </c>
      <c r="R301" s="364" t="s">
        <v>88</v>
      </c>
      <c r="S301" s="364" t="s">
        <v>88</v>
      </c>
      <c r="T301" s="364" t="s">
        <v>88</v>
      </c>
      <c r="U301" s="364" t="s">
        <v>88</v>
      </c>
      <c r="V301" s="364" t="s">
        <v>88</v>
      </c>
      <c r="W301" s="364" t="s">
        <v>88</v>
      </c>
      <c r="X301" s="364" t="s">
        <v>88</v>
      </c>
      <c r="Y301" s="364" t="s">
        <v>88</v>
      </c>
      <c r="Z301" s="364" t="s">
        <v>689</v>
      </c>
      <c r="AA301" s="364" t="s">
        <v>688</v>
      </c>
      <c r="AB301" s="364" t="s">
        <v>649</v>
      </c>
      <c r="AC301" s="364" t="s">
        <v>649</v>
      </c>
      <c r="AD301" s="364" t="s">
        <v>649</v>
      </c>
      <c r="AE301" s="364" t="s">
        <v>88</v>
      </c>
      <c r="AF301" s="364" t="s">
        <v>88</v>
      </c>
      <c r="AG301" s="364" t="s">
        <v>88</v>
      </c>
      <c r="AH301" s="364" t="s">
        <v>88</v>
      </c>
      <c r="AI301" s="364" t="s">
        <v>1199</v>
      </c>
      <c r="AJ301" s="364" t="s">
        <v>648</v>
      </c>
      <c r="AK301" s="364" t="s">
        <v>669</v>
      </c>
      <c r="AL301" s="364" t="s">
        <v>646</v>
      </c>
      <c r="AM301" s="364" t="s">
        <v>668</v>
      </c>
      <c r="AN301" s="364" t="s">
        <v>644</v>
      </c>
    </row>
    <row r="302" spans="1:40" x14ac:dyDescent="0.3">
      <c r="A302" s="364" t="s">
        <v>2437</v>
      </c>
      <c r="B302" s="364" t="s">
        <v>661</v>
      </c>
      <c r="C302" s="364" t="s">
        <v>1420</v>
      </c>
      <c r="D302" s="364" t="s">
        <v>170</v>
      </c>
      <c r="E302" s="364" t="s">
        <v>816</v>
      </c>
      <c r="F302" s="364" t="s">
        <v>1019</v>
      </c>
      <c r="G302" s="364" t="s">
        <v>658</v>
      </c>
      <c r="H302" s="364" t="s">
        <v>2436</v>
      </c>
      <c r="I302" s="364" t="s">
        <v>2435</v>
      </c>
      <c r="J302" s="364" t="s">
        <v>673</v>
      </c>
      <c r="K302" s="364" t="s">
        <v>668</v>
      </c>
      <c r="L302" s="364" t="s">
        <v>190</v>
      </c>
      <c r="M302" s="364" t="s">
        <v>164</v>
      </c>
      <c r="N302" s="364" t="s">
        <v>654</v>
      </c>
      <c r="O302" s="364" t="s">
        <v>653</v>
      </c>
      <c r="P302" s="364" t="s">
        <v>198</v>
      </c>
      <c r="Q302" s="364" t="s">
        <v>652</v>
      </c>
      <c r="R302" s="364" t="s">
        <v>88</v>
      </c>
      <c r="S302" s="364" t="s">
        <v>88</v>
      </c>
      <c r="T302" s="364" t="s">
        <v>88</v>
      </c>
      <c r="U302" s="364" t="s">
        <v>88</v>
      </c>
      <c r="V302" s="364" t="s">
        <v>88</v>
      </c>
      <c r="W302" s="364" t="s">
        <v>88</v>
      </c>
      <c r="X302" s="364" t="s">
        <v>88</v>
      </c>
      <c r="Y302" s="364" t="s">
        <v>88</v>
      </c>
      <c r="Z302" s="364" t="s">
        <v>825</v>
      </c>
      <c r="AA302" s="364" t="s">
        <v>649</v>
      </c>
      <c r="AB302" s="364" t="s">
        <v>2434</v>
      </c>
      <c r="AC302" s="364" t="s">
        <v>2434</v>
      </c>
      <c r="AD302" s="364" t="s">
        <v>2434</v>
      </c>
      <c r="AE302" s="364" t="s">
        <v>88</v>
      </c>
      <c r="AF302" s="364" t="s">
        <v>1416</v>
      </c>
      <c r="AG302" s="364" t="s">
        <v>1415</v>
      </c>
      <c r="AH302" s="364" t="s">
        <v>1991</v>
      </c>
      <c r="AI302" s="364" t="s">
        <v>2433</v>
      </c>
      <c r="AJ302" s="364" t="s">
        <v>1446</v>
      </c>
      <c r="AK302" s="364" t="s">
        <v>669</v>
      </c>
      <c r="AL302" s="364" t="s">
        <v>1412</v>
      </c>
      <c r="AM302" s="364" t="s">
        <v>668</v>
      </c>
      <c r="AN302" s="364" t="s">
        <v>1411</v>
      </c>
    </row>
    <row r="303" spans="1:40" x14ac:dyDescent="0.3">
      <c r="A303" s="364" t="s">
        <v>2432</v>
      </c>
      <c r="B303" s="364" t="s">
        <v>661</v>
      </c>
      <c r="C303" s="364" t="s">
        <v>660</v>
      </c>
      <c r="D303" s="364" t="s">
        <v>87</v>
      </c>
      <c r="E303" s="364" t="s">
        <v>2415</v>
      </c>
      <c r="F303" s="364" t="s">
        <v>2415</v>
      </c>
      <c r="G303" s="364" t="s">
        <v>658</v>
      </c>
      <c r="H303" s="364" t="s">
        <v>2431</v>
      </c>
      <c r="I303" s="364" t="s">
        <v>2430</v>
      </c>
      <c r="J303" s="364" t="s">
        <v>673</v>
      </c>
      <c r="K303" s="364" t="s">
        <v>668</v>
      </c>
      <c r="L303" s="364" t="s">
        <v>190</v>
      </c>
      <c r="M303" s="364" t="s">
        <v>58</v>
      </c>
      <c r="N303" s="364" t="s">
        <v>654</v>
      </c>
      <c r="O303" s="364" t="s">
        <v>653</v>
      </c>
      <c r="P303" s="364" t="s">
        <v>198</v>
      </c>
      <c r="Q303" s="364" t="s">
        <v>652</v>
      </c>
      <c r="R303" s="364" t="s">
        <v>88</v>
      </c>
      <c r="S303" s="364" t="s">
        <v>88</v>
      </c>
      <c r="T303" s="364" t="s">
        <v>88</v>
      </c>
      <c r="U303" s="364" t="s">
        <v>88</v>
      </c>
      <c r="V303" s="364" t="s">
        <v>88</v>
      </c>
      <c r="W303" s="364" t="s">
        <v>88</v>
      </c>
      <c r="X303" s="364" t="s">
        <v>88</v>
      </c>
      <c r="Y303" s="364" t="s">
        <v>88</v>
      </c>
      <c r="Z303" s="364" t="s">
        <v>702</v>
      </c>
      <c r="AA303" s="364" t="s">
        <v>701</v>
      </c>
      <c r="AB303" s="364" t="s">
        <v>649</v>
      </c>
      <c r="AC303" s="364" t="s">
        <v>649</v>
      </c>
      <c r="AD303" s="364" t="s">
        <v>649</v>
      </c>
      <c r="AE303" s="364" t="s">
        <v>88</v>
      </c>
      <c r="AF303" s="364" t="s">
        <v>88</v>
      </c>
      <c r="AG303" s="364" t="s">
        <v>88</v>
      </c>
      <c r="AH303" s="364" t="s">
        <v>88</v>
      </c>
      <c r="AI303" s="364" t="s">
        <v>1199</v>
      </c>
      <c r="AJ303" s="364" t="s">
        <v>648</v>
      </c>
      <c r="AK303" s="364" t="s">
        <v>669</v>
      </c>
      <c r="AL303" s="364" t="s">
        <v>646</v>
      </c>
      <c r="AM303" s="364" t="s">
        <v>668</v>
      </c>
      <c r="AN303" s="364" t="s">
        <v>644</v>
      </c>
    </row>
    <row r="304" spans="1:40" x14ac:dyDescent="0.3">
      <c r="A304" s="364" t="s">
        <v>2429</v>
      </c>
      <c r="B304" s="364" t="s">
        <v>661</v>
      </c>
      <c r="C304" s="364" t="s">
        <v>1160</v>
      </c>
      <c r="D304" s="364" t="s">
        <v>87</v>
      </c>
      <c r="E304" s="364" t="s">
        <v>2411</v>
      </c>
      <c r="F304" s="364" t="s">
        <v>2411</v>
      </c>
      <c r="G304" s="364" t="s">
        <v>658</v>
      </c>
      <c r="H304" s="364" t="s">
        <v>2428</v>
      </c>
      <c r="I304" s="364" t="s">
        <v>2427</v>
      </c>
      <c r="J304" s="364" t="s">
        <v>88</v>
      </c>
      <c r="K304" s="364" t="s">
        <v>88</v>
      </c>
      <c r="L304" s="364" t="s">
        <v>88</v>
      </c>
      <c r="M304" s="364" t="s">
        <v>138</v>
      </c>
      <c r="N304" s="364" t="s">
        <v>654</v>
      </c>
      <c r="O304" s="364" t="s">
        <v>653</v>
      </c>
      <c r="P304" s="364" t="s">
        <v>88</v>
      </c>
      <c r="Q304" s="364" t="s">
        <v>88</v>
      </c>
      <c r="R304" s="364" t="s">
        <v>88</v>
      </c>
      <c r="S304" s="364" t="s">
        <v>88</v>
      </c>
      <c r="T304" s="364" t="s">
        <v>88</v>
      </c>
      <c r="U304" s="364" t="s">
        <v>88</v>
      </c>
      <c r="V304" s="364" t="s">
        <v>88</v>
      </c>
      <c r="W304" s="364" t="s">
        <v>88</v>
      </c>
      <c r="X304" s="364" t="s">
        <v>88</v>
      </c>
      <c r="Y304" s="364" t="s">
        <v>88</v>
      </c>
      <c r="Z304" s="364" t="s">
        <v>88</v>
      </c>
      <c r="AA304" s="364" t="s">
        <v>649</v>
      </c>
      <c r="AB304" s="364" t="s">
        <v>88</v>
      </c>
      <c r="AC304" s="364" t="s">
        <v>88</v>
      </c>
      <c r="AD304" s="364" t="s">
        <v>88</v>
      </c>
      <c r="AE304" s="364" t="s">
        <v>88</v>
      </c>
      <c r="AF304" s="364" t="s">
        <v>88</v>
      </c>
      <c r="AG304" s="364" t="s">
        <v>88</v>
      </c>
      <c r="AH304" s="364" t="s">
        <v>88</v>
      </c>
      <c r="AI304" s="364" t="s">
        <v>2426</v>
      </c>
      <c r="AJ304" s="364" t="s">
        <v>793</v>
      </c>
      <c r="AK304" s="364" t="s">
        <v>88</v>
      </c>
      <c r="AL304" s="364" t="s">
        <v>88</v>
      </c>
      <c r="AM304" s="364" t="s">
        <v>88</v>
      </c>
      <c r="AN304" s="364" t="s">
        <v>792</v>
      </c>
    </row>
    <row r="305" spans="1:40" x14ac:dyDescent="0.3">
      <c r="A305" s="364" t="s">
        <v>2425</v>
      </c>
      <c r="B305" s="364" t="s">
        <v>661</v>
      </c>
      <c r="C305" s="364" t="s">
        <v>660</v>
      </c>
      <c r="D305" s="364" t="s">
        <v>87</v>
      </c>
      <c r="E305" s="364" t="s">
        <v>2411</v>
      </c>
      <c r="F305" s="364" t="s">
        <v>2411</v>
      </c>
      <c r="G305" s="364" t="s">
        <v>658</v>
      </c>
      <c r="H305" s="364" t="s">
        <v>2424</v>
      </c>
      <c r="I305" s="364" t="s">
        <v>2423</v>
      </c>
      <c r="J305" s="364" t="s">
        <v>673</v>
      </c>
      <c r="K305" s="364" t="s">
        <v>668</v>
      </c>
      <c r="L305" s="364" t="s">
        <v>190</v>
      </c>
      <c r="M305" s="364" t="s">
        <v>58</v>
      </c>
      <c r="N305" s="364" t="s">
        <v>654</v>
      </c>
      <c r="O305" s="364" t="s">
        <v>653</v>
      </c>
      <c r="P305" s="364" t="s">
        <v>198</v>
      </c>
      <c r="Q305" s="364" t="s">
        <v>652</v>
      </c>
      <c r="R305" s="364" t="s">
        <v>88</v>
      </c>
      <c r="S305" s="364" t="s">
        <v>88</v>
      </c>
      <c r="T305" s="364" t="s">
        <v>88</v>
      </c>
      <c r="U305" s="364" t="s">
        <v>88</v>
      </c>
      <c r="V305" s="364" t="s">
        <v>88</v>
      </c>
      <c r="W305" s="364" t="s">
        <v>88</v>
      </c>
      <c r="X305" s="364" t="s">
        <v>88</v>
      </c>
      <c r="Y305" s="364" t="s">
        <v>88</v>
      </c>
      <c r="Z305" s="364" t="s">
        <v>702</v>
      </c>
      <c r="AA305" s="364" t="s">
        <v>701</v>
      </c>
      <c r="AB305" s="364" t="s">
        <v>649</v>
      </c>
      <c r="AC305" s="364" t="s">
        <v>649</v>
      </c>
      <c r="AD305" s="364" t="s">
        <v>649</v>
      </c>
      <c r="AE305" s="364" t="s">
        <v>88</v>
      </c>
      <c r="AF305" s="364" t="s">
        <v>88</v>
      </c>
      <c r="AG305" s="364" t="s">
        <v>88</v>
      </c>
      <c r="AH305" s="364" t="s">
        <v>88</v>
      </c>
      <c r="AI305" s="364" t="s">
        <v>1199</v>
      </c>
      <c r="AJ305" s="364" t="s">
        <v>648</v>
      </c>
      <c r="AK305" s="364" t="s">
        <v>669</v>
      </c>
      <c r="AL305" s="364" t="s">
        <v>646</v>
      </c>
      <c r="AM305" s="364" t="s">
        <v>668</v>
      </c>
      <c r="AN305" s="364" t="s">
        <v>644</v>
      </c>
    </row>
    <row r="306" spans="1:40" x14ac:dyDescent="0.3">
      <c r="A306" s="364" t="s">
        <v>2422</v>
      </c>
      <c r="B306" s="364" t="s">
        <v>661</v>
      </c>
      <c r="C306" s="364" t="s">
        <v>660</v>
      </c>
      <c r="D306" s="364" t="s">
        <v>87</v>
      </c>
      <c r="E306" s="364" t="s">
        <v>2411</v>
      </c>
      <c r="F306" s="364" t="s">
        <v>2411</v>
      </c>
      <c r="G306" s="364" t="s">
        <v>658</v>
      </c>
      <c r="H306" s="364" t="s">
        <v>2421</v>
      </c>
      <c r="I306" s="364" t="s">
        <v>2420</v>
      </c>
      <c r="J306" s="364" t="s">
        <v>673</v>
      </c>
      <c r="K306" s="364" t="s">
        <v>668</v>
      </c>
      <c r="L306" s="364" t="s">
        <v>190</v>
      </c>
      <c r="M306" s="364" t="s">
        <v>62</v>
      </c>
      <c r="N306" s="364" t="s">
        <v>654</v>
      </c>
      <c r="O306" s="364" t="s">
        <v>653</v>
      </c>
      <c r="P306" s="364" t="s">
        <v>198</v>
      </c>
      <c r="Q306" s="364" t="s">
        <v>652</v>
      </c>
      <c r="R306" s="364" t="s">
        <v>88</v>
      </c>
      <c r="S306" s="364" t="s">
        <v>88</v>
      </c>
      <c r="T306" s="364" t="s">
        <v>88</v>
      </c>
      <c r="U306" s="364" t="s">
        <v>88</v>
      </c>
      <c r="V306" s="364" t="s">
        <v>88</v>
      </c>
      <c r="W306" s="364" t="s">
        <v>88</v>
      </c>
      <c r="X306" s="364" t="s">
        <v>88</v>
      </c>
      <c r="Y306" s="364" t="s">
        <v>88</v>
      </c>
      <c r="Z306" s="364" t="s">
        <v>689</v>
      </c>
      <c r="AA306" s="364" t="s">
        <v>688</v>
      </c>
      <c r="AB306" s="364" t="s">
        <v>649</v>
      </c>
      <c r="AC306" s="364" t="s">
        <v>649</v>
      </c>
      <c r="AD306" s="364" t="s">
        <v>649</v>
      </c>
      <c r="AE306" s="364" t="s">
        <v>88</v>
      </c>
      <c r="AF306" s="364" t="s">
        <v>88</v>
      </c>
      <c r="AG306" s="364" t="s">
        <v>88</v>
      </c>
      <c r="AH306" s="364" t="s">
        <v>88</v>
      </c>
      <c r="AI306" s="364" t="s">
        <v>1199</v>
      </c>
      <c r="AJ306" s="364" t="s">
        <v>648</v>
      </c>
      <c r="AK306" s="364" t="s">
        <v>669</v>
      </c>
      <c r="AL306" s="364" t="s">
        <v>646</v>
      </c>
      <c r="AM306" s="364" t="s">
        <v>668</v>
      </c>
      <c r="AN306" s="364" t="s">
        <v>644</v>
      </c>
    </row>
    <row r="307" spans="1:40" x14ac:dyDescent="0.3">
      <c r="A307" s="364" t="s">
        <v>2419</v>
      </c>
      <c r="B307" s="364" t="s">
        <v>661</v>
      </c>
      <c r="C307" s="364" t="s">
        <v>660</v>
      </c>
      <c r="D307" s="364" t="s">
        <v>87</v>
      </c>
      <c r="E307" s="364" t="s">
        <v>2396</v>
      </c>
      <c r="F307" s="364" t="s">
        <v>2396</v>
      </c>
      <c r="G307" s="364" t="s">
        <v>658</v>
      </c>
      <c r="H307" s="364" t="s">
        <v>2418</v>
      </c>
      <c r="I307" s="364" t="s">
        <v>2417</v>
      </c>
      <c r="J307" s="364" t="s">
        <v>673</v>
      </c>
      <c r="K307" s="364" t="s">
        <v>668</v>
      </c>
      <c r="L307" s="364" t="s">
        <v>190</v>
      </c>
      <c r="M307" s="364" t="s">
        <v>58</v>
      </c>
      <c r="N307" s="364" t="s">
        <v>654</v>
      </c>
      <c r="O307" s="364" t="s">
        <v>653</v>
      </c>
      <c r="P307" s="364" t="s">
        <v>198</v>
      </c>
      <c r="Q307" s="364" t="s">
        <v>652</v>
      </c>
      <c r="R307" s="364" t="s">
        <v>88</v>
      </c>
      <c r="S307" s="364" t="s">
        <v>88</v>
      </c>
      <c r="T307" s="364" t="s">
        <v>88</v>
      </c>
      <c r="U307" s="364" t="s">
        <v>88</v>
      </c>
      <c r="V307" s="364" t="s">
        <v>88</v>
      </c>
      <c r="W307" s="364" t="s">
        <v>88</v>
      </c>
      <c r="X307" s="364" t="s">
        <v>88</v>
      </c>
      <c r="Y307" s="364" t="s">
        <v>88</v>
      </c>
      <c r="Z307" s="364" t="s">
        <v>702</v>
      </c>
      <c r="AA307" s="364" t="s">
        <v>701</v>
      </c>
      <c r="AB307" s="364" t="s">
        <v>649</v>
      </c>
      <c r="AC307" s="364" t="s">
        <v>649</v>
      </c>
      <c r="AD307" s="364" t="s">
        <v>649</v>
      </c>
      <c r="AE307" s="364" t="s">
        <v>88</v>
      </c>
      <c r="AF307" s="364" t="s">
        <v>88</v>
      </c>
      <c r="AG307" s="364" t="s">
        <v>88</v>
      </c>
      <c r="AH307" s="364" t="s">
        <v>88</v>
      </c>
      <c r="AI307" s="364" t="s">
        <v>1199</v>
      </c>
      <c r="AJ307" s="364" t="s">
        <v>648</v>
      </c>
      <c r="AK307" s="364" t="s">
        <v>669</v>
      </c>
      <c r="AL307" s="364" t="s">
        <v>646</v>
      </c>
      <c r="AM307" s="364" t="s">
        <v>668</v>
      </c>
      <c r="AN307" s="364" t="s">
        <v>644</v>
      </c>
    </row>
    <row r="308" spans="1:40" x14ac:dyDescent="0.3">
      <c r="A308" s="364" t="s">
        <v>2416</v>
      </c>
      <c r="B308" s="364" t="s">
        <v>661</v>
      </c>
      <c r="C308" s="364" t="s">
        <v>660</v>
      </c>
      <c r="D308" s="364" t="s">
        <v>90</v>
      </c>
      <c r="E308" s="364" t="s">
        <v>2415</v>
      </c>
      <c r="F308" s="364" t="s">
        <v>2415</v>
      </c>
      <c r="G308" s="364" t="s">
        <v>658</v>
      </c>
      <c r="H308" s="364" t="s">
        <v>2414</v>
      </c>
      <c r="I308" s="364" t="s">
        <v>2413</v>
      </c>
      <c r="J308" s="364" t="s">
        <v>673</v>
      </c>
      <c r="K308" s="364" t="s">
        <v>668</v>
      </c>
      <c r="L308" s="364" t="s">
        <v>190</v>
      </c>
      <c r="M308" s="364" t="s">
        <v>54</v>
      </c>
      <c r="N308" s="364" t="s">
        <v>654</v>
      </c>
      <c r="O308" s="364" t="s">
        <v>653</v>
      </c>
      <c r="P308" s="364" t="s">
        <v>198</v>
      </c>
      <c r="Q308" s="364" t="s">
        <v>652</v>
      </c>
      <c r="R308" s="364" t="s">
        <v>88</v>
      </c>
      <c r="S308" s="364" t="s">
        <v>88</v>
      </c>
      <c r="T308" s="364" t="s">
        <v>88</v>
      </c>
      <c r="U308" s="364" t="s">
        <v>88</v>
      </c>
      <c r="V308" s="364" t="s">
        <v>88</v>
      </c>
      <c r="W308" s="364" t="s">
        <v>88</v>
      </c>
      <c r="X308" s="364" t="s">
        <v>88</v>
      </c>
      <c r="Y308" s="364" t="s">
        <v>88</v>
      </c>
      <c r="Z308" s="364" t="s">
        <v>1265</v>
      </c>
      <c r="AA308" s="364" t="s">
        <v>649</v>
      </c>
      <c r="AB308" s="364" t="s">
        <v>649</v>
      </c>
      <c r="AC308" s="364" t="s">
        <v>649</v>
      </c>
      <c r="AD308" s="364" t="s">
        <v>649</v>
      </c>
      <c r="AE308" s="364" t="s">
        <v>88</v>
      </c>
      <c r="AF308" s="364" t="s">
        <v>88</v>
      </c>
      <c r="AG308" s="364" t="s">
        <v>88</v>
      </c>
      <c r="AH308" s="364" t="s">
        <v>88</v>
      </c>
      <c r="AI308" s="364" t="s">
        <v>1155</v>
      </c>
      <c r="AJ308" s="364" t="s">
        <v>710</v>
      </c>
      <c r="AK308" s="364" t="s">
        <v>1016</v>
      </c>
      <c r="AL308" s="364" t="s">
        <v>646</v>
      </c>
      <c r="AM308" s="364" t="s">
        <v>668</v>
      </c>
      <c r="AN308" s="364" t="s">
        <v>644</v>
      </c>
    </row>
    <row r="309" spans="1:40" x14ac:dyDescent="0.3">
      <c r="A309" s="364" t="s">
        <v>2416</v>
      </c>
      <c r="B309" s="364" t="s">
        <v>661</v>
      </c>
      <c r="C309" s="364" t="s">
        <v>660</v>
      </c>
      <c r="D309" s="364" t="s">
        <v>90</v>
      </c>
      <c r="E309" s="364" t="s">
        <v>2415</v>
      </c>
      <c r="F309" s="364" t="s">
        <v>2415</v>
      </c>
      <c r="G309" s="364" t="s">
        <v>658</v>
      </c>
      <c r="H309" s="364" t="s">
        <v>2414</v>
      </c>
      <c r="I309" s="364" t="s">
        <v>2413</v>
      </c>
      <c r="J309" s="364" t="s">
        <v>673</v>
      </c>
      <c r="K309" s="364" t="s">
        <v>668</v>
      </c>
      <c r="L309" s="364" t="s">
        <v>190</v>
      </c>
      <c r="M309" s="364" t="s">
        <v>61</v>
      </c>
      <c r="N309" s="364" t="s">
        <v>654</v>
      </c>
      <c r="O309" s="364" t="s">
        <v>653</v>
      </c>
      <c r="P309" s="364" t="s">
        <v>198</v>
      </c>
      <c r="Q309" s="364" t="s">
        <v>652</v>
      </c>
      <c r="R309" s="364" t="s">
        <v>88</v>
      </c>
      <c r="S309" s="364" t="s">
        <v>88</v>
      </c>
      <c r="T309" s="364" t="s">
        <v>88</v>
      </c>
      <c r="U309" s="364" t="s">
        <v>88</v>
      </c>
      <c r="V309" s="364" t="s">
        <v>88</v>
      </c>
      <c r="W309" s="364" t="s">
        <v>88</v>
      </c>
      <c r="X309" s="364" t="s">
        <v>88</v>
      </c>
      <c r="Y309" s="364" t="s">
        <v>88</v>
      </c>
      <c r="Z309" s="364" t="s">
        <v>1021</v>
      </c>
      <c r="AA309" s="364" t="s">
        <v>671</v>
      </c>
      <c r="AB309" s="364" t="s">
        <v>649</v>
      </c>
      <c r="AC309" s="364" t="s">
        <v>649</v>
      </c>
      <c r="AD309" s="364" t="s">
        <v>649</v>
      </c>
      <c r="AE309" s="364" t="s">
        <v>88</v>
      </c>
      <c r="AF309" s="364" t="s">
        <v>88</v>
      </c>
      <c r="AG309" s="364" t="s">
        <v>88</v>
      </c>
      <c r="AH309" s="364" t="s">
        <v>88</v>
      </c>
      <c r="AI309" s="364" t="s">
        <v>1155</v>
      </c>
      <c r="AJ309" s="364" t="s">
        <v>710</v>
      </c>
      <c r="AK309" s="364" t="s">
        <v>1016</v>
      </c>
      <c r="AL309" s="364" t="s">
        <v>646</v>
      </c>
      <c r="AM309" s="364" t="s">
        <v>668</v>
      </c>
      <c r="AN309" s="364" t="s">
        <v>644</v>
      </c>
    </row>
    <row r="310" spans="1:40" x14ac:dyDescent="0.3">
      <c r="A310" s="364" t="s">
        <v>2416</v>
      </c>
      <c r="B310" s="364" t="s">
        <v>661</v>
      </c>
      <c r="C310" s="364" t="s">
        <v>660</v>
      </c>
      <c r="D310" s="364" t="s">
        <v>90</v>
      </c>
      <c r="E310" s="364" t="s">
        <v>2415</v>
      </c>
      <c r="F310" s="364" t="s">
        <v>2415</v>
      </c>
      <c r="G310" s="364" t="s">
        <v>658</v>
      </c>
      <c r="H310" s="364" t="s">
        <v>2414</v>
      </c>
      <c r="I310" s="364" t="s">
        <v>2413</v>
      </c>
      <c r="J310" s="364" t="s">
        <v>673</v>
      </c>
      <c r="K310" s="364" t="s">
        <v>668</v>
      </c>
      <c r="L310" s="364" t="s">
        <v>190</v>
      </c>
      <c r="M310" s="364" t="s">
        <v>725</v>
      </c>
      <c r="N310" s="364" t="s">
        <v>654</v>
      </c>
      <c r="O310" s="364" t="s">
        <v>653</v>
      </c>
      <c r="P310" s="364" t="s">
        <v>198</v>
      </c>
      <c r="Q310" s="364" t="s">
        <v>652</v>
      </c>
      <c r="R310" s="364" t="s">
        <v>88</v>
      </c>
      <c r="S310" s="364" t="s">
        <v>88</v>
      </c>
      <c r="T310" s="364" t="s">
        <v>88</v>
      </c>
      <c r="U310" s="364" t="s">
        <v>88</v>
      </c>
      <c r="V310" s="364" t="s">
        <v>88</v>
      </c>
      <c r="W310" s="364" t="s">
        <v>88</v>
      </c>
      <c r="X310" s="364" t="s">
        <v>88</v>
      </c>
      <c r="Y310" s="364" t="s">
        <v>88</v>
      </c>
      <c r="Z310" s="364" t="s">
        <v>724</v>
      </c>
      <c r="AA310" s="364" t="s">
        <v>649</v>
      </c>
      <c r="AB310" s="364" t="s">
        <v>649</v>
      </c>
      <c r="AC310" s="364" t="s">
        <v>649</v>
      </c>
      <c r="AD310" s="364" t="s">
        <v>649</v>
      </c>
      <c r="AE310" s="364" t="s">
        <v>88</v>
      </c>
      <c r="AF310" s="364" t="s">
        <v>88</v>
      </c>
      <c r="AG310" s="364" t="s">
        <v>88</v>
      </c>
      <c r="AH310" s="364" t="s">
        <v>88</v>
      </c>
      <c r="AI310" s="364" t="s">
        <v>1155</v>
      </c>
      <c r="AJ310" s="364" t="s">
        <v>710</v>
      </c>
      <c r="AK310" s="364" t="s">
        <v>1016</v>
      </c>
      <c r="AL310" s="364" t="s">
        <v>646</v>
      </c>
      <c r="AM310" s="364" t="s">
        <v>668</v>
      </c>
      <c r="AN310" s="364" t="s">
        <v>644</v>
      </c>
    </row>
    <row r="311" spans="1:40" x14ac:dyDescent="0.3">
      <c r="A311" s="364" t="s">
        <v>2416</v>
      </c>
      <c r="B311" s="364" t="s">
        <v>661</v>
      </c>
      <c r="C311" s="364" t="s">
        <v>660</v>
      </c>
      <c r="D311" s="364" t="s">
        <v>90</v>
      </c>
      <c r="E311" s="364" t="s">
        <v>2415</v>
      </c>
      <c r="F311" s="364" t="s">
        <v>2415</v>
      </c>
      <c r="G311" s="364" t="s">
        <v>658</v>
      </c>
      <c r="H311" s="364" t="s">
        <v>2414</v>
      </c>
      <c r="I311" s="364" t="s">
        <v>2413</v>
      </c>
      <c r="J311" s="364" t="s">
        <v>673</v>
      </c>
      <c r="K311" s="364" t="s">
        <v>668</v>
      </c>
      <c r="L311" s="364" t="s">
        <v>190</v>
      </c>
      <c r="M311" s="364" t="s">
        <v>723</v>
      </c>
      <c r="N311" s="364" t="s">
        <v>654</v>
      </c>
      <c r="O311" s="364" t="s">
        <v>653</v>
      </c>
      <c r="P311" s="364" t="s">
        <v>198</v>
      </c>
      <c r="Q311" s="364" t="s">
        <v>652</v>
      </c>
      <c r="R311" s="364" t="s">
        <v>88</v>
      </c>
      <c r="S311" s="364" t="s">
        <v>88</v>
      </c>
      <c r="T311" s="364" t="s">
        <v>88</v>
      </c>
      <c r="U311" s="364" t="s">
        <v>88</v>
      </c>
      <c r="V311" s="364" t="s">
        <v>88</v>
      </c>
      <c r="W311" s="364" t="s">
        <v>88</v>
      </c>
      <c r="X311" s="364" t="s">
        <v>88</v>
      </c>
      <c r="Y311" s="364" t="s">
        <v>88</v>
      </c>
      <c r="Z311" s="364" t="s">
        <v>722</v>
      </c>
      <c r="AA311" s="364" t="s">
        <v>649</v>
      </c>
      <c r="AB311" s="364" t="s">
        <v>649</v>
      </c>
      <c r="AC311" s="364" t="s">
        <v>649</v>
      </c>
      <c r="AD311" s="364" t="s">
        <v>649</v>
      </c>
      <c r="AE311" s="364" t="s">
        <v>88</v>
      </c>
      <c r="AF311" s="364" t="s">
        <v>88</v>
      </c>
      <c r="AG311" s="364" t="s">
        <v>88</v>
      </c>
      <c r="AH311" s="364" t="s">
        <v>88</v>
      </c>
      <c r="AI311" s="364" t="s">
        <v>1155</v>
      </c>
      <c r="AJ311" s="364" t="s">
        <v>710</v>
      </c>
      <c r="AK311" s="364" t="s">
        <v>1016</v>
      </c>
      <c r="AL311" s="364" t="s">
        <v>646</v>
      </c>
      <c r="AM311" s="364" t="s">
        <v>668</v>
      </c>
      <c r="AN311" s="364" t="s">
        <v>644</v>
      </c>
    </row>
    <row r="312" spans="1:40" x14ac:dyDescent="0.3">
      <c r="A312" s="364" t="s">
        <v>2416</v>
      </c>
      <c r="B312" s="364" t="s">
        <v>661</v>
      </c>
      <c r="C312" s="364" t="s">
        <v>660</v>
      </c>
      <c r="D312" s="364" t="s">
        <v>90</v>
      </c>
      <c r="E312" s="364" t="s">
        <v>2415</v>
      </c>
      <c r="F312" s="364" t="s">
        <v>2415</v>
      </c>
      <c r="G312" s="364" t="s">
        <v>658</v>
      </c>
      <c r="H312" s="364" t="s">
        <v>2414</v>
      </c>
      <c r="I312" s="364" t="s">
        <v>2413</v>
      </c>
      <c r="J312" s="364" t="s">
        <v>673</v>
      </c>
      <c r="K312" s="364" t="s">
        <v>668</v>
      </c>
      <c r="L312" s="364" t="s">
        <v>190</v>
      </c>
      <c r="M312" s="364" t="s">
        <v>721</v>
      </c>
      <c r="N312" s="364" t="s">
        <v>654</v>
      </c>
      <c r="O312" s="364" t="s">
        <v>653</v>
      </c>
      <c r="P312" s="364" t="s">
        <v>198</v>
      </c>
      <c r="Q312" s="364" t="s">
        <v>652</v>
      </c>
      <c r="R312" s="364" t="s">
        <v>88</v>
      </c>
      <c r="S312" s="364" t="s">
        <v>88</v>
      </c>
      <c r="T312" s="364" t="s">
        <v>88</v>
      </c>
      <c r="U312" s="364" t="s">
        <v>88</v>
      </c>
      <c r="V312" s="364" t="s">
        <v>88</v>
      </c>
      <c r="W312" s="364" t="s">
        <v>88</v>
      </c>
      <c r="X312" s="364" t="s">
        <v>88</v>
      </c>
      <c r="Y312" s="364" t="s">
        <v>88</v>
      </c>
      <c r="Z312" s="364" t="s">
        <v>720</v>
      </c>
      <c r="AA312" s="364" t="s">
        <v>649</v>
      </c>
      <c r="AB312" s="364" t="s">
        <v>649</v>
      </c>
      <c r="AC312" s="364" t="s">
        <v>649</v>
      </c>
      <c r="AD312" s="364" t="s">
        <v>649</v>
      </c>
      <c r="AE312" s="364" t="s">
        <v>88</v>
      </c>
      <c r="AF312" s="364" t="s">
        <v>88</v>
      </c>
      <c r="AG312" s="364" t="s">
        <v>88</v>
      </c>
      <c r="AH312" s="364" t="s">
        <v>88</v>
      </c>
      <c r="AI312" s="364" t="s">
        <v>1155</v>
      </c>
      <c r="AJ312" s="364" t="s">
        <v>710</v>
      </c>
      <c r="AK312" s="364" t="s">
        <v>1016</v>
      </c>
      <c r="AL312" s="364" t="s">
        <v>646</v>
      </c>
      <c r="AM312" s="364" t="s">
        <v>668</v>
      </c>
      <c r="AN312" s="364" t="s">
        <v>644</v>
      </c>
    </row>
    <row r="313" spans="1:40" x14ac:dyDescent="0.3">
      <c r="A313" s="364" t="s">
        <v>2416</v>
      </c>
      <c r="B313" s="364" t="s">
        <v>661</v>
      </c>
      <c r="C313" s="364" t="s">
        <v>660</v>
      </c>
      <c r="D313" s="364" t="s">
        <v>90</v>
      </c>
      <c r="E313" s="364" t="s">
        <v>2415</v>
      </c>
      <c r="F313" s="364" t="s">
        <v>2415</v>
      </c>
      <c r="G313" s="364" t="s">
        <v>658</v>
      </c>
      <c r="H313" s="364" t="s">
        <v>2414</v>
      </c>
      <c r="I313" s="364" t="s">
        <v>2413</v>
      </c>
      <c r="J313" s="364" t="s">
        <v>673</v>
      </c>
      <c r="K313" s="364" t="s">
        <v>668</v>
      </c>
      <c r="L313" s="364" t="s">
        <v>190</v>
      </c>
      <c r="M313" s="364" t="s">
        <v>55</v>
      </c>
      <c r="N313" s="364" t="s">
        <v>654</v>
      </c>
      <c r="O313" s="364" t="s">
        <v>653</v>
      </c>
      <c r="P313" s="364" t="s">
        <v>198</v>
      </c>
      <c r="Q313" s="364" t="s">
        <v>652</v>
      </c>
      <c r="R313" s="364" t="s">
        <v>88</v>
      </c>
      <c r="S313" s="364" t="s">
        <v>88</v>
      </c>
      <c r="T313" s="364" t="s">
        <v>88</v>
      </c>
      <c r="U313" s="364" t="s">
        <v>88</v>
      </c>
      <c r="V313" s="364" t="s">
        <v>88</v>
      </c>
      <c r="W313" s="364" t="s">
        <v>88</v>
      </c>
      <c r="X313" s="364" t="s">
        <v>88</v>
      </c>
      <c r="Y313" s="364" t="s">
        <v>88</v>
      </c>
      <c r="Z313" s="364" t="s">
        <v>719</v>
      </c>
      <c r="AA313" s="364" t="s">
        <v>649</v>
      </c>
      <c r="AB313" s="364" t="s">
        <v>649</v>
      </c>
      <c r="AC313" s="364" t="s">
        <v>649</v>
      </c>
      <c r="AD313" s="364" t="s">
        <v>649</v>
      </c>
      <c r="AE313" s="364" t="s">
        <v>88</v>
      </c>
      <c r="AF313" s="364" t="s">
        <v>88</v>
      </c>
      <c r="AG313" s="364" t="s">
        <v>88</v>
      </c>
      <c r="AH313" s="364" t="s">
        <v>88</v>
      </c>
      <c r="AI313" s="364" t="s">
        <v>1155</v>
      </c>
      <c r="AJ313" s="364" t="s">
        <v>710</v>
      </c>
      <c r="AK313" s="364" t="s">
        <v>1016</v>
      </c>
      <c r="AL313" s="364" t="s">
        <v>646</v>
      </c>
      <c r="AM313" s="364" t="s">
        <v>668</v>
      </c>
      <c r="AN313" s="364" t="s">
        <v>644</v>
      </c>
    </row>
    <row r="314" spans="1:40" x14ac:dyDescent="0.3">
      <c r="A314" s="364" t="s">
        <v>2416</v>
      </c>
      <c r="B314" s="364" t="s">
        <v>661</v>
      </c>
      <c r="C314" s="364" t="s">
        <v>660</v>
      </c>
      <c r="D314" s="364" t="s">
        <v>90</v>
      </c>
      <c r="E314" s="364" t="s">
        <v>2415</v>
      </c>
      <c r="F314" s="364" t="s">
        <v>2415</v>
      </c>
      <c r="G314" s="364" t="s">
        <v>658</v>
      </c>
      <c r="H314" s="364" t="s">
        <v>2414</v>
      </c>
      <c r="I314" s="364" t="s">
        <v>2413</v>
      </c>
      <c r="J314" s="364" t="s">
        <v>673</v>
      </c>
      <c r="K314" s="364" t="s">
        <v>668</v>
      </c>
      <c r="L314" s="364" t="s">
        <v>190</v>
      </c>
      <c r="M314" s="364" t="s">
        <v>718</v>
      </c>
      <c r="N314" s="364" t="s">
        <v>654</v>
      </c>
      <c r="O314" s="364" t="s">
        <v>653</v>
      </c>
      <c r="P314" s="364" t="s">
        <v>198</v>
      </c>
      <c r="Q314" s="364" t="s">
        <v>652</v>
      </c>
      <c r="R314" s="364" t="s">
        <v>88</v>
      </c>
      <c r="S314" s="364" t="s">
        <v>88</v>
      </c>
      <c r="T314" s="364" t="s">
        <v>88</v>
      </c>
      <c r="U314" s="364" t="s">
        <v>88</v>
      </c>
      <c r="V314" s="364" t="s">
        <v>88</v>
      </c>
      <c r="W314" s="364" t="s">
        <v>88</v>
      </c>
      <c r="X314" s="364" t="s">
        <v>88</v>
      </c>
      <c r="Y314" s="364" t="s">
        <v>88</v>
      </c>
      <c r="Z314" s="364" t="s">
        <v>717</v>
      </c>
      <c r="AA314" s="364" t="s">
        <v>649</v>
      </c>
      <c r="AB314" s="364" t="s">
        <v>649</v>
      </c>
      <c r="AC314" s="364" t="s">
        <v>649</v>
      </c>
      <c r="AD314" s="364" t="s">
        <v>649</v>
      </c>
      <c r="AE314" s="364" t="s">
        <v>88</v>
      </c>
      <c r="AF314" s="364" t="s">
        <v>88</v>
      </c>
      <c r="AG314" s="364" t="s">
        <v>88</v>
      </c>
      <c r="AH314" s="364" t="s">
        <v>88</v>
      </c>
      <c r="AI314" s="364" t="s">
        <v>1155</v>
      </c>
      <c r="AJ314" s="364" t="s">
        <v>710</v>
      </c>
      <c r="AK314" s="364" t="s">
        <v>1016</v>
      </c>
      <c r="AL314" s="364" t="s">
        <v>646</v>
      </c>
      <c r="AM314" s="364" t="s">
        <v>668</v>
      </c>
      <c r="AN314" s="364" t="s">
        <v>644</v>
      </c>
    </row>
    <row r="315" spans="1:40" x14ac:dyDescent="0.3">
      <c r="A315" s="364" t="s">
        <v>2416</v>
      </c>
      <c r="B315" s="364" t="s">
        <v>661</v>
      </c>
      <c r="C315" s="364" t="s">
        <v>660</v>
      </c>
      <c r="D315" s="364" t="s">
        <v>90</v>
      </c>
      <c r="E315" s="364" t="s">
        <v>2415</v>
      </c>
      <c r="F315" s="364" t="s">
        <v>2415</v>
      </c>
      <c r="G315" s="364" t="s">
        <v>658</v>
      </c>
      <c r="H315" s="364" t="s">
        <v>2414</v>
      </c>
      <c r="I315" s="364" t="s">
        <v>2413</v>
      </c>
      <c r="J315" s="364" t="s">
        <v>673</v>
      </c>
      <c r="K315" s="364" t="s">
        <v>668</v>
      </c>
      <c r="L315" s="364" t="s">
        <v>190</v>
      </c>
      <c r="M315" s="364" t="s">
        <v>713</v>
      </c>
      <c r="N315" s="364" t="s">
        <v>654</v>
      </c>
      <c r="O315" s="364" t="s">
        <v>653</v>
      </c>
      <c r="P315" s="364" t="s">
        <v>198</v>
      </c>
      <c r="Q315" s="364" t="s">
        <v>652</v>
      </c>
      <c r="R315" s="364" t="s">
        <v>88</v>
      </c>
      <c r="S315" s="364" t="s">
        <v>88</v>
      </c>
      <c r="T315" s="364" t="s">
        <v>88</v>
      </c>
      <c r="U315" s="364" t="s">
        <v>88</v>
      </c>
      <c r="V315" s="364" t="s">
        <v>88</v>
      </c>
      <c r="W315" s="364" t="s">
        <v>88</v>
      </c>
      <c r="X315" s="364" t="s">
        <v>88</v>
      </c>
      <c r="Y315" s="364" t="s">
        <v>88</v>
      </c>
      <c r="Z315" s="364" t="s">
        <v>712</v>
      </c>
      <c r="AA315" s="364" t="s">
        <v>711</v>
      </c>
      <c r="AB315" s="364" t="s">
        <v>649</v>
      </c>
      <c r="AC315" s="364" t="s">
        <v>649</v>
      </c>
      <c r="AD315" s="364" t="s">
        <v>649</v>
      </c>
      <c r="AE315" s="364" t="s">
        <v>88</v>
      </c>
      <c r="AF315" s="364" t="s">
        <v>88</v>
      </c>
      <c r="AG315" s="364" t="s">
        <v>88</v>
      </c>
      <c r="AH315" s="364" t="s">
        <v>88</v>
      </c>
      <c r="AI315" s="364" t="s">
        <v>1155</v>
      </c>
      <c r="AJ315" s="364" t="s">
        <v>710</v>
      </c>
      <c r="AK315" s="364" t="s">
        <v>1016</v>
      </c>
      <c r="AL315" s="364" t="s">
        <v>646</v>
      </c>
      <c r="AM315" s="364" t="s">
        <v>668</v>
      </c>
      <c r="AN315" s="364" t="s">
        <v>644</v>
      </c>
    </row>
    <row r="316" spans="1:40" x14ac:dyDescent="0.3">
      <c r="A316" s="364" t="s">
        <v>2412</v>
      </c>
      <c r="B316" s="364" t="s">
        <v>661</v>
      </c>
      <c r="C316" s="364" t="s">
        <v>660</v>
      </c>
      <c r="D316" s="364" t="s">
        <v>90</v>
      </c>
      <c r="E316" s="364" t="s">
        <v>2411</v>
      </c>
      <c r="F316" s="364" t="s">
        <v>2411</v>
      </c>
      <c r="G316" s="364" t="s">
        <v>658</v>
      </c>
      <c r="H316" s="364" t="s">
        <v>2410</v>
      </c>
      <c r="I316" s="364" t="s">
        <v>2409</v>
      </c>
      <c r="J316" s="364" t="s">
        <v>673</v>
      </c>
      <c r="K316" s="364" t="s">
        <v>668</v>
      </c>
      <c r="L316" s="364" t="s">
        <v>190</v>
      </c>
      <c r="M316" s="364" t="s">
        <v>54</v>
      </c>
      <c r="N316" s="364" t="s">
        <v>654</v>
      </c>
      <c r="O316" s="364" t="s">
        <v>653</v>
      </c>
      <c r="P316" s="364" t="s">
        <v>198</v>
      </c>
      <c r="Q316" s="364" t="s">
        <v>652</v>
      </c>
      <c r="R316" s="364" t="s">
        <v>88</v>
      </c>
      <c r="S316" s="364" t="s">
        <v>88</v>
      </c>
      <c r="T316" s="364" t="s">
        <v>88</v>
      </c>
      <c r="U316" s="364" t="s">
        <v>88</v>
      </c>
      <c r="V316" s="364" t="s">
        <v>88</v>
      </c>
      <c r="W316" s="364" t="s">
        <v>88</v>
      </c>
      <c r="X316" s="364" t="s">
        <v>88</v>
      </c>
      <c r="Y316" s="364" t="s">
        <v>88</v>
      </c>
      <c r="Z316" s="364" t="s">
        <v>1265</v>
      </c>
      <c r="AA316" s="364" t="s">
        <v>649</v>
      </c>
      <c r="AB316" s="364" t="s">
        <v>649</v>
      </c>
      <c r="AC316" s="364" t="s">
        <v>649</v>
      </c>
      <c r="AD316" s="364" t="s">
        <v>649</v>
      </c>
      <c r="AE316" s="364" t="s">
        <v>88</v>
      </c>
      <c r="AF316" s="364" t="s">
        <v>88</v>
      </c>
      <c r="AG316" s="364" t="s">
        <v>88</v>
      </c>
      <c r="AH316" s="364" t="s">
        <v>88</v>
      </c>
      <c r="AI316" s="364" t="s">
        <v>1155</v>
      </c>
      <c r="AJ316" s="364" t="s">
        <v>710</v>
      </c>
      <c r="AK316" s="364" t="s">
        <v>1016</v>
      </c>
      <c r="AL316" s="364" t="s">
        <v>646</v>
      </c>
      <c r="AM316" s="364" t="s">
        <v>668</v>
      </c>
      <c r="AN316" s="364" t="s">
        <v>644</v>
      </c>
    </row>
    <row r="317" spans="1:40" x14ac:dyDescent="0.3">
      <c r="A317" s="364" t="s">
        <v>2412</v>
      </c>
      <c r="B317" s="364" t="s">
        <v>661</v>
      </c>
      <c r="C317" s="364" t="s">
        <v>660</v>
      </c>
      <c r="D317" s="364" t="s">
        <v>90</v>
      </c>
      <c r="E317" s="364" t="s">
        <v>2411</v>
      </c>
      <c r="F317" s="364" t="s">
        <v>2411</v>
      </c>
      <c r="G317" s="364" t="s">
        <v>658</v>
      </c>
      <c r="H317" s="364" t="s">
        <v>2410</v>
      </c>
      <c r="I317" s="364" t="s">
        <v>2409</v>
      </c>
      <c r="J317" s="364" t="s">
        <v>673</v>
      </c>
      <c r="K317" s="364" t="s">
        <v>668</v>
      </c>
      <c r="L317" s="364" t="s">
        <v>190</v>
      </c>
      <c r="M317" s="364" t="s">
        <v>61</v>
      </c>
      <c r="N317" s="364" t="s">
        <v>654</v>
      </c>
      <c r="O317" s="364" t="s">
        <v>653</v>
      </c>
      <c r="P317" s="364" t="s">
        <v>198</v>
      </c>
      <c r="Q317" s="364" t="s">
        <v>652</v>
      </c>
      <c r="R317" s="364" t="s">
        <v>88</v>
      </c>
      <c r="S317" s="364" t="s">
        <v>88</v>
      </c>
      <c r="T317" s="364" t="s">
        <v>88</v>
      </c>
      <c r="U317" s="364" t="s">
        <v>88</v>
      </c>
      <c r="V317" s="364" t="s">
        <v>88</v>
      </c>
      <c r="W317" s="364" t="s">
        <v>88</v>
      </c>
      <c r="X317" s="364" t="s">
        <v>88</v>
      </c>
      <c r="Y317" s="364" t="s">
        <v>88</v>
      </c>
      <c r="Z317" s="364" t="s">
        <v>1021</v>
      </c>
      <c r="AA317" s="364" t="s">
        <v>671</v>
      </c>
      <c r="AB317" s="364" t="s">
        <v>649</v>
      </c>
      <c r="AC317" s="364" t="s">
        <v>649</v>
      </c>
      <c r="AD317" s="364" t="s">
        <v>649</v>
      </c>
      <c r="AE317" s="364" t="s">
        <v>88</v>
      </c>
      <c r="AF317" s="364" t="s">
        <v>88</v>
      </c>
      <c r="AG317" s="364" t="s">
        <v>88</v>
      </c>
      <c r="AH317" s="364" t="s">
        <v>88</v>
      </c>
      <c r="AI317" s="364" t="s">
        <v>1155</v>
      </c>
      <c r="AJ317" s="364" t="s">
        <v>710</v>
      </c>
      <c r="AK317" s="364" t="s">
        <v>1016</v>
      </c>
      <c r="AL317" s="364" t="s">
        <v>646</v>
      </c>
      <c r="AM317" s="364" t="s">
        <v>668</v>
      </c>
      <c r="AN317" s="364" t="s">
        <v>644</v>
      </c>
    </row>
    <row r="318" spans="1:40" x14ac:dyDescent="0.3">
      <c r="A318" s="364" t="s">
        <v>2412</v>
      </c>
      <c r="B318" s="364" t="s">
        <v>661</v>
      </c>
      <c r="C318" s="364" t="s">
        <v>660</v>
      </c>
      <c r="D318" s="364" t="s">
        <v>90</v>
      </c>
      <c r="E318" s="364" t="s">
        <v>2411</v>
      </c>
      <c r="F318" s="364" t="s">
        <v>2411</v>
      </c>
      <c r="G318" s="364" t="s">
        <v>658</v>
      </c>
      <c r="H318" s="364" t="s">
        <v>2410</v>
      </c>
      <c r="I318" s="364" t="s">
        <v>2409</v>
      </c>
      <c r="J318" s="364" t="s">
        <v>673</v>
      </c>
      <c r="K318" s="364" t="s">
        <v>668</v>
      </c>
      <c r="L318" s="364" t="s">
        <v>190</v>
      </c>
      <c r="M318" s="364" t="s">
        <v>725</v>
      </c>
      <c r="N318" s="364" t="s">
        <v>654</v>
      </c>
      <c r="O318" s="364" t="s">
        <v>653</v>
      </c>
      <c r="P318" s="364" t="s">
        <v>198</v>
      </c>
      <c r="Q318" s="364" t="s">
        <v>652</v>
      </c>
      <c r="R318" s="364" t="s">
        <v>88</v>
      </c>
      <c r="S318" s="364" t="s">
        <v>88</v>
      </c>
      <c r="T318" s="364" t="s">
        <v>88</v>
      </c>
      <c r="U318" s="364" t="s">
        <v>88</v>
      </c>
      <c r="V318" s="364" t="s">
        <v>88</v>
      </c>
      <c r="W318" s="364" t="s">
        <v>88</v>
      </c>
      <c r="X318" s="364" t="s">
        <v>88</v>
      </c>
      <c r="Y318" s="364" t="s">
        <v>88</v>
      </c>
      <c r="Z318" s="364" t="s">
        <v>724</v>
      </c>
      <c r="AA318" s="364" t="s">
        <v>649</v>
      </c>
      <c r="AB318" s="364" t="s">
        <v>649</v>
      </c>
      <c r="AC318" s="364" t="s">
        <v>649</v>
      </c>
      <c r="AD318" s="364" t="s">
        <v>649</v>
      </c>
      <c r="AE318" s="364" t="s">
        <v>88</v>
      </c>
      <c r="AF318" s="364" t="s">
        <v>88</v>
      </c>
      <c r="AG318" s="364" t="s">
        <v>88</v>
      </c>
      <c r="AH318" s="364" t="s">
        <v>88</v>
      </c>
      <c r="AI318" s="364" t="s">
        <v>1155</v>
      </c>
      <c r="AJ318" s="364" t="s">
        <v>710</v>
      </c>
      <c r="AK318" s="364" t="s">
        <v>1016</v>
      </c>
      <c r="AL318" s="364" t="s">
        <v>646</v>
      </c>
      <c r="AM318" s="364" t="s">
        <v>668</v>
      </c>
      <c r="AN318" s="364" t="s">
        <v>644</v>
      </c>
    </row>
    <row r="319" spans="1:40" x14ac:dyDescent="0.3">
      <c r="A319" s="364" t="s">
        <v>2412</v>
      </c>
      <c r="B319" s="364" t="s">
        <v>661</v>
      </c>
      <c r="C319" s="364" t="s">
        <v>660</v>
      </c>
      <c r="D319" s="364" t="s">
        <v>90</v>
      </c>
      <c r="E319" s="364" t="s">
        <v>2411</v>
      </c>
      <c r="F319" s="364" t="s">
        <v>2411</v>
      </c>
      <c r="G319" s="364" t="s">
        <v>658</v>
      </c>
      <c r="H319" s="364" t="s">
        <v>2410</v>
      </c>
      <c r="I319" s="364" t="s">
        <v>2409</v>
      </c>
      <c r="J319" s="364" t="s">
        <v>673</v>
      </c>
      <c r="K319" s="364" t="s">
        <v>668</v>
      </c>
      <c r="L319" s="364" t="s">
        <v>190</v>
      </c>
      <c r="M319" s="364" t="s">
        <v>723</v>
      </c>
      <c r="N319" s="364" t="s">
        <v>654</v>
      </c>
      <c r="O319" s="364" t="s">
        <v>653</v>
      </c>
      <c r="P319" s="364" t="s">
        <v>198</v>
      </c>
      <c r="Q319" s="364" t="s">
        <v>652</v>
      </c>
      <c r="R319" s="364" t="s">
        <v>88</v>
      </c>
      <c r="S319" s="364" t="s">
        <v>88</v>
      </c>
      <c r="T319" s="364" t="s">
        <v>88</v>
      </c>
      <c r="U319" s="364" t="s">
        <v>88</v>
      </c>
      <c r="V319" s="364" t="s">
        <v>88</v>
      </c>
      <c r="W319" s="364" t="s">
        <v>88</v>
      </c>
      <c r="X319" s="364" t="s">
        <v>88</v>
      </c>
      <c r="Y319" s="364" t="s">
        <v>88</v>
      </c>
      <c r="Z319" s="364" t="s">
        <v>722</v>
      </c>
      <c r="AA319" s="364" t="s">
        <v>649</v>
      </c>
      <c r="AB319" s="364" t="s">
        <v>649</v>
      </c>
      <c r="AC319" s="364" t="s">
        <v>649</v>
      </c>
      <c r="AD319" s="364" t="s">
        <v>649</v>
      </c>
      <c r="AE319" s="364" t="s">
        <v>88</v>
      </c>
      <c r="AF319" s="364" t="s">
        <v>88</v>
      </c>
      <c r="AG319" s="364" t="s">
        <v>88</v>
      </c>
      <c r="AH319" s="364" t="s">
        <v>88</v>
      </c>
      <c r="AI319" s="364" t="s">
        <v>1155</v>
      </c>
      <c r="AJ319" s="364" t="s">
        <v>710</v>
      </c>
      <c r="AK319" s="364" t="s">
        <v>1016</v>
      </c>
      <c r="AL319" s="364" t="s">
        <v>646</v>
      </c>
      <c r="AM319" s="364" t="s">
        <v>668</v>
      </c>
      <c r="AN319" s="364" t="s">
        <v>644</v>
      </c>
    </row>
    <row r="320" spans="1:40" x14ac:dyDescent="0.3">
      <c r="A320" s="364" t="s">
        <v>2412</v>
      </c>
      <c r="B320" s="364" t="s">
        <v>661</v>
      </c>
      <c r="C320" s="364" t="s">
        <v>660</v>
      </c>
      <c r="D320" s="364" t="s">
        <v>90</v>
      </c>
      <c r="E320" s="364" t="s">
        <v>2411</v>
      </c>
      <c r="F320" s="364" t="s">
        <v>2411</v>
      </c>
      <c r="G320" s="364" t="s">
        <v>658</v>
      </c>
      <c r="H320" s="364" t="s">
        <v>2410</v>
      </c>
      <c r="I320" s="364" t="s">
        <v>2409</v>
      </c>
      <c r="J320" s="364" t="s">
        <v>673</v>
      </c>
      <c r="K320" s="364" t="s">
        <v>668</v>
      </c>
      <c r="L320" s="364" t="s">
        <v>190</v>
      </c>
      <c r="M320" s="364" t="s">
        <v>721</v>
      </c>
      <c r="N320" s="364" t="s">
        <v>654</v>
      </c>
      <c r="O320" s="364" t="s">
        <v>653</v>
      </c>
      <c r="P320" s="364" t="s">
        <v>198</v>
      </c>
      <c r="Q320" s="364" t="s">
        <v>652</v>
      </c>
      <c r="R320" s="364" t="s">
        <v>88</v>
      </c>
      <c r="S320" s="364" t="s">
        <v>88</v>
      </c>
      <c r="T320" s="364" t="s">
        <v>88</v>
      </c>
      <c r="U320" s="364" t="s">
        <v>88</v>
      </c>
      <c r="V320" s="364" t="s">
        <v>88</v>
      </c>
      <c r="W320" s="364" t="s">
        <v>88</v>
      </c>
      <c r="X320" s="364" t="s">
        <v>88</v>
      </c>
      <c r="Y320" s="364" t="s">
        <v>88</v>
      </c>
      <c r="Z320" s="364" t="s">
        <v>720</v>
      </c>
      <c r="AA320" s="364" t="s">
        <v>649</v>
      </c>
      <c r="AB320" s="364" t="s">
        <v>649</v>
      </c>
      <c r="AC320" s="364" t="s">
        <v>649</v>
      </c>
      <c r="AD320" s="364" t="s">
        <v>649</v>
      </c>
      <c r="AE320" s="364" t="s">
        <v>88</v>
      </c>
      <c r="AF320" s="364" t="s">
        <v>88</v>
      </c>
      <c r="AG320" s="364" t="s">
        <v>88</v>
      </c>
      <c r="AH320" s="364" t="s">
        <v>88</v>
      </c>
      <c r="AI320" s="364" t="s">
        <v>1155</v>
      </c>
      <c r="AJ320" s="364" t="s">
        <v>710</v>
      </c>
      <c r="AK320" s="364" t="s">
        <v>1016</v>
      </c>
      <c r="AL320" s="364" t="s">
        <v>646</v>
      </c>
      <c r="AM320" s="364" t="s">
        <v>668</v>
      </c>
      <c r="AN320" s="364" t="s">
        <v>644</v>
      </c>
    </row>
    <row r="321" spans="1:40" x14ac:dyDescent="0.3">
      <c r="A321" s="364" t="s">
        <v>2412</v>
      </c>
      <c r="B321" s="364" t="s">
        <v>661</v>
      </c>
      <c r="C321" s="364" t="s">
        <v>660</v>
      </c>
      <c r="D321" s="364" t="s">
        <v>90</v>
      </c>
      <c r="E321" s="364" t="s">
        <v>2411</v>
      </c>
      <c r="F321" s="364" t="s">
        <v>2411</v>
      </c>
      <c r="G321" s="364" t="s">
        <v>658</v>
      </c>
      <c r="H321" s="364" t="s">
        <v>2410</v>
      </c>
      <c r="I321" s="364" t="s">
        <v>2409</v>
      </c>
      <c r="J321" s="364" t="s">
        <v>673</v>
      </c>
      <c r="K321" s="364" t="s">
        <v>668</v>
      </c>
      <c r="L321" s="364" t="s">
        <v>190</v>
      </c>
      <c r="M321" s="364" t="s">
        <v>55</v>
      </c>
      <c r="N321" s="364" t="s">
        <v>654</v>
      </c>
      <c r="O321" s="364" t="s">
        <v>653</v>
      </c>
      <c r="P321" s="364" t="s">
        <v>198</v>
      </c>
      <c r="Q321" s="364" t="s">
        <v>652</v>
      </c>
      <c r="R321" s="364" t="s">
        <v>88</v>
      </c>
      <c r="S321" s="364" t="s">
        <v>88</v>
      </c>
      <c r="T321" s="364" t="s">
        <v>88</v>
      </c>
      <c r="U321" s="364" t="s">
        <v>88</v>
      </c>
      <c r="V321" s="364" t="s">
        <v>88</v>
      </c>
      <c r="W321" s="364" t="s">
        <v>88</v>
      </c>
      <c r="X321" s="364" t="s">
        <v>88</v>
      </c>
      <c r="Y321" s="364" t="s">
        <v>88</v>
      </c>
      <c r="Z321" s="364" t="s">
        <v>719</v>
      </c>
      <c r="AA321" s="364" t="s">
        <v>649</v>
      </c>
      <c r="AB321" s="364" t="s">
        <v>649</v>
      </c>
      <c r="AC321" s="364" t="s">
        <v>649</v>
      </c>
      <c r="AD321" s="364" t="s">
        <v>649</v>
      </c>
      <c r="AE321" s="364" t="s">
        <v>88</v>
      </c>
      <c r="AF321" s="364" t="s">
        <v>88</v>
      </c>
      <c r="AG321" s="364" t="s">
        <v>88</v>
      </c>
      <c r="AH321" s="364" t="s">
        <v>88</v>
      </c>
      <c r="AI321" s="364" t="s">
        <v>1155</v>
      </c>
      <c r="AJ321" s="364" t="s">
        <v>710</v>
      </c>
      <c r="AK321" s="364" t="s">
        <v>1016</v>
      </c>
      <c r="AL321" s="364" t="s">
        <v>646</v>
      </c>
      <c r="AM321" s="364" t="s">
        <v>668</v>
      </c>
      <c r="AN321" s="364" t="s">
        <v>644</v>
      </c>
    </row>
    <row r="322" spans="1:40" x14ac:dyDescent="0.3">
      <c r="A322" s="364" t="s">
        <v>2412</v>
      </c>
      <c r="B322" s="364" t="s">
        <v>661</v>
      </c>
      <c r="C322" s="364" t="s">
        <v>660</v>
      </c>
      <c r="D322" s="364" t="s">
        <v>90</v>
      </c>
      <c r="E322" s="364" t="s">
        <v>2411</v>
      </c>
      <c r="F322" s="364" t="s">
        <v>2411</v>
      </c>
      <c r="G322" s="364" t="s">
        <v>658</v>
      </c>
      <c r="H322" s="364" t="s">
        <v>2410</v>
      </c>
      <c r="I322" s="364" t="s">
        <v>2409</v>
      </c>
      <c r="J322" s="364" t="s">
        <v>673</v>
      </c>
      <c r="K322" s="364" t="s">
        <v>668</v>
      </c>
      <c r="L322" s="364" t="s">
        <v>190</v>
      </c>
      <c r="M322" s="364" t="s">
        <v>718</v>
      </c>
      <c r="N322" s="364" t="s">
        <v>654</v>
      </c>
      <c r="O322" s="364" t="s">
        <v>653</v>
      </c>
      <c r="P322" s="364" t="s">
        <v>198</v>
      </c>
      <c r="Q322" s="364" t="s">
        <v>652</v>
      </c>
      <c r="R322" s="364" t="s">
        <v>88</v>
      </c>
      <c r="S322" s="364" t="s">
        <v>88</v>
      </c>
      <c r="T322" s="364" t="s">
        <v>88</v>
      </c>
      <c r="U322" s="364" t="s">
        <v>88</v>
      </c>
      <c r="V322" s="364" t="s">
        <v>88</v>
      </c>
      <c r="W322" s="364" t="s">
        <v>88</v>
      </c>
      <c r="X322" s="364" t="s">
        <v>88</v>
      </c>
      <c r="Y322" s="364" t="s">
        <v>88</v>
      </c>
      <c r="Z322" s="364" t="s">
        <v>717</v>
      </c>
      <c r="AA322" s="364" t="s">
        <v>649</v>
      </c>
      <c r="AB322" s="364" t="s">
        <v>649</v>
      </c>
      <c r="AC322" s="364" t="s">
        <v>649</v>
      </c>
      <c r="AD322" s="364" t="s">
        <v>649</v>
      </c>
      <c r="AE322" s="364" t="s">
        <v>88</v>
      </c>
      <c r="AF322" s="364" t="s">
        <v>88</v>
      </c>
      <c r="AG322" s="364" t="s">
        <v>88</v>
      </c>
      <c r="AH322" s="364" t="s">
        <v>88</v>
      </c>
      <c r="AI322" s="364" t="s">
        <v>1155</v>
      </c>
      <c r="AJ322" s="364" t="s">
        <v>710</v>
      </c>
      <c r="AK322" s="364" t="s">
        <v>1016</v>
      </c>
      <c r="AL322" s="364" t="s">
        <v>646</v>
      </c>
      <c r="AM322" s="364" t="s">
        <v>668</v>
      </c>
      <c r="AN322" s="364" t="s">
        <v>644</v>
      </c>
    </row>
    <row r="323" spans="1:40" x14ac:dyDescent="0.3">
      <c r="A323" s="364" t="s">
        <v>2412</v>
      </c>
      <c r="B323" s="364" t="s">
        <v>661</v>
      </c>
      <c r="C323" s="364" t="s">
        <v>660</v>
      </c>
      <c r="D323" s="364" t="s">
        <v>90</v>
      </c>
      <c r="E323" s="364" t="s">
        <v>2411</v>
      </c>
      <c r="F323" s="364" t="s">
        <v>2411</v>
      </c>
      <c r="G323" s="364" t="s">
        <v>658</v>
      </c>
      <c r="H323" s="364" t="s">
        <v>2410</v>
      </c>
      <c r="I323" s="364" t="s">
        <v>2409</v>
      </c>
      <c r="J323" s="364" t="s">
        <v>673</v>
      </c>
      <c r="K323" s="364" t="s">
        <v>668</v>
      </c>
      <c r="L323" s="364" t="s">
        <v>190</v>
      </c>
      <c r="M323" s="364" t="s">
        <v>713</v>
      </c>
      <c r="N323" s="364" t="s">
        <v>654</v>
      </c>
      <c r="O323" s="364" t="s">
        <v>653</v>
      </c>
      <c r="P323" s="364" t="s">
        <v>198</v>
      </c>
      <c r="Q323" s="364" t="s">
        <v>652</v>
      </c>
      <c r="R323" s="364" t="s">
        <v>88</v>
      </c>
      <c r="S323" s="364" t="s">
        <v>88</v>
      </c>
      <c r="T323" s="364" t="s">
        <v>88</v>
      </c>
      <c r="U323" s="364" t="s">
        <v>88</v>
      </c>
      <c r="V323" s="364" t="s">
        <v>88</v>
      </c>
      <c r="W323" s="364" t="s">
        <v>88</v>
      </c>
      <c r="X323" s="364" t="s">
        <v>88</v>
      </c>
      <c r="Y323" s="364" t="s">
        <v>88</v>
      </c>
      <c r="Z323" s="364" t="s">
        <v>712</v>
      </c>
      <c r="AA323" s="364" t="s">
        <v>711</v>
      </c>
      <c r="AB323" s="364" t="s">
        <v>649</v>
      </c>
      <c r="AC323" s="364" t="s">
        <v>649</v>
      </c>
      <c r="AD323" s="364" t="s">
        <v>649</v>
      </c>
      <c r="AE323" s="364" t="s">
        <v>88</v>
      </c>
      <c r="AF323" s="364" t="s">
        <v>88</v>
      </c>
      <c r="AG323" s="364" t="s">
        <v>88</v>
      </c>
      <c r="AH323" s="364" t="s">
        <v>88</v>
      </c>
      <c r="AI323" s="364" t="s">
        <v>1155</v>
      </c>
      <c r="AJ323" s="364" t="s">
        <v>710</v>
      </c>
      <c r="AK323" s="364" t="s">
        <v>1016</v>
      </c>
      <c r="AL323" s="364" t="s">
        <v>646</v>
      </c>
      <c r="AM323" s="364" t="s">
        <v>668</v>
      </c>
      <c r="AN323" s="364" t="s">
        <v>644</v>
      </c>
    </row>
    <row r="324" spans="1:40" x14ac:dyDescent="0.3">
      <c r="A324" s="364" t="s">
        <v>2408</v>
      </c>
      <c r="B324" s="364" t="s">
        <v>661</v>
      </c>
      <c r="C324" s="364" t="s">
        <v>660</v>
      </c>
      <c r="D324" s="364" t="s">
        <v>87</v>
      </c>
      <c r="E324" s="364" t="s">
        <v>2392</v>
      </c>
      <c r="F324" s="364" t="s">
        <v>2392</v>
      </c>
      <c r="G324" s="364" t="s">
        <v>658</v>
      </c>
      <c r="H324" s="364" t="s">
        <v>2407</v>
      </c>
      <c r="I324" s="364" t="s">
        <v>2398</v>
      </c>
      <c r="J324" s="364" t="s">
        <v>673</v>
      </c>
      <c r="K324" s="364" t="s">
        <v>668</v>
      </c>
      <c r="L324" s="364" t="s">
        <v>190</v>
      </c>
      <c r="M324" s="364" t="s">
        <v>58</v>
      </c>
      <c r="N324" s="364" t="s">
        <v>654</v>
      </c>
      <c r="O324" s="364" t="s">
        <v>653</v>
      </c>
      <c r="P324" s="364" t="s">
        <v>198</v>
      </c>
      <c r="Q324" s="364" t="s">
        <v>652</v>
      </c>
      <c r="R324" s="364" t="s">
        <v>88</v>
      </c>
      <c r="S324" s="364" t="s">
        <v>88</v>
      </c>
      <c r="T324" s="364" t="s">
        <v>88</v>
      </c>
      <c r="U324" s="364" t="s">
        <v>88</v>
      </c>
      <c r="V324" s="364" t="s">
        <v>88</v>
      </c>
      <c r="W324" s="364" t="s">
        <v>88</v>
      </c>
      <c r="X324" s="364" t="s">
        <v>88</v>
      </c>
      <c r="Y324" s="364" t="s">
        <v>88</v>
      </c>
      <c r="Z324" s="364" t="s">
        <v>702</v>
      </c>
      <c r="AA324" s="364" t="s">
        <v>701</v>
      </c>
      <c r="AB324" s="364" t="s">
        <v>649</v>
      </c>
      <c r="AC324" s="364" t="s">
        <v>649</v>
      </c>
      <c r="AD324" s="364" t="s">
        <v>649</v>
      </c>
      <c r="AE324" s="364" t="s">
        <v>88</v>
      </c>
      <c r="AF324" s="364" t="s">
        <v>88</v>
      </c>
      <c r="AG324" s="364" t="s">
        <v>88</v>
      </c>
      <c r="AH324" s="364" t="s">
        <v>88</v>
      </c>
      <c r="AI324" s="364" t="s">
        <v>1199</v>
      </c>
      <c r="AJ324" s="364" t="s">
        <v>648</v>
      </c>
      <c r="AK324" s="364" t="s">
        <v>669</v>
      </c>
      <c r="AL324" s="364" t="s">
        <v>646</v>
      </c>
      <c r="AM324" s="364" t="s">
        <v>668</v>
      </c>
      <c r="AN324" s="364" t="s">
        <v>644</v>
      </c>
    </row>
    <row r="325" spans="1:40" x14ac:dyDescent="0.3">
      <c r="A325" s="364" t="s">
        <v>2406</v>
      </c>
      <c r="B325" s="364" t="s">
        <v>661</v>
      </c>
      <c r="C325" s="364" t="s">
        <v>660</v>
      </c>
      <c r="D325" s="364" t="s">
        <v>87</v>
      </c>
      <c r="E325" s="364" t="s">
        <v>2396</v>
      </c>
      <c r="F325" s="364" t="s">
        <v>2396</v>
      </c>
      <c r="G325" s="364" t="s">
        <v>658</v>
      </c>
      <c r="H325" s="364" t="s">
        <v>2381</v>
      </c>
      <c r="I325" s="364" t="s">
        <v>2405</v>
      </c>
      <c r="J325" s="364" t="s">
        <v>673</v>
      </c>
      <c r="K325" s="364" t="s">
        <v>668</v>
      </c>
      <c r="L325" s="364" t="s">
        <v>190</v>
      </c>
      <c r="M325" s="364" t="s">
        <v>62</v>
      </c>
      <c r="N325" s="364" t="s">
        <v>654</v>
      </c>
      <c r="O325" s="364" t="s">
        <v>653</v>
      </c>
      <c r="P325" s="364" t="s">
        <v>198</v>
      </c>
      <c r="Q325" s="364" t="s">
        <v>652</v>
      </c>
      <c r="R325" s="364" t="s">
        <v>88</v>
      </c>
      <c r="S325" s="364" t="s">
        <v>88</v>
      </c>
      <c r="T325" s="364" t="s">
        <v>88</v>
      </c>
      <c r="U325" s="364" t="s">
        <v>88</v>
      </c>
      <c r="V325" s="364" t="s">
        <v>88</v>
      </c>
      <c r="W325" s="364" t="s">
        <v>88</v>
      </c>
      <c r="X325" s="364" t="s">
        <v>88</v>
      </c>
      <c r="Y325" s="364" t="s">
        <v>88</v>
      </c>
      <c r="Z325" s="364" t="s">
        <v>689</v>
      </c>
      <c r="AA325" s="364" t="s">
        <v>688</v>
      </c>
      <c r="AB325" s="364" t="s">
        <v>649</v>
      </c>
      <c r="AC325" s="364" t="s">
        <v>649</v>
      </c>
      <c r="AD325" s="364" t="s">
        <v>649</v>
      </c>
      <c r="AE325" s="364" t="s">
        <v>88</v>
      </c>
      <c r="AF325" s="364" t="s">
        <v>88</v>
      </c>
      <c r="AG325" s="364" t="s">
        <v>88</v>
      </c>
      <c r="AH325" s="364" t="s">
        <v>88</v>
      </c>
      <c r="AI325" s="364" t="s">
        <v>1199</v>
      </c>
      <c r="AJ325" s="364" t="s">
        <v>648</v>
      </c>
      <c r="AK325" s="364" t="s">
        <v>669</v>
      </c>
      <c r="AL325" s="364" t="s">
        <v>646</v>
      </c>
      <c r="AM325" s="364" t="s">
        <v>668</v>
      </c>
      <c r="AN325" s="364" t="s">
        <v>644</v>
      </c>
    </row>
    <row r="326" spans="1:40" x14ac:dyDescent="0.3">
      <c r="A326" s="364" t="s">
        <v>2404</v>
      </c>
      <c r="B326" s="364" t="s">
        <v>661</v>
      </c>
      <c r="C326" s="364" t="s">
        <v>660</v>
      </c>
      <c r="D326" s="364" t="s">
        <v>87</v>
      </c>
      <c r="E326" s="364" t="s">
        <v>2392</v>
      </c>
      <c r="F326" s="364" t="s">
        <v>2392</v>
      </c>
      <c r="G326" s="364" t="s">
        <v>658</v>
      </c>
      <c r="H326" s="364" t="s">
        <v>2403</v>
      </c>
      <c r="I326" s="364" t="s">
        <v>2398</v>
      </c>
      <c r="J326" s="364" t="s">
        <v>673</v>
      </c>
      <c r="K326" s="364" t="s">
        <v>668</v>
      </c>
      <c r="L326" s="364" t="s">
        <v>190</v>
      </c>
      <c r="M326" s="364" t="s">
        <v>62</v>
      </c>
      <c r="N326" s="364" t="s">
        <v>654</v>
      </c>
      <c r="O326" s="364" t="s">
        <v>653</v>
      </c>
      <c r="P326" s="364" t="s">
        <v>198</v>
      </c>
      <c r="Q326" s="364" t="s">
        <v>652</v>
      </c>
      <c r="R326" s="364" t="s">
        <v>88</v>
      </c>
      <c r="S326" s="364" t="s">
        <v>88</v>
      </c>
      <c r="T326" s="364" t="s">
        <v>88</v>
      </c>
      <c r="U326" s="364" t="s">
        <v>88</v>
      </c>
      <c r="V326" s="364" t="s">
        <v>88</v>
      </c>
      <c r="W326" s="364" t="s">
        <v>88</v>
      </c>
      <c r="X326" s="364" t="s">
        <v>88</v>
      </c>
      <c r="Y326" s="364" t="s">
        <v>88</v>
      </c>
      <c r="Z326" s="364" t="s">
        <v>689</v>
      </c>
      <c r="AA326" s="364" t="s">
        <v>688</v>
      </c>
      <c r="AB326" s="364" t="s">
        <v>649</v>
      </c>
      <c r="AC326" s="364" t="s">
        <v>649</v>
      </c>
      <c r="AD326" s="364" t="s">
        <v>649</v>
      </c>
      <c r="AE326" s="364" t="s">
        <v>88</v>
      </c>
      <c r="AF326" s="364" t="s">
        <v>88</v>
      </c>
      <c r="AG326" s="364" t="s">
        <v>88</v>
      </c>
      <c r="AH326" s="364" t="s">
        <v>88</v>
      </c>
      <c r="AI326" s="364" t="s">
        <v>1199</v>
      </c>
      <c r="AJ326" s="364" t="s">
        <v>648</v>
      </c>
      <c r="AK326" s="364" t="s">
        <v>669</v>
      </c>
      <c r="AL326" s="364" t="s">
        <v>646</v>
      </c>
      <c r="AM326" s="364" t="s">
        <v>668</v>
      </c>
      <c r="AN326" s="364" t="s">
        <v>644</v>
      </c>
    </row>
    <row r="327" spans="1:40" x14ac:dyDescent="0.3">
      <c r="A327" s="364" t="s">
        <v>2402</v>
      </c>
      <c r="B327" s="364" t="s">
        <v>661</v>
      </c>
      <c r="C327" s="364" t="s">
        <v>660</v>
      </c>
      <c r="D327" s="364" t="s">
        <v>87</v>
      </c>
      <c r="E327" s="364" t="s">
        <v>2396</v>
      </c>
      <c r="F327" s="364" t="s">
        <v>2396</v>
      </c>
      <c r="G327" s="364" t="s">
        <v>658</v>
      </c>
      <c r="H327" s="364" t="s">
        <v>2401</v>
      </c>
      <c r="I327" s="364" t="s">
        <v>2400</v>
      </c>
      <c r="J327" s="364" t="s">
        <v>673</v>
      </c>
      <c r="K327" s="364" t="s">
        <v>668</v>
      </c>
      <c r="L327" s="364" t="s">
        <v>190</v>
      </c>
      <c r="M327" s="364" t="s">
        <v>59</v>
      </c>
      <c r="N327" s="364" t="s">
        <v>654</v>
      </c>
      <c r="O327" s="364" t="s">
        <v>653</v>
      </c>
      <c r="P327" s="364" t="s">
        <v>198</v>
      </c>
      <c r="Q327" s="364" t="s">
        <v>652</v>
      </c>
      <c r="R327" s="364" t="s">
        <v>88</v>
      </c>
      <c r="S327" s="364" t="s">
        <v>88</v>
      </c>
      <c r="T327" s="364" t="s">
        <v>88</v>
      </c>
      <c r="U327" s="364" t="s">
        <v>88</v>
      </c>
      <c r="V327" s="364" t="s">
        <v>88</v>
      </c>
      <c r="W327" s="364" t="s">
        <v>88</v>
      </c>
      <c r="X327" s="364" t="s">
        <v>88</v>
      </c>
      <c r="Y327" s="364" t="s">
        <v>88</v>
      </c>
      <c r="Z327" s="364" t="s">
        <v>672</v>
      </c>
      <c r="AA327" s="364" t="s">
        <v>671</v>
      </c>
      <c r="AB327" s="364" t="s">
        <v>649</v>
      </c>
      <c r="AC327" s="364" t="s">
        <v>649</v>
      </c>
      <c r="AD327" s="364" t="s">
        <v>649</v>
      </c>
      <c r="AE327" s="364" t="s">
        <v>88</v>
      </c>
      <c r="AF327" s="364" t="s">
        <v>88</v>
      </c>
      <c r="AG327" s="364" t="s">
        <v>88</v>
      </c>
      <c r="AH327" s="364" t="s">
        <v>88</v>
      </c>
      <c r="AI327" s="364" t="s">
        <v>1199</v>
      </c>
      <c r="AJ327" s="364" t="s">
        <v>648</v>
      </c>
      <c r="AK327" s="364" t="s">
        <v>669</v>
      </c>
      <c r="AL327" s="364" t="s">
        <v>646</v>
      </c>
      <c r="AM327" s="364" t="s">
        <v>668</v>
      </c>
      <c r="AN327" s="364" t="s">
        <v>644</v>
      </c>
    </row>
    <row r="328" spans="1:40" x14ac:dyDescent="0.3">
      <c r="A328" s="364" t="s">
        <v>2399</v>
      </c>
      <c r="B328" s="364" t="s">
        <v>661</v>
      </c>
      <c r="C328" s="364" t="s">
        <v>660</v>
      </c>
      <c r="D328" s="364" t="s">
        <v>87</v>
      </c>
      <c r="E328" s="364" t="s">
        <v>2392</v>
      </c>
      <c r="F328" s="364" t="s">
        <v>2392</v>
      </c>
      <c r="G328" s="364" t="s">
        <v>658</v>
      </c>
      <c r="H328" s="364" t="s">
        <v>731</v>
      </c>
      <c r="I328" s="364" t="s">
        <v>2398</v>
      </c>
      <c r="J328" s="364" t="s">
        <v>673</v>
      </c>
      <c r="K328" s="364" t="s">
        <v>668</v>
      </c>
      <c r="L328" s="364" t="s">
        <v>190</v>
      </c>
      <c r="M328" s="364" t="s">
        <v>59</v>
      </c>
      <c r="N328" s="364" t="s">
        <v>654</v>
      </c>
      <c r="O328" s="364" t="s">
        <v>653</v>
      </c>
      <c r="P328" s="364" t="s">
        <v>198</v>
      </c>
      <c r="Q328" s="364" t="s">
        <v>652</v>
      </c>
      <c r="R328" s="364" t="s">
        <v>88</v>
      </c>
      <c r="S328" s="364" t="s">
        <v>88</v>
      </c>
      <c r="T328" s="364" t="s">
        <v>88</v>
      </c>
      <c r="U328" s="364" t="s">
        <v>88</v>
      </c>
      <c r="V328" s="364" t="s">
        <v>88</v>
      </c>
      <c r="W328" s="364" t="s">
        <v>88</v>
      </c>
      <c r="X328" s="364" t="s">
        <v>88</v>
      </c>
      <c r="Y328" s="364" t="s">
        <v>88</v>
      </c>
      <c r="Z328" s="364" t="s">
        <v>672</v>
      </c>
      <c r="AA328" s="364" t="s">
        <v>671</v>
      </c>
      <c r="AB328" s="364" t="s">
        <v>649</v>
      </c>
      <c r="AC328" s="364" t="s">
        <v>649</v>
      </c>
      <c r="AD328" s="364" t="s">
        <v>649</v>
      </c>
      <c r="AE328" s="364" t="s">
        <v>88</v>
      </c>
      <c r="AF328" s="364" t="s">
        <v>88</v>
      </c>
      <c r="AG328" s="364" t="s">
        <v>88</v>
      </c>
      <c r="AH328" s="364" t="s">
        <v>88</v>
      </c>
      <c r="AI328" s="364" t="s">
        <v>1199</v>
      </c>
      <c r="AJ328" s="364" t="s">
        <v>648</v>
      </c>
      <c r="AK328" s="364" t="s">
        <v>669</v>
      </c>
      <c r="AL328" s="364" t="s">
        <v>646</v>
      </c>
      <c r="AM328" s="364" t="s">
        <v>668</v>
      </c>
      <c r="AN328" s="364" t="s">
        <v>644</v>
      </c>
    </row>
    <row r="329" spans="1:40" x14ac:dyDescent="0.3">
      <c r="A329" s="364" t="s">
        <v>2397</v>
      </c>
      <c r="B329" s="364" t="s">
        <v>661</v>
      </c>
      <c r="C329" s="364" t="s">
        <v>660</v>
      </c>
      <c r="D329" s="364" t="s">
        <v>90</v>
      </c>
      <c r="E329" s="364" t="s">
        <v>2396</v>
      </c>
      <c r="F329" s="364" t="s">
        <v>2396</v>
      </c>
      <c r="G329" s="364" t="s">
        <v>658</v>
      </c>
      <c r="H329" s="364" t="s">
        <v>2395</v>
      </c>
      <c r="I329" s="364" t="s">
        <v>2394</v>
      </c>
      <c r="J329" s="364" t="s">
        <v>673</v>
      </c>
      <c r="K329" s="364" t="s">
        <v>668</v>
      </c>
      <c r="L329" s="364" t="s">
        <v>190</v>
      </c>
      <c r="M329" s="364" t="s">
        <v>55</v>
      </c>
      <c r="N329" s="364" t="s">
        <v>654</v>
      </c>
      <c r="O329" s="364" t="s">
        <v>653</v>
      </c>
      <c r="P329" s="364" t="s">
        <v>198</v>
      </c>
      <c r="Q329" s="364" t="s">
        <v>652</v>
      </c>
      <c r="R329" s="364" t="s">
        <v>88</v>
      </c>
      <c r="S329" s="364" t="s">
        <v>88</v>
      </c>
      <c r="T329" s="364" t="s">
        <v>88</v>
      </c>
      <c r="U329" s="364" t="s">
        <v>88</v>
      </c>
      <c r="V329" s="364" t="s">
        <v>88</v>
      </c>
      <c r="W329" s="364" t="s">
        <v>88</v>
      </c>
      <c r="X329" s="364" t="s">
        <v>88</v>
      </c>
      <c r="Y329" s="364" t="s">
        <v>88</v>
      </c>
      <c r="Z329" s="364" t="s">
        <v>719</v>
      </c>
      <c r="AA329" s="364" t="s">
        <v>649</v>
      </c>
      <c r="AB329" s="364" t="s">
        <v>649</v>
      </c>
      <c r="AC329" s="364" t="s">
        <v>649</v>
      </c>
      <c r="AD329" s="364" t="s">
        <v>649</v>
      </c>
      <c r="AE329" s="364" t="s">
        <v>88</v>
      </c>
      <c r="AF329" s="364" t="s">
        <v>88</v>
      </c>
      <c r="AG329" s="364" t="s">
        <v>88</v>
      </c>
      <c r="AH329" s="364" t="s">
        <v>88</v>
      </c>
      <c r="AI329" s="364" t="s">
        <v>1155</v>
      </c>
      <c r="AJ329" s="364" t="s">
        <v>710</v>
      </c>
      <c r="AK329" s="364" t="s">
        <v>1016</v>
      </c>
      <c r="AL329" s="364" t="s">
        <v>646</v>
      </c>
      <c r="AM329" s="364" t="s">
        <v>668</v>
      </c>
      <c r="AN329" s="364" t="s">
        <v>644</v>
      </c>
    </row>
    <row r="330" spans="1:40" x14ac:dyDescent="0.3">
      <c r="A330" s="364" t="s">
        <v>2397</v>
      </c>
      <c r="B330" s="364" t="s">
        <v>661</v>
      </c>
      <c r="C330" s="364" t="s">
        <v>660</v>
      </c>
      <c r="D330" s="364" t="s">
        <v>90</v>
      </c>
      <c r="E330" s="364" t="s">
        <v>2396</v>
      </c>
      <c r="F330" s="364" t="s">
        <v>2396</v>
      </c>
      <c r="G330" s="364" t="s">
        <v>658</v>
      </c>
      <c r="H330" s="364" t="s">
        <v>2395</v>
      </c>
      <c r="I330" s="364" t="s">
        <v>2394</v>
      </c>
      <c r="J330" s="364" t="s">
        <v>673</v>
      </c>
      <c r="K330" s="364" t="s">
        <v>668</v>
      </c>
      <c r="L330" s="364" t="s">
        <v>190</v>
      </c>
      <c r="M330" s="364" t="s">
        <v>718</v>
      </c>
      <c r="N330" s="364" t="s">
        <v>654</v>
      </c>
      <c r="O330" s="364" t="s">
        <v>653</v>
      </c>
      <c r="P330" s="364" t="s">
        <v>198</v>
      </c>
      <c r="Q330" s="364" t="s">
        <v>652</v>
      </c>
      <c r="R330" s="364" t="s">
        <v>88</v>
      </c>
      <c r="S330" s="364" t="s">
        <v>88</v>
      </c>
      <c r="T330" s="364" t="s">
        <v>88</v>
      </c>
      <c r="U330" s="364" t="s">
        <v>88</v>
      </c>
      <c r="V330" s="364" t="s">
        <v>88</v>
      </c>
      <c r="W330" s="364" t="s">
        <v>88</v>
      </c>
      <c r="X330" s="364" t="s">
        <v>88</v>
      </c>
      <c r="Y330" s="364" t="s">
        <v>88</v>
      </c>
      <c r="Z330" s="364" t="s">
        <v>717</v>
      </c>
      <c r="AA330" s="364" t="s">
        <v>649</v>
      </c>
      <c r="AB330" s="364" t="s">
        <v>649</v>
      </c>
      <c r="AC330" s="364" t="s">
        <v>649</v>
      </c>
      <c r="AD330" s="364" t="s">
        <v>649</v>
      </c>
      <c r="AE330" s="364" t="s">
        <v>88</v>
      </c>
      <c r="AF330" s="364" t="s">
        <v>88</v>
      </c>
      <c r="AG330" s="364" t="s">
        <v>88</v>
      </c>
      <c r="AH330" s="364" t="s">
        <v>88</v>
      </c>
      <c r="AI330" s="364" t="s">
        <v>1155</v>
      </c>
      <c r="AJ330" s="364" t="s">
        <v>710</v>
      </c>
      <c r="AK330" s="364" t="s">
        <v>1016</v>
      </c>
      <c r="AL330" s="364" t="s">
        <v>646</v>
      </c>
      <c r="AM330" s="364" t="s">
        <v>668</v>
      </c>
      <c r="AN330" s="364" t="s">
        <v>644</v>
      </c>
    </row>
    <row r="331" spans="1:40" x14ac:dyDescent="0.3">
      <c r="A331" s="364" t="s">
        <v>2397</v>
      </c>
      <c r="B331" s="364" t="s">
        <v>661</v>
      </c>
      <c r="C331" s="364" t="s">
        <v>660</v>
      </c>
      <c r="D331" s="364" t="s">
        <v>90</v>
      </c>
      <c r="E331" s="364" t="s">
        <v>2396</v>
      </c>
      <c r="F331" s="364" t="s">
        <v>2396</v>
      </c>
      <c r="G331" s="364" t="s">
        <v>658</v>
      </c>
      <c r="H331" s="364" t="s">
        <v>2395</v>
      </c>
      <c r="I331" s="364" t="s">
        <v>2394</v>
      </c>
      <c r="J331" s="364" t="s">
        <v>673</v>
      </c>
      <c r="K331" s="364" t="s">
        <v>668</v>
      </c>
      <c r="L331" s="364" t="s">
        <v>190</v>
      </c>
      <c r="M331" s="364" t="s">
        <v>713</v>
      </c>
      <c r="N331" s="364" t="s">
        <v>654</v>
      </c>
      <c r="O331" s="364" t="s">
        <v>653</v>
      </c>
      <c r="P331" s="364" t="s">
        <v>198</v>
      </c>
      <c r="Q331" s="364" t="s">
        <v>652</v>
      </c>
      <c r="R331" s="364" t="s">
        <v>88</v>
      </c>
      <c r="S331" s="364" t="s">
        <v>88</v>
      </c>
      <c r="T331" s="364" t="s">
        <v>88</v>
      </c>
      <c r="U331" s="364" t="s">
        <v>88</v>
      </c>
      <c r="V331" s="364" t="s">
        <v>88</v>
      </c>
      <c r="W331" s="364" t="s">
        <v>88</v>
      </c>
      <c r="X331" s="364" t="s">
        <v>88</v>
      </c>
      <c r="Y331" s="364" t="s">
        <v>88</v>
      </c>
      <c r="Z331" s="364" t="s">
        <v>712</v>
      </c>
      <c r="AA331" s="364" t="s">
        <v>711</v>
      </c>
      <c r="AB331" s="364" t="s">
        <v>649</v>
      </c>
      <c r="AC331" s="364" t="s">
        <v>649</v>
      </c>
      <c r="AD331" s="364" t="s">
        <v>649</v>
      </c>
      <c r="AE331" s="364" t="s">
        <v>88</v>
      </c>
      <c r="AF331" s="364" t="s">
        <v>88</v>
      </c>
      <c r="AG331" s="364" t="s">
        <v>88</v>
      </c>
      <c r="AH331" s="364" t="s">
        <v>88</v>
      </c>
      <c r="AI331" s="364" t="s">
        <v>1155</v>
      </c>
      <c r="AJ331" s="364" t="s">
        <v>710</v>
      </c>
      <c r="AK331" s="364" t="s">
        <v>1016</v>
      </c>
      <c r="AL331" s="364" t="s">
        <v>646</v>
      </c>
      <c r="AM331" s="364" t="s">
        <v>668</v>
      </c>
      <c r="AN331" s="364" t="s">
        <v>644</v>
      </c>
    </row>
    <row r="332" spans="1:40" x14ac:dyDescent="0.3">
      <c r="A332" s="364" t="s">
        <v>2397</v>
      </c>
      <c r="B332" s="364" t="s">
        <v>661</v>
      </c>
      <c r="C332" s="364" t="s">
        <v>660</v>
      </c>
      <c r="D332" s="364" t="s">
        <v>90</v>
      </c>
      <c r="E332" s="364" t="s">
        <v>2396</v>
      </c>
      <c r="F332" s="364" t="s">
        <v>2396</v>
      </c>
      <c r="G332" s="364" t="s">
        <v>658</v>
      </c>
      <c r="H332" s="364" t="s">
        <v>2395</v>
      </c>
      <c r="I332" s="364" t="s">
        <v>2394</v>
      </c>
      <c r="J332" s="364" t="s">
        <v>673</v>
      </c>
      <c r="K332" s="364" t="s">
        <v>668</v>
      </c>
      <c r="L332" s="364" t="s">
        <v>190</v>
      </c>
      <c r="M332" s="364" t="s">
        <v>54</v>
      </c>
      <c r="N332" s="364" t="s">
        <v>654</v>
      </c>
      <c r="O332" s="364" t="s">
        <v>653</v>
      </c>
      <c r="P332" s="364" t="s">
        <v>198</v>
      </c>
      <c r="Q332" s="364" t="s">
        <v>652</v>
      </c>
      <c r="R332" s="364" t="s">
        <v>88</v>
      </c>
      <c r="S332" s="364" t="s">
        <v>88</v>
      </c>
      <c r="T332" s="364" t="s">
        <v>88</v>
      </c>
      <c r="U332" s="364" t="s">
        <v>88</v>
      </c>
      <c r="V332" s="364" t="s">
        <v>88</v>
      </c>
      <c r="W332" s="364" t="s">
        <v>88</v>
      </c>
      <c r="X332" s="364" t="s">
        <v>88</v>
      </c>
      <c r="Y332" s="364" t="s">
        <v>88</v>
      </c>
      <c r="Z332" s="364" t="s">
        <v>1265</v>
      </c>
      <c r="AA332" s="364" t="s">
        <v>649</v>
      </c>
      <c r="AB332" s="364" t="s">
        <v>649</v>
      </c>
      <c r="AC332" s="364" t="s">
        <v>649</v>
      </c>
      <c r="AD332" s="364" t="s">
        <v>649</v>
      </c>
      <c r="AE332" s="364" t="s">
        <v>88</v>
      </c>
      <c r="AF332" s="364" t="s">
        <v>88</v>
      </c>
      <c r="AG332" s="364" t="s">
        <v>88</v>
      </c>
      <c r="AH332" s="364" t="s">
        <v>88</v>
      </c>
      <c r="AI332" s="364" t="s">
        <v>1155</v>
      </c>
      <c r="AJ332" s="364" t="s">
        <v>710</v>
      </c>
      <c r="AK332" s="364" t="s">
        <v>1016</v>
      </c>
      <c r="AL332" s="364" t="s">
        <v>646</v>
      </c>
      <c r="AM332" s="364" t="s">
        <v>668</v>
      </c>
      <c r="AN332" s="364" t="s">
        <v>644</v>
      </c>
    </row>
    <row r="333" spans="1:40" x14ac:dyDescent="0.3">
      <c r="A333" s="364" t="s">
        <v>2397</v>
      </c>
      <c r="B333" s="364" t="s">
        <v>661</v>
      </c>
      <c r="C333" s="364" t="s">
        <v>660</v>
      </c>
      <c r="D333" s="364" t="s">
        <v>90</v>
      </c>
      <c r="E333" s="364" t="s">
        <v>2396</v>
      </c>
      <c r="F333" s="364" t="s">
        <v>2396</v>
      </c>
      <c r="G333" s="364" t="s">
        <v>658</v>
      </c>
      <c r="H333" s="364" t="s">
        <v>2395</v>
      </c>
      <c r="I333" s="364" t="s">
        <v>2394</v>
      </c>
      <c r="J333" s="364" t="s">
        <v>673</v>
      </c>
      <c r="K333" s="364" t="s">
        <v>668</v>
      </c>
      <c r="L333" s="364" t="s">
        <v>190</v>
      </c>
      <c r="M333" s="364" t="s">
        <v>61</v>
      </c>
      <c r="N333" s="364" t="s">
        <v>654</v>
      </c>
      <c r="O333" s="364" t="s">
        <v>653</v>
      </c>
      <c r="P333" s="364" t="s">
        <v>198</v>
      </c>
      <c r="Q333" s="364" t="s">
        <v>652</v>
      </c>
      <c r="R333" s="364" t="s">
        <v>88</v>
      </c>
      <c r="S333" s="364" t="s">
        <v>88</v>
      </c>
      <c r="T333" s="364" t="s">
        <v>88</v>
      </c>
      <c r="U333" s="364" t="s">
        <v>88</v>
      </c>
      <c r="V333" s="364" t="s">
        <v>88</v>
      </c>
      <c r="W333" s="364" t="s">
        <v>88</v>
      </c>
      <c r="X333" s="364" t="s">
        <v>88</v>
      </c>
      <c r="Y333" s="364" t="s">
        <v>88</v>
      </c>
      <c r="Z333" s="364" t="s">
        <v>1021</v>
      </c>
      <c r="AA333" s="364" t="s">
        <v>671</v>
      </c>
      <c r="AB333" s="364" t="s">
        <v>649</v>
      </c>
      <c r="AC333" s="364" t="s">
        <v>649</v>
      </c>
      <c r="AD333" s="364" t="s">
        <v>649</v>
      </c>
      <c r="AE333" s="364" t="s">
        <v>88</v>
      </c>
      <c r="AF333" s="364" t="s">
        <v>88</v>
      </c>
      <c r="AG333" s="364" t="s">
        <v>88</v>
      </c>
      <c r="AH333" s="364" t="s">
        <v>88</v>
      </c>
      <c r="AI333" s="364" t="s">
        <v>1155</v>
      </c>
      <c r="AJ333" s="364" t="s">
        <v>710</v>
      </c>
      <c r="AK333" s="364" t="s">
        <v>1016</v>
      </c>
      <c r="AL333" s="364" t="s">
        <v>646</v>
      </c>
      <c r="AM333" s="364" t="s">
        <v>668</v>
      </c>
      <c r="AN333" s="364" t="s">
        <v>644</v>
      </c>
    </row>
    <row r="334" spans="1:40" x14ac:dyDescent="0.3">
      <c r="A334" s="364" t="s">
        <v>2397</v>
      </c>
      <c r="B334" s="364" t="s">
        <v>661</v>
      </c>
      <c r="C334" s="364" t="s">
        <v>660</v>
      </c>
      <c r="D334" s="364" t="s">
        <v>90</v>
      </c>
      <c r="E334" s="364" t="s">
        <v>2396</v>
      </c>
      <c r="F334" s="364" t="s">
        <v>2396</v>
      </c>
      <c r="G334" s="364" t="s">
        <v>658</v>
      </c>
      <c r="H334" s="364" t="s">
        <v>2395</v>
      </c>
      <c r="I334" s="364" t="s">
        <v>2394</v>
      </c>
      <c r="J334" s="364" t="s">
        <v>673</v>
      </c>
      <c r="K334" s="364" t="s">
        <v>668</v>
      </c>
      <c r="L334" s="364" t="s">
        <v>190</v>
      </c>
      <c r="M334" s="364" t="s">
        <v>725</v>
      </c>
      <c r="N334" s="364" t="s">
        <v>654</v>
      </c>
      <c r="O334" s="364" t="s">
        <v>653</v>
      </c>
      <c r="P334" s="364" t="s">
        <v>198</v>
      </c>
      <c r="Q334" s="364" t="s">
        <v>652</v>
      </c>
      <c r="R334" s="364" t="s">
        <v>88</v>
      </c>
      <c r="S334" s="364" t="s">
        <v>88</v>
      </c>
      <c r="T334" s="364" t="s">
        <v>88</v>
      </c>
      <c r="U334" s="364" t="s">
        <v>88</v>
      </c>
      <c r="V334" s="364" t="s">
        <v>88</v>
      </c>
      <c r="W334" s="364" t="s">
        <v>88</v>
      </c>
      <c r="X334" s="364" t="s">
        <v>88</v>
      </c>
      <c r="Y334" s="364" t="s">
        <v>88</v>
      </c>
      <c r="Z334" s="364" t="s">
        <v>724</v>
      </c>
      <c r="AA334" s="364" t="s">
        <v>649</v>
      </c>
      <c r="AB334" s="364" t="s">
        <v>649</v>
      </c>
      <c r="AC334" s="364" t="s">
        <v>649</v>
      </c>
      <c r="AD334" s="364" t="s">
        <v>649</v>
      </c>
      <c r="AE334" s="364" t="s">
        <v>88</v>
      </c>
      <c r="AF334" s="364" t="s">
        <v>88</v>
      </c>
      <c r="AG334" s="364" t="s">
        <v>88</v>
      </c>
      <c r="AH334" s="364" t="s">
        <v>88</v>
      </c>
      <c r="AI334" s="364" t="s">
        <v>1155</v>
      </c>
      <c r="AJ334" s="364" t="s">
        <v>710</v>
      </c>
      <c r="AK334" s="364" t="s">
        <v>1016</v>
      </c>
      <c r="AL334" s="364" t="s">
        <v>646</v>
      </c>
      <c r="AM334" s="364" t="s">
        <v>668</v>
      </c>
      <c r="AN334" s="364" t="s">
        <v>644</v>
      </c>
    </row>
    <row r="335" spans="1:40" x14ac:dyDescent="0.3">
      <c r="A335" s="364" t="s">
        <v>2397</v>
      </c>
      <c r="B335" s="364" t="s">
        <v>661</v>
      </c>
      <c r="C335" s="364" t="s">
        <v>660</v>
      </c>
      <c r="D335" s="364" t="s">
        <v>90</v>
      </c>
      <c r="E335" s="364" t="s">
        <v>2396</v>
      </c>
      <c r="F335" s="364" t="s">
        <v>2396</v>
      </c>
      <c r="G335" s="364" t="s">
        <v>658</v>
      </c>
      <c r="H335" s="364" t="s">
        <v>2395</v>
      </c>
      <c r="I335" s="364" t="s">
        <v>2394</v>
      </c>
      <c r="J335" s="364" t="s">
        <v>673</v>
      </c>
      <c r="K335" s="364" t="s">
        <v>668</v>
      </c>
      <c r="L335" s="364" t="s">
        <v>190</v>
      </c>
      <c r="M335" s="364" t="s">
        <v>723</v>
      </c>
      <c r="N335" s="364" t="s">
        <v>654</v>
      </c>
      <c r="O335" s="364" t="s">
        <v>653</v>
      </c>
      <c r="P335" s="364" t="s">
        <v>198</v>
      </c>
      <c r="Q335" s="364" t="s">
        <v>652</v>
      </c>
      <c r="R335" s="364" t="s">
        <v>88</v>
      </c>
      <c r="S335" s="364" t="s">
        <v>88</v>
      </c>
      <c r="T335" s="364" t="s">
        <v>88</v>
      </c>
      <c r="U335" s="364" t="s">
        <v>88</v>
      </c>
      <c r="V335" s="364" t="s">
        <v>88</v>
      </c>
      <c r="W335" s="364" t="s">
        <v>88</v>
      </c>
      <c r="X335" s="364" t="s">
        <v>88</v>
      </c>
      <c r="Y335" s="364" t="s">
        <v>88</v>
      </c>
      <c r="Z335" s="364" t="s">
        <v>722</v>
      </c>
      <c r="AA335" s="364" t="s">
        <v>649</v>
      </c>
      <c r="AB335" s="364" t="s">
        <v>649</v>
      </c>
      <c r="AC335" s="364" t="s">
        <v>649</v>
      </c>
      <c r="AD335" s="364" t="s">
        <v>649</v>
      </c>
      <c r="AE335" s="364" t="s">
        <v>88</v>
      </c>
      <c r="AF335" s="364" t="s">
        <v>88</v>
      </c>
      <c r="AG335" s="364" t="s">
        <v>88</v>
      </c>
      <c r="AH335" s="364" t="s">
        <v>88</v>
      </c>
      <c r="AI335" s="364" t="s">
        <v>1155</v>
      </c>
      <c r="AJ335" s="364" t="s">
        <v>710</v>
      </c>
      <c r="AK335" s="364" t="s">
        <v>1016</v>
      </c>
      <c r="AL335" s="364" t="s">
        <v>646</v>
      </c>
      <c r="AM335" s="364" t="s">
        <v>668</v>
      </c>
      <c r="AN335" s="364" t="s">
        <v>644</v>
      </c>
    </row>
    <row r="336" spans="1:40" x14ac:dyDescent="0.3">
      <c r="A336" s="364" t="s">
        <v>2397</v>
      </c>
      <c r="B336" s="364" t="s">
        <v>661</v>
      </c>
      <c r="C336" s="364" t="s">
        <v>660</v>
      </c>
      <c r="D336" s="364" t="s">
        <v>90</v>
      </c>
      <c r="E336" s="364" t="s">
        <v>2396</v>
      </c>
      <c r="F336" s="364" t="s">
        <v>2396</v>
      </c>
      <c r="G336" s="364" t="s">
        <v>658</v>
      </c>
      <c r="H336" s="364" t="s">
        <v>2395</v>
      </c>
      <c r="I336" s="364" t="s">
        <v>2394</v>
      </c>
      <c r="J336" s="364" t="s">
        <v>673</v>
      </c>
      <c r="K336" s="364" t="s">
        <v>668</v>
      </c>
      <c r="L336" s="364" t="s">
        <v>190</v>
      </c>
      <c r="M336" s="364" t="s">
        <v>721</v>
      </c>
      <c r="N336" s="364" t="s">
        <v>654</v>
      </c>
      <c r="O336" s="364" t="s">
        <v>653</v>
      </c>
      <c r="P336" s="364" t="s">
        <v>198</v>
      </c>
      <c r="Q336" s="364" t="s">
        <v>652</v>
      </c>
      <c r="R336" s="364" t="s">
        <v>88</v>
      </c>
      <c r="S336" s="364" t="s">
        <v>88</v>
      </c>
      <c r="T336" s="364" t="s">
        <v>88</v>
      </c>
      <c r="U336" s="364" t="s">
        <v>88</v>
      </c>
      <c r="V336" s="364" t="s">
        <v>88</v>
      </c>
      <c r="W336" s="364" t="s">
        <v>88</v>
      </c>
      <c r="X336" s="364" t="s">
        <v>88</v>
      </c>
      <c r="Y336" s="364" t="s">
        <v>88</v>
      </c>
      <c r="Z336" s="364" t="s">
        <v>720</v>
      </c>
      <c r="AA336" s="364" t="s">
        <v>649</v>
      </c>
      <c r="AB336" s="364" t="s">
        <v>649</v>
      </c>
      <c r="AC336" s="364" t="s">
        <v>649</v>
      </c>
      <c r="AD336" s="364" t="s">
        <v>649</v>
      </c>
      <c r="AE336" s="364" t="s">
        <v>88</v>
      </c>
      <c r="AF336" s="364" t="s">
        <v>88</v>
      </c>
      <c r="AG336" s="364" t="s">
        <v>88</v>
      </c>
      <c r="AH336" s="364" t="s">
        <v>88</v>
      </c>
      <c r="AI336" s="364" t="s">
        <v>1155</v>
      </c>
      <c r="AJ336" s="364" t="s">
        <v>710</v>
      </c>
      <c r="AK336" s="364" t="s">
        <v>1016</v>
      </c>
      <c r="AL336" s="364" t="s">
        <v>646</v>
      </c>
      <c r="AM336" s="364" t="s">
        <v>668</v>
      </c>
      <c r="AN336" s="364" t="s">
        <v>644</v>
      </c>
    </row>
    <row r="337" spans="1:40" x14ac:dyDescent="0.3">
      <c r="A337" s="364" t="s">
        <v>2393</v>
      </c>
      <c r="B337" s="364" t="s">
        <v>661</v>
      </c>
      <c r="C337" s="364" t="s">
        <v>660</v>
      </c>
      <c r="D337" s="364" t="s">
        <v>90</v>
      </c>
      <c r="E337" s="364" t="s">
        <v>2392</v>
      </c>
      <c r="F337" s="364" t="s">
        <v>2392</v>
      </c>
      <c r="G337" s="364" t="s">
        <v>658</v>
      </c>
      <c r="H337" s="364" t="s">
        <v>2391</v>
      </c>
      <c r="I337" s="364" t="s">
        <v>2390</v>
      </c>
      <c r="J337" s="364" t="s">
        <v>673</v>
      </c>
      <c r="K337" s="364" t="s">
        <v>668</v>
      </c>
      <c r="L337" s="364" t="s">
        <v>190</v>
      </c>
      <c r="M337" s="364" t="s">
        <v>55</v>
      </c>
      <c r="N337" s="364" t="s">
        <v>654</v>
      </c>
      <c r="O337" s="364" t="s">
        <v>653</v>
      </c>
      <c r="P337" s="364" t="s">
        <v>198</v>
      </c>
      <c r="Q337" s="364" t="s">
        <v>652</v>
      </c>
      <c r="R337" s="364" t="s">
        <v>88</v>
      </c>
      <c r="S337" s="364" t="s">
        <v>88</v>
      </c>
      <c r="T337" s="364" t="s">
        <v>88</v>
      </c>
      <c r="U337" s="364" t="s">
        <v>88</v>
      </c>
      <c r="V337" s="364" t="s">
        <v>88</v>
      </c>
      <c r="W337" s="364" t="s">
        <v>88</v>
      </c>
      <c r="X337" s="364" t="s">
        <v>88</v>
      </c>
      <c r="Y337" s="364" t="s">
        <v>88</v>
      </c>
      <c r="Z337" s="364" t="s">
        <v>719</v>
      </c>
      <c r="AA337" s="364" t="s">
        <v>649</v>
      </c>
      <c r="AB337" s="364" t="s">
        <v>649</v>
      </c>
      <c r="AC337" s="364" t="s">
        <v>649</v>
      </c>
      <c r="AD337" s="364" t="s">
        <v>649</v>
      </c>
      <c r="AE337" s="364" t="s">
        <v>88</v>
      </c>
      <c r="AF337" s="364" t="s">
        <v>88</v>
      </c>
      <c r="AG337" s="364" t="s">
        <v>88</v>
      </c>
      <c r="AH337" s="364" t="s">
        <v>88</v>
      </c>
      <c r="AI337" s="364" t="s">
        <v>1155</v>
      </c>
      <c r="AJ337" s="364" t="s">
        <v>710</v>
      </c>
      <c r="AK337" s="364" t="s">
        <v>1016</v>
      </c>
      <c r="AL337" s="364" t="s">
        <v>646</v>
      </c>
      <c r="AM337" s="364" t="s">
        <v>668</v>
      </c>
      <c r="AN337" s="364" t="s">
        <v>644</v>
      </c>
    </row>
    <row r="338" spans="1:40" x14ac:dyDescent="0.3">
      <c r="A338" s="364" t="s">
        <v>2393</v>
      </c>
      <c r="B338" s="364" t="s">
        <v>661</v>
      </c>
      <c r="C338" s="364" t="s">
        <v>660</v>
      </c>
      <c r="D338" s="364" t="s">
        <v>90</v>
      </c>
      <c r="E338" s="364" t="s">
        <v>2392</v>
      </c>
      <c r="F338" s="364" t="s">
        <v>2392</v>
      </c>
      <c r="G338" s="364" t="s">
        <v>658</v>
      </c>
      <c r="H338" s="364" t="s">
        <v>2391</v>
      </c>
      <c r="I338" s="364" t="s">
        <v>2390</v>
      </c>
      <c r="J338" s="364" t="s">
        <v>673</v>
      </c>
      <c r="K338" s="364" t="s">
        <v>668</v>
      </c>
      <c r="L338" s="364" t="s">
        <v>190</v>
      </c>
      <c r="M338" s="364" t="s">
        <v>718</v>
      </c>
      <c r="N338" s="364" t="s">
        <v>654</v>
      </c>
      <c r="O338" s="364" t="s">
        <v>653</v>
      </c>
      <c r="P338" s="364" t="s">
        <v>198</v>
      </c>
      <c r="Q338" s="364" t="s">
        <v>652</v>
      </c>
      <c r="R338" s="364" t="s">
        <v>88</v>
      </c>
      <c r="S338" s="364" t="s">
        <v>88</v>
      </c>
      <c r="T338" s="364" t="s">
        <v>88</v>
      </c>
      <c r="U338" s="364" t="s">
        <v>88</v>
      </c>
      <c r="V338" s="364" t="s">
        <v>88</v>
      </c>
      <c r="W338" s="364" t="s">
        <v>88</v>
      </c>
      <c r="X338" s="364" t="s">
        <v>88</v>
      </c>
      <c r="Y338" s="364" t="s">
        <v>88</v>
      </c>
      <c r="Z338" s="364" t="s">
        <v>717</v>
      </c>
      <c r="AA338" s="364" t="s">
        <v>649</v>
      </c>
      <c r="AB338" s="364" t="s">
        <v>649</v>
      </c>
      <c r="AC338" s="364" t="s">
        <v>649</v>
      </c>
      <c r="AD338" s="364" t="s">
        <v>649</v>
      </c>
      <c r="AE338" s="364" t="s">
        <v>88</v>
      </c>
      <c r="AF338" s="364" t="s">
        <v>88</v>
      </c>
      <c r="AG338" s="364" t="s">
        <v>88</v>
      </c>
      <c r="AH338" s="364" t="s">
        <v>88</v>
      </c>
      <c r="AI338" s="364" t="s">
        <v>1155</v>
      </c>
      <c r="AJ338" s="364" t="s">
        <v>710</v>
      </c>
      <c r="AK338" s="364" t="s">
        <v>1016</v>
      </c>
      <c r="AL338" s="364" t="s">
        <v>646</v>
      </c>
      <c r="AM338" s="364" t="s">
        <v>668</v>
      </c>
      <c r="AN338" s="364" t="s">
        <v>644</v>
      </c>
    </row>
    <row r="339" spans="1:40" x14ac:dyDescent="0.3">
      <c r="A339" s="364" t="s">
        <v>2393</v>
      </c>
      <c r="B339" s="364" t="s">
        <v>661</v>
      </c>
      <c r="C339" s="364" t="s">
        <v>660</v>
      </c>
      <c r="D339" s="364" t="s">
        <v>90</v>
      </c>
      <c r="E339" s="364" t="s">
        <v>2392</v>
      </c>
      <c r="F339" s="364" t="s">
        <v>2392</v>
      </c>
      <c r="G339" s="364" t="s">
        <v>658</v>
      </c>
      <c r="H339" s="364" t="s">
        <v>2391</v>
      </c>
      <c r="I339" s="364" t="s">
        <v>2390</v>
      </c>
      <c r="J339" s="364" t="s">
        <v>673</v>
      </c>
      <c r="K339" s="364" t="s">
        <v>668</v>
      </c>
      <c r="L339" s="364" t="s">
        <v>190</v>
      </c>
      <c r="M339" s="364" t="s">
        <v>713</v>
      </c>
      <c r="N339" s="364" t="s">
        <v>654</v>
      </c>
      <c r="O339" s="364" t="s">
        <v>653</v>
      </c>
      <c r="P339" s="364" t="s">
        <v>198</v>
      </c>
      <c r="Q339" s="364" t="s">
        <v>652</v>
      </c>
      <c r="R339" s="364" t="s">
        <v>88</v>
      </c>
      <c r="S339" s="364" t="s">
        <v>88</v>
      </c>
      <c r="T339" s="364" t="s">
        <v>88</v>
      </c>
      <c r="U339" s="364" t="s">
        <v>88</v>
      </c>
      <c r="V339" s="364" t="s">
        <v>88</v>
      </c>
      <c r="W339" s="364" t="s">
        <v>88</v>
      </c>
      <c r="X339" s="364" t="s">
        <v>88</v>
      </c>
      <c r="Y339" s="364" t="s">
        <v>88</v>
      </c>
      <c r="Z339" s="364" t="s">
        <v>712</v>
      </c>
      <c r="AA339" s="364" t="s">
        <v>711</v>
      </c>
      <c r="AB339" s="364" t="s">
        <v>649</v>
      </c>
      <c r="AC339" s="364" t="s">
        <v>649</v>
      </c>
      <c r="AD339" s="364" t="s">
        <v>649</v>
      </c>
      <c r="AE339" s="364" t="s">
        <v>88</v>
      </c>
      <c r="AF339" s="364" t="s">
        <v>88</v>
      </c>
      <c r="AG339" s="364" t="s">
        <v>88</v>
      </c>
      <c r="AH339" s="364" t="s">
        <v>88</v>
      </c>
      <c r="AI339" s="364" t="s">
        <v>1155</v>
      </c>
      <c r="AJ339" s="364" t="s">
        <v>710</v>
      </c>
      <c r="AK339" s="364" t="s">
        <v>1016</v>
      </c>
      <c r="AL339" s="364" t="s">
        <v>646</v>
      </c>
      <c r="AM339" s="364" t="s">
        <v>668</v>
      </c>
      <c r="AN339" s="364" t="s">
        <v>644</v>
      </c>
    </row>
    <row r="340" spans="1:40" x14ac:dyDescent="0.3">
      <c r="A340" s="364" t="s">
        <v>2393</v>
      </c>
      <c r="B340" s="364" t="s">
        <v>661</v>
      </c>
      <c r="C340" s="364" t="s">
        <v>660</v>
      </c>
      <c r="D340" s="364" t="s">
        <v>90</v>
      </c>
      <c r="E340" s="364" t="s">
        <v>2392</v>
      </c>
      <c r="F340" s="364" t="s">
        <v>2392</v>
      </c>
      <c r="G340" s="364" t="s">
        <v>658</v>
      </c>
      <c r="H340" s="364" t="s">
        <v>2391</v>
      </c>
      <c r="I340" s="364" t="s">
        <v>2390</v>
      </c>
      <c r="J340" s="364" t="s">
        <v>673</v>
      </c>
      <c r="K340" s="364" t="s">
        <v>668</v>
      </c>
      <c r="L340" s="364" t="s">
        <v>190</v>
      </c>
      <c r="M340" s="364" t="s">
        <v>54</v>
      </c>
      <c r="N340" s="364" t="s">
        <v>654</v>
      </c>
      <c r="O340" s="364" t="s">
        <v>653</v>
      </c>
      <c r="P340" s="364" t="s">
        <v>198</v>
      </c>
      <c r="Q340" s="364" t="s">
        <v>652</v>
      </c>
      <c r="R340" s="364" t="s">
        <v>88</v>
      </c>
      <c r="S340" s="364" t="s">
        <v>88</v>
      </c>
      <c r="T340" s="364" t="s">
        <v>88</v>
      </c>
      <c r="U340" s="364" t="s">
        <v>88</v>
      </c>
      <c r="V340" s="364" t="s">
        <v>88</v>
      </c>
      <c r="W340" s="364" t="s">
        <v>88</v>
      </c>
      <c r="X340" s="364" t="s">
        <v>88</v>
      </c>
      <c r="Y340" s="364" t="s">
        <v>88</v>
      </c>
      <c r="Z340" s="364" t="s">
        <v>1265</v>
      </c>
      <c r="AA340" s="364" t="s">
        <v>649</v>
      </c>
      <c r="AB340" s="364" t="s">
        <v>649</v>
      </c>
      <c r="AC340" s="364" t="s">
        <v>649</v>
      </c>
      <c r="AD340" s="364" t="s">
        <v>649</v>
      </c>
      <c r="AE340" s="364" t="s">
        <v>88</v>
      </c>
      <c r="AF340" s="364" t="s">
        <v>88</v>
      </c>
      <c r="AG340" s="364" t="s">
        <v>88</v>
      </c>
      <c r="AH340" s="364" t="s">
        <v>88</v>
      </c>
      <c r="AI340" s="364" t="s">
        <v>1155</v>
      </c>
      <c r="AJ340" s="364" t="s">
        <v>710</v>
      </c>
      <c r="AK340" s="364" t="s">
        <v>1016</v>
      </c>
      <c r="AL340" s="364" t="s">
        <v>646</v>
      </c>
      <c r="AM340" s="364" t="s">
        <v>668</v>
      </c>
      <c r="AN340" s="364" t="s">
        <v>644</v>
      </c>
    </row>
    <row r="341" spans="1:40" x14ac:dyDescent="0.3">
      <c r="A341" s="364" t="s">
        <v>2393</v>
      </c>
      <c r="B341" s="364" t="s">
        <v>661</v>
      </c>
      <c r="C341" s="364" t="s">
        <v>660</v>
      </c>
      <c r="D341" s="364" t="s">
        <v>90</v>
      </c>
      <c r="E341" s="364" t="s">
        <v>2392</v>
      </c>
      <c r="F341" s="364" t="s">
        <v>2392</v>
      </c>
      <c r="G341" s="364" t="s">
        <v>658</v>
      </c>
      <c r="H341" s="364" t="s">
        <v>2391</v>
      </c>
      <c r="I341" s="364" t="s">
        <v>2390</v>
      </c>
      <c r="J341" s="364" t="s">
        <v>673</v>
      </c>
      <c r="K341" s="364" t="s">
        <v>668</v>
      </c>
      <c r="L341" s="364" t="s">
        <v>190</v>
      </c>
      <c r="M341" s="364" t="s">
        <v>61</v>
      </c>
      <c r="N341" s="364" t="s">
        <v>654</v>
      </c>
      <c r="O341" s="364" t="s">
        <v>653</v>
      </c>
      <c r="P341" s="364" t="s">
        <v>198</v>
      </c>
      <c r="Q341" s="364" t="s">
        <v>652</v>
      </c>
      <c r="R341" s="364" t="s">
        <v>88</v>
      </c>
      <c r="S341" s="364" t="s">
        <v>88</v>
      </c>
      <c r="T341" s="364" t="s">
        <v>88</v>
      </c>
      <c r="U341" s="364" t="s">
        <v>88</v>
      </c>
      <c r="V341" s="364" t="s">
        <v>88</v>
      </c>
      <c r="W341" s="364" t="s">
        <v>88</v>
      </c>
      <c r="X341" s="364" t="s">
        <v>88</v>
      </c>
      <c r="Y341" s="364" t="s">
        <v>88</v>
      </c>
      <c r="Z341" s="364" t="s">
        <v>1021</v>
      </c>
      <c r="AA341" s="364" t="s">
        <v>671</v>
      </c>
      <c r="AB341" s="364" t="s">
        <v>649</v>
      </c>
      <c r="AC341" s="364" t="s">
        <v>649</v>
      </c>
      <c r="AD341" s="364" t="s">
        <v>649</v>
      </c>
      <c r="AE341" s="364" t="s">
        <v>88</v>
      </c>
      <c r="AF341" s="364" t="s">
        <v>88</v>
      </c>
      <c r="AG341" s="364" t="s">
        <v>88</v>
      </c>
      <c r="AH341" s="364" t="s">
        <v>88</v>
      </c>
      <c r="AI341" s="364" t="s">
        <v>1155</v>
      </c>
      <c r="AJ341" s="364" t="s">
        <v>710</v>
      </c>
      <c r="AK341" s="364" t="s">
        <v>1016</v>
      </c>
      <c r="AL341" s="364" t="s">
        <v>646</v>
      </c>
      <c r="AM341" s="364" t="s">
        <v>668</v>
      </c>
      <c r="AN341" s="364" t="s">
        <v>644</v>
      </c>
    </row>
    <row r="342" spans="1:40" x14ac:dyDescent="0.3">
      <c r="A342" s="364" t="s">
        <v>2393</v>
      </c>
      <c r="B342" s="364" t="s">
        <v>661</v>
      </c>
      <c r="C342" s="364" t="s">
        <v>660</v>
      </c>
      <c r="D342" s="364" t="s">
        <v>90</v>
      </c>
      <c r="E342" s="364" t="s">
        <v>2392</v>
      </c>
      <c r="F342" s="364" t="s">
        <v>2392</v>
      </c>
      <c r="G342" s="364" t="s">
        <v>658</v>
      </c>
      <c r="H342" s="364" t="s">
        <v>2391</v>
      </c>
      <c r="I342" s="364" t="s">
        <v>2390</v>
      </c>
      <c r="J342" s="364" t="s">
        <v>673</v>
      </c>
      <c r="K342" s="364" t="s">
        <v>668</v>
      </c>
      <c r="L342" s="364" t="s">
        <v>190</v>
      </c>
      <c r="M342" s="364" t="s">
        <v>725</v>
      </c>
      <c r="N342" s="364" t="s">
        <v>654</v>
      </c>
      <c r="O342" s="364" t="s">
        <v>653</v>
      </c>
      <c r="P342" s="364" t="s">
        <v>198</v>
      </c>
      <c r="Q342" s="364" t="s">
        <v>652</v>
      </c>
      <c r="R342" s="364" t="s">
        <v>88</v>
      </c>
      <c r="S342" s="364" t="s">
        <v>88</v>
      </c>
      <c r="T342" s="364" t="s">
        <v>88</v>
      </c>
      <c r="U342" s="364" t="s">
        <v>88</v>
      </c>
      <c r="V342" s="364" t="s">
        <v>88</v>
      </c>
      <c r="W342" s="364" t="s">
        <v>88</v>
      </c>
      <c r="X342" s="364" t="s">
        <v>88</v>
      </c>
      <c r="Y342" s="364" t="s">
        <v>88</v>
      </c>
      <c r="Z342" s="364" t="s">
        <v>724</v>
      </c>
      <c r="AA342" s="364" t="s">
        <v>649</v>
      </c>
      <c r="AB342" s="364" t="s">
        <v>649</v>
      </c>
      <c r="AC342" s="364" t="s">
        <v>649</v>
      </c>
      <c r="AD342" s="364" t="s">
        <v>649</v>
      </c>
      <c r="AE342" s="364" t="s">
        <v>88</v>
      </c>
      <c r="AF342" s="364" t="s">
        <v>88</v>
      </c>
      <c r="AG342" s="364" t="s">
        <v>88</v>
      </c>
      <c r="AH342" s="364" t="s">
        <v>88</v>
      </c>
      <c r="AI342" s="364" t="s">
        <v>1155</v>
      </c>
      <c r="AJ342" s="364" t="s">
        <v>710</v>
      </c>
      <c r="AK342" s="364" t="s">
        <v>1016</v>
      </c>
      <c r="AL342" s="364" t="s">
        <v>646</v>
      </c>
      <c r="AM342" s="364" t="s">
        <v>668</v>
      </c>
      <c r="AN342" s="364" t="s">
        <v>644</v>
      </c>
    </row>
    <row r="343" spans="1:40" x14ac:dyDescent="0.3">
      <c r="A343" s="364" t="s">
        <v>2393</v>
      </c>
      <c r="B343" s="364" t="s">
        <v>661</v>
      </c>
      <c r="C343" s="364" t="s">
        <v>660</v>
      </c>
      <c r="D343" s="364" t="s">
        <v>90</v>
      </c>
      <c r="E343" s="364" t="s">
        <v>2392</v>
      </c>
      <c r="F343" s="364" t="s">
        <v>2392</v>
      </c>
      <c r="G343" s="364" t="s">
        <v>658</v>
      </c>
      <c r="H343" s="364" t="s">
        <v>2391</v>
      </c>
      <c r="I343" s="364" t="s">
        <v>2390</v>
      </c>
      <c r="J343" s="364" t="s">
        <v>673</v>
      </c>
      <c r="K343" s="364" t="s">
        <v>668</v>
      </c>
      <c r="L343" s="364" t="s">
        <v>190</v>
      </c>
      <c r="M343" s="364" t="s">
        <v>723</v>
      </c>
      <c r="N343" s="364" t="s">
        <v>654</v>
      </c>
      <c r="O343" s="364" t="s">
        <v>653</v>
      </c>
      <c r="P343" s="364" t="s">
        <v>198</v>
      </c>
      <c r="Q343" s="364" t="s">
        <v>652</v>
      </c>
      <c r="R343" s="364" t="s">
        <v>88</v>
      </c>
      <c r="S343" s="364" t="s">
        <v>88</v>
      </c>
      <c r="T343" s="364" t="s">
        <v>88</v>
      </c>
      <c r="U343" s="364" t="s">
        <v>88</v>
      </c>
      <c r="V343" s="364" t="s">
        <v>88</v>
      </c>
      <c r="W343" s="364" t="s">
        <v>88</v>
      </c>
      <c r="X343" s="364" t="s">
        <v>88</v>
      </c>
      <c r="Y343" s="364" t="s">
        <v>88</v>
      </c>
      <c r="Z343" s="364" t="s">
        <v>722</v>
      </c>
      <c r="AA343" s="364" t="s">
        <v>649</v>
      </c>
      <c r="AB343" s="364" t="s">
        <v>649</v>
      </c>
      <c r="AC343" s="364" t="s">
        <v>649</v>
      </c>
      <c r="AD343" s="364" t="s">
        <v>649</v>
      </c>
      <c r="AE343" s="364" t="s">
        <v>88</v>
      </c>
      <c r="AF343" s="364" t="s">
        <v>88</v>
      </c>
      <c r="AG343" s="364" t="s">
        <v>88</v>
      </c>
      <c r="AH343" s="364" t="s">
        <v>88</v>
      </c>
      <c r="AI343" s="364" t="s">
        <v>1155</v>
      </c>
      <c r="AJ343" s="364" t="s">
        <v>710</v>
      </c>
      <c r="AK343" s="364" t="s">
        <v>1016</v>
      </c>
      <c r="AL343" s="364" t="s">
        <v>646</v>
      </c>
      <c r="AM343" s="364" t="s">
        <v>668</v>
      </c>
      <c r="AN343" s="364" t="s">
        <v>644</v>
      </c>
    </row>
    <row r="344" spans="1:40" x14ac:dyDescent="0.3">
      <c r="A344" s="364" t="s">
        <v>2393</v>
      </c>
      <c r="B344" s="364" t="s">
        <v>661</v>
      </c>
      <c r="C344" s="364" t="s">
        <v>660</v>
      </c>
      <c r="D344" s="364" t="s">
        <v>90</v>
      </c>
      <c r="E344" s="364" t="s">
        <v>2392</v>
      </c>
      <c r="F344" s="364" t="s">
        <v>2392</v>
      </c>
      <c r="G344" s="364" t="s">
        <v>658</v>
      </c>
      <c r="H344" s="364" t="s">
        <v>2391</v>
      </c>
      <c r="I344" s="364" t="s">
        <v>2390</v>
      </c>
      <c r="J344" s="364" t="s">
        <v>673</v>
      </c>
      <c r="K344" s="364" t="s">
        <v>668</v>
      </c>
      <c r="L344" s="364" t="s">
        <v>190</v>
      </c>
      <c r="M344" s="364" t="s">
        <v>721</v>
      </c>
      <c r="N344" s="364" t="s">
        <v>654</v>
      </c>
      <c r="O344" s="364" t="s">
        <v>653</v>
      </c>
      <c r="P344" s="364" t="s">
        <v>198</v>
      </c>
      <c r="Q344" s="364" t="s">
        <v>652</v>
      </c>
      <c r="R344" s="364" t="s">
        <v>88</v>
      </c>
      <c r="S344" s="364" t="s">
        <v>88</v>
      </c>
      <c r="T344" s="364" t="s">
        <v>88</v>
      </c>
      <c r="U344" s="364" t="s">
        <v>88</v>
      </c>
      <c r="V344" s="364" t="s">
        <v>88</v>
      </c>
      <c r="W344" s="364" t="s">
        <v>88</v>
      </c>
      <c r="X344" s="364" t="s">
        <v>88</v>
      </c>
      <c r="Y344" s="364" t="s">
        <v>88</v>
      </c>
      <c r="Z344" s="364" t="s">
        <v>720</v>
      </c>
      <c r="AA344" s="364" t="s">
        <v>649</v>
      </c>
      <c r="AB344" s="364" t="s">
        <v>649</v>
      </c>
      <c r="AC344" s="364" t="s">
        <v>649</v>
      </c>
      <c r="AD344" s="364" t="s">
        <v>649</v>
      </c>
      <c r="AE344" s="364" t="s">
        <v>88</v>
      </c>
      <c r="AF344" s="364" t="s">
        <v>88</v>
      </c>
      <c r="AG344" s="364" t="s">
        <v>88</v>
      </c>
      <c r="AH344" s="364" t="s">
        <v>88</v>
      </c>
      <c r="AI344" s="364" t="s">
        <v>1155</v>
      </c>
      <c r="AJ344" s="364" t="s">
        <v>710</v>
      </c>
      <c r="AK344" s="364" t="s">
        <v>1016</v>
      </c>
      <c r="AL344" s="364" t="s">
        <v>646</v>
      </c>
      <c r="AM344" s="364" t="s">
        <v>668</v>
      </c>
      <c r="AN344" s="364" t="s">
        <v>644</v>
      </c>
    </row>
    <row r="345" spans="1:40" x14ac:dyDescent="0.3">
      <c r="A345" s="364" t="s">
        <v>2389</v>
      </c>
      <c r="B345" s="364" t="s">
        <v>661</v>
      </c>
      <c r="C345" s="364" t="s">
        <v>660</v>
      </c>
      <c r="D345" s="364" t="s">
        <v>87</v>
      </c>
      <c r="E345" s="364" t="s">
        <v>2376</v>
      </c>
      <c r="F345" s="364" t="s">
        <v>2376</v>
      </c>
      <c r="G345" s="364" t="s">
        <v>658</v>
      </c>
      <c r="H345" s="364" t="s">
        <v>2388</v>
      </c>
      <c r="I345" s="364" t="s">
        <v>2330</v>
      </c>
      <c r="J345" s="364" t="s">
        <v>673</v>
      </c>
      <c r="K345" s="364" t="s">
        <v>668</v>
      </c>
      <c r="L345" s="364" t="s">
        <v>190</v>
      </c>
      <c r="M345" s="364" t="s">
        <v>58</v>
      </c>
      <c r="N345" s="364" t="s">
        <v>654</v>
      </c>
      <c r="O345" s="364" t="s">
        <v>653</v>
      </c>
      <c r="P345" s="364" t="s">
        <v>198</v>
      </c>
      <c r="Q345" s="364" t="s">
        <v>652</v>
      </c>
      <c r="R345" s="364" t="s">
        <v>88</v>
      </c>
      <c r="S345" s="364" t="s">
        <v>88</v>
      </c>
      <c r="T345" s="364" t="s">
        <v>88</v>
      </c>
      <c r="U345" s="364" t="s">
        <v>88</v>
      </c>
      <c r="V345" s="364" t="s">
        <v>88</v>
      </c>
      <c r="W345" s="364" t="s">
        <v>88</v>
      </c>
      <c r="X345" s="364" t="s">
        <v>88</v>
      </c>
      <c r="Y345" s="364" t="s">
        <v>88</v>
      </c>
      <c r="Z345" s="364" t="s">
        <v>702</v>
      </c>
      <c r="AA345" s="364" t="s">
        <v>701</v>
      </c>
      <c r="AB345" s="364" t="s">
        <v>649</v>
      </c>
      <c r="AC345" s="364" t="s">
        <v>649</v>
      </c>
      <c r="AD345" s="364" t="s">
        <v>649</v>
      </c>
      <c r="AE345" s="364" t="s">
        <v>88</v>
      </c>
      <c r="AF345" s="364" t="s">
        <v>88</v>
      </c>
      <c r="AG345" s="364" t="s">
        <v>88</v>
      </c>
      <c r="AH345" s="364" t="s">
        <v>88</v>
      </c>
      <c r="AI345" s="364" t="s">
        <v>1199</v>
      </c>
      <c r="AJ345" s="364" t="s">
        <v>648</v>
      </c>
      <c r="AK345" s="364" t="s">
        <v>669</v>
      </c>
      <c r="AL345" s="364" t="s">
        <v>646</v>
      </c>
      <c r="AM345" s="364" t="s">
        <v>668</v>
      </c>
      <c r="AN345" s="364" t="s">
        <v>644</v>
      </c>
    </row>
    <row r="346" spans="1:40" x14ac:dyDescent="0.3">
      <c r="A346" s="364" t="s">
        <v>2387</v>
      </c>
      <c r="B346" s="364" t="s">
        <v>661</v>
      </c>
      <c r="C346" s="364" t="s">
        <v>660</v>
      </c>
      <c r="D346" s="364" t="s">
        <v>87</v>
      </c>
      <c r="E346" s="364" t="s">
        <v>2376</v>
      </c>
      <c r="F346" s="364" t="s">
        <v>2376</v>
      </c>
      <c r="G346" s="364" t="s">
        <v>658</v>
      </c>
      <c r="H346" s="364" t="s">
        <v>2381</v>
      </c>
      <c r="I346" s="364" t="s">
        <v>2334</v>
      </c>
      <c r="J346" s="364" t="s">
        <v>673</v>
      </c>
      <c r="K346" s="364" t="s">
        <v>668</v>
      </c>
      <c r="L346" s="364" t="s">
        <v>190</v>
      </c>
      <c r="M346" s="364" t="s">
        <v>62</v>
      </c>
      <c r="N346" s="364" t="s">
        <v>654</v>
      </c>
      <c r="O346" s="364" t="s">
        <v>653</v>
      </c>
      <c r="P346" s="364" t="s">
        <v>198</v>
      </c>
      <c r="Q346" s="364" t="s">
        <v>652</v>
      </c>
      <c r="R346" s="364" t="s">
        <v>88</v>
      </c>
      <c r="S346" s="364" t="s">
        <v>88</v>
      </c>
      <c r="T346" s="364" t="s">
        <v>88</v>
      </c>
      <c r="U346" s="364" t="s">
        <v>88</v>
      </c>
      <c r="V346" s="364" t="s">
        <v>88</v>
      </c>
      <c r="W346" s="364" t="s">
        <v>88</v>
      </c>
      <c r="X346" s="364" t="s">
        <v>88</v>
      </c>
      <c r="Y346" s="364" t="s">
        <v>88</v>
      </c>
      <c r="Z346" s="364" t="s">
        <v>689</v>
      </c>
      <c r="AA346" s="364" t="s">
        <v>688</v>
      </c>
      <c r="AB346" s="364" t="s">
        <v>649</v>
      </c>
      <c r="AC346" s="364" t="s">
        <v>649</v>
      </c>
      <c r="AD346" s="364" t="s">
        <v>649</v>
      </c>
      <c r="AE346" s="364" t="s">
        <v>88</v>
      </c>
      <c r="AF346" s="364" t="s">
        <v>88</v>
      </c>
      <c r="AG346" s="364" t="s">
        <v>88</v>
      </c>
      <c r="AH346" s="364" t="s">
        <v>88</v>
      </c>
      <c r="AI346" s="364" t="s">
        <v>1199</v>
      </c>
      <c r="AJ346" s="364" t="s">
        <v>648</v>
      </c>
      <c r="AK346" s="364" t="s">
        <v>669</v>
      </c>
      <c r="AL346" s="364" t="s">
        <v>646</v>
      </c>
      <c r="AM346" s="364" t="s">
        <v>668</v>
      </c>
      <c r="AN346" s="364" t="s">
        <v>644</v>
      </c>
    </row>
    <row r="347" spans="1:40" x14ac:dyDescent="0.3">
      <c r="A347" s="364" t="s">
        <v>2386</v>
      </c>
      <c r="B347" s="364" t="s">
        <v>661</v>
      </c>
      <c r="C347" s="364" t="s">
        <v>660</v>
      </c>
      <c r="D347" s="364" t="s">
        <v>87</v>
      </c>
      <c r="E347" s="364" t="s">
        <v>2376</v>
      </c>
      <c r="F347" s="364" t="s">
        <v>2376</v>
      </c>
      <c r="G347" s="364" t="s">
        <v>658</v>
      </c>
      <c r="H347" s="364" t="s">
        <v>2385</v>
      </c>
      <c r="I347" s="364" t="s">
        <v>2319</v>
      </c>
      <c r="J347" s="364" t="s">
        <v>673</v>
      </c>
      <c r="K347" s="364" t="s">
        <v>668</v>
      </c>
      <c r="L347" s="364" t="s">
        <v>190</v>
      </c>
      <c r="M347" s="364" t="s">
        <v>59</v>
      </c>
      <c r="N347" s="364" t="s">
        <v>654</v>
      </c>
      <c r="O347" s="364" t="s">
        <v>653</v>
      </c>
      <c r="P347" s="364" t="s">
        <v>198</v>
      </c>
      <c r="Q347" s="364" t="s">
        <v>652</v>
      </c>
      <c r="R347" s="364" t="s">
        <v>88</v>
      </c>
      <c r="S347" s="364" t="s">
        <v>88</v>
      </c>
      <c r="T347" s="364" t="s">
        <v>88</v>
      </c>
      <c r="U347" s="364" t="s">
        <v>88</v>
      </c>
      <c r="V347" s="364" t="s">
        <v>88</v>
      </c>
      <c r="W347" s="364" t="s">
        <v>88</v>
      </c>
      <c r="X347" s="364" t="s">
        <v>88</v>
      </c>
      <c r="Y347" s="364" t="s">
        <v>88</v>
      </c>
      <c r="Z347" s="364" t="s">
        <v>672</v>
      </c>
      <c r="AA347" s="364" t="s">
        <v>671</v>
      </c>
      <c r="AB347" s="364" t="s">
        <v>649</v>
      </c>
      <c r="AC347" s="364" t="s">
        <v>649</v>
      </c>
      <c r="AD347" s="364" t="s">
        <v>649</v>
      </c>
      <c r="AE347" s="364" t="s">
        <v>88</v>
      </c>
      <c r="AF347" s="364" t="s">
        <v>88</v>
      </c>
      <c r="AG347" s="364" t="s">
        <v>88</v>
      </c>
      <c r="AH347" s="364" t="s">
        <v>88</v>
      </c>
      <c r="AI347" s="364" t="s">
        <v>1199</v>
      </c>
      <c r="AJ347" s="364" t="s">
        <v>648</v>
      </c>
      <c r="AK347" s="364" t="s">
        <v>669</v>
      </c>
      <c r="AL347" s="364" t="s">
        <v>646</v>
      </c>
      <c r="AM347" s="364" t="s">
        <v>668</v>
      </c>
      <c r="AN347" s="364" t="s">
        <v>644</v>
      </c>
    </row>
    <row r="348" spans="1:40" x14ac:dyDescent="0.3">
      <c r="A348" s="364" t="s">
        <v>2384</v>
      </c>
      <c r="B348" s="364" t="s">
        <v>661</v>
      </c>
      <c r="C348" s="364" t="s">
        <v>660</v>
      </c>
      <c r="D348" s="364" t="s">
        <v>87</v>
      </c>
      <c r="E348" s="364" t="s">
        <v>2369</v>
      </c>
      <c r="F348" s="364" t="s">
        <v>2369</v>
      </c>
      <c r="G348" s="364" t="s">
        <v>658</v>
      </c>
      <c r="H348" s="364" t="s">
        <v>2383</v>
      </c>
      <c r="I348" s="364" t="s">
        <v>2319</v>
      </c>
      <c r="J348" s="364" t="s">
        <v>673</v>
      </c>
      <c r="K348" s="364" t="s">
        <v>668</v>
      </c>
      <c r="L348" s="364" t="s">
        <v>190</v>
      </c>
      <c r="M348" s="364" t="s">
        <v>59</v>
      </c>
      <c r="N348" s="364" t="s">
        <v>654</v>
      </c>
      <c r="O348" s="364" t="s">
        <v>653</v>
      </c>
      <c r="P348" s="364" t="s">
        <v>198</v>
      </c>
      <c r="Q348" s="364" t="s">
        <v>652</v>
      </c>
      <c r="R348" s="364" t="s">
        <v>88</v>
      </c>
      <c r="S348" s="364" t="s">
        <v>88</v>
      </c>
      <c r="T348" s="364" t="s">
        <v>88</v>
      </c>
      <c r="U348" s="364" t="s">
        <v>88</v>
      </c>
      <c r="V348" s="364" t="s">
        <v>88</v>
      </c>
      <c r="W348" s="364" t="s">
        <v>88</v>
      </c>
      <c r="X348" s="364" t="s">
        <v>88</v>
      </c>
      <c r="Y348" s="364" t="s">
        <v>88</v>
      </c>
      <c r="Z348" s="364" t="s">
        <v>672</v>
      </c>
      <c r="AA348" s="364" t="s">
        <v>671</v>
      </c>
      <c r="AB348" s="364" t="s">
        <v>649</v>
      </c>
      <c r="AC348" s="364" t="s">
        <v>649</v>
      </c>
      <c r="AD348" s="364" t="s">
        <v>649</v>
      </c>
      <c r="AE348" s="364" t="s">
        <v>88</v>
      </c>
      <c r="AF348" s="364" t="s">
        <v>88</v>
      </c>
      <c r="AG348" s="364" t="s">
        <v>88</v>
      </c>
      <c r="AH348" s="364" t="s">
        <v>88</v>
      </c>
      <c r="AI348" s="364" t="s">
        <v>1199</v>
      </c>
      <c r="AJ348" s="364" t="s">
        <v>648</v>
      </c>
      <c r="AK348" s="364" t="s">
        <v>669</v>
      </c>
      <c r="AL348" s="364" t="s">
        <v>646</v>
      </c>
      <c r="AM348" s="364" t="s">
        <v>668</v>
      </c>
      <c r="AN348" s="364" t="s">
        <v>644</v>
      </c>
    </row>
    <row r="349" spans="1:40" x14ac:dyDescent="0.3">
      <c r="A349" s="364" t="s">
        <v>2382</v>
      </c>
      <c r="B349" s="364" t="s">
        <v>661</v>
      </c>
      <c r="C349" s="364" t="s">
        <v>660</v>
      </c>
      <c r="D349" s="364" t="s">
        <v>87</v>
      </c>
      <c r="E349" s="364" t="s">
        <v>2369</v>
      </c>
      <c r="F349" s="364" t="s">
        <v>2369</v>
      </c>
      <c r="G349" s="364" t="s">
        <v>658</v>
      </c>
      <c r="H349" s="364" t="s">
        <v>2381</v>
      </c>
      <c r="I349" s="364" t="s">
        <v>2334</v>
      </c>
      <c r="J349" s="364" t="s">
        <v>673</v>
      </c>
      <c r="K349" s="364" t="s">
        <v>668</v>
      </c>
      <c r="L349" s="364" t="s">
        <v>190</v>
      </c>
      <c r="M349" s="364" t="s">
        <v>62</v>
      </c>
      <c r="N349" s="364" t="s">
        <v>654</v>
      </c>
      <c r="O349" s="364" t="s">
        <v>653</v>
      </c>
      <c r="P349" s="364" t="s">
        <v>198</v>
      </c>
      <c r="Q349" s="364" t="s">
        <v>652</v>
      </c>
      <c r="R349" s="364" t="s">
        <v>88</v>
      </c>
      <c r="S349" s="364" t="s">
        <v>88</v>
      </c>
      <c r="T349" s="364" t="s">
        <v>88</v>
      </c>
      <c r="U349" s="364" t="s">
        <v>88</v>
      </c>
      <c r="V349" s="364" t="s">
        <v>88</v>
      </c>
      <c r="W349" s="364" t="s">
        <v>88</v>
      </c>
      <c r="X349" s="364" t="s">
        <v>88</v>
      </c>
      <c r="Y349" s="364" t="s">
        <v>88</v>
      </c>
      <c r="Z349" s="364" t="s">
        <v>689</v>
      </c>
      <c r="AA349" s="364" t="s">
        <v>688</v>
      </c>
      <c r="AB349" s="364" t="s">
        <v>649</v>
      </c>
      <c r="AC349" s="364" t="s">
        <v>649</v>
      </c>
      <c r="AD349" s="364" t="s">
        <v>649</v>
      </c>
      <c r="AE349" s="364" t="s">
        <v>88</v>
      </c>
      <c r="AF349" s="364" t="s">
        <v>88</v>
      </c>
      <c r="AG349" s="364" t="s">
        <v>88</v>
      </c>
      <c r="AH349" s="364" t="s">
        <v>88</v>
      </c>
      <c r="AI349" s="364" t="s">
        <v>1199</v>
      </c>
      <c r="AJ349" s="364" t="s">
        <v>648</v>
      </c>
      <c r="AK349" s="364" t="s">
        <v>669</v>
      </c>
      <c r="AL349" s="364" t="s">
        <v>646</v>
      </c>
      <c r="AM349" s="364" t="s">
        <v>668</v>
      </c>
      <c r="AN349" s="364" t="s">
        <v>644</v>
      </c>
    </row>
    <row r="350" spans="1:40" x14ac:dyDescent="0.3">
      <c r="A350" s="364" t="s">
        <v>2380</v>
      </c>
      <c r="B350" s="364" t="s">
        <v>661</v>
      </c>
      <c r="C350" s="364" t="s">
        <v>660</v>
      </c>
      <c r="D350" s="364" t="s">
        <v>87</v>
      </c>
      <c r="E350" s="364" t="s">
        <v>2369</v>
      </c>
      <c r="F350" s="364" t="s">
        <v>2369</v>
      </c>
      <c r="G350" s="364" t="s">
        <v>658</v>
      </c>
      <c r="H350" s="364" t="s">
        <v>2379</v>
      </c>
      <c r="I350" s="364" t="s">
        <v>2378</v>
      </c>
      <c r="J350" s="364" t="s">
        <v>673</v>
      </c>
      <c r="K350" s="364" t="s">
        <v>668</v>
      </c>
      <c r="L350" s="364" t="s">
        <v>190</v>
      </c>
      <c r="M350" s="364" t="s">
        <v>58</v>
      </c>
      <c r="N350" s="364" t="s">
        <v>654</v>
      </c>
      <c r="O350" s="364" t="s">
        <v>653</v>
      </c>
      <c r="P350" s="364" t="s">
        <v>198</v>
      </c>
      <c r="Q350" s="364" t="s">
        <v>652</v>
      </c>
      <c r="R350" s="364" t="s">
        <v>88</v>
      </c>
      <c r="S350" s="364" t="s">
        <v>88</v>
      </c>
      <c r="T350" s="364" t="s">
        <v>88</v>
      </c>
      <c r="U350" s="364" t="s">
        <v>88</v>
      </c>
      <c r="V350" s="364" t="s">
        <v>88</v>
      </c>
      <c r="W350" s="364" t="s">
        <v>88</v>
      </c>
      <c r="X350" s="364" t="s">
        <v>88</v>
      </c>
      <c r="Y350" s="364" t="s">
        <v>88</v>
      </c>
      <c r="Z350" s="364" t="s">
        <v>702</v>
      </c>
      <c r="AA350" s="364" t="s">
        <v>701</v>
      </c>
      <c r="AB350" s="364" t="s">
        <v>649</v>
      </c>
      <c r="AC350" s="364" t="s">
        <v>649</v>
      </c>
      <c r="AD350" s="364" t="s">
        <v>649</v>
      </c>
      <c r="AE350" s="364" t="s">
        <v>88</v>
      </c>
      <c r="AF350" s="364" t="s">
        <v>88</v>
      </c>
      <c r="AG350" s="364" t="s">
        <v>88</v>
      </c>
      <c r="AH350" s="364" t="s">
        <v>88</v>
      </c>
      <c r="AI350" s="364" t="s">
        <v>1199</v>
      </c>
      <c r="AJ350" s="364" t="s">
        <v>648</v>
      </c>
      <c r="AK350" s="364" t="s">
        <v>669</v>
      </c>
      <c r="AL350" s="364" t="s">
        <v>646</v>
      </c>
      <c r="AM350" s="364" t="s">
        <v>668</v>
      </c>
      <c r="AN350" s="364" t="s">
        <v>644</v>
      </c>
    </row>
    <row r="351" spans="1:40" x14ac:dyDescent="0.3">
      <c r="A351" s="364" t="s">
        <v>2377</v>
      </c>
      <c r="B351" s="364" t="s">
        <v>661</v>
      </c>
      <c r="C351" s="364" t="s">
        <v>660</v>
      </c>
      <c r="D351" s="364" t="s">
        <v>90</v>
      </c>
      <c r="E351" s="364" t="s">
        <v>2376</v>
      </c>
      <c r="F351" s="364" t="s">
        <v>2376</v>
      </c>
      <c r="G351" s="364" t="s">
        <v>658</v>
      </c>
      <c r="H351" s="364" t="s">
        <v>2375</v>
      </c>
      <c r="I351" s="364" t="s">
        <v>2374</v>
      </c>
      <c r="J351" s="364" t="s">
        <v>673</v>
      </c>
      <c r="K351" s="364" t="s">
        <v>668</v>
      </c>
      <c r="L351" s="364" t="s">
        <v>190</v>
      </c>
      <c r="M351" s="364" t="s">
        <v>718</v>
      </c>
      <c r="N351" s="364" t="s">
        <v>654</v>
      </c>
      <c r="O351" s="364" t="s">
        <v>653</v>
      </c>
      <c r="P351" s="364" t="s">
        <v>198</v>
      </c>
      <c r="Q351" s="364" t="s">
        <v>652</v>
      </c>
      <c r="R351" s="364" t="s">
        <v>88</v>
      </c>
      <c r="S351" s="364" t="s">
        <v>88</v>
      </c>
      <c r="T351" s="364" t="s">
        <v>88</v>
      </c>
      <c r="U351" s="364" t="s">
        <v>88</v>
      </c>
      <c r="V351" s="364" t="s">
        <v>88</v>
      </c>
      <c r="W351" s="364" t="s">
        <v>88</v>
      </c>
      <c r="X351" s="364" t="s">
        <v>88</v>
      </c>
      <c r="Y351" s="364" t="s">
        <v>88</v>
      </c>
      <c r="Z351" s="364" t="s">
        <v>717</v>
      </c>
      <c r="AA351" s="364" t="s">
        <v>649</v>
      </c>
      <c r="AB351" s="364" t="s">
        <v>649</v>
      </c>
      <c r="AC351" s="364" t="s">
        <v>649</v>
      </c>
      <c r="AD351" s="364" t="s">
        <v>649</v>
      </c>
      <c r="AE351" s="364" t="s">
        <v>88</v>
      </c>
      <c r="AF351" s="364" t="s">
        <v>88</v>
      </c>
      <c r="AG351" s="364" t="s">
        <v>88</v>
      </c>
      <c r="AH351" s="364" t="s">
        <v>88</v>
      </c>
      <c r="AI351" s="364" t="s">
        <v>1155</v>
      </c>
      <c r="AJ351" s="364" t="s">
        <v>710</v>
      </c>
      <c r="AK351" s="364" t="s">
        <v>1016</v>
      </c>
      <c r="AL351" s="364" t="s">
        <v>646</v>
      </c>
      <c r="AM351" s="364" t="s">
        <v>668</v>
      </c>
      <c r="AN351" s="364" t="s">
        <v>644</v>
      </c>
    </row>
    <row r="352" spans="1:40" x14ac:dyDescent="0.3">
      <c r="A352" s="364" t="s">
        <v>2377</v>
      </c>
      <c r="B352" s="364" t="s">
        <v>661</v>
      </c>
      <c r="C352" s="364" t="s">
        <v>660</v>
      </c>
      <c r="D352" s="364" t="s">
        <v>90</v>
      </c>
      <c r="E352" s="364" t="s">
        <v>2376</v>
      </c>
      <c r="F352" s="364" t="s">
        <v>2376</v>
      </c>
      <c r="G352" s="364" t="s">
        <v>658</v>
      </c>
      <c r="H352" s="364" t="s">
        <v>2375</v>
      </c>
      <c r="I352" s="364" t="s">
        <v>2374</v>
      </c>
      <c r="J352" s="364" t="s">
        <v>673</v>
      </c>
      <c r="K352" s="364" t="s">
        <v>668</v>
      </c>
      <c r="L352" s="364" t="s">
        <v>190</v>
      </c>
      <c r="M352" s="364" t="s">
        <v>713</v>
      </c>
      <c r="N352" s="364" t="s">
        <v>654</v>
      </c>
      <c r="O352" s="364" t="s">
        <v>653</v>
      </c>
      <c r="P352" s="364" t="s">
        <v>198</v>
      </c>
      <c r="Q352" s="364" t="s">
        <v>652</v>
      </c>
      <c r="R352" s="364" t="s">
        <v>88</v>
      </c>
      <c r="S352" s="364" t="s">
        <v>88</v>
      </c>
      <c r="T352" s="364" t="s">
        <v>88</v>
      </c>
      <c r="U352" s="364" t="s">
        <v>88</v>
      </c>
      <c r="V352" s="364" t="s">
        <v>88</v>
      </c>
      <c r="W352" s="364" t="s">
        <v>88</v>
      </c>
      <c r="X352" s="364" t="s">
        <v>88</v>
      </c>
      <c r="Y352" s="364" t="s">
        <v>88</v>
      </c>
      <c r="Z352" s="364" t="s">
        <v>712</v>
      </c>
      <c r="AA352" s="364" t="s">
        <v>711</v>
      </c>
      <c r="AB352" s="364" t="s">
        <v>649</v>
      </c>
      <c r="AC352" s="364" t="s">
        <v>649</v>
      </c>
      <c r="AD352" s="364" t="s">
        <v>649</v>
      </c>
      <c r="AE352" s="364" t="s">
        <v>88</v>
      </c>
      <c r="AF352" s="364" t="s">
        <v>88</v>
      </c>
      <c r="AG352" s="364" t="s">
        <v>88</v>
      </c>
      <c r="AH352" s="364" t="s">
        <v>88</v>
      </c>
      <c r="AI352" s="364" t="s">
        <v>1155</v>
      </c>
      <c r="AJ352" s="364" t="s">
        <v>710</v>
      </c>
      <c r="AK352" s="364" t="s">
        <v>1016</v>
      </c>
      <c r="AL352" s="364" t="s">
        <v>646</v>
      </c>
      <c r="AM352" s="364" t="s">
        <v>668</v>
      </c>
      <c r="AN352" s="364" t="s">
        <v>644</v>
      </c>
    </row>
    <row r="353" spans="1:40" x14ac:dyDescent="0.3">
      <c r="A353" s="364" t="s">
        <v>2377</v>
      </c>
      <c r="B353" s="364" t="s">
        <v>661</v>
      </c>
      <c r="C353" s="364" t="s">
        <v>660</v>
      </c>
      <c r="D353" s="364" t="s">
        <v>90</v>
      </c>
      <c r="E353" s="364" t="s">
        <v>2376</v>
      </c>
      <c r="F353" s="364" t="s">
        <v>2376</v>
      </c>
      <c r="G353" s="364" t="s">
        <v>658</v>
      </c>
      <c r="H353" s="364" t="s">
        <v>2375</v>
      </c>
      <c r="I353" s="364" t="s">
        <v>2374</v>
      </c>
      <c r="J353" s="364" t="s">
        <v>673</v>
      </c>
      <c r="K353" s="364" t="s">
        <v>668</v>
      </c>
      <c r="L353" s="364" t="s">
        <v>190</v>
      </c>
      <c r="M353" s="364" t="s">
        <v>54</v>
      </c>
      <c r="N353" s="364" t="s">
        <v>654</v>
      </c>
      <c r="O353" s="364" t="s">
        <v>653</v>
      </c>
      <c r="P353" s="364" t="s">
        <v>198</v>
      </c>
      <c r="Q353" s="364" t="s">
        <v>652</v>
      </c>
      <c r="R353" s="364" t="s">
        <v>88</v>
      </c>
      <c r="S353" s="364" t="s">
        <v>88</v>
      </c>
      <c r="T353" s="364" t="s">
        <v>88</v>
      </c>
      <c r="U353" s="364" t="s">
        <v>88</v>
      </c>
      <c r="V353" s="364" t="s">
        <v>88</v>
      </c>
      <c r="W353" s="364" t="s">
        <v>88</v>
      </c>
      <c r="X353" s="364" t="s">
        <v>88</v>
      </c>
      <c r="Y353" s="364" t="s">
        <v>88</v>
      </c>
      <c r="Z353" s="364" t="s">
        <v>1265</v>
      </c>
      <c r="AA353" s="364" t="s">
        <v>649</v>
      </c>
      <c r="AB353" s="364" t="s">
        <v>649</v>
      </c>
      <c r="AC353" s="364" t="s">
        <v>649</v>
      </c>
      <c r="AD353" s="364" t="s">
        <v>649</v>
      </c>
      <c r="AE353" s="364" t="s">
        <v>88</v>
      </c>
      <c r="AF353" s="364" t="s">
        <v>88</v>
      </c>
      <c r="AG353" s="364" t="s">
        <v>88</v>
      </c>
      <c r="AH353" s="364" t="s">
        <v>88</v>
      </c>
      <c r="AI353" s="364" t="s">
        <v>1155</v>
      </c>
      <c r="AJ353" s="364" t="s">
        <v>710</v>
      </c>
      <c r="AK353" s="364" t="s">
        <v>1016</v>
      </c>
      <c r="AL353" s="364" t="s">
        <v>646</v>
      </c>
      <c r="AM353" s="364" t="s">
        <v>668</v>
      </c>
      <c r="AN353" s="364" t="s">
        <v>644</v>
      </c>
    </row>
    <row r="354" spans="1:40" x14ac:dyDescent="0.3">
      <c r="A354" s="364" t="s">
        <v>2377</v>
      </c>
      <c r="B354" s="364" t="s">
        <v>661</v>
      </c>
      <c r="C354" s="364" t="s">
        <v>660</v>
      </c>
      <c r="D354" s="364" t="s">
        <v>90</v>
      </c>
      <c r="E354" s="364" t="s">
        <v>2376</v>
      </c>
      <c r="F354" s="364" t="s">
        <v>2376</v>
      </c>
      <c r="G354" s="364" t="s">
        <v>658</v>
      </c>
      <c r="H354" s="364" t="s">
        <v>2375</v>
      </c>
      <c r="I354" s="364" t="s">
        <v>2374</v>
      </c>
      <c r="J354" s="364" t="s">
        <v>673</v>
      </c>
      <c r="K354" s="364" t="s">
        <v>668</v>
      </c>
      <c r="L354" s="364" t="s">
        <v>190</v>
      </c>
      <c r="M354" s="364" t="s">
        <v>61</v>
      </c>
      <c r="N354" s="364" t="s">
        <v>654</v>
      </c>
      <c r="O354" s="364" t="s">
        <v>653</v>
      </c>
      <c r="P354" s="364" t="s">
        <v>198</v>
      </c>
      <c r="Q354" s="364" t="s">
        <v>652</v>
      </c>
      <c r="R354" s="364" t="s">
        <v>88</v>
      </c>
      <c r="S354" s="364" t="s">
        <v>88</v>
      </c>
      <c r="T354" s="364" t="s">
        <v>88</v>
      </c>
      <c r="U354" s="364" t="s">
        <v>88</v>
      </c>
      <c r="V354" s="364" t="s">
        <v>88</v>
      </c>
      <c r="W354" s="364" t="s">
        <v>88</v>
      </c>
      <c r="X354" s="364" t="s">
        <v>88</v>
      </c>
      <c r="Y354" s="364" t="s">
        <v>88</v>
      </c>
      <c r="Z354" s="364" t="s">
        <v>1021</v>
      </c>
      <c r="AA354" s="364" t="s">
        <v>671</v>
      </c>
      <c r="AB354" s="364" t="s">
        <v>649</v>
      </c>
      <c r="AC354" s="364" t="s">
        <v>649</v>
      </c>
      <c r="AD354" s="364" t="s">
        <v>649</v>
      </c>
      <c r="AE354" s="364" t="s">
        <v>88</v>
      </c>
      <c r="AF354" s="364" t="s">
        <v>88</v>
      </c>
      <c r="AG354" s="364" t="s">
        <v>88</v>
      </c>
      <c r="AH354" s="364" t="s">
        <v>88</v>
      </c>
      <c r="AI354" s="364" t="s">
        <v>1155</v>
      </c>
      <c r="AJ354" s="364" t="s">
        <v>710</v>
      </c>
      <c r="AK354" s="364" t="s">
        <v>1016</v>
      </c>
      <c r="AL354" s="364" t="s">
        <v>646</v>
      </c>
      <c r="AM354" s="364" t="s">
        <v>668</v>
      </c>
      <c r="AN354" s="364" t="s">
        <v>644</v>
      </c>
    </row>
    <row r="355" spans="1:40" x14ac:dyDescent="0.3">
      <c r="A355" s="364" t="s">
        <v>2377</v>
      </c>
      <c r="B355" s="364" t="s">
        <v>661</v>
      </c>
      <c r="C355" s="364" t="s">
        <v>660</v>
      </c>
      <c r="D355" s="364" t="s">
        <v>90</v>
      </c>
      <c r="E355" s="364" t="s">
        <v>2376</v>
      </c>
      <c r="F355" s="364" t="s">
        <v>2376</v>
      </c>
      <c r="G355" s="364" t="s">
        <v>658</v>
      </c>
      <c r="H355" s="364" t="s">
        <v>2375</v>
      </c>
      <c r="I355" s="364" t="s">
        <v>2374</v>
      </c>
      <c r="J355" s="364" t="s">
        <v>673</v>
      </c>
      <c r="K355" s="364" t="s">
        <v>668</v>
      </c>
      <c r="L355" s="364" t="s">
        <v>190</v>
      </c>
      <c r="M355" s="364" t="s">
        <v>725</v>
      </c>
      <c r="N355" s="364" t="s">
        <v>654</v>
      </c>
      <c r="O355" s="364" t="s">
        <v>653</v>
      </c>
      <c r="P355" s="364" t="s">
        <v>198</v>
      </c>
      <c r="Q355" s="364" t="s">
        <v>652</v>
      </c>
      <c r="R355" s="364" t="s">
        <v>88</v>
      </c>
      <c r="S355" s="364" t="s">
        <v>88</v>
      </c>
      <c r="T355" s="364" t="s">
        <v>88</v>
      </c>
      <c r="U355" s="364" t="s">
        <v>88</v>
      </c>
      <c r="V355" s="364" t="s">
        <v>88</v>
      </c>
      <c r="W355" s="364" t="s">
        <v>88</v>
      </c>
      <c r="X355" s="364" t="s">
        <v>88</v>
      </c>
      <c r="Y355" s="364" t="s">
        <v>88</v>
      </c>
      <c r="Z355" s="364" t="s">
        <v>724</v>
      </c>
      <c r="AA355" s="364" t="s">
        <v>649</v>
      </c>
      <c r="AB355" s="364" t="s">
        <v>649</v>
      </c>
      <c r="AC355" s="364" t="s">
        <v>649</v>
      </c>
      <c r="AD355" s="364" t="s">
        <v>649</v>
      </c>
      <c r="AE355" s="364" t="s">
        <v>88</v>
      </c>
      <c r="AF355" s="364" t="s">
        <v>88</v>
      </c>
      <c r="AG355" s="364" t="s">
        <v>88</v>
      </c>
      <c r="AH355" s="364" t="s">
        <v>88</v>
      </c>
      <c r="AI355" s="364" t="s">
        <v>1155</v>
      </c>
      <c r="AJ355" s="364" t="s">
        <v>710</v>
      </c>
      <c r="AK355" s="364" t="s">
        <v>1016</v>
      </c>
      <c r="AL355" s="364" t="s">
        <v>646</v>
      </c>
      <c r="AM355" s="364" t="s">
        <v>668</v>
      </c>
      <c r="AN355" s="364" t="s">
        <v>644</v>
      </c>
    </row>
    <row r="356" spans="1:40" x14ac:dyDescent="0.3">
      <c r="A356" s="364" t="s">
        <v>2377</v>
      </c>
      <c r="B356" s="364" t="s">
        <v>661</v>
      </c>
      <c r="C356" s="364" t="s">
        <v>660</v>
      </c>
      <c r="D356" s="364" t="s">
        <v>90</v>
      </c>
      <c r="E356" s="364" t="s">
        <v>2376</v>
      </c>
      <c r="F356" s="364" t="s">
        <v>2376</v>
      </c>
      <c r="G356" s="364" t="s">
        <v>658</v>
      </c>
      <c r="H356" s="364" t="s">
        <v>2375</v>
      </c>
      <c r="I356" s="364" t="s">
        <v>2374</v>
      </c>
      <c r="J356" s="364" t="s">
        <v>673</v>
      </c>
      <c r="K356" s="364" t="s">
        <v>668</v>
      </c>
      <c r="L356" s="364" t="s">
        <v>190</v>
      </c>
      <c r="M356" s="364" t="s">
        <v>723</v>
      </c>
      <c r="N356" s="364" t="s">
        <v>654</v>
      </c>
      <c r="O356" s="364" t="s">
        <v>653</v>
      </c>
      <c r="P356" s="364" t="s">
        <v>198</v>
      </c>
      <c r="Q356" s="364" t="s">
        <v>652</v>
      </c>
      <c r="R356" s="364" t="s">
        <v>88</v>
      </c>
      <c r="S356" s="364" t="s">
        <v>88</v>
      </c>
      <c r="T356" s="364" t="s">
        <v>88</v>
      </c>
      <c r="U356" s="364" t="s">
        <v>88</v>
      </c>
      <c r="V356" s="364" t="s">
        <v>88</v>
      </c>
      <c r="W356" s="364" t="s">
        <v>88</v>
      </c>
      <c r="X356" s="364" t="s">
        <v>88</v>
      </c>
      <c r="Y356" s="364" t="s">
        <v>88</v>
      </c>
      <c r="Z356" s="364" t="s">
        <v>722</v>
      </c>
      <c r="AA356" s="364" t="s">
        <v>649</v>
      </c>
      <c r="AB356" s="364" t="s">
        <v>649</v>
      </c>
      <c r="AC356" s="364" t="s">
        <v>649</v>
      </c>
      <c r="AD356" s="364" t="s">
        <v>649</v>
      </c>
      <c r="AE356" s="364" t="s">
        <v>88</v>
      </c>
      <c r="AF356" s="364" t="s">
        <v>88</v>
      </c>
      <c r="AG356" s="364" t="s">
        <v>88</v>
      </c>
      <c r="AH356" s="364" t="s">
        <v>88</v>
      </c>
      <c r="AI356" s="364" t="s">
        <v>1155</v>
      </c>
      <c r="AJ356" s="364" t="s">
        <v>710</v>
      </c>
      <c r="AK356" s="364" t="s">
        <v>1016</v>
      </c>
      <c r="AL356" s="364" t="s">
        <v>646</v>
      </c>
      <c r="AM356" s="364" t="s">
        <v>668</v>
      </c>
      <c r="AN356" s="364" t="s">
        <v>644</v>
      </c>
    </row>
    <row r="357" spans="1:40" x14ac:dyDescent="0.3">
      <c r="A357" s="364" t="s">
        <v>2377</v>
      </c>
      <c r="B357" s="364" t="s">
        <v>661</v>
      </c>
      <c r="C357" s="364" t="s">
        <v>660</v>
      </c>
      <c r="D357" s="364" t="s">
        <v>90</v>
      </c>
      <c r="E357" s="364" t="s">
        <v>2376</v>
      </c>
      <c r="F357" s="364" t="s">
        <v>2376</v>
      </c>
      <c r="G357" s="364" t="s">
        <v>658</v>
      </c>
      <c r="H357" s="364" t="s">
        <v>2375</v>
      </c>
      <c r="I357" s="364" t="s">
        <v>2374</v>
      </c>
      <c r="J357" s="364" t="s">
        <v>673</v>
      </c>
      <c r="K357" s="364" t="s">
        <v>668</v>
      </c>
      <c r="L357" s="364" t="s">
        <v>190</v>
      </c>
      <c r="M357" s="364" t="s">
        <v>721</v>
      </c>
      <c r="N357" s="364" t="s">
        <v>654</v>
      </c>
      <c r="O357" s="364" t="s">
        <v>653</v>
      </c>
      <c r="P357" s="364" t="s">
        <v>198</v>
      </c>
      <c r="Q357" s="364" t="s">
        <v>652</v>
      </c>
      <c r="R357" s="364" t="s">
        <v>88</v>
      </c>
      <c r="S357" s="364" t="s">
        <v>88</v>
      </c>
      <c r="T357" s="364" t="s">
        <v>88</v>
      </c>
      <c r="U357" s="364" t="s">
        <v>88</v>
      </c>
      <c r="V357" s="364" t="s">
        <v>88</v>
      </c>
      <c r="W357" s="364" t="s">
        <v>88</v>
      </c>
      <c r="X357" s="364" t="s">
        <v>88</v>
      </c>
      <c r="Y357" s="364" t="s">
        <v>88</v>
      </c>
      <c r="Z357" s="364" t="s">
        <v>720</v>
      </c>
      <c r="AA357" s="364" t="s">
        <v>649</v>
      </c>
      <c r="AB357" s="364" t="s">
        <v>649</v>
      </c>
      <c r="AC357" s="364" t="s">
        <v>649</v>
      </c>
      <c r="AD357" s="364" t="s">
        <v>649</v>
      </c>
      <c r="AE357" s="364" t="s">
        <v>88</v>
      </c>
      <c r="AF357" s="364" t="s">
        <v>88</v>
      </c>
      <c r="AG357" s="364" t="s">
        <v>88</v>
      </c>
      <c r="AH357" s="364" t="s">
        <v>88</v>
      </c>
      <c r="AI357" s="364" t="s">
        <v>1155</v>
      </c>
      <c r="AJ357" s="364" t="s">
        <v>710</v>
      </c>
      <c r="AK357" s="364" t="s">
        <v>1016</v>
      </c>
      <c r="AL357" s="364" t="s">
        <v>646</v>
      </c>
      <c r="AM357" s="364" t="s">
        <v>668</v>
      </c>
      <c r="AN357" s="364" t="s">
        <v>644</v>
      </c>
    </row>
    <row r="358" spans="1:40" x14ac:dyDescent="0.3">
      <c r="A358" s="364" t="s">
        <v>2373</v>
      </c>
      <c r="B358" s="364" t="s">
        <v>661</v>
      </c>
      <c r="C358" s="364" t="s">
        <v>1160</v>
      </c>
      <c r="D358" s="364" t="s">
        <v>87</v>
      </c>
      <c r="E358" s="364" t="s">
        <v>2369</v>
      </c>
      <c r="F358" s="364" t="s">
        <v>2369</v>
      </c>
      <c r="G358" s="364" t="s">
        <v>658</v>
      </c>
      <c r="H358" s="364" t="s">
        <v>2372</v>
      </c>
      <c r="I358" s="364" t="s">
        <v>88</v>
      </c>
      <c r="J358" s="364" t="s">
        <v>88</v>
      </c>
      <c r="K358" s="364" t="s">
        <v>88</v>
      </c>
      <c r="L358" s="364" t="s">
        <v>88</v>
      </c>
      <c r="M358" s="364" t="s">
        <v>138</v>
      </c>
      <c r="N358" s="364" t="s">
        <v>654</v>
      </c>
      <c r="O358" s="364" t="s">
        <v>653</v>
      </c>
      <c r="P358" s="364" t="s">
        <v>88</v>
      </c>
      <c r="Q358" s="364" t="s">
        <v>88</v>
      </c>
      <c r="R358" s="364" t="s">
        <v>88</v>
      </c>
      <c r="S358" s="364" t="s">
        <v>88</v>
      </c>
      <c r="T358" s="364" t="s">
        <v>88</v>
      </c>
      <c r="U358" s="364" t="s">
        <v>88</v>
      </c>
      <c r="V358" s="364" t="s">
        <v>88</v>
      </c>
      <c r="W358" s="364" t="s">
        <v>88</v>
      </c>
      <c r="X358" s="364" t="s">
        <v>88</v>
      </c>
      <c r="Y358" s="364" t="s">
        <v>88</v>
      </c>
      <c r="Z358" s="364" t="s">
        <v>88</v>
      </c>
      <c r="AA358" s="364" t="s">
        <v>649</v>
      </c>
      <c r="AB358" s="364" t="s">
        <v>88</v>
      </c>
      <c r="AC358" s="364" t="s">
        <v>88</v>
      </c>
      <c r="AD358" s="364" t="s">
        <v>88</v>
      </c>
      <c r="AE358" s="364" t="s">
        <v>88</v>
      </c>
      <c r="AF358" s="364" t="s">
        <v>88</v>
      </c>
      <c r="AG358" s="364" t="s">
        <v>88</v>
      </c>
      <c r="AH358" s="364" t="s">
        <v>88</v>
      </c>
      <c r="AI358" s="364" t="s">
        <v>2371</v>
      </c>
      <c r="AJ358" s="364" t="s">
        <v>798</v>
      </c>
      <c r="AK358" s="364" t="s">
        <v>88</v>
      </c>
      <c r="AL358" s="364" t="s">
        <v>88</v>
      </c>
      <c r="AM358" s="364" t="s">
        <v>88</v>
      </c>
      <c r="AN358" s="364" t="s">
        <v>792</v>
      </c>
    </row>
    <row r="359" spans="1:40" x14ac:dyDescent="0.3">
      <c r="A359" s="364" t="s">
        <v>2370</v>
      </c>
      <c r="B359" s="364" t="s">
        <v>661</v>
      </c>
      <c r="C359" s="364" t="s">
        <v>660</v>
      </c>
      <c r="D359" s="364" t="s">
        <v>90</v>
      </c>
      <c r="E359" s="364" t="s">
        <v>2369</v>
      </c>
      <c r="F359" s="364" t="s">
        <v>2369</v>
      </c>
      <c r="G359" s="364" t="s">
        <v>658</v>
      </c>
      <c r="H359" s="364" t="s">
        <v>2368</v>
      </c>
      <c r="I359" s="364" t="s">
        <v>2367</v>
      </c>
      <c r="J359" s="364" t="s">
        <v>673</v>
      </c>
      <c r="K359" s="364" t="s">
        <v>668</v>
      </c>
      <c r="L359" s="364" t="s">
        <v>190</v>
      </c>
      <c r="M359" s="364" t="s">
        <v>718</v>
      </c>
      <c r="N359" s="364" t="s">
        <v>654</v>
      </c>
      <c r="O359" s="364" t="s">
        <v>653</v>
      </c>
      <c r="P359" s="364" t="s">
        <v>198</v>
      </c>
      <c r="Q359" s="364" t="s">
        <v>652</v>
      </c>
      <c r="R359" s="364" t="s">
        <v>88</v>
      </c>
      <c r="S359" s="364" t="s">
        <v>88</v>
      </c>
      <c r="T359" s="364" t="s">
        <v>88</v>
      </c>
      <c r="U359" s="364" t="s">
        <v>88</v>
      </c>
      <c r="V359" s="364" t="s">
        <v>88</v>
      </c>
      <c r="W359" s="364" t="s">
        <v>88</v>
      </c>
      <c r="X359" s="364" t="s">
        <v>88</v>
      </c>
      <c r="Y359" s="364" t="s">
        <v>88</v>
      </c>
      <c r="Z359" s="364" t="s">
        <v>717</v>
      </c>
      <c r="AA359" s="364" t="s">
        <v>649</v>
      </c>
      <c r="AB359" s="364" t="s">
        <v>649</v>
      </c>
      <c r="AC359" s="364" t="s">
        <v>649</v>
      </c>
      <c r="AD359" s="364" t="s">
        <v>649</v>
      </c>
      <c r="AE359" s="364" t="s">
        <v>88</v>
      </c>
      <c r="AF359" s="364" t="s">
        <v>88</v>
      </c>
      <c r="AG359" s="364" t="s">
        <v>88</v>
      </c>
      <c r="AH359" s="364" t="s">
        <v>88</v>
      </c>
      <c r="AI359" s="364" t="s">
        <v>1155</v>
      </c>
      <c r="AJ359" s="364" t="s">
        <v>710</v>
      </c>
      <c r="AK359" s="364" t="s">
        <v>1016</v>
      </c>
      <c r="AL359" s="364" t="s">
        <v>646</v>
      </c>
      <c r="AM359" s="364" t="s">
        <v>668</v>
      </c>
      <c r="AN359" s="364" t="s">
        <v>644</v>
      </c>
    </row>
    <row r="360" spans="1:40" x14ac:dyDescent="0.3">
      <c r="A360" s="364" t="s">
        <v>2370</v>
      </c>
      <c r="B360" s="364" t="s">
        <v>661</v>
      </c>
      <c r="C360" s="364" t="s">
        <v>660</v>
      </c>
      <c r="D360" s="364" t="s">
        <v>90</v>
      </c>
      <c r="E360" s="364" t="s">
        <v>2369</v>
      </c>
      <c r="F360" s="364" t="s">
        <v>2369</v>
      </c>
      <c r="G360" s="364" t="s">
        <v>658</v>
      </c>
      <c r="H360" s="364" t="s">
        <v>2368</v>
      </c>
      <c r="I360" s="364" t="s">
        <v>2367</v>
      </c>
      <c r="J360" s="364" t="s">
        <v>673</v>
      </c>
      <c r="K360" s="364" t="s">
        <v>668</v>
      </c>
      <c r="L360" s="364" t="s">
        <v>190</v>
      </c>
      <c r="M360" s="364" t="s">
        <v>713</v>
      </c>
      <c r="N360" s="364" t="s">
        <v>654</v>
      </c>
      <c r="O360" s="364" t="s">
        <v>653</v>
      </c>
      <c r="P360" s="364" t="s">
        <v>198</v>
      </c>
      <c r="Q360" s="364" t="s">
        <v>652</v>
      </c>
      <c r="R360" s="364" t="s">
        <v>88</v>
      </c>
      <c r="S360" s="364" t="s">
        <v>88</v>
      </c>
      <c r="T360" s="364" t="s">
        <v>88</v>
      </c>
      <c r="U360" s="364" t="s">
        <v>88</v>
      </c>
      <c r="V360" s="364" t="s">
        <v>88</v>
      </c>
      <c r="W360" s="364" t="s">
        <v>88</v>
      </c>
      <c r="X360" s="364" t="s">
        <v>88</v>
      </c>
      <c r="Y360" s="364" t="s">
        <v>88</v>
      </c>
      <c r="Z360" s="364" t="s">
        <v>712</v>
      </c>
      <c r="AA360" s="364" t="s">
        <v>711</v>
      </c>
      <c r="AB360" s="364" t="s">
        <v>649</v>
      </c>
      <c r="AC360" s="364" t="s">
        <v>649</v>
      </c>
      <c r="AD360" s="364" t="s">
        <v>649</v>
      </c>
      <c r="AE360" s="364" t="s">
        <v>88</v>
      </c>
      <c r="AF360" s="364" t="s">
        <v>88</v>
      </c>
      <c r="AG360" s="364" t="s">
        <v>88</v>
      </c>
      <c r="AH360" s="364" t="s">
        <v>88</v>
      </c>
      <c r="AI360" s="364" t="s">
        <v>1155</v>
      </c>
      <c r="AJ360" s="364" t="s">
        <v>710</v>
      </c>
      <c r="AK360" s="364" t="s">
        <v>1016</v>
      </c>
      <c r="AL360" s="364" t="s">
        <v>646</v>
      </c>
      <c r="AM360" s="364" t="s">
        <v>668</v>
      </c>
      <c r="AN360" s="364" t="s">
        <v>644</v>
      </c>
    </row>
    <row r="361" spans="1:40" x14ac:dyDescent="0.3">
      <c r="A361" s="364" t="s">
        <v>2370</v>
      </c>
      <c r="B361" s="364" t="s">
        <v>661</v>
      </c>
      <c r="C361" s="364" t="s">
        <v>660</v>
      </c>
      <c r="D361" s="364" t="s">
        <v>90</v>
      </c>
      <c r="E361" s="364" t="s">
        <v>2369</v>
      </c>
      <c r="F361" s="364" t="s">
        <v>2369</v>
      </c>
      <c r="G361" s="364" t="s">
        <v>658</v>
      </c>
      <c r="H361" s="364" t="s">
        <v>2368</v>
      </c>
      <c r="I361" s="364" t="s">
        <v>2367</v>
      </c>
      <c r="J361" s="364" t="s">
        <v>673</v>
      </c>
      <c r="K361" s="364" t="s">
        <v>668</v>
      </c>
      <c r="L361" s="364" t="s">
        <v>190</v>
      </c>
      <c r="M361" s="364" t="s">
        <v>54</v>
      </c>
      <c r="N361" s="364" t="s">
        <v>654</v>
      </c>
      <c r="O361" s="364" t="s">
        <v>653</v>
      </c>
      <c r="P361" s="364" t="s">
        <v>198</v>
      </c>
      <c r="Q361" s="364" t="s">
        <v>652</v>
      </c>
      <c r="R361" s="364" t="s">
        <v>88</v>
      </c>
      <c r="S361" s="364" t="s">
        <v>88</v>
      </c>
      <c r="T361" s="364" t="s">
        <v>88</v>
      </c>
      <c r="U361" s="364" t="s">
        <v>88</v>
      </c>
      <c r="V361" s="364" t="s">
        <v>88</v>
      </c>
      <c r="W361" s="364" t="s">
        <v>88</v>
      </c>
      <c r="X361" s="364" t="s">
        <v>88</v>
      </c>
      <c r="Y361" s="364" t="s">
        <v>88</v>
      </c>
      <c r="Z361" s="364" t="s">
        <v>1265</v>
      </c>
      <c r="AA361" s="364" t="s">
        <v>649</v>
      </c>
      <c r="AB361" s="364" t="s">
        <v>649</v>
      </c>
      <c r="AC361" s="364" t="s">
        <v>649</v>
      </c>
      <c r="AD361" s="364" t="s">
        <v>649</v>
      </c>
      <c r="AE361" s="364" t="s">
        <v>88</v>
      </c>
      <c r="AF361" s="364" t="s">
        <v>88</v>
      </c>
      <c r="AG361" s="364" t="s">
        <v>88</v>
      </c>
      <c r="AH361" s="364" t="s">
        <v>88</v>
      </c>
      <c r="AI361" s="364" t="s">
        <v>1155</v>
      </c>
      <c r="AJ361" s="364" t="s">
        <v>710</v>
      </c>
      <c r="AK361" s="364" t="s">
        <v>1016</v>
      </c>
      <c r="AL361" s="364" t="s">
        <v>646</v>
      </c>
      <c r="AM361" s="364" t="s">
        <v>668</v>
      </c>
      <c r="AN361" s="364" t="s">
        <v>644</v>
      </c>
    </row>
    <row r="362" spans="1:40" x14ac:dyDescent="0.3">
      <c r="A362" s="364" t="s">
        <v>2370</v>
      </c>
      <c r="B362" s="364" t="s">
        <v>661</v>
      </c>
      <c r="C362" s="364" t="s">
        <v>660</v>
      </c>
      <c r="D362" s="364" t="s">
        <v>90</v>
      </c>
      <c r="E362" s="364" t="s">
        <v>2369</v>
      </c>
      <c r="F362" s="364" t="s">
        <v>2369</v>
      </c>
      <c r="G362" s="364" t="s">
        <v>658</v>
      </c>
      <c r="H362" s="364" t="s">
        <v>2368</v>
      </c>
      <c r="I362" s="364" t="s">
        <v>2367</v>
      </c>
      <c r="J362" s="364" t="s">
        <v>673</v>
      </c>
      <c r="K362" s="364" t="s">
        <v>668</v>
      </c>
      <c r="L362" s="364" t="s">
        <v>190</v>
      </c>
      <c r="M362" s="364" t="s">
        <v>61</v>
      </c>
      <c r="N362" s="364" t="s">
        <v>654</v>
      </c>
      <c r="O362" s="364" t="s">
        <v>653</v>
      </c>
      <c r="P362" s="364" t="s">
        <v>198</v>
      </c>
      <c r="Q362" s="364" t="s">
        <v>652</v>
      </c>
      <c r="R362" s="364" t="s">
        <v>88</v>
      </c>
      <c r="S362" s="364" t="s">
        <v>88</v>
      </c>
      <c r="T362" s="364" t="s">
        <v>88</v>
      </c>
      <c r="U362" s="364" t="s">
        <v>88</v>
      </c>
      <c r="V362" s="364" t="s">
        <v>88</v>
      </c>
      <c r="W362" s="364" t="s">
        <v>88</v>
      </c>
      <c r="X362" s="364" t="s">
        <v>88</v>
      </c>
      <c r="Y362" s="364" t="s">
        <v>88</v>
      </c>
      <c r="Z362" s="364" t="s">
        <v>1021</v>
      </c>
      <c r="AA362" s="364" t="s">
        <v>671</v>
      </c>
      <c r="AB362" s="364" t="s">
        <v>649</v>
      </c>
      <c r="AC362" s="364" t="s">
        <v>649</v>
      </c>
      <c r="AD362" s="364" t="s">
        <v>649</v>
      </c>
      <c r="AE362" s="364" t="s">
        <v>88</v>
      </c>
      <c r="AF362" s="364" t="s">
        <v>88</v>
      </c>
      <c r="AG362" s="364" t="s">
        <v>88</v>
      </c>
      <c r="AH362" s="364" t="s">
        <v>88</v>
      </c>
      <c r="AI362" s="364" t="s">
        <v>1155</v>
      </c>
      <c r="AJ362" s="364" t="s">
        <v>710</v>
      </c>
      <c r="AK362" s="364" t="s">
        <v>1016</v>
      </c>
      <c r="AL362" s="364" t="s">
        <v>646</v>
      </c>
      <c r="AM362" s="364" t="s">
        <v>668</v>
      </c>
      <c r="AN362" s="364" t="s">
        <v>644</v>
      </c>
    </row>
    <row r="363" spans="1:40" x14ac:dyDescent="0.3">
      <c r="A363" s="364" t="s">
        <v>2370</v>
      </c>
      <c r="B363" s="364" t="s">
        <v>661</v>
      </c>
      <c r="C363" s="364" t="s">
        <v>660</v>
      </c>
      <c r="D363" s="364" t="s">
        <v>90</v>
      </c>
      <c r="E363" s="364" t="s">
        <v>2369</v>
      </c>
      <c r="F363" s="364" t="s">
        <v>2369</v>
      </c>
      <c r="G363" s="364" t="s">
        <v>658</v>
      </c>
      <c r="H363" s="364" t="s">
        <v>2368</v>
      </c>
      <c r="I363" s="364" t="s">
        <v>2367</v>
      </c>
      <c r="J363" s="364" t="s">
        <v>673</v>
      </c>
      <c r="K363" s="364" t="s">
        <v>668</v>
      </c>
      <c r="L363" s="364" t="s">
        <v>190</v>
      </c>
      <c r="M363" s="364" t="s">
        <v>725</v>
      </c>
      <c r="N363" s="364" t="s">
        <v>654</v>
      </c>
      <c r="O363" s="364" t="s">
        <v>653</v>
      </c>
      <c r="P363" s="364" t="s">
        <v>198</v>
      </c>
      <c r="Q363" s="364" t="s">
        <v>652</v>
      </c>
      <c r="R363" s="364" t="s">
        <v>88</v>
      </c>
      <c r="S363" s="364" t="s">
        <v>88</v>
      </c>
      <c r="T363" s="364" t="s">
        <v>88</v>
      </c>
      <c r="U363" s="364" t="s">
        <v>88</v>
      </c>
      <c r="V363" s="364" t="s">
        <v>88</v>
      </c>
      <c r="W363" s="364" t="s">
        <v>88</v>
      </c>
      <c r="X363" s="364" t="s">
        <v>88</v>
      </c>
      <c r="Y363" s="364" t="s">
        <v>88</v>
      </c>
      <c r="Z363" s="364" t="s">
        <v>724</v>
      </c>
      <c r="AA363" s="364" t="s">
        <v>649</v>
      </c>
      <c r="AB363" s="364" t="s">
        <v>649</v>
      </c>
      <c r="AC363" s="364" t="s">
        <v>649</v>
      </c>
      <c r="AD363" s="364" t="s">
        <v>649</v>
      </c>
      <c r="AE363" s="364" t="s">
        <v>88</v>
      </c>
      <c r="AF363" s="364" t="s">
        <v>88</v>
      </c>
      <c r="AG363" s="364" t="s">
        <v>88</v>
      </c>
      <c r="AH363" s="364" t="s">
        <v>88</v>
      </c>
      <c r="AI363" s="364" t="s">
        <v>1155</v>
      </c>
      <c r="AJ363" s="364" t="s">
        <v>710</v>
      </c>
      <c r="AK363" s="364" t="s">
        <v>1016</v>
      </c>
      <c r="AL363" s="364" t="s">
        <v>646</v>
      </c>
      <c r="AM363" s="364" t="s">
        <v>668</v>
      </c>
      <c r="AN363" s="364" t="s">
        <v>644</v>
      </c>
    </row>
    <row r="364" spans="1:40" x14ac:dyDescent="0.3">
      <c r="A364" s="364" t="s">
        <v>2370</v>
      </c>
      <c r="B364" s="364" t="s">
        <v>661</v>
      </c>
      <c r="C364" s="364" t="s">
        <v>660</v>
      </c>
      <c r="D364" s="364" t="s">
        <v>90</v>
      </c>
      <c r="E364" s="364" t="s">
        <v>2369</v>
      </c>
      <c r="F364" s="364" t="s">
        <v>2369</v>
      </c>
      <c r="G364" s="364" t="s">
        <v>658</v>
      </c>
      <c r="H364" s="364" t="s">
        <v>2368</v>
      </c>
      <c r="I364" s="364" t="s">
        <v>2367</v>
      </c>
      <c r="J364" s="364" t="s">
        <v>673</v>
      </c>
      <c r="K364" s="364" t="s">
        <v>668</v>
      </c>
      <c r="L364" s="364" t="s">
        <v>190</v>
      </c>
      <c r="M364" s="364" t="s">
        <v>723</v>
      </c>
      <c r="N364" s="364" t="s">
        <v>654</v>
      </c>
      <c r="O364" s="364" t="s">
        <v>653</v>
      </c>
      <c r="P364" s="364" t="s">
        <v>198</v>
      </c>
      <c r="Q364" s="364" t="s">
        <v>652</v>
      </c>
      <c r="R364" s="364" t="s">
        <v>88</v>
      </c>
      <c r="S364" s="364" t="s">
        <v>88</v>
      </c>
      <c r="T364" s="364" t="s">
        <v>88</v>
      </c>
      <c r="U364" s="364" t="s">
        <v>88</v>
      </c>
      <c r="V364" s="364" t="s">
        <v>88</v>
      </c>
      <c r="W364" s="364" t="s">
        <v>88</v>
      </c>
      <c r="X364" s="364" t="s">
        <v>88</v>
      </c>
      <c r="Y364" s="364" t="s">
        <v>88</v>
      </c>
      <c r="Z364" s="364" t="s">
        <v>722</v>
      </c>
      <c r="AA364" s="364" t="s">
        <v>649</v>
      </c>
      <c r="AB364" s="364" t="s">
        <v>649</v>
      </c>
      <c r="AC364" s="364" t="s">
        <v>649</v>
      </c>
      <c r="AD364" s="364" t="s">
        <v>649</v>
      </c>
      <c r="AE364" s="364" t="s">
        <v>88</v>
      </c>
      <c r="AF364" s="364" t="s">
        <v>88</v>
      </c>
      <c r="AG364" s="364" t="s">
        <v>88</v>
      </c>
      <c r="AH364" s="364" t="s">
        <v>88</v>
      </c>
      <c r="AI364" s="364" t="s">
        <v>1155</v>
      </c>
      <c r="AJ364" s="364" t="s">
        <v>710</v>
      </c>
      <c r="AK364" s="364" t="s">
        <v>1016</v>
      </c>
      <c r="AL364" s="364" t="s">
        <v>646</v>
      </c>
      <c r="AM364" s="364" t="s">
        <v>668</v>
      </c>
      <c r="AN364" s="364" t="s">
        <v>644</v>
      </c>
    </row>
    <row r="365" spans="1:40" x14ac:dyDescent="0.3">
      <c r="A365" s="364" t="s">
        <v>2370</v>
      </c>
      <c r="B365" s="364" t="s">
        <v>661</v>
      </c>
      <c r="C365" s="364" t="s">
        <v>660</v>
      </c>
      <c r="D365" s="364" t="s">
        <v>90</v>
      </c>
      <c r="E365" s="364" t="s">
        <v>2369</v>
      </c>
      <c r="F365" s="364" t="s">
        <v>2369</v>
      </c>
      <c r="G365" s="364" t="s">
        <v>658</v>
      </c>
      <c r="H365" s="364" t="s">
        <v>2368</v>
      </c>
      <c r="I365" s="364" t="s">
        <v>2367</v>
      </c>
      <c r="J365" s="364" t="s">
        <v>673</v>
      </c>
      <c r="K365" s="364" t="s">
        <v>668</v>
      </c>
      <c r="L365" s="364" t="s">
        <v>190</v>
      </c>
      <c r="M365" s="364" t="s">
        <v>721</v>
      </c>
      <c r="N365" s="364" t="s">
        <v>654</v>
      </c>
      <c r="O365" s="364" t="s">
        <v>653</v>
      </c>
      <c r="P365" s="364" t="s">
        <v>198</v>
      </c>
      <c r="Q365" s="364" t="s">
        <v>652</v>
      </c>
      <c r="R365" s="364" t="s">
        <v>88</v>
      </c>
      <c r="S365" s="364" t="s">
        <v>88</v>
      </c>
      <c r="T365" s="364" t="s">
        <v>88</v>
      </c>
      <c r="U365" s="364" t="s">
        <v>88</v>
      </c>
      <c r="V365" s="364" t="s">
        <v>88</v>
      </c>
      <c r="W365" s="364" t="s">
        <v>88</v>
      </c>
      <c r="X365" s="364" t="s">
        <v>88</v>
      </c>
      <c r="Y365" s="364" t="s">
        <v>88</v>
      </c>
      <c r="Z365" s="364" t="s">
        <v>720</v>
      </c>
      <c r="AA365" s="364" t="s">
        <v>649</v>
      </c>
      <c r="AB365" s="364" t="s">
        <v>649</v>
      </c>
      <c r="AC365" s="364" t="s">
        <v>649</v>
      </c>
      <c r="AD365" s="364" t="s">
        <v>649</v>
      </c>
      <c r="AE365" s="364" t="s">
        <v>88</v>
      </c>
      <c r="AF365" s="364" t="s">
        <v>88</v>
      </c>
      <c r="AG365" s="364" t="s">
        <v>88</v>
      </c>
      <c r="AH365" s="364" t="s">
        <v>88</v>
      </c>
      <c r="AI365" s="364" t="s">
        <v>1155</v>
      </c>
      <c r="AJ365" s="364" t="s">
        <v>710</v>
      </c>
      <c r="AK365" s="364" t="s">
        <v>1016</v>
      </c>
      <c r="AL365" s="364" t="s">
        <v>646</v>
      </c>
      <c r="AM365" s="364" t="s">
        <v>668</v>
      </c>
      <c r="AN365" s="364" t="s">
        <v>644</v>
      </c>
    </row>
    <row r="366" spans="1:40" x14ac:dyDescent="0.3">
      <c r="A366" s="364" t="s">
        <v>2366</v>
      </c>
      <c r="B366" s="364" t="s">
        <v>661</v>
      </c>
      <c r="C366" s="364" t="s">
        <v>660</v>
      </c>
      <c r="D366" s="364" t="s">
        <v>87</v>
      </c>
      <c r="E366" s="364" t="s">
        <v>2350</v>
      </c>
      <c r="F366" s="364" t="s">
        <v>2350</v>
      </c>
      <c r="G366" s="364" t="s">
        <v>658</v>
      </c>
      <c r="H366" s="364" t="s">
        <v>2365</v>
      </c>
      <c r="I366" s="364" t="s">
        <v>2330</v>
      </c>
      <c r="J366" s="364" t="s">
        <v>673</v>
      </c>
      <c r="K366" s="364" t="s">
        <v>668</v>
      </c>
      <c r="L366" s="364" t="s">
        <v>190</v>
      </c>
      <c r="M366" s="364" t="s">
        <v>58</v>
      </c>
      <c r="N366" s="364" t="s">
        <v>654</v>
      </c>
      <c r="O366" s="364" t="s">
        <v>653</v>
      </c>
      <c r="P366" s="364" t="s">
        <v>198</v>
      </c>
      <c r="Q366" s="364" t="s">
        <v>652</v>
      </c>
      <c r="R366" s="364" t="s">
        <v>88</v>
      </c>
      <c r="S366" s="364" t="s">
        <v>88</v>
      </c>
      <c r="T366" s="364" t="s">
        <v>88</v>
      </c>
      <c r="U366" s="364" t="s">
        <v>88</v>
      </c>
      <c r="V366" s="364" t="s">
        <v>88</v>
      </c>
      <c r="W366" s="364" t="s">
        <v>88</v>
      </c>
      <c r="X366" s="364" t="s">
        <v>88</v>
      </c>
      <c r="Y366" s="364" t="s">
        <v>88</v>
      </c>
      <c r="Z366" s="364" t="s">
        <v>702</v>
      </c>
      <c r="AA366" s="364" t="s">
        <v>701</v>
      </c>
      <c r="AB366" s="364" t="s">
        <v>649</v>
      </c>
      <c r="AC366" s="364" t="s">
        <v>649</v>
      </c>
      <c r="AD366" s="364" t="s">
        <v>649</v>
      </c>
      <c r="AE366" s="364" t="s">
        <v>88</v>
      </c>
      <c r="AF366" s="364" t="s">
        <v>88</v>
      </c>
      <c r="AG366" s="364" t="s">
        <v>88</v>
      </c>
      <c r="AH366" s="364" t="s">
        <v>88</v>
      </c>
      <c r="AI366" s="364" t="s">
        <v>1199</v>
      </c>
      <c r="AJ366" s="364" t="s">
        <v>648</v>
      </c>
      <c r="AK366" s="364" t="s">
        <v>669</v>
      </c>
      <c r="AL366" s="364" t="s">
        <v>646</v>
      </c>
      <c r="AM366" s="364" t="s">
        <v>668</v>
      </c>
      <c r="AN366" s="364" t="s">
        <v>644</v>
      </c>
    </row>
    <row r="367" spans="1:40" x14ac:dyDescent="0.3">
      <c r="A367" s="364" t="s">
        <v>2364</v>
      </c>
      <c r="B367" s="364" t="s">
        <v>661</v>
      </c>
      <c r="C367" s="364" t="s">
        <v>660</v>
      </c>
      <c r="D367" s="364" t="s">
        <v>87</v>
      </c>
      <c r="E367" s="364" t="s">
        <v>2350</v>
      </c>
      <c r="F367" s="364" t="s">
        <v>2350</v>
      </c>
      <c r="G367" s="364" t="s">
        <v>658</v>
      </c>
      <c r="H367" s="364" t="s">
        <v>2363</v>
      </c>
      <c r="I367" s="364" t="s">
        <v>2334</v>
      </c>
      <c r="J367" s="364" t="s">
        <v>673</v>
      </c>
      <c r="K367" s="364" t="s">
        <v>668</v>
      </c>
      <c r="L367" s="364" t="s">
        <v>190</v>
      </c>
      <c r="M367" s="364" t="s">
        <v>62</v>
      </c>
      <c r="N367" s="364" t="s">
        <v>654</v>
      </c>
      <c r="O367" s="364" t="s">
        <v>653</v>
      </c>
      <c r="P367" s="364" t="s">
        <v>198</v>
      </c>
      <c r="Q367" s="364" t="s">
        <v>652</v>
      </c>
      <c r="R367" s="364" t="s">
        <v>88</v>
      </c>
      <c r="S367" s="364" t="s">
        <v>88</v>
      </c>
      <c r="T367" s="364" t="s">
        <v>88</v>
      </c>
      <c r="U367" s="364" t="s">
        <v>88</v>
      </c>
      <c r="V367" s="364" t="s">
        <v>88</v>
      </c>
      <c r="W367" s="364" t="s">
        <v>88</v>
      </c>
      <c r="X367" s="364" t="s">
        <v>88</v>
      </c>
      <c r="Y367" s="364" t="s">
        <v>88</v>
      </c>
      <c r="Z367" s="364" t="s">
        <v>689</v>
      </c>
      <c r="AA367" s="364" t="s">
        <v>688</v>
      </c>
      <c r="AB367" s="364" t="s">
        <v>649</v>
      </c>
      <c r="AC367" s="364" t="s">
        <v>649</v>
      </c>
      <c r="AD367" s="364" t="s">
        <v>649</v>
      </c>
      <c r="AE367" s="364" t="s">
        <v>88</v>
      </c>
      <c r="AF367" s="364" t="s">
        <v>88</v>
      </c>
      <c r="AG367" s="364" t="s">
        <v>88</v>
      </c>
      <c r="AH367" s="364" t="s">
        <v>88</v>
      </c>
      <c r="AI367" s="364" t="s">
        <v>1199</v>
      </c>
      <c r="AJ367" s="364" t="s">
        <v>648</v>
      </c>
      <c r="AK367" s="364" t="s">
        <v>669</v>
      </c>
      <c r="AL367" s="364" t="s">
        <v>646</v>
      </c>
      <c r="AM367" s="364" t="s">
        <v>668</v>
      </c>
      <c r="AN367" s="364" t="s">
        <v>644</v>
      </c>
    </row>
    <row r="368" spans="1:40" x14ac:dyDescent="0.3">
      <c r="A368" s="364" t="s">
        <v>2362</v>
      </c>
      <c r="B368" s="364" t="s">
        <v>661</v>
      </c>
      <c r="C368" s="364" t="s">
        <v>660</v>
      </c>
      <c r="D368" s="364" t="s">
        <v>87</v>
      </c>
      <c r="E368" s="364" t="s">
        <v>2350</v>
      </c>
      <c r="F368" s="364" t="s">
        <v>2350</v>
      </c>
      <c r="G368" s="364" t="s">
        <v>658</v>
      </c>
      <c r="H368" s="364" t="s">
        <v>2361</v>
      </c>
      <c r="I368" s="364" t="s">
        <v>2319</v>
      </c>
      <c r="J368" s="364" t="s">
        <v>673</v>
      </c>
      <c r="K368" s="364" t="s">
        <v>668</v>
      </c>
      <c r="L368" s="364" t="s">
        <v>190</v>
      </c>
      <c r="M368" s="364" t="s">
        <v>59</v>
      </c>
      <c r="N368" s="364" t="s">
        <v>654</v>
      </c>
      <c r="O368" s="364" t="s">
        <v>653</v>
      </c>
      <c r="P368" s="364" t="s">
        <v>198</v>
      </c>
      <c r="Q368" s="364" t="s">
        <v>652</v>
      </c>
      <c r="R368" s="364" t="s">
        <v>88</v>
      </c>
      <c r="S368" s="364" t="s">
        <v>88</v>
      </c>
      <c r="T368" s="364" t="s">
        <v>88</v>
      </c>
      <c r="U368" s="364" t="s">
        <v>88</v>
      </c>
      <c r="V368" s="364" t="s">
        <v>88</v>
      </c>
      <c r="W368" s="364" t="s">
        <v>88</v>
      </c>
      <c r="X368" s="364" t="s">
        <v>88</v>
      </c>
      <c r="Y368" s="364" t="s">
        <v>88</v>
      </c>
      <c r="Z368" s="364" t="s">
        <v>672</v>
      </c>
      <c r="AA368" s="364" t="s">
        <v>671</v>
      </c>
      <c r="AB368" s="364" t="s">
        <v>649</v>
      </c>
      <c r="AC368" s="364" t="s">
        <v>649</v>
      </c>
      <c r="AD368" s="364" t="s">
        <v>649</v>
      </c>
      <c r="AE368" s="364" t="s">
        <v>88</v>
      </c>
      <c r="AF368" s="364" t="s">
        <v>88</v>
      </c>
      <c r="AG368" s="364" t="s">
        <v>88</v>
      </c>
      <c r="AH368" s="364" t="s">
        <v>88</v>
      </c>
      <c r="AI368" s="364" t="s">
        <v>1199</v>
      </c>
      <c r="AJ368" s="364" t="s">
        <v>648</v>
      </c>
      <c r="AK368" s="364" t="s">
        <v>669</v>
      </c>
      <c r="AL368" s="364" t="s">
        <v>646</v>
      </c>
      <c r="AM368" s="364" t="s">
        <v>668</v>
      </c>
      <c r="AN368" s="364" t="s">
        <v>644</v>
      </c>
    </row>
    <row r="369" spans="1:40" x14ac:dyDescent="0.3">
      <c r="A369" s="364" t="s">
        <v>2360</v>
      </c>
      <c r="B369" s="364" t="s">
        <v>661</v>
      </c>
      <c r="C369" s="364" t="s">
        <v>1160</v>
      </c>
      <c r="D369" s="364" t="s">
        <v>87</v>
      </c>
      <c r="E369" s="364" t="s">
        <v>2350</v>
      </c>
      <c r="F369" s="364" t="s">
        <v>2350</v>
      </c>
      <c r="G369" s="364" t="s">
        <v>658</v>
      </c>
      <c r="H369" s="364" t="s">
        <v>2359</v>
      </c>
      <c r="I369" s="364" t="s">
        <v>88</v>
      </c>
      <c r="J369" s="364" t="s">
        <v>88</v>
      </c>
      <c r="K369" s="364" t="s">
        <v>88</v>
      </c>
      <c r="L369" s="364" t="s">
        <v>88</v>
      </c>
      <c r="M369" s="364" t="s">
        <v>138</v>
      </c>
      <c r="N369" s="364" t="s">
        <v>654</v>
      </c>
      <c r="O369" s="364" t="s">
        <v>653</v>
      </c>
      <c r="P369" s="364" t="s">
        <v>88</v>
      </c>
      <c r="Q369" s="364" t="s">
        <v>88</v>
      </c>
      <c r="R369" s="364" t="s">
        <v>88</v>
      </c>
      <c r="S369" s="364" t="s">
        <v>88</v>
      </c>
      <c r="T369" s="364" t="s">
        <v>88</v>
      </c>
      <c r="U369" s="364" t="s">
        <v>88</v>
      </c>
      <c r="V369" s="364" t="s">
        <v>88</v>
      </c>
      <c r="W369" s="364" t="s">
        <v>88</v>
      </c>
      <c r="X369" s="364" t="s">
        <v>88</v>
      </c>
      <c r="Y369" s="364" t="s">
        <v>88</v>
      </c>
      <c r="Z369" s="364" t="s">
        <v>88</v>
      </c>
      <c r="AA369" s="364" t="s">
        <v>649</v>
      </c>
      <c r="AB369" s="364" t="s">
        <v>88</v>
      </c>
      <c r="AC369" s="364" t="s">
        <v>88</v>
      </c>
      <c r="AD369" s="364" t="s">
        <v>88</v>
      </c>
      <c r="AE369" s="364" t="s">
        <v>88</v>
      </c>
      <c r="AF369" s="364" t="s">
        <v>88</v>
      </c>
      <c r="AG369" s="364" t="s">
        <v>88</v>
      </c>
      <c r="AH369" s="364" t="s">
        <v>88</v>
      </c>
      <c r="AI369" s="364" t="s">
        <v>2358</v>
      </c>
      <c r="AJ369" s="364" t="s">
        <v>798</v>
      </c>
      <c r="AK369" s="364" t="s">
        <v>88</v>
      </c>
      <c r="AL369" s="364" t="s">
        <v>88</v>
      </c>
      <c r="AM369" s="364" t="s">
        <v>88</v>
      </c>
      <c r="AN369" s="364" t="s">
        <v>792</v>
      </c>
    </row>
    <row r="370" spans="1:40" x14ac:dyDescent="0.3">
      <c r="A370" s="364" t="s">
        <v>2357</v>
      </c>
      <c r="B370" s="364" t="s">
        <v>661</v>
      </c>
      <c r="C370" s="364" t="s">
        <v>1160</v>
      </c>
      <c r="D370" s="364" t="s">
        <v>87</v>
      </c>
      <c r="E370" s="364" t="s">
        <v>2332</v>
      </c>
      <c r="F370" s="364" t="s">
        <v>2332</v>
      </c>
      <c r="G370" s="364" t="s">
        <v>658</v>
      </c>
      <c r="H370" s="364" t="s">
        <v>2356</v>
      </c>
      <c r="I370" s="364" t="s">
        <v>88</v>
      </c>
      <c r="J370" s="364" t="s">
        <v>88</v>
      </c>
      <c r="K370" s="364" t="s">
        <v>88</v>
      </c>
      <c r="L370" s="364" t="s">
        <v>88</v>
      </c>
      <c r="M370" s="364" t="s">
        <v>138</v>
      </c>
      <c r="N370" s="364" t="s">
        <v>654</v>
      </c>
      <c r="O370" s="364" t="s">
        <v>653</v>
      </c>
      <c r="P370" s="364" t="s">
        <v>88</v>
      </c>
      <c r="Q370" s="364" t="s">
        <v>88</v>
      </c>
      <c r="R370" s="364" t="s">
        <v>88</v>
      </c>
      <c r="S370" s="364" t="s">
        <v>88</v>
      </c>
      <c r="T370" s="364" t="s">
        <v>88</v>
      </c>
      <c r="U370" s="364" t="s">
        <v>88</v>
      </c>
      <c r="V370" s="364" t="s">
        <v>88</v>
      </c>
      <c r="W370" s="364" t="s">
        <v>88</v>
      </c>
      <c r="X370" s="364" t="s">
        <v>88</v>
      </c>
      <c r="Y370" s="364" t="s">
        <v>88</v>
      </c>
      <c r="Z370" s="364" t="s">
        <v>88</v>
      </c>
      <c r="AA370" s="364" t="s">
        <v>649</v>
      </c>
      <c r="AB370" s="364" t="s">
        <v>88</v>
      </c>
      <c r="AC370" s="364" t="s">
        <v>88</v>
      </c>
      <c r="AD370" s="364" t="s">
        <v>88</v>
      </c>
      <c r="AE370" s="364" t="s">
        <v>88</v>
      </c>
      <c r="AF370" s="364" t="s">
        <v>88</v>
      </c>
      <c r="AG370" s="364" t="s">
        <v>88</v>
      </c>
      <c r="AH370" s="364" t="s">
        <v>88</v>
      </c>
      <c r="AI370" s="364" t="s">
        <v>2355</v>
      </c>
      <c r="AJ370" s="364" t="s">
        <v>793</v>
      </c>
      <c r="AK370" s="364" t="s">
        <v>88</v>
      </c>
      <c r="AL370" s="364" t="s">
        <v>88</v>
      </c>
      <c r="AM370" s="364" t="s">
        <v>88</v>
      </c>
      <c r="AN370" s="364" t="s">
        <v>792</v>
      </c>
    </row>
    <row r="371" spans="1:40" x14ac:dyDescent="0.3">
      <c r="A371" s="364" t="s">
        <v>2354</v>
      </c>
      <c r="B371" s="364" t="s">
        <v>661</v>
      </c>
      <c r="C371" s="364" t="s">
        <v>1160</v>
      </c>
      <c r="D371" s="364" t="s">
        <v>87</v>
      </c>
      <c r="E371" s="364" t="s">
        <v>2284</v>
      </c>
      <c r="F371" s="364" t="s">
        <v>2284</v>
      </c>
      <c r="G371" s="364" t="s">
        <v>658</v>
      </c>
      <c r="H371" s="364" t="s">
        <v>2353</v>
      </c>
      <c r="I371" s="364" t="s">
        <v>88</v>
      </c>
      <c r="J371" s="364" t="s">
        <v>88</v>
      </c>
      <c r="K371" s="364" t="s">
        <v>88</v>
      </c>
      <c r="L371" s="364" t="s">
        <v>88</v>
      </c>
      <c r="M371" s="364" t="s">
        <v>138</v>
      </c>
      <c r="N371" s="364" t="s">
        <v>654</v>
      </c>
      <c r="O371" s="364" t="s">
        <v>653</v>
      </c>
      <c r="P371" s="364" t="s">
        <v>88</v>
      </c>
      <c r="Q371" s="364" t="s">
        <v>88</v>
      </c>
      <c r="R371" s="364" t="s">
        <v>88</v>
      </c>
      <c r="S371" s="364" t="s">
        <v>88</v>
      </c>
      <c r="T371" s="364" t="s">
        <v>88</v>
      </c>
      <c r="U371" s="364" t="s">
        <v>88</v>
      </c>
      <c r="V371" s="364" t="s">
        <v>88</v>
      </c>
      <c r="W371" s="364" t="s">
        <v>88</v>
      </c>
      <c r="X371" s="364" t="s">
        <v>88</v>
      </c>
      <c r="Y371" s="364" t="s">
        <v>88</v>
      </c>
      <c r="Z371" s="364" t="s">
        <v>88</v>
      </c>
      <c r="AA371" s="364" t="s">
        <v>649</v>
      </c>
      <c r="AB371" s="364" t="s">
        <v>88</v>
      </c>
      <c r="AC371" s="364" t="s">
        <v>88</v>
      </c>
      <c r="AD371" s="364" t="s">
        <v>88</v>
      </c>
      <c r="AE371" s="364" t="s">
        <v>88</v>
      </c>
      <c r="AF371" s="364" t="s">
        <v>88</v>
      </c>
      <c r="AG371" s="364" t="s">
        <v>88</v>
      </c>
      <c r="AH371" s="364" t="s">
        <v>88</v>
      </c>
      <c r="AI371" s="364" t="s">
        <v>2352</v>
      </c>
      <c r="AJ371" s="364" t="s">
        <v>793</v>
      </c>
      <c r="AK371" s="364" t="s">
        <v>88</v>
      </c>
      <c r="AL371" s="364" t="s">
        <v>88</v>
      </c>
      <c r="AM371" s="364" t="s">
        <v>88</v>
      </c>
      <c r="AN371" s="364" t="s">
        <v>792</v>
      </c>
    </row>
    <row r="372" spans="1:40" x14ac:dyDescent="0.3">
      <c r="A372" s="364" t="s">
        <v>2351</v>
      </c>
      <c r="B372" s="364" t="s">
        <v>661</v>
      </c>
      <c r="C372" s="364" t="s">
        <v>660</v>
      </c>
      <c r="D372" s="364" t="s">
        <v>90</v>
      </c>
      <c r="E372" s="364" t="s">
        <v>2350</v>
      </c>
      <c r="F372" s="364" t="s">
        <v>2350</v>
      </c>
      <c r="G372" s="364" t="s">
        <v>658</v>
      </c>
      <c r="H372" s="364" t="s">
        <v>2349</v>
      </c>
      <c r="I372" s="364" t="s">
        <v>2348</v>
      </c>
      <c r="J372" s="364" t="s">
        <v>673</v>
      </c>
      <c r="K372" s="364" t="s">
        <v>668</v>
      </c>
      <c r="L372" s="364" t="s">
        <v>190</v>
      </c>
      <c r="M372" s="364" t="s">
        <v>718</v>
      </c>
      <c r="N372" s="364" t="s">
        <v>654</v>
      </c>
      <c r="O372" s="364" t="s">
        <v>653</v>
      </c>
      <c r="P372" s="364" t="s">
        <v>198</v>
      </c>
      <c r="Q372" s="364" t="s">
        <v>652</v>
      </c>
      <c r="R372" s="364" t="s">
        <v>88</v>
      </c>
      <c r="S372" s="364" t="s">
        <v>88</v>
      </c>
      <c r="T372" s="364" t="s">
        <v>88</v>
      </c>
      <c r="U372" s="364" t="s">
        <v>88</v>
      </c>
      <c r="V372" s="364" t="s">
        <v>88</v>
      </c>
      <c r="W372" s="364" t="s">
        <v>88</v>
      </c>
      <c r="X372" s="364" t="s">
        <v>88</v>
      </c>
      <c r="Y372" s="364" t="s">
        <v>88</v>
      </c>
      <c r="Z372" s="364" t="s">
        <v>717</v>
      </c>
      <c r="AA372" s="364" t="s">
        <v>649</v>
      </c>
      <c r="AB372" s="364" t="s">
        <v>649</v>
      </c>
      <c r="AC372" s="364" t="s">
        <v>649</v>
      </c>
      <c r="AD372" s="364" t="s">
        <v>649</v>
      </c>
      <c r="AE372" s="364" t="s">
        <v>88</v>
      </c>
      <c r="AF372" s="364" t="s">
        <v>88</v>
      </c>
      <c r="AG372" s="364" t="s">
        <v>88</v>
      </c>
      <c r="AH372" s="364" t="s">
        <v>88</v>
      </c>
      <c r="AI372" s="364" t="s">
        <v>1155</v>
      </c>
      <c r="AJ372" s="364" t="s">
        <v>710</v>
      </c>
      <c r="AK372" s="364" t="s">
        <v>1016</v>
      </c>
      <c r="AL372" s="364" t="s">
        <v>646</v>
      </c>
      <c r="AM372" s="364" t="s">
        <v>668</v>
      </c>
      <c r="AN372" s="364" t="s">
        <v>644</v>
      </c>
    </row>
    <row r="373" spans="1:40" x14ac:dyDescent="0.3">
      <c r="A373" s="364" t="s">
        <v>2351</v>
      </c>
      <c r="B373" s="364" t="s">
        <v>661</v>
      </c>
      <c r="C373" s="364" t="s">
        <v>660</v>
      </c>
      <c r="D373" s="364" t="s">
        <v>90</v>
      </c>
      <c r="E373" s="364" t="s">
        <v>2350</v>
      </c>
      <c r="F373" s="364" t="s">
        <v>2350</v>
      </c>
      <c r="G373" s="364" t="s">
        <v>658</v>
      </c>
      <c r="H373" s="364" t="s">
        <v>2349</v>
      </c>
      <c r="I373" s="364" t="s">
        <v>2348</v>
      </c>
      <c r="J373" s="364" t="s">
        <v>673</v>
      </c>
      <c r="K373" s="364" t="s">
        <v>668</v>
      </c>
      <c r="L373" s="364" t="s">
        <v>190</v>
      </c>
      <c r="M373" s="364" t="s">
        <v>713</v>
      </c>
      <c r="N373" s="364" t="s">
        <v>654</v>
      </c>
      <c r="O373" s="364" t="s">
        <v>653</v>
      </c>
      <c r="P373" s="364" t="s">
        <v>198</v>
      </c>
      <c r="Q373" s="364" t="s">
        <v>652</v>
      </c>
      <c r="R373" s="364" t="s">
        <v>88</v>
      </c>
      <c r="S373" s="364" t="s">
        <v>88</v>
      </c>
      <c r="T373" s="364" t="s">
        <v>88</v>
      </c>
      <c r="U373" s="364" t="s">
        <v>88</v>
      </c>
      <c r="V373" s="364" t="s">
        <v>88</v>
      </c>
      <c r="W373" s="364" t="s">
        <v>88</v>
      </c>
      <c r="X373" s="364" t="s">
        <v>88</v>
      </c>
      <c r="Y373" s="364" t="s">
        <v>88</v>
      </c>
      <c r="Z373" s="364" t="s">
        <v>712</v>
      </c>
      <c r="AA373" s="364" t="s">
        <v>711</v>
      </c>
      <c r="AB373" s="364" t="s">
        <v>649</v>
      </c>
      <c r="AC373" s="364" t="s">
        <v>649</v>
      </c>
      <c r="AD373" s="364" t="s">
        <v>649</v>
      </c>
      <c r="AE373" s="364" t="s">
        <v>88</v>
      </c>
      <c r="AF373" s="364" t="s">
        <v>88</v>
      </c>
      <c r="AG373" s="364" t="s">
        <v>88</v>
      </c>
      <c r="AH373" s="364" t="s">
        <v>88</v>
      </c>
      <c r="AI373" s="364" t="s">
        <v>1155</v>
      </c>
      <c r="AJ373" s="364" t="s">
        <v>710</v>
      </c>
      <c r="AK373" s="364" t="s">
        <v>1016</v>
      </c>
      <c r="AL373" s="364" t="s">
        <v>646</v>
      </c>
      <c r="AM373" s="364" t="s">
        <v>668</v>
      </c>
      <c r="AN373" s="364" t="s">
        <v>644</v>
      </c>
    </row>
    <row r="374" spans="1:40" x14ac:dyDescent="0.3">
      <c r="A374" s="364" t="s">
        <v>2351</v>
      </c>
      <c r="B374" s="364" t="s">
        <v>661</v>
      </c>
      <c r="C374" s="364" t="s">
        <v>660</v>
      </c>
      <c r="D374" s="364" t="s">
        <v>90</v>
      </c>
      <c r="E374" s="364" t="s">
        <v>2350</v>
      </c>
      <c r="F374" s="364" t="s">
        <v>2350</v>
      </c>
      <c r="G374" s="364" t="s">
        <v>658</v>
      </c>
      <c r="H374" s="364" t="s">
        <v>2349</v>
      </c>
      <c r="I374" s="364" t="s">
        <v>2348</v>
      </c>
      <c r="J374" s="364" t="s">
        <v>673</v>
      </c>
      <c r="K374" s="364" t="s">
        <v>668</v>
      </c>
      <c r="L374" s="364" t="s">
        <v>190</v>
      </c>
      <c r="M374" s="364" t="s">
        <v>54</v>
      </c>
      <c r="N374" s="364" t="s">
        <v>654</v>
      </c>
      <c r="O374" s="364" t="s">
        <v>653</v>
      </c>
      <c r="P374" s="364" t="s">
        <v>198</v>
      </c>
      <c r="Q374" s="364" t="s">
        <v>652</v>
      </c>
      <c r="R374" s="364" t="s">
        <v>88</v>
      </c>
      <c r="S374" s="364" t="s">
        <v>88</v>
      </c>
      <c r="T374" s="364" t="s">
        <v>88</v>
      </c>
      <c r="U374" s="364" t="s">
        <v>88</v>
      </c>
      <c r="V374" s="364" t="s">
        <v>88</v>
      </c>
      <c r="W374" s="364" t="s">
        <v>88</v>
      </c>
      <c r="X374" s="364" t="s">
        <v>88</v>
      </c>
      <c r="Y374" s="364" t="s">
        <v>88</v>
      </c>
      <c r="Z374" s="364" t="s">
        <v>1265</v>
      </c>
      <c r="AA374" s="364" t="s">
        <v>649</v>
      </c>
      <c r="AB374" s="364" t="s">
        <v>649</v>
      </c>
      <c r="AC374" s="364" t="s">
        <v>649</v>
      </c>
      <c r="AD374" s="364" t="s">
        <v>649</v>
      </c>
      <c r="AE374" s="364" t="s">
        <v>88</v>
      </c>
      <c r="AF374" s="364" t="s">
        <v>88</v>
      </c>
      <c r="AG374" s="364" t="s">
        <v>88</v>
      </c>
      <c r="AH374" s="364" t="s">
        <v>88</v>
      </c>
      <c r="AI374" s="364" t="s">
        <v>1155</v>
      </c>
      <c r="AJ374" s="364" t="s">
        <v>710</v>
      </c>
      <c r="AK374" s="364" t="s">
        <v>1016</v>
      </c>
      <c r="AL374" s="364" t="s">
        <v>646</v>
      </c>
      <c r="AM374" s="364" t="s">
        <v>668</v>
      </c>
      <c r="AN374" s="364" t="s">
        <v>644</v>
      </c>
    </row>
    <row r="375" spans="1:40" x14ac:dyDescent="0.3">
      <c r="A375" s="364" t="s">
        <v>2351</v>
      </c>
      <c r="B375" s="364" t="s">
        <v>661</v>
      </c>
      <c r="C375" s="364" t="s">
        <v>660</v>
      </c>
      <c r="D375" s="364" t="s">
        <v>90</v>
      </c>
      <c r="E375" s="364" t="s">
        <v>2350</v>
      </c>
      <c r="F375" s="364" t="s">
        <v>2350</v>
      </c>
      <c r="G375" s="364" t="s">
        <v>658</v>
      </c>
      <c r="H375" s="364" t="s">
        <v>2349</v>
      </c>
      <c r="I375" s="364" t="s">
        <v>2348</v>
      </c>
      <c r="J375" s="364" t="s">
        <v>673</v>
      </c>
      <c r="K375" s="364" t="s">
        <v>668</v>
      </c>
      <c r="L375" s="364" t="s">
        <v>190</v>
      </c>
      <c r="M375" s="364" t="s">
        <v>61</v>
      </c>
      <c r="N375" s="364" t="s">
        <v>654</v>
      </c>
      <c r="O375" s="364" t="s">
        <v>653</v>
      </c>
      <c r="P375" s="364" t="s">
        <v>198</v>
      </c>
      <c r="Q375" s="364" t="s">
        <v>652</v>
      </c>
      <c r="R375" s="364" t="s">
        <v>88</v>
      </c>
      <c r="S375" s="364" t="s">
        <v>88</v>
      </c>
      <c r="T375" s="364" t="s">
        <v>88</v>
      </c>
      <c r="U375" s="364" t="s">
        <v>88</v>
      </c>
      <c r="V375" s="364" t="s">
        <v>88</v>
      </c>
      <c r="W375" s="364" t="s">
        <v>88</v>
      </c>
      <c r="X375" s="364" t="s">
        <v>88</v>
      </c>
      <c r="Y375" s="364" t="s">
        <v>88</v>
      </c>
      <c r="Z375" s="364" t="s">
        <v>1021</v>
      </c>
      <c r="AA375" s="364" t="s">
        <v>671</v>
      </c>
      <c r="AB375" s="364" t="s">
        <v>649</v>
      </c>
      <c r="AC375" s="364" t="s">
        <v>649</v>
      </c>
      <c r="AD375" s="364" t="s">
        <v>649</v>
      </c>
      <c r="AE375" s="364" t="s">
        <v>88</v>
      </c>
      <c r="AF375" s="364" t="s">
        <v>88</v>
      </c>
      <c r="AG375" s="364" t="s">
        <v>88</v>
      </c>
      <c r="AH375" s="364" t="s">
        <v>88</v>
      </c>
      <c r="AI375" s="364" t="s">
        <v>1155</v>
      </c>
      <c r="AJ375" s="364" t="s">
        <v>710</v>
      </c>
      <c r="AK375" s="364" t="s">
        <v>1016</v>
      </c>
      <c r="AL375" s="364" t="s">
        <v>646</v>
      </c>
      <c r="AM375" s="364" t="s">
        <v>668</v>
      </c>
      <c r="AN375" s="364" t="s">
        <v>644</v>
      </c>
    </row>
    <row r="376" spans="1:40" x14ac:dyDescent="0.3">
      <c r="A376" s="364" t="s">
        <v>2351</v>
      </c>
      <c r="B376" s="364" t="s">
        <v>661</v>
      </c>
      <c r="C376" s="364" t="s">
        <v>660</v>
      </c>
      <c r="D376" s="364" t="s">
        <v>90</v>
      </c>
      <c r="E376" s="364" t="s">
        <v>2350</v>
      </c>
      <c r="F376" s="364" t="s">
        <v>2350</v>
      </c>
      <c r="G376" s="364" t="s">
        <v>658</v>
      </c>
      <c r="H376" s="364" t="s">
        <v>2349</v>
      </c>
      <c r="I376" s="364" t="s">
        <v>2348</v>
      </c>
      <c r="J376" s="364" t="s">
        <v>673</v>
      </c>
      <c r="K376" s="364" t="s">
        <v>668</v>
      </c>
      <c r="L376" s="364" t="s">
        <v>190</v>
      </c>
      <c r="M376" s="364" t="s">
        <v>725</v>
      </c>
      <c r="N376" s="364" t="s">
        <v>654</v>
      </c>
      <c r="O376" s="364" t="s">
        <v>653</v>
      </c>
      <c r="P376" s="364" t="s">
        <v>198</v>
      </c>
      <c r="Q376" s="364" t="s">
        <v>652</v>
      </c>
      <c r="R376" s="364" t="s">
        <v>88</v>
      </c>
      <c r="S376" s="364" t="s">
        <v>88</v>
      </c>
      <c r="T376" s="364" t="s">
        <v>88</v>
      </c>
      <c r="U376" s="364" t="s">
        <v>88</v>
      </c>
      <c r="V376" s="364" t="s">
        <v>88</v>
      </c>
      <c r="W376" s="364" t="s">
        <v>88</v>
      </c>
      <c r="X376" s="364" t="s">
        <v>88</v>
      </c>
      <c r="Y376" s="364" t="s">
        <v>88</v>
      </c>
      <c r="Z376" s="364" t="s">
        <v>724</v>
      </c>
      <c r="AA376" s="364" t="s">
        <v>649</v>
      </c>
      <c r="AB376" s="364" t="s">
        <v>649</v>
      </c>
      <c r="AC376" s="364" t="s">
        <v>649</v>
      </c>
      <c r="AD376" s="364" t="s">
        <v>649</v>
      </c>
      <c r="AE376" s="364" t="s">
        <v>88</v>
      </c>
      <c r="AF376" s="364" t="s">
        <v>88</v>
      </c>
      <c r="AG376" s="364" t="s">
        <v>88</v>
      </c>
      <c r="AH376" s="364" t="s">
        <v>88</v>
      </c>
      <c r="AI376" s="364" t="s">
        <v>1155</v>
      </c>
      <c r="AJ376" s="364" t="s">
        <v>710</v>
      </c>
      <c r="AK376" s="364" t="s">
        <v>1016</v>
      </c>
      <c r="AL376" s="364" t="s">
        <v>646</v>
      </c>
      <c r="AM376" s="364" t="s">
        <v>668</v>
      </c>
      <c r="AN376" s="364" t="s">
        <v>644</v>
      </c>
    </row>
    <row r="377" spans="1:40" x14ac:dyDescent="0.3">
      <c r="A377" s="364" t="s">
        <v>2351</v>
      </c>
      <c r="B377" s="364" t="s">
        <v>661</v>
      </c>
      <c r="C377" s="364" t="s">
        <v>660</v>
      </c>
      <c r="D377" s="364" t="s">
        <v>90</v>
      </c>
      <c r="E377" s="364" t="s">
        <v>2350</v>
      </c>
      <c r="F377" s="364" t="s">
        <v>2350</v>
      </c>
      <c r="G377" s="364" t="s">
        <v>658</v>
      </c>
      <c r="H377" s="364" t="s">
        <v>2349</v>
      </c>
      <c r="I377" s="364" t="s">
        <v>2348</v>
      </c>
      <c r="J377" s="364" t="s">
        <v>673</v>
      </c>
      <c r="K377" s="364" t="s">
        <v>668</v>
      </c>
      <c r="L377" s="364" t="s">
        <v>190</v>
      </c>
      <c r="M377" s="364" t="s">
        <v>723</v>
      </c>
      <c r="N377" s="364" t="s">
        <v>654</v>
      </c>
      <c r="O377" s="364" t="s">
        <v>653</v>
      </c>
      <c r="P377" s="364" t="s">
        <v>198</v>
      </c>
      <c r="Q377" s="364" t="s">
        <v>652</v>
      </c>
      <c r="R377" s="364" t="s">
        <v>88</v>
      </c>
      <c r="S377" s="364" t="s">
        <v>88</v>
      </c>
      <c r="T377" s="364" t="s">
        <v>88</v>
      </c>
      <c r="U377" s="364" t="s">
        <v>88</v>
      </c>
      <c r="V377" s="364" t="s">
        <v>88</v>
      </c>
      <c r="W377" s="364" t="s">
        <v>88</v>
      </c>
      <c r="X377" s="364" t="s">
        <v>88</v>
      </c>
      <c r="Y377" s="364" t="s">
        <v>88</v>
      </c>
      <c r="Z377" s="364" t="s">
        <v>722</v>
      </c>
      <c r="AA377" s="364" t="s">
        <v>649</v>
      </c>
      <c r="AB377" s="364" t="s">
        <v>649</v>
      </c>
      <c r="AC377" s="364" t="s">
        <v>649</v>
      </c>
      <c r="AD377" s="364" t="s">
        <v>649</v>
      </c>
      <c r="AE377" s="364" t="s">
        <v>88</v>
      </c>
      <c r="AF377" s="364" t="s">
        <v>88</v>
      </c>
      <c r="AG377" s="364" t="s">
        <v>88</v>
      </c>
      <c r="AH377" s="364" t="s">
        <v>88</v>
      </c>
      <c r="AI377" s="364" t="s">
        <v>1155</v>
      </c>
      <c r="AJ377" s="364" t="s">
        <v>710</v>
      </c>
      <c r="AK377" s="364" t="s">
        <v>1016</v>
      </c>
      <c r="AL377" s="364" t="s">
        <v>646</v>
      </c>
      <c r="AM377" s="364" t="s">
        <v>668</v>
      </c>
      <c r="AN377" s="364" t="s">
        <v>644</v>
      </c>
    </row>
    <row r="378" spans="1:40" x14ac:dyDescent="0.3">
      <c r="A378" s="364" t="s">
        <v>2351</v>
      </c>
      <c r="B378" s="364" t="s">
        <v>661</v>
      </c>
      <c r="C378" s="364" t="s">
        <v>660</v>
      </c>
      <c r="D378" s="364" t="s">
        <v>90</v>
      </c>
      <c r="E378" s="364" t="s">
        <v>2350</v>
      </c>
      <c r="F378" s="364" t="s">
        <v>2350</v>
      </c>
      <c r="G378" s="364" t="s">
        <v>658</v>
      </c>
      <c r="H378" s="364" t="s">
        <v>2349</v>
      </c>
      <c r="I378" s="364" t="s">
        <v>2348</v>
      </c>
      <c r="J378" s="364" t="s">
        <v>673</v>
      </c>
      <c r="K378" s="364" t="s">
        <v>668</v>
      </c>
      <c r="L378" s="364" t="s">
        <v>190</v>
      </c>
      <c r="M378" s="364" t="s">
        <v>721</v>
      </c>
      <c r="N378" s="364" t="s">
        <v>654</v>
      </c>
      <c r="O378" s="364" t="s">
        <v>653</v>
      </c>
      <c r="P378" s="364" t="s">
        <v>198</v>
      </c>
      <c r="Q378" s="364" t="s">
        <v>652</v>
      </c>
      <c r="R378" s="364" t="s">
        <v>88</v>
      </c>
      <c r="S378" s="364" t="s">
        <v>88</v>
      </c>
      <c r="T378" s="364" t="s">
        <v>88</v>
      </c>
      <c r="U378" s="364" t="s">
        <v>88</v>
      </c>
      <c r="V378" s="364" t="s">
        <v>88</v>
      </c>
      <c r="W378" s="364" t="s">
        <v>88</v>
      </c>
      <c r="X378" s="364" t="s">
        <v>88</v>
      </c>
      <c r="Y378" s="364" t="s">
        <v>88</v>
      </c>
      <c r="Z378" s="364" t="s">
        <v>720</v>
      </c>
      <c r="AA378" s="364" t="s">
        <v>649</v>
      </c>
      <c r="AB378" s="364" t="s">
        <v>649</v>
      </c>
      <c r="AC378" s="364" t="s">
        <v>649</v>
      </c>
      <c r="AD378" s="364" t="s">
        <v>649</v>
      </c>
      <c r="AE378" s="364" t="s">
        <v>88</v>
      </c>
      <c r="AF378" s="364" t="s">
        <v>88</v>
      </c>
      <c r="AG378" s="364" t="s">
        <v>88</v>
      </c>
      <c r="AH378" s="364" t="s">
        <v>88</v>
      </c>
      <c r="AI378" s="364" t="s">
        <v>1155</v>
      </c>
      <c r="AJ378" s="364" t="s">
        <v>710</v>
      </c>
      <c r="AK378" s="364" t="s">
        <v>1016</v>
      </c>
      <c r="AL378" s="364" t="s">
        <v>646</v>
      </c>
      <c r="AM378" s="364" t="s">
        <v>668</v>
      </c>
      <c r="AN378" s="364" t="s">
        <v>644</v>
      </c>
    </row>
    <row r="379" spans="1:40" x14ac:dyDescent="0.3">
      <c r="A379" s="364" t="s">
        <v>2351</v>
      </c>
      <c r="B379" s="364" t="s">
        <v>661</v>
      </c>
      <c r="C379" s="364" t="s">
        <v>660</v>
      </c>
      <c r="D379" s="364" t="s">
        <v>90</v>
      </c>
      <c r="E379" s="364" t="s">
        <v>2350</v>
      </c>
      <c r="F379" s="364" t="s">
        <v>2350</v>
      </c>
      <c r="G379" s="364" t="s">
        <v>658</v>
      </c>
      <c r="H379" s="364" t="s">
        <v>2349</v>
      </c>
      <c r="I379" s="364" t="s">
        <v>2348</v>
      </c>
      <c r="J379" s="364" t="s">
        <v>673</v>
      </c>
      <c r="K379" s="364" t="s">
        <v>668</v>
      </c>
      <c r="L379" s="364" t="s">
        <v>190</v>
      </c>
      <c r="M379" s="364" t="s">
        <v>56</v>
      </c>
      <c r="N379" s="364" t="s">
        <v>654</v>
      </c>
      <c r="O379" s="364" t="s">
        <v>653</v>
      </c>
      <c r="P379" s="364" t="s">
        <v>198</v>
      </c>
      <c r="Q379" s="364" t="s">
        <v>652</v>
      </c>
      <c r="R379" s="364" t="s">
        <v>88</v>
      </c>
      <c r="S379" s="364" t="s">
        <v>88</v>
      </c>
      <c r="T379" s="364" t="s">
        <v>88</v>
      </c>
      <c r="U379" s="364" t="s">
        <v>88</v>
      </c>
      <c r="V379" s="364" t="s">
        <v>88</v>
      </c>
      <c r="W379" s="364" t="s">
        <v>88</v>
      </c>
      <c r="X379" s="364" t="s">
        <v>88</v>
      </c>
      <c r="Y379" s="364" t="s">
        <v>88</v>
      </c>
      <c r="Z379" s="364" t="s">
        <v>1165</v>
      </c>
      <c r="AA379" s="364" t="s">
        <v>1164</v>
      </c>
      <c r="AB379" s="364" t="s">
        <v>649</v>
      </c>
      <c r="AC379" s="364" t="s">
        <v>649</v>
      </c>
      <c r="AD379" s="364" t="s">
        <v>649</v>
      </c>
      <c r="AE379" s="364" t="s">
        <v>88</v>
      </c>
      <c r="AF379" s="364" t="s">
        <v>88</v>
      </c>
      <c r="AG379" s="364" t="s">
        <v>88</v>
      </c>
      <c r="AH379" s="364" t="s">
        <v>88</v>
      </c>
      <c r="AI379" s="364" t="s">
        <v>1155</v>
      </c>
      <c r="AJ379" s="364" t="s">
        <v>710</v>
      </c>
      <c r="AK379" s="364" t="s">
        <v>1016</v>
      </c>
      <c r="AL379" s="364" t="s">
        <v>646</v>
      </c>
      <c r="AM379" s="364" t="s">
        <v>668</v>
      </c>
      <c r="AN379" s="364" t="s">
        <v>644</v>
      </c>
    </row>
    <row r="380" spans="1:40" x14ac:dyDescent="0.3">
      <c r="A380" s="364" t="s">
        <v>2347</v>
      </c>
      <c r="B380" s="364" t="s">
        <v>661</v>
      </c>
      <c r="C380" s="364" t="s">
        <v>660</v>
      </c>
      <c r="D380" s="364" t="s">
        <v>90</v>
      </c>
      <c r="E380" s="364" t="s">
        <v>2332</v>
      </c>
      <c r="F380" s="364" t="s">
        <v>2332</v>
      </c>
      <c r="G380" s="364" t="s">
        <v>658</v>
      </c>
      <c r="H380" s="364" t="s">
        <v>2346</v>
      </c>
      <c r="I380" s="364" t="s">
        <v>2345</v>
      </c>
      <c r="J380" s="364" t="s">
        <v>673</v>
      </c>
      <c r="K380" s="364" t="s">
        <v>668</v>
      </c>
      <c r="L380" s="364" t="s">
        <v>190</v>
      </c>
      <c r="M380" s="364" t="s">
        <v>718</v>
      </c>
      <c r="N380" s="364" t="s">
        <v>654</v>
      </c>
      <c r="O380" s="364" t="s">
        <v>653</v>
      </c>
      <c r="P380" s="364" t="s">
        <v>198</v>
      </c>
      <c r="Q380" s="364" t="s">
        <v>652</v>
      </c>
      <c r="R380" s="364" t="s">
        <v>88</v>
      </c>
      <c r="S380" s="364" t="s">
        <v>88</v>
      </c>
      <c r="T380" s="364" t="s">
        <v>88</v>
      </c>
      <c r="U380" s="364" t="s">
        <v>88</v>
      </c>
      <c r="V380" s="364" t="s">
        <v>88</v>
      </c>
      <c r="W380" s="364" t="s">
        <v>88</v>
      </c>
      <c r="X380" s="364" t="s">
        <v>88</v>
      </c>
      <c r="Y380" s="364" t="s">
        <v>88</v>
      </c>
      <c r="Z380" s="364" t="s">
        <v>717</v>
      </c>
      <c r="AA380" s="364" t="s">
        <v>649</v>
      </c>
      <c r="AB380" s="364" t="s">
        <v>649</v>
      </c>
      <c r="AC380" s="364" t="s">
        <v>649</v>
      </c>
      <c r="AD380" s="364" t="s">
        <v>649</v>
      </c>
      <c r="AE380" s="364" t="s">
        <v>88</v>
      </c>
      <c r="AF380" s="364" t="s">
        <v>88</v>
      </c>
      <c r="AG380" s="364" t="s">
        <v>88</v>
      </c>
      <c r="AH380" s="364" t="s">
        <v>88</v>
      </c>
      <c r="AI380" s="364" t="s">
        <v>1155</v>
      </c>
      <c r="AJ380" s="364" t="s">
        <v>710</v>
      </c>
      <c r="AK380" s="364" t="s">
        <v>1016</v>
      </c>
      <c r="AL380" s="364" t="s">
        <v>646</v>
      </c>
      <c r="AM380" s="364" t="s">
        <v>668</v>
      </c>
      <c r="AN380" s="364" t="s">
        <v>644</v>
      </c>
    </row>
    <row r="381" spans="1:40" x14ac:dyDescent="0.3">
      <c r="A381" s="364" t="s">
        <v>2347</v>
      </c>
      <c r="B381" s="364" t="s">
        <v>661</v>
      </c>
      <c r="C381" s="364" t="s">
        <v>660</v>
      </c>
      <c r="D381" s="364" t="s">
        <v>90</v>
      </c>
      <c r="E381" s="364" t="s">
        <v>2332</v>
      </c>
      <c r="F381" s="364" t="s">
        <v>2332</v>
      </c>
      <c r="G381" s="364" t="s">
        <v>658</v>
      </c>
      <c r="H381" s="364" t="s">
        <v>2346</v>
      </c>
      <c r="I381" s="364" t="s">
        <v>2345</v>
      </c>
      <c r="J381" s="364" t="s">
        <v>673</v>
      </c>
      <c r="K381" s="364" t="s">
        <v>668</v>
      </c>
      <c r="L381" s="364" t="s">
        <v>190</v>
      </c>
      <c r="M381" s="364" t="s">
        <v>713</v>
      </c>
      <c r="N381" s="364" t="s">
        <v>654</v>
      </c>
      <c r="O381" s="364" t="s">
        <v>653</v>
      </c>
      <c r="P381" s="364" t="s">
        <v>198</v>
      </c>
      <c r="Q381" s="364" t="s">
        <v>652</v>
      </c>
      <c r="R381" s="364" t="s">
        <v>88</v>
      </c>
      <c r="S381" s="364" t="s">
        <v>88</v>
      </c>
      <c r="T381" s="364" t="s">
        <v>88</v>
      </c>
      <c r="U381" s="364" t="s">
        <v>88</v>
      </c>
      <c r="V381" s="364" t="s">
        <v>88</v>
      </c>
      <c r="W381" s="364" t="s">
        <v>88</v>
      </c>
      <c r="X381" s="364" t="s">
        <v>88</v>
      </c>
      <c r="Y381" s="364" t="s">
        <v>88</v>
      </c>
      <c r="Z381" s="364" t="s">
        <v>712</v>
      </c>
      <c r="AA381" s="364" t="s">
        <v>711</v>
      </c>
      <c r="AB381" s="364" t="s">
        <v>649</v>
      </c>
      <c r="AC381" s="364" t="s">
        <v>649</v>
      </c>
      <c r="AD381" s="364" t="s">
        <v>649</v>
      </c>
      <c r="AE381" s="364" t="s">
        <v>88</v>
      </c>
      <c r="AF381" s="364" t="s">
        <v>88</v>
      </c>
      <c r="AG381" s="364" t="s">
        <v>88</v>
      </c>
      <c r="AH381" s="364" t="s">
        <v>88</v>
      </c>
      <c r="AI381" s="364" t="s">
        <v>1155</v>
      </c>
      <c r="AJ381" s="364" t="s">
        <v>710</v>
      </c>
      <c r="AK381" s="364" t="s">
        <v>1016</v>
      </c>
      <c r="AL381" s="364" t="s">
        <v>646</v>
      </c>
      <c r="AM381" s="364" t="s">
        <v>668</v>
      </c>
      <c r="AN381" s="364" t="s">
        <v>644</v>
      </c>
    </row>
    <row r="382" spans="1:40" x14ac:dyDescent="0.3">
      <c r="A382" s="364" t="s">
        <v>2347</v>
      </c>
      <c r="B382" s="364" t="s">
        <v>661</v>
      </c>
      <c r="C382" s="364" t="s">
        <v>660</v>
      </c>
      <c r="D382" s="364" t="s">
        <v>90</v>
      </c>
      <c r="E382" s="364" t="s">
        <v>2332</v>
      </c>
      <c r="F382" s="364" t="s">
        <v>2332</v>
      </c>
      <c r="G382" s="364" t="s">
        <v>658</v>
      </c>
      <c r="H382" s="364" t="s">
        <v>2346</v>
      </c>
      <c r="I382" s="364" t="s">
        <v>2345</v>
      </c>
      <c r="J382" s="364" t="s">
        <v>673</v>
      </c>
      <c r="K382" s="364" t="s">
        <v>668</v>
      </c>
      <c r="L382" s="364" t="s">
        <v>190</v>
      </c>
      <c r="M382" s="364" t="s">
        <v>54</v>
      </c>
      <c r="N382" s="364" t="s">
        <v>654</v>
      </c>
      <c r="O382" s="364" t="s">
        <v>653</v>
      </c>
      <c r="P382" s="364" t="s">
        <v>198</v>
      </c>
      <c r="Q382" s="364" t="s">
        <v>652</v>
      </c>
      <c r="R382" s="364" t="s">
        <v>88</v>
      </c>
      <c r="S382" s="364" t="s">
        <v>88</v>
      </c>
      <c r="T382" s="364" t="s">
        <v>88</v>
      </c>
      <c r="U382" s="364" t="s">
        <v>88</v>
      </c>
      <c r="V382" s="364" t="s">
        <v>88</v>
      </c>
      <c r="W382" s="364" t="s">
        <v>88</v>
      </c>
      <c r="X382" s="364" t="s">
        <v>88</v>
      </c>
      <c r="Y382" s="364" t="s">
        <v>88</v>
      </c>
      <c r="Z382" s="364" t="s">
        <v>1265</v>
      </c>
      <c r="AA382" s="364" t="s">
        <v>649</v>
      </c>
      <c r="AB382" s="364" t="s">
        <v>649</v>
      </c>
      <c r="AC382" s="364" t="s">
        <v>649</v>
      </c>
      <c r="AD382" s="364" t="s">
        <v>649</v>
      </c>
      <c r="AE382" s="364" t="s">
        <v>88</v>
      </c>
      <c r="AF382" s="364" t="s">
        <v>88</v>
      </c>
      <c r="AG382" s="364" t="s">
        <v>88</v>
      </c>
      <c r="AH382" s="364" t="s">
        <v>88</v>
      </c>
      <c r="AI382" s="364" t="s">
        <v>1155</v>
      </c>
      <c r="AJ382" s="364" t="s">
        <v>710</v>
      </c>
      <c r="AK382" s="364" t="s">
        <v>1016</v>
      </c>
      <c r="AL382" s="364" t="s">
        <v>646</v>
      </c>
      <c r="AM382" s="364" t="s">
        <v>668</v>
      </c>
      <c r="AN382" s="364" t="s">
        <v>644</v>
      </c>
    </row>
    <row r="383" spans="1:40" x14ac:dyDescent="0.3">
      <c r="A383" s="364" t="s">
        <v>2347</v>
      </c>
      <c r="B383" s="364" t="s">
        <v>661</v>
      </c>
      <c r="C383" s="364" t="s">
        <v>660</v>
      </c>
      <c r="D383" s="364" t="s">
        <v>90</v>
      </c>
      <c r="E383" s="364" t="s">
        <v>2332</v>
      </c>
      <c r="F383" s="364" t="s">
        <v>2332</v>
      </c>
      <c r="G383" s="364" t="s">
        <v>658</v>
      </c>
      <c r="H383" s="364" t="s">
        <v>2346</v>
      </c>
      <c r="I383" s="364" t="s">
        <v>2345</v>
      </c>
      <c r="J383" s="364" t="s">
        <v>673</v>
      </c>
      <c r="K383" s="364" t="s">
        <v>668</v>
      </c>
      <c r="L383" s="364" t="s">
        <v>190</v>
      </c>
      <c r="M383" s="364" t="s">
        <v>61</v>
      </c>
      <c r="N383" s="364" t="s">
        <v>654</v>
      </c>
      <c r="O383" s="364" t="s">
        <v>653</v>
      </c>
      <c r="P383" s="364" t="s">
        <v>198</v>
      </c>
      <c r="Q383" s="364" t="s">
        <v>652</v>
      </c>
      <c r="R383" s="364" t="s">
        <v>88</v>
      </c>
      <c r="S383" s="364" t="s">
        <v>88</v>
      </c>
      <c r="T383" s="364" t="s">
        <v>88</v>
      </c>
      <c r="U383" s="364" t="s">
        <v>88</v>
      </c>
      <c r="V383" s="364" t="s">
        <v>88</v>
      </c>
      <c r="W383" s="364" t="s">
        <v>88</v>
      </c>
      <c r="X383" s="364" t="s">
        <v>88</v>
      </c>
      <c r="Y383" s="364" t="s">
        <v>88</v>
      </c>
      <c r="Z383" s="364" t="s">
        <v>1021</v>
      </c>
      <c r="AA383" s="364" t="s">
        <v>671</v>
      </c>
      <c r="AB383" s="364" t="s">
        <v>649</v>
      </c>
      <c r="AC383" s="364" t="s">
        <v>649</v>
      </c>
      <c r="AD383" s="364" t="s">
        <v>649</v>
      </c>
      <c r="AE383" s="364" t="s">
        <v>88</v>
      </c>
      <c r="AF383" s="364" t="s">
        <v>88</v>
      </c>
      <c r="AG383" s="364" t="s">
        <v>88</v>
      </c>
      <c r="AH383" s="364" t="s">
        <v>88</v>
      </c>
      <c r="AI383" s="364" t="s">
        <v>1155</v>
      </c>
      <c r="AJ383" s="364" t="s">
        <v>710</v>
      </c>
      <c r="AK383" s="364" t="s">
        <v>1016</v>
      </c>
      <c r="AL383" s="364" t="s">
        <v>646</v>
      </c>
      <c r="AM383" s="364" t="s">
        <v>668</v>
      </c>
      <c r="AN383" s="364" t="s">
        <v>644</v>
      </c>
    </row>
    <row r="384" spans="1:40" x14ac:dyDescent="0.3">
      <c r="A384" s="364" t="s">
        <v>2347</v>
      </c>
      <c r="B384" s="364" t="s">
        <v>661</v>
      </c>
      <c r="C384" s="364" t="s">
        <v>660</v>
      </c>
      <c r="D384" s="364" t="s">
        <v>90</v>
      </c>
      <c r="E384" s="364" t="s">
        <v>2332</v>
      </c>
      <c r="F384" s="364" t="s">
        <v>2332</v>
      </c>
      <c r="G384" s="364" t="s">
        <v>658</v>
      </c>
      <c r="H384" s="364" t="s">
        <v>2346</v>
      </c>
      <c r="I384" s="364" t="s">
        <v>2345</v>
      </c>
      <c r="J384" s="364" t="s">
        <v>673</v>
      </c>
      <c r="K384" s="364" t="s">
        <v>668</v>
      </c>
      <c r="L384" s="364" t="s">
        <v>190</v>
      </c>
      <c r="M384" s="364" t="s">
        <v>725</v>
      </c>
      <c r="N384" s="364" t="s">
        <v>654</v>
      </c>
      <c r="O384" s="364" t="s">
        <v>653</v>
      </c>
      <c r="P384" s="364" t="s">
        <v>198</v>
      </c>
      <c r="Q384" s="364" t="s">
        <v>652</v>
      </c>
      <c r="R384" s="364" t="s">
        <v>88</v>
      </c>
      <c r="S384" s="364" t="s">
        <v>88</v>
      </c>
      <c r="T384" s="364" t="s">
        <v>88</v>
      </c>
      <c r="U384" s="364" t="s">
        <v>88</v>
      </c>
      <c r="V384" s="364" t="s">
        <v>88</v>
      </c>
      <c r="W384" s="364" t="s">
        <v>88</v>
      </c>
      <c r="X384" s="364" t="s">
        <v>88</v>
      </c>
      <c r="Y384" s="364" t="s">
        <v>88</v>
      </c>
      <c r="Z384" s="364" t="s">
        <v>724</v>
      </c>
      <c r="AA384" s="364" t="s">
        <v>649</v>
      </c>
      <c r="AB384" s="364" t="s">
        <v>649</v>
      </c>
      <c r="AC384" s="364" t="s">
        <v>649</v>
      </c>
      <c r="AD384" s="364" t="s">
        <v>649</v>
      </c>
      <c r="AE384" s="364" t="s">
        <v>88</v>
      </c>
      <c r="AF384" s="364" t="s">
        <v>88</v>
      </c>
      <c r="AG384" s="364" t="s">
        <v>88</v>
      </c>
      <c r="AH384" s="364" t="s">
        <v>88</v>
      </c>
      <c r="AI384" s="364" t="s">
        <v>1155</v>
      </c>
      <c r="AJ384" s="364" t="s">
        <v>710</v>
      </c>
      <c r="AK384" s="364" t="s">
        <v>1016</v>
      </c>
      <c r="AL384" s="364" t="s">
        <v>646</v>
      </c>
      <c r="AM384" s="364" t="s">
        <v>668</v>
      </c>
      <c r="AN384" s="364" t="s">
        <v>644</v>
      </c>
    </row>
    <row r="385" spans="1:40" x14ac:dyDescent="0.3">
      <c r="A385" s="364" t="s">
        <v>2347</v>
      </c>
      <c r="B385" s="364" t="s">
        <v>661</v>
      </c>
      <c r="C385" s="364" t="s">
        <v>660</v>
      </c>
      <c r="D385" s="364" t="s">
        <v>90</v>
      </c>
      <c r="E385" s="364" t="s">
        <v>2332</v>
      </c>
      <c r="F385" s="364" t="s">
        <v>2332</v>
      </c>
      <c r="G385" s="364" t="s">
        <v>658</v>
      </c>
      <c r="H385" s="364" t="s">
        <v>2346</v>
      </c>
      <c r="I385" s="364" t="s">
        <v>2345</v>
      </c>
      <c r="J385" s="364" t="s">
        <v>673</v>
      </c>
      <c r="K385" s="364" t="s">
        <v>668</v>
      </c>
      <c r="L385" s="364" t="s">
        <v>190</v>
      </c>
      <c r="M385" s="364" t="s">
        <v>723</v>
      </c>
      <c r="N385" s="364" t="s">
        <v>654</v>
      </c>
      <c r="O385" s="364" t="s">
        <v>653</v>
      </c>
      <c r="P385" s="364" t="s">
        <v>198</v>
      </c>
      <c r="Q385" s="364" t="s">
        <v>652</v>
      </c>
      <c r="R385" s="364" t="s">
        <v>88</v>
      </c>
      <c r="S385" s="364" t="s">
        <v>88</v>
      </c>
      <c r="T385" s="364" t="s">
        <v>88</v>
      </c>
      <c r="U385" s="364" t="s">
        <v>88</v>
      </c>
      <c r="V385" s="364" t="s">
        <v>88</v>
      </c>
      <c r="W385" s="364" t="s">
        <v>88</v>
      </c>
      <c r="X385" s="364" t="s">
        <v>88</v>
      </c>
      <c r="Y385" s="364" t="s">
        <v>88</v>
      </c>
      <c r="Z385" s="364" t="s">
        <v>722</v>
      </c>
      <c r="AA385" s="364" t="s">
        <v>649</v>
      </c>
      <c r="AB385" s="364" t="s">
        <v>649</v>
      </c>
      <c r="AC385" s="364" t="s">
        <v>649</v>
      </c>
      <c r="AD385" s="364" t="s">
        <v>649</v>
      </c>
      <c r="AE385" s="364" t="s">
        <v>88</v>
      </c>
      <c r="AF385" s="364" t="s">
        <v>88</v>
      </c>
      <c r="AG385" s="364" t="s">
        <v>88</v>
      </c>
      <c r="AH385" s="364" t="s">
        <v>88</v>
      </c>
      <c r="AI385" s="364" t="s">
        <v>1155</v>
      </c>
      <c r="AJ385" s="364" t="s">
        <v>710</v>
      </c>
      <c r="AK385" s="364" t="s">
        <v>1016</v>
      </c>
      <c r="AL385" s="364" t="s">
        <v>646</v>
      </c>
      <c r="AM385" s="364" t="s">
        <v>668</v>
      </c>
      <c r="AN385" s="364" t="s">
        <v>644</v>
      </c>
    </row>
    <row r="386" spans="1:40" x14ac:dyDescent="0.3">
      <c r="A386" s="364" t="s">
        <v>2347</v>
      </c>
      <c r="B386" s="364" t="s">
        <v>661</v>
      </c>
      <c r="C386" s="364" t="s">
        <v>660</v>
      </c>
      <c r="D386" s="364" t="s">
        <v>90</v>
      </c>
      <c r="E386" s="364" t="s">
        <v>2332</v>
      </c>
      <c r="F386" s="364" t="s">
        <v>2332</v>
      </c>
      <c r="G386" s="364" t="s">
        <v>658</v>
      </c>
      <c r="H386" s="364" t="s">
        <v>2346</v>
      </c>
      <c r="I386" s="364" t="s">
        <v>2345</v>
      </c>
      <c r="J386" s="364" t="s">
        <v>673</v>
      </c>
      <c r="K386" s="364" t="s">
        <v>668</v>
      </c>
      <c r="L386" s="364" t="s">
        <v>190</v>
      </c>
      <c r="M386" s="364" t="s">
        <v>721</v>
      </c>
      <c r="N386" s="364" t="s">
        <v>654</v>
      </c>
      <c r="O386" s="364" t="s">
        <v>653</v>
      </c>
      <c r="P386" s="364" t="s">
        <v>198</v>
      </c>
      <c r="Q386" s="364" t="s">
        <v>652</v>
      </c>
      <c r="R386" s="364" t="s">
        <v>88</v>
      </c>
      <c r="S386" s="364" t="s">
        <v>88</v>
      </c>
      <c r="T386" s="364" t="s">
        <v>88</v>
      </c>
      <c r="U386" s="364" t="s">
        <v>88</v>
      </c>
      <c r="V386" s="364" t="s">
        <v>88</v>
      </c>
      <c r="W386" s="364" t="s">
        <v>88</v>
      </c>
      <c r="X386" s="364" t="s">
        <v>88</v>
      </c>
      <c r="Y386" s="364" t="s">
        <v>88</v>
      </c>
      <c r="Z386" s="364" t="s">
        <v>720</v>
      </c>
      <c r="AA386" s="364" t="s">
        <v>649</v>
      </c>
      <c r="AB386" s="364" t="s">
        <v>649</v>
      </c>
      <c r="AC386" s="364" t="s">
        <v>649</v>
      </c>
      <c r="AD386" s="364" t="s">
        <v>649</v>
      </c>
      <c r="AE386" s="364" t="s">
        <v>88</v>
      </c>
      <c r="AF386" s="364" t="s">
        <v>88</v>
      </c>
      <c r="AG386" s="364" t="s">
        <v>88</v>
      </c>
      <c r="AH386" s="364" t="s">
        <v>88</v>
      </c>
      <c r="AI386" s="364" t="s">
        <v>1155</v>
      </c>
      <c r="AJ386" s="364" t="s">
        <v>710</v>
      </c>
      <c r="AK386" s="364" t="s">
        <v>1016</v>
      </c>
      <c r="AL386" s="364" t="s">
        <v>646</v>
      </c>
      <c r="AM386" s="364" t="s">
        <v>668</v>
      </c>
      <c r="AN386" s="364" t="s">
        <v>644</v>
      </c>
    </row>
    <row r="387" spans="1:40" x14ac:dyDescent="0.3">
      <c r="A387" s="364" t="s">
        <v>2347</v>
      </c>
      <c r="B387" s="364" t="s">
        <v>661</v>
      </c>
      <c r="C387" s="364" t="s">
        <v>660</v>
      </c>
      <c r="D387" s="364" t="s">
        <v>90</v>
      </c>
      <c r="E387" s="364" t="s">
        <v>2332</v>
      </c>
      <c r="F387" s="364" t="s">
        <v>2332</v>
      </c>
      <c r="G387" s="364" t="s">
        <v>658</v>
      </c>
      <c r="H387" s="364" t="s">
        <v>2346</v>
      </c>
      <c r="I387" s="364" t="s">
        <v>2345</v>
      </c>
      <c r="J387" s="364" t="s">
        <v>673</v>
      </c>
      <c r="K387" s="364" t="s">
        <v>668</v>
      </c>
      <c r="L387" s="364" t="s">
        <v>190</v>
      </c>
      <c r="M387" s="364" t="s">
        <v>56</v>
      </c>
      <c r="N387" s="364" t="s">
        <v>654</v>
      </c>
      <c r="O387" s="364" t="s">
        <v>653</v>
      </c>
      <c r="P387" s="364" t="s">
        <v>198</v>
      </c>
      <c r="Q387" s="364" t="s">
        <v>652</v>
      </c>
      <c r="R387" s="364" t="s">
        <v>88</v>
      </c>
      <c r="S387" s="364" t="s">
        <v>88</v>
      </c>
      <c r="T387" s="364" t="s">
        <v>88</v>
      </c>
      <c r="U387" s="364" t="s">
        <v>88</v>
      </c>
      <c r="V387" s="364" t="s">
        <v>88</v>
      </c>
      <c r="W387" s="364" t="s">
        <v>88</v>
      </c>
      <c r="X387" s="364" t="s">
        <v>88</v>
      </c>
      <c r="Y387" s="364" t="s">
        <v>88</v>
      </c>
      <c r="Z387" s="364" t="s">
        <v>1165</v>
      </c>
      <c r="AA387" s="364" t="s">
        <v>1164</v>
      </c>
      <c r="AB387" s="364" t="s">
        <v>649</v>
      </c>
      <c r="AC387" s="364" t="s">
        <v>649</v>
      </c>
      <c r="AD387" s="364" t="s">
        <v>649</v>
      </c>
      <c r="AE387" s="364" t="s">
        <v>88</v>
      </c>
      <c r="AF387" s="364" t="s">
        <v>88</v>
      </c>
      <c r="AG387" s="364" t="s">
        <v>88</v>
      </c>
      <c r="AH387" s="364" t="s">
        <v>88</v>
      </c>
      <c r="AI387" s="364" t="s">
        <v>1155</v>
      </c>
      <c r="AJ387" s="364" t="s">
        <v>710</v>
      </c>
      <c r="AK387" s="364" t="s">
        <v>1016</v>
      </c>
      <c r="AL387" s="364" t="s">
        <v>646</v>
      </c>
      <c r="AM387" s="364" t="s">
        <v>668</v>
      </c>
      <c r="AN387" s="364" t="s">
        <v>644</v>
      </c>
    </row>
    <row r="388" spans="1:40" x14ac:dyDescent="0.3">
      <c r="A388" s="364" t="s">
        <v>2344</v>
      </c>
      <c r="B388" s="364" t="s">
        <v>661</v>
      </c>
      <c r="C388" s="364" t="s">
        <v>1160</v>
      </c>
      <c r="D388" s="364" t="s">
        <v>87</v>
      </c>
      <c r="E388" s="364" t="s">
        <v>2284</v>
      </c>
      <c r="F388" s="364" t="s">
        <v>2284</v>
      </c>
      <c r="G388" s="364" t="s">
        <v>658</v>
      </c>
      <c r="H388" s="364" t="s">
        <v>2343</v>
      </c>
      <c r="I388" s="364" t="s">
        <v>88</v>
      </c>
      <c r="J388" s="364" t="s">
        <v>88</v>
      </c>
      <c r="K388" s="364" t="s">
        <v>88</v>
      </c>
      <c r="L388" s="364" t="s">
        <v>88</v>
      </c>
      <c r="M388" s="364" t="s">
        <v>138</v>
      </c>
      <c r="N388" s="364" t="s">
        <v>654</v>
      </c>
      <c r="O388" s="364" t="s">
        <v>653</v>
      </c>
      <c r="P388" s="364" t="s">
        <v>88</v>
      </c>
      <c r="Q388" s="364" t="s">
        <v>88</v>
      </c>
      <c r="R388" s="364" t="s">
        <v>88</v>
      </c>
      <c r="S388" s="364" t="s">
        <v>88</v>
      </c>
      <c r="T388" s="364" t="s">
        <v>88</v>
      </c>
      <c r="U388" s="364" t="s">
        <v>88</v>
      </c>
      <c r="V388" s="364" t="s">
        <v>88</v>
      </c>
      <c r="W388" s="364" t="s">
        <v>88</v>
      </c>
      <c r="X388" s="364" t="s">
        <v>88</v>
      </c>
      <c r="Y388" s="364" t="s">
        <v>88</v>
      </c>
      <c r="Z388" s="364" t="s">
        <v>88</v>
      </c>
      <c r="AA388" s="364" t="s">
        <v>649</v>
      </c>
      <c r="AB388" s="364" t="s">
        <v>88</v>
      </c>
      <c r="AC388" s="364" t="s">
        <v>88</v>
      </c>
      <c r="AD388" s="364" t="s">
        <v>88</v>
      </c>
      <c r="AE388" s="364" t="s">
        <v>88</v>
      </c>
      <c r="AF388" s="364" t="s">
        <v>88</v>
      </c>
      <c r="AG388" s="364" t="s">
        <v>88</v>
      </c>
      <c r="AH388" s="364" t="s">
        <v>88</v>
      </c>
      <c r="AI388" s="364" t="s">
        <v>2342</v>
      </c>
      <c r="AJ388" s="364" t="s">
        <v>793</v>
      </c>
      <c r="AK388" s="364" t="s">
        <v>88</v>
      </c>
      <c r="AL388" s="364" t="s">
        <v>88</v>
      </c>
      <c r="AM388" s="364" t="s">
        <v>88</v>
      </c>
      <c r="AN388" s="364" t="s">
        <v>792</v>
      </c>
    </row>
    <row r="389" spans="1:40" x14ac:dyDescent="0.3">
      <c r="A389" s="364" t="s">
        <v>2341</v>
      </c>
      <c r="B389" s="364" t="s">
        <v>661</v>
      </c>
      <c r="C389" s="364" t="s">
        <v>1160</v>
      </c>
      <c r="D389" s="364" t="s">
        <v>87</v>
      </c>
      <c r="E389" s="364" t="s">
        <v>2284</v>
      </c>
      <c r="F389" s="364" t="s">
        <v>2284</v>
      </c>
      <c r="G389" s="364" t="s">
        <v>658</v>
      </c>
      <c r="H389" s="364" t="s">
        <v>2340</v>
      </c>
      <c r="I389" s="364" t="s">
        <v>88</v>
      </c>
      <c r="J389" s="364" t="s">
        <v>88</v>
      </c>
      <c r="K389" s="364" t="s">
        <v>88</v>
      </c>
      <c r="L389" s="364" t="s">
        <v>88</v>
      </c>
      <c r="M389" s="364" t="s">
        <v>138</v>
      </c>
      <c r="N389" s="364" t="s">
        <v>654</v>
      </c>
      <c r="O389" s="364" t="s">
        <v>653</v>
      </c>
      <c r="P389" s="364" t="s">
        <v>88</v>
      </c>
      <c r="Q389" s="364" t="s">
        <v>88</v>
      </c>
      <c r="R389" s="364" t="s">
        <v>88</v>
      </c>
      <c r="S389" s="364" t="s">
        <v>88</v>
      </c>
      <c r="T389" s="364" t="s">
        <v>88</v>
      </c>
      <c r="U389" s="364" t="s">
        <v>88</v>
      </c>
      <c r="V389" s="364" t="s">
        <v>88</v>
      </c>
      <c r="W389" s="364" t="s">
        <v>88</v>
      </c>
      <c r="X389" s="364" t="s">
        <v>88</v>
      </c>
      <c r="Y389" s="364" t="s">
        <v>88</v>
      </c>
      <c r="Z389" s="364" t="s">
        <v>88</v>
      </c>
      <c r="AA389" s="364" t="s">
        <v>649</v>
      </c>
      <c r="AB389" s="364" t="s">
        <v>88</v>
      </c>
      <c r="AC389" s="364" t="s">
        <v>88</v>
      </c>
      <c r="AD389" s="364" t="s">
        <v>88</v>
      </c>
      <c r="AE389" s="364" t="s">
        <v>88</v>
      </c>
      <c r="AF389" s="364" t="s">
        <v>88</v>
      </c>
      <c r="AG389" s="364" t="s">
        <v>88</v>
      </c>
      <c r="AH389" s="364" t="s">
        <v>88</v>
      </c>
      <c r="AI389" s="364" t="s">
        <v>2339</v>
      </c>
      <c r="AJ389" s="364" t="s">
        <v>793</v>
      </c>
      <c r="AK389" s="364" t="s">
        <v>88</v>
      </c>
      <c r="AL389" s="364" t="s">
        <v>88</v>
      </c>
      <c r="AM389" s="364" t="s">
        <v>88</v>
      </c>
      <c r="AN389" s="364" t="s">
        <v>792</v>
      </c>
    </row>
    <row r="390" spans="1:40" x14ac:dyDescent="0.3">
      <c r="A390" s="364" t="s">
        <v>2338</v>
      </c>
      <c r="B390" s="364" t="s">
        <v>661</v>
      </c>
      <c r="C390" s="364" t="s">
        <v>660</v>
      </c>
      <c r="D390" s="364" t="s">
        <v>87</v>
      </c>
      <c r="E390" s="364" t="s">
        <v>2332</v>
      </c>
      <c r="F390" s="364" t="s">
        <v>2332</v>
      </c>
      <c r="G390" s="364" t="s">
        <v>658</v>
      </c>
      <c r="H390" s="364" t="s">
        <v>2337</v>
      </c>
      <c r="I390" s="364" t="s">
        <v>2319</v>
      </c>
      <c r="J390" s="364" t="s">
        <v>673</v>
      </c>
      <c r="K390" s="364" t="s">
        <v>668</v>
      </c>
      <c r="L390" s="364" t="s">
        <v>190</v>
      </c>
      <c r="M390" s="364" t="s">
        <v>59</v>
      </c>
      <c r="N390" s="364" t="s">
        <v>654</v>
      </c>
      <c r="O390" s="364" t="s">
        <v>653</v>
      </c>
      <c r="P390" s="364" t="s">
        <v>198</v>
      </c>
      <c r="Q390" s="364" t="s">
        <v>652</v>
      </c>
      <c r="R390" s="364" t="s">
        <v>88</v>
      </c>
      <c r="S390" s="364" t="s">
        <v>88</v>
      </c>
      <c r="T390" s="364" t="s">
        <v>88</v>
      </c>
      <c r="U390" s="364" t="s">
        <v>88</v>
      </c>
      <c r="V390" s="364" t="s">
        <v>88</v>
      </c>
      <c r="W390" s="364" t="s">
        <v>88</v>
      </c>
      <c r="X390" s="364" t="s">
        <v>88</v>
      </c>
      <c r="Y390" s="364" t="s">
        <v>88</v>
      </c>
      <c r="Z390" s="364" t="s">
        <v>672</v>
      </c>
      <c r="AA390" s="364" t="s">
        <v>671</v>
      </c>
      <c r="AB390" s="364" t="s">
        <v>649</v>
      </c>
      <c r="AC390" s="364" t="s">
        <v>649</v>
      </c>
      <c r="AD390" s="364" t="s">
        <v>649</v>
      </c>
      <c r="AE390" s="364" t="s">
        <v>88</v>
      </c>
      <c r="AF390" s="364" t="s">
        <v>88</v>
      </c>
      <c r="AG390" s="364" t="s">
        <v>88</v>
      </c>
      <c r="AH390" s="364" t="s">
        <v>88</v>
      </c>
      <c r="AI390" s="364" t="s">
        <v>1199</v>
      </c>
      <c r="AJ390" s="364" t="s">
        <v>648</v>
      </c>
      <c r="AK390" s="364" t="s">
        <v>669</v>
      </c>
      <c r="AL390" s="364" t="s">
        <v>646</v>
      </c>
      <c r="AM390" s="364" t="s">
        <v>668</v>
      </c>
      <c r="AN390" s="364" t="s">
        <v>644</v>
      </c>
    </row>
    <row r="391" spans="1:40" x14ac:dyDescent="0.3">
      <c r="A391" s="364" t="s">
        <v>2336</v>
      </c>
      <c r="B391" s="364" t="s">
        <v>661</v>
      </c>
      <c r="C391" s="364" t="s">
        <v>660</v>
      </c>
      <c r="D391" s="364" t="s">
        <v>87</v>
      </c>
      <c r="E391" s="364" t="s">
        <v>2332</v>
      </c>
      <c r="F391" s="364" t="s">
        <v>2332</v>
      </c>
      <c r="G391" s="364" t="s">
        <v>658</v>
      </c>
      <c r="H391" s="364" t="s">
        <v>2335</v>
      </c>
      <c r="I391" s="364" t="s">
        <v>2334</v>
      </c>
      <c r="J391" s="364" t="s">
        <v>673</v>
      </c>
      <c r="K391" s="364" t="s">
        <v>668</v>
      </c>
      <c r="L391" s="364" t="s">
        <v>190</v>
      </c>
      <c r="M391" s="364" t="s">
        <v>62</v>
      </c>
      <c r="N391" s="364" t="s">
        <v>654</v>
      </c>
      <c r="O391" s="364" t="s">
        <v>653</v>
      </c>
      <c r="P391" s="364" t="s">
        <v>198</v>
      </c>
      <c r="Q391" s="364" t="s">
        <v>652</v>
      </c>
      <c r="R391" s="364" t="s">
        <v>88</v>
      </c>
      <c r="S391" s="364" t="s">
        <v>88</v>
      </c>
      <c r="T391" s="364" t="s">
        <v>88</v>
      </c>
      <c r="U391" s="364" t="s">
        <v>88</v>
      </c>
      <c r="V391" s="364" t="s">
        <v>88</v>
      </c>
      <c r="W391" s="364" t="s">
        <v>88</v>
      </c>
      <c r="X391" s="364" t="s">
        <v>88</v>
      </c>
      <c r="Y391" s="364" t="s">
        <v>88</v>
      </c>
      <c r="Z391" s="364" t="s">
        <v>689</v>
      </c>
      <c r="AA391" s="364" t="s">
        <v>688</v>
      </c>
      <c r="AB391" s="364" t="s">
        <v>649</v>
      </c>
      <c r="AC391" s="364" t="s">
        <v>649</v>
      </c>
      <c r="AD391" s="364" t="s">
        <v>649</v>
      </c>
      <c r="AE391" s="364" t="s">
        <v>88</v>
      </c>
      <c r="AF391" s="364" t="s">
        <v>88</v>
      </c>
      <c r="AG391" s="364" t="s">
        <v>88</v>
      </c>
      <c r="AH391" s="364" t="s">
        <v>88</v>
      </c>
      <c r="AI391" s="364" t="s">
        <v>1199</v>
      </c>
      <c r="AJ391" s="364" t="s">
        <v>648</v>
      </c>
      <c r="AK391" s="364" t="s">
        <v>669</v>
      </c>
      <c r="AL391" s="364" t="s">
        <v>646</v>
      </c>
      <c r="AM391" s="364" t="s">
        <v>668</v>
      </c>
      <c r="AN391" s="364" t="s">
        <v>644</v>
      </c>
    </row>
    <row r="392" spans="1:40" x14ac:dyDescent="0.3">
      <c r="A392" s="364" t="s">
        <v>2333</v>
      </c>
      <c r="B392" s="364" t="s">
        <v>661</v>
      </c>
      <c r="C392" s="364" t="s">
        <v>660</v>
      </c>
      <c r="D392" s="364" t="s">
        <v>87</v>
      </c>
      <c r="E392" s="364" t="s">
        <v>2332</v>
      </c>
      <c r="F392" s="364" t="s">
        <v>2332</v>
      </c>
      <c r="G392" s="364" t="s">
        <v>658</v>
      </c>
      <c r="H392" s="364" t="s">
        <v>2331</v>
      </c>
      <c r="I392" s="364" t="s">
        <v>2330</v>
      </c>
      <c r="J392" s="364" t="s">
        <v>673</v>
      </c>
      <c r="K392" s="364" t="s">
        <v>668</v>
      </c>
      <c r="L392" s="364" t="s">
        <v>190</v>
      </c>
      <c r="M392" s="364" t="s">
        <v>58</v>
      </c>
      <c r="N392" s="364" t="s">
        <v>654</v>
      </c>
      <c r="O392" s="364" t="s">
        <v>653</v>
      </c>
      <c r="P392" s="364" t="s">
        <v>198</v>
      </c>
      <c r="Q392" s="364" t="s">
        <v>652</v>
      </c>
      <c r="R392" s="364" t="s">
        <v>88</v>
      </c>
      <c r="S392" s="364" t="s">
        <v>88</v>
      </c>
      <c r="T392" s="364" t="s">
        <v>88</v>
      </c>
      <c r="U392" s="364" t="s">
        <v>88</v>
      </c>
      <c r="V392" s="364" t="s">
        <v>88</v>
      </c>
      <c r="W392" s="364" t="s">
        <v>88</v>
      </c>
      <c r="X392" s="364" t="s">
        <v>88</v>
      </c>
      <c r="Y392" s="364" t="s">
        <v>88</v>
      </c>
      <c r="Z392" s="364" t="s">
        <v>702</v>
      </c>
      <c r="AA392" s="364" t="s">
        <v>701</v>
      </c>
      <c r="AB392" s="364" t="s">
        <v>649</v>
      </c>
      <c r="AC392" s="364" t="s">
        <v>649</v>
      </c>
      <c r="AD392" s="364" t="s">
        <v>649</v>
      </c>
      <c r="AE392" s="364" t="s">
        <v>88</v>
      </c>
      <c r="AF392" s="364" t="s">
        <v>88</v>
      </c>
      <c r="AG392" s="364" t="s">
        <v>88</v>
      </c>
      <c r="AH392" s="364" t="s">
        <v>88</v>
      </c>
      <c r="AI392" s="364" t="s">
        <v>1199</v>
      </c>
      <c r="AJ392" s="364" t="s">
        <v>648</v>
      </c>
      <c r="AK392" s="364" t="s">
        <v>669</v>
      </c>
      <c r="AL392" s="364" t="s">
        <v>646</v>
      </c>
      <c r="AM392" s="364" t="s">
        <v>668</v>
      </c>
      <c r="AN392" s="364" t="s">
        <v>644</v>
      </c>
    </row>
    <row r="393" spans="1:40" x14ac:dyDescent="0.3">
      <c r="A393" s="364" t="s">
        <v>2329</v>
      </c>
      <c r="B393" s="364" t="s">
        <v>661</v>
      </c>
      <c r="C393" s="364" t="s">
        <v>660</v>
      </c>
      <c r="D393" s="364" t="s">
        <v>87</v>
      </c>
      <c r="E393" s="364" t="s">
        <v>2284</v>
      </c>
      <c r="F393" s="364" t="s">
        <v>2284</v>
      </c>
      <c r="G393" s="364" t="s">
        <v>658</v>
      </c>
      <c r="H393" s="364" t="s">
        <v>2328</v>
      </c>
      <c r="I393" s="364" t="s">
        <v>2327</v>
      </c>
      <c r="J393" s="364" t="s">
        <v>673</v>
      </c>
      <c r="K393" s="364" t="s">
        <v>668</v>
      </c>
      <c r="L393" s="364" t="s">
        <v>190</v>
      </c>
      <c r="M393" s="364" t="s">
        <v>62</v>
      </c>
      <c r="N393" s="364" t="s">
        <v>654</v>
      </c>
      <c r="O393" s="364" t="s">
        <v>653</v>
      </c>
      <c r="P393" s="364" t="s">
        <v>198</v>
      </c>
      <c r="Q393" s="364" t="s">
        <v>652</v>
      </c>
      <c r="R393" s="364" t="s">
        <v>88</v>
      </c>
      <c r="S393" s="364" t="s">
        <v>88</v>
      </c>
      <c r="T393" s="364" t="s">
        <v>88</v>
      </c>
      <c r="U393" s="364" t="s">
        <v>88</v>
      </c>
      <c r="V393" s="364" t="s">
        <v>88</v>
      </c>
      <c r="W393" s="364" t="s">
        <v>88</v>
      </c>
      <c r="X393" s="364" t="s">
        <v>88</v>
      </c>
      <c r="Y393" s="364" t="s">
        <v>88</v>
      </c>
      <c r="Z393" s="364" t="s">
        <v>689</v>
      </c>
      <c r="AA393" s="364" t="s">
        <v>688</v>
      </c>
      <c r="AB393" s="364" t="s">
        <v>649</v>
      </c>
      <c r="AC393" s="364" t="s">
        <v>649</v>
      </c>
      <c r="AD393" s="364" t="s">
        <v>649</v>
      </c>
      <c r="AE393" s="364" t="s">
        <v>88</v>
      </c>
      <c r="AF393" s="364" t="s">
        <v>88</v>
      </c>
      <c r="AG393" s="364" t="s">
        <v>88</v>
      </c>
      <c r="AH393" s="364" t="s">
        <v>88</v>
      </c>
      <c r="AI393" s="364" t="s">
        <v>1199</v>
      </c>
      <c r="AJ393" s="364" t="s">
        <v>648</v>
      </c>
      <c r="AK393" s="364" t="s">
        <v>669</v>
      </c>
      <c r="AL393" s="364" t="s">
        <v>646</v>
      </c>
      <c r="AM393" s="364" t="s">
        <v>668</v>
      </c>
      <c r="AN393" s="364" t="s">
        <v>644</v>
      </c>
    </row>
    <row r="394" spans="1:40" x14ac:dyDescent="0.3">
      <c r="A394" s="364" t="s">
        <v>2326</v>
      </c>
      <c r="B394" s="364" t="s">
        <v>661</v>
      </c>
      <c r="C394" s="364" t="s">
        <v>660</v>
      </c>
      <c r="D394" s="364" t="s">
        <v>87</v>
      </c>
      <c r="E394" s="364" t="s">
        <v>2284</v>
      </c>
      <c r="F394" s="364" t="s">
        <v>2284</v>
      </c>
      <c r="G394" s="364" t="s">
        <v>658</v>
      </c>
      <c r="H394" s="364" t="s">
        <v>2325</v>
      </c>
      <c r="I394" s="364" t="s">
        <v>2324</v>
      </c>
      <c r="J394" s="364" t="s">
        <v>673</v>
      </c>
      <c r="K394" s="364" t="s">
        <v>668</v>
      </c>
      <c r="L394" s="364" t="s">
        <v>190</v>
      </c>
      <c r="M394" s="364" t="s">
        <v>58</v>
      </c>
      <c r="N394" s="364" t="s">
        <v>654</v>
      </c>
      <c r="O394" s="364" t="s">
        <v>653</v>
      </c>
      <c r="P394" s="364" t="s">
        <v>198</v>
      </c>
      <c r="Q394" s="364" t="s">
        <v>652</v>
      </c>
      <c r="R394" s="364" t="s">
        <v>88</v>
      </c>
      <c r="S394" s="364" t="s">
        <v>88</v>
      </c>
      <c r="T394" s="364" t="s">
        <v>88</v>
      </c>
      <c r="U394" s="364" t="s">
        <v>88</v>
      </c>
      <c r="V394" s="364" t="s">
        <v>88</v>
      </c>
      <c r="W394" s="364" t="s">
        <v>88</v>
      </c>
      <c r="X394" s="364" t="s">
        <v>88</v>
      </c>
      <c r="Y394" s="364" t="s">
        <v>88</v>
      </c>
      <c r="Z394" s="364" t="s">
        <v>702</v>
      </c>
      <c r="AA394" s="364" t="s">
        <v>701</v>
      </c>
      <c r="AB394" s="364" t="s">
        <v>649</v>
      </c>
      <c r="AC394" s="364" t="s">
        <v>649</v>
      </c>
      <c r="AD394" s="364" t="s">
        <v>649</v>
      </c>
      <c r="AE394" s="364" t="s">
        <v>88</v>
      </c>
      <c r="AF394" s="364" t="s">
        <v>88</v>
      </c>
      <c r="AG394" s="364" t="s">
        <v>88</v>
      </c>
      <c r="AH394" s="364" t="s">
        <v>88</v>
      </c>
      <c r="AI394" s="364" t="s">
        <v>1199</v>
      </c>
      <c r="AJ394" s="364" t="s">
        <v>648</v>
      </c>
      <c r="AK394" s="364" t="s">
        <v>669</v>
      </c>
      <c r="AL394" s="364" t="s">
        <v>646</v>
      </c>
      <c r="AM394" s="364" t="s">
        <v>668</v>
      </c>
      <c r="AN394" s="364" t="s">
        <v>644</v>
      </c>
    </row>
    <row r="395" spans="1:40" x14ac:dyDescent="0.3">
      <c r="A395" s="364" t="s">
        <v>2323</v>
      </c>
      <c r="B395" s="364" t="s">
        <v>661</v>
      </c>
      <c r="C395" s="364" t="s">
        <v>660</v>
      </c>
      <c r="D395" s="364" t="s">
        <v>87</v>
      </c>
      <c r="E395" s="364" t="s">
        <v>2284</v>
      </c>
      <c r="F395" s="364" t="s">
        <v>2284</v>
      </c>
      <c r="G395" s="364" t="s">
        <v>658</v>
      </c>
      <c r="H395" s="364" t="s">
        <v>2322</v>
      </c>
      <c r="I395" s="364" t="s">
        <v>2319</v>
      </c>
      <c r="J395" s="364" t="s">
        <v>673</v>
      </c>
      <c r="K395" s="364" t="s">
        <v>668</v>
      </c>
      <c r="L395" s="364" t="s">
        <v>190</v>
      </c>
      <c r="M395" s="364" t="s">
        <v>59</v>
      </c>
      <c r="N395" s="364" t="s">
        <v>654</v>
      </c>
      <c r="O395" s="364" t="s">
        <v>653</v>
      </c>
      <c r="P395" s="364" t="s">
        <v>198</v>
      </c>
      <c r="Q395" s="364" t="s">
        <v>652</v>
      </c>
      <c r="R395" s="364" t="s">
        <v>88</v>
      </c>
      <c r="S395" s="364" t="s">
        <v>88</v>
      </c>
      <c r="T395" s="364" t="s">
        <v>88</v>
      </c>
      <c r="U395" s="364" t="s">
        <v>88</v>
      </c>
      <c r="V395" s="364" t="s">
        <v>88</v>
      </c>
      <c r="W395" s="364" t="s">
        <v>88</v>
      </c>
      <c r="X395" s="364" t="s">
        <v>88</v>
      </c>
      <c r="Y395" s="364" t="s">
        <v>88</v>
      </c>
      <c r="Z395" s="364" t="s">
        <v>672</v>
      </c>
      <c r="AA395" s="364" t="s">
        <v>671</v>
      </c>
      <c r="AB395" s="364" t="s">
        <v>649</v>
      </c>
      <c r="AC395" s="364" t="s">
        <v>649</v>
      </c>
      <c r="AD395" s="364" t="s">
        <v>649</v>
      </c>
      <c r="AE395" s="364" t="s">
        <v>88</v>
      </c>
      <c r="AF395" s="364" t="s">
        <v>88</v>
      </c>
      <c r="AG395" s="364" t="s">
        <v>88</v>
      </c>
      <c r="AH395" s="364" t="s">
        <v>88</v>
      </c>
      <c r="AI395" s="364" t="s">
        <v>1199</v>
      </c>
      <c r="AJ395" s="364" t="s">
        <v>648</v>
      </c>
      <c r="AK395" s="364" t="s">
        <v>669</v>
      </c>
      <c r="AL395" s="364" t="s">
        <v>646</v>
      </c>
      <c r="AM395" s="364" t="s">
        <v>668</v>
      </c>
      <c r="AN395" s="364" t="s">
        <v>644</v>
      </c>
    </row>
    <row r="396" spans="1:40" x14ac:dyDescent="0.3">
      <c r="A396" s="364" t="s">
        <v>2321</v>
      </c>
      <c r="B396" s="364" t="s">
        <v>661</v>
      </c>
      <c r="C396" s="364" t="s">
        <v>660</v>
      </c>
      <c r="D396" s="364" t="s">
        <v>87</v>
      </c>
      <c r="E396" s="364" t="s">
        <v>2280</v>
      </c>
      <c r="F396" s="364" t="s">
        <v>2280</v>
      </c>
      <c r="G396" s="364" t="s">
        <v>658</v>
      </c>
      <c r="H396" s="364" t="s">
        <v>2320</v>
      </c>
      <c r="I396" s="364" t="s">
        <v>2319</v>
      </c>
      <c r="J396" s="364" t="s">
        <v>673</v>
      </c>
      <c r="K396" s="364" t="s">
        <v>668</v>
      </c>
      <c r="L396" s="364" t="s">
        <v>190</v>
      </c>
      <c r="M396" s="364" t="s">
        <v>59</v>
      </c>
      <c r="N396" s="364" t="s">
        <v>654</v>
      </c>
      <c r="O396" s="364" t="s">
        <v>653</v>
      </c>
      <c r="P396" s="364" t="s">
        <v>198</v>
      </c>
      <c r="Q396" s="364" t="s">
        <v>652</v>
      </c>
      <c r="R396" s="364" t="s">
        <v>88</v>
      </c>
      <c r="S396" s="364" t="s">
        <v>88</v>
      </c>
      <c r="T396" s="364" t="s">
        <v>88</v>
      </c>
      <c r="U396" s="364" t="s">
        <v>88</v>
      </c>
      <c r="V396" s="364" t="s">
        <v>88</v>
      </c>
      <c r="W396" s="364" t="s">
        <v>88</v>
      </c>
      <c r="X396" s="364" t="s">
        <v>88</v>
      </c>
      <c r="Y396" s="364" t="s">
        <v>88</v>
      </c>
      <c r="Z396" s="364" t="s">
        <v>672</v>
      </c>
      <c r="AA396" s="364" t="s">
        <v>671</v>
      </c>
      <c r="AB396" s="364" t="s">
        <v>649</v>
      </c>
      <c r="AC396" s="364" t="s">
        <v>649</v>
      </c>
      <c r="AD396" s="364" t="s">
        <v>649</v>
      </c>
      <c r="AE396" s="364" t="s">
        <v>88</v>
      </c>
      <c r="AF396" s="364" t="s">
        <v>88</v>
      </c>
      <c r="AG396" s="364" t="s">
        <v>88</v>
      </c>
      <c r="AH396" s="364" t="s">
        <v>88</v>
      </c>
      <c r="AI396" s="364" t="s">
        <v>1199</v>
      </c>
      <c r="AJ396" s="364" t="s">
        <v>648</v>
      </c>
      <c r="AK396" s="364" t="s">
        <v>669</v>
      </c>
      <c r="AL396" s="364" t="s">
        <v>646</v>
      </c>
      <c r="AM396" s="364" t="s">
        <v>668</v>
      </c>
      <c r="AN396" s="364" t="s">
        <v>644</v>
      </c>
    </row>
    <row r="397" spans="1:40" x14ac:dyDescent="0.3">
      <c r="A397" s="364" t="s">
        <v>2318</v>
      </c>
      <c r="B397" s="364" t="s">
        <v>661</v>
      </c>
      <c r="C397" s="364" t="s">
        <v>660</v>
      </c>
      <c r="D397" s="364" t="s">
        <v>87</v>
      </c>
      <c r="E397" s="364" t="s">
        <v>2280</v>
      </c>
      <c r="F397" s="364" t="s">
        <v>2280</v>
      </c>
      <c r="G397" s="364" t="s">
        <v>658</v>
      </c>
      <c r="H397" s="364" t="s">
        <v>2317</v>
      </c>
      <c r="I397" s="364" t="s">
        <v>2316</v>
      </c>
      <c r="J397" s="364" t="s">
        <v>673</v>
      </c>
      <c r="K397" s="364" t="s">
        <v>668</v>
      </c>
      <c r="L397" s="364" t="s">
        <v>190</v>
      </c>
      <c r="M397" s="364" t="s">
        <v>58</v>
      </c>
      <c r="N397" s="364" t="s">
        <v>654</v>
      </c>
      <c r="O397" s="364" t="s">
        <v>653</v>
      </c>
      <c r="P397" s="364" t="s">
        <v>198</v>
      </c>
      <c r="Q397" s="364" t="s">
        <v>652</v>
      </c>
      <c r="R397" s="364" t="s">
        <v>88</v>
      </c>
      <c r="S397" s="364" t="s">
        <v>88</v>
      </c>
      <c r="T397" s="364" t="s">
        <v>88</v>
      </c>
      <c r="U397" s="364" t="s">
        <v>88</v>
      </c>
      <c r="V397" s="364" t="s">
        <v>88</v>
      </c>
      <c r="W397" s="364" t="s">
        <v>88</v>
      </c>
      <c r="X397" s="364" t="s">
        <v>88</v>
      </c>
      <c r="Y397" s="364" t="s">
        <v>88</v>
      </c>
      <c r="Z397" s="364" t="s">
        <v>702</v>
      </c>
      <c r="AA397" s="364" t="s">
        <v>701</v>
      </c>
      <c r="AB397" s="364" t="s">
        <v>649</v>
      </c>
      <c r="AC397" s="364" t="s">
        <v>649</v>
      </c>
      <c r="AD397" s="364" t="s">
        <v>649</v>
      </c>
      <c r="AE397" s="364" t="s">
        <v>88</v>
      </c>
      <c r="AF397" s="364" t="s">
        <v>88</v>
      </c>
      <c r="AG397" s="364" t="s">
        <v>88</v>
      </c>
      <c r="AH397" s="364" t="s">
        <v>88</v>
      </c>
      <c r="AI397" s="364" t="s">
        <v>1199</v>
      </c>
      <c r="AJ397" s="364" t="s">
        <v>648</v>
      </c>
      <c r="AK397" s="364" t="s">
        <v>669</v>
      </c>
      <c r="AL397" s="364" t="s">
        <v>646</v>
      </c>
      <c r="AM397" s="364" t="s">
        <v>668</v>
      </c>
      <c r="AN397" s="364" t="s">
        <v>644</v>
      </c>
    </row>
    <row r="398" spans="1:40" x14ac:dyDescent="0.3">
      <c r="A398" s="364" t="s">
        <v>2315</v>
      </c>
      <c r="B398" s="364" t="s">
        <v>661</v>
      </c>
      <c r="C398" s="364" t="s">
        <v>660</v>
      </c>
      <c r="D398" s="364" t="s">
        <v>87</v>
      </c>
      <c r="E398" s="364" t="s">
        <v>2280</v>
      </c>
      <c r="F398" s="364" t="s">
        <v>2280</v>
      </c>
      <c r="G398" s="364" t="s">
        <v>658</v>
      </c>
      <c r="H398" s="364" t="s">
        <v>2314</v>
      </c>
      <c r="I398" s="364" t="s">
        <v>2307</v>
      </c>
      <c r="J398" s="364" t="s">
        <v>673</v>
      </c>
      <c r="K398" s="364" t="s">
        <v>668</v>
      </c>
      <c r="L398" s="364" t="s">
        <v>190</v>
      </c>
      <c r="M398" s="364" t="s">
        <v>62</v>
      </c>
      <c r="N398" s="364" t="s">
        <v>654</v>
      </c>
      <c r="O398" s="364" t="s">
        <v>653</v>
      </c>
      <c r="P398" s="364" t="s">
        <v>198</v>
      </c>
      <c r="Q398" s="364" t="s">
        <v>652</v>
      </c>
      <c r="R398" s="364" t="s">
        <v>88</v>
      </c>
      <c r="S398" s="364" t="s">
        <v>88</v>
      </c>
      <c r="T398" s="364" t="s">
        <v>88</v>
      </c>
      <c r="U398" s="364" t="s">
        <v>88</v>
      </c>
      <c r="V398" s="364" t="s">
        <v>88</v>
      </c>
      <c r="W398" s="364" t="s">
        <v>88</v>
      </c>
      <c r="X398" s="364" t="s">
        <v>88</v>
      </c>
      <c r="Y398" s="364" t="s">
        <v>88</v>
      </c>
      <c r="Z398" s="364" t="s">
        <v>689</v>
      </c>
      <c r="AA398" s="364" t="s">
        <v>688</v>
      </c>
      <c r="AB398" s="364" t="s">
        <v>649</v>
      </c>
      <c r="AC398" s="364" t="s">
        <v>649</v>
      </c>
      <c r="AD398" s="364" t="s">
        <v>649</v>
      </c>
      <c r="AE398" s="364" t="s">
        <v>88</v>
      </c>
      <c r="AF398" s="364" t="s">
        <v>88</v>
      </c>
      <c r="AG398" s="364" t="s">
        <v>88</v>
      </c>
      <c r="AH398" s="364" t="s">
        <v>88</v>
      </c>
      <c r="AI398" s="364" t="s">
        <v>1199</v>
      </c>
      <c r="AJ398" s="364" t="s">
        <v>648</v>
      </c>
      <c r="AK398" s="364" t="s">
        <v>669</v>
      </c>
      <c r="AL398" s="364" t="s">
        <v>646</v>
      </c>
      <c r="AM398" s="364" t="s">
        <v>668</v>
      </c>
      <c r="AN398" s="364" t="s">
        <v>644</v>
      </c>
    </row>
    <row r="399" spans="1:40" x14ac:dyDescent="0.3">
      <c r="A399" s="364" t="s">
        <v>2313</v>
      </c>
      <c r="B399" s="364" t="s">
        <v>661</v>
      </c>
      <c r="C399" s="364" t="s">
        <v>660</v>
      </c>
      <c r="D399" s="364" t="s">
        <v>87</v>
      </c>
      <c r="E399" s="364" t="s">
        <v>865</v>
      </c>
      <c r="F399" s="364" t="s">
        <v>865</v>
      </c>
      <c r="G399" s="364" t="s">
        <v>658</v>
      </c>
      <c r="H399" s="364" t="s">
        <v>2312</v>
      </c>
      <c r="I399" s="364" t="s">
        <v>863</v>
      </c>
      <c r="J399" s="364" t="s">
        <v>673</v>
      </c>
      <c r="K399" s="364" t="s">
        <v>668</v>
      </c>
      <c r="L399" s="364" t="s">
        <v>190</v>
      </c>
      <c r="M399" s="364" t="s">
        <v>59</v>
      </c>
      <c r="N399" s="364" t="s">
        <v>654</v>
      </c>
      <c r="O399" s="364" t="s">
        <v>653</v>
      </c>
      <c r="P399" s="364" t="s">
        <v>198</v>
      </c>
      <c r="Q399" s="364" t="s">
        <v>652</v>
      </c>
      <c r="R399" s="364" t="s">
        <v>88</v>
      </c>
      <c r="S399" s="364" t="s">
        <v>88</v>
      </c>
      <c r="T399" s="364" t="s">
        <v>88</v>
      </c>
      <c r="U399" s="364" t="s">
        <v>88</v>
      </c>
      <c r="V399" s="364" t="s">
        <v>88</v>
      </c>
      <c r="W399" s="364" t="s">
        <v>88</v>
      </c>
      <c r="X399" s="364" t="s">
        <v>88</v>
      </c>
      <c r="Y399" s="364" t="s">
        <v>88</v>
      </c>
      <c r="Z399" s="364" t="s">
        <v>672</v>
      </c>
      <c r="AA399" s="364" t="s">
        <v>671</v>
      </c>
      <c r="AB399" s="364" t="s">
        <v>649</v>
      </c>
      <c r="AC399" s="364" t="s">
        <v>649</v>
      </c>
      <c r="AD399" s="364" t="s">
        <v>649</v>
      </c>
      <c r="AE399" s="364" t="s">
        <v>88</v>
      </c>
      <c r="AF399" s="364" t="s">
        <v>88</v>
      </c>
      <c r="AG399" s="364" t="s">
        <v>88</v>
      </c>
      <c r="AH399" s="364" t="s">
        <v>88</v>
      </c>
      <c r="AI399" s="364" t="s">
        <v>1199</v>
      </c>
      <c r="AJ399" s="364" t="s">
        <v>648</v>
      </c>
      <c r="AK399" s="364" t="s">
        <v>669</v>
      </c>
      <c r="AL399" s="364" t="s">
        <v>646</v>
      </c>
      <c r="AM399" s="364" t="s">
        <v>668</v>
      </c>
      <c r="AN399" s="364" t="s">
        <v>644</v>
      </c>
    </row>
    <row r="400" spans="1:40" x14ac:dyDescent="0.3">
      <c r="A400" s="364" t="s">
        <v>2311</v>
      </c>
      <c r="B400" s="364" t="s">
        <v>661</v>
      </c>
      <c r="C400" s="364" t="s">
        <v>660</v>
      </c>
      <c r="D400" s="364" t="s">
        <v>87</v>
      </c>
      <c r="E400" s="364" t="s">
        <v>865</v>
      </c>
      <c r="F400" s="364" t="s">
        <v>865</v>
      </c>
      <c r="G400" s="364" t="s">
        <v>658</v>
      </c>
      <c r="H400" s="364" t="s">
        <v>2310</v>
      </c>
      <c r="I400" s="364" t="s">
        <v>863</v>
      </c>
      <c r="J400" s="364" t="s">
        <v>673</v>
      </c>
      <c r="K400" s="364" t="s">
        <v>668</v>
      </c>
      <c r="L400" s="364" t="s">
        <v>190</v>
      </c>
      <c r="M400" s="364" t="s">
        <v>62</v>
      </c>
      <c r="N400" s="364" t="s">
        <v>654</v>
      </c>
      <c r="O400" s="364" t="s">
        <v>653</v>
      </c>
      <c r="P400" s="364" t="s">
        <v>198</v>
      </c>
      <c r="Q400" s="364" t="s">
        <v>652</v>
      </c>
      <c r="R400" s="364" t="s">
        <v>88</v>
      </c>
      <c r="S400" s="364" t="s">
        <v>88</v>
      </c>
      <c r="T400" s="364" t="s">
        <v>88</v>
      </c>
      <c r="U400" s="364" t="s">
        <v>88</v>
      </c>
      <c r="V400" s="364" t="s">
        <v>88</v>
      </c>
      <c r="W400" s="364" t="s">
        <v>88</v>
      </c>
      <c r="X400" s="364" t="s">
        <v>88</v>
      </c>
      <c r="Y400" s="364" t="s">
        <v>88</v>
      </c>
      <c r="Z400" s="364" t="s">
        <v>689</v>
      </c>
      <c r="AA400" s="364" t="s">
        <v>688</v>
      </c>
      <c r="AB400" s="364" t="s">
        <v>649</v>
      </c>
      <c r="AC400" s="364" t="s">
        <v>649</v>
      </c>
      <c r="AD400" s="364" t="s">
        <v>649</v>
      </c>
      <c r="AE400" s="364" t="s">
        <v>88</v>
      </c>
      <c r="AF400" s="364" t="s">
        <v>88</v>
      </c>
      <c r="AG400" s="364" t="s">
        <v>88</v>
      </c>
      <c r="AH400" s="364" t="s">
        <v>88</v>
      </c>
      <c r="AI400" s="364" t="s">
        <v>1199</v>
      </c>
      <c r="AJ400" s="364" t="s">
        <v>648</v>
      </c>
      <c r="AK400" s="364" t="s">
        <v>669</v>
      </c>
      <c r="AL400" s="364" t="s">
        <v>646</v>
      </c>
      <c r="AM400" s="364" t="s">
        <v>668</v>
      </c>
      <c r="AN400" s="364" t="s">
        <v>644</v>
      </c>
    </row>
    <row r="401" spans="1:40" x14ac:dyDescent="0.3">
      <c r="A401" s="364" t="s">
        <v>2309</v>
      </c>
      <c r="B401" s="364" t="s">
        <v>661</v>
      </c>
      <c r="C401" s="364" t="s">
        <v>660</v>
      </c>
      <c r="D401" s="364" t="s">
        <v>87</v>
      </c>
      <c r="E401" s="364" t="s">
        <v>2274</v>
      </c>
      <c r="F401" s="364" t="s">
        <v>2274</v>
      </c>
      <c r="G401" s="364" t="s">
        <v>658</v>
      </c>
      <c r="H401" s="364" t="s">
        <v>2308</v>
      </c>
      <c r="I401" s="364" t="s">
        <v>2307</v>
      </c>
      <c r="J401" s="364" t="s">
        <v>673</v>
      </c>
      <c r="K401" s="364" t="s">
        <v>668</v>
      </c>
      <c r="L401" s="364" t="s">
        <v>190</v>
      </c>
      <c r="M401" s="364" t="s">
        <v>62</v>
      </c>
      <c r="N401" s="364" t="s">
        <v>654</v>
      </c>
      <c r="O401" s="364" t="s">
        <v>653</v>
      </c>
      <c r="P401" s="364" t="s">
        <v>198</v>
      </c>
      <c r="Q401" s="364" t="s">
        <v>652</v>
      </c>
      <c r="R401" s="364" t="s">
        <v>88</v>
      </c>
      <c r="S401" s="364" t="s">
        <v>88</v>
      </c>
      <c r="T401" s="364" t="s">
        <v>88</v>
      </c>
      <c r="U401" s="364" t="s">
        <v>88</v>
      </c>
      <c r="V401" s="364" t="s">
        <v>88</v>
      </c>
      <c r="W401" s="364" t="s">
        <v>88</v>
      </c>
      <c r="X401" s="364" t="s">
        <v>88</v>
      </c>
      <c r="Y401" s="364" t="s">
        <v>88</v>
      </c>
      <c r="Z401" s="364" t="s">
        <v>689</v>
      </c>
      <c r="AA401" s="364" t="s">
        <v>688</v>
      </c>
      <c r="AB401" s="364" t="s">
        <v>649</v>
      </c>
      <c r="AC401" s="364" t="s">
        <v>649</v>
      </c>
      <c r="AD401" s="364" t="s">
        <v>649</v>
      </c>
      <c r="AE401" s="364" t="s">
        <v>88</v>
      </c>
      <c r="AF401" s="364" t="s">
        <v>88</v>
      </c>
      <c r="AG401" s="364" t="s">
        <v>88</v>
      </c>
      <c r="AH401" s="364" t="s">
        <v>88</v>
      </c>
      <c r="AI401" s="364" t="s">
        <v>1199</v>
      </c>
      <c r="AJ401" s="364" t="s">
        <v>648</v>
      </c>
      <c r="AK401" s="364" t="s">
        <v>669</v>
      </c>
      <c r="AL401" s="364" t="s">
        <v>646</v>
      </c>
      <c r="AM401" s="364" t="s">
        <v>668</v>
      </c>
      <c r="AN401" s="364" t="s">
        <v>644</v>
      </c>
    </row>
    <row r="402" spans="1:40" x14ac:dyDescent="0.3">
      <c r="A402" s="364" t="s">
        <v>2306</v>
      </c>
      <c r="B402" s="364" t="s">
        <v>661</v>
      </c>
      <c r="C402" s="364" t="s">
        <v>660</v>
      </c>
      <c r="D402" s="364" t="s">
        <v>87</v>
      </c>
      <c r="E402" s="364" t="s">
        <v>2274</v>
      </c>
      <c r="F402" s="364" t="s">
        <v>2274</v>
      </c>
      <c r="G402" s="364" t="s">
        <v>658</v>
      </c>
      <c r="H402" s="364" t="s">
        <v>2305</v>
      </c>
      <c r="I402" s="364" t="s">
        <v>2304</v>
      </c>
      <c r="J402" s="364" t="s">
        <v>673</v>
      </c>
      <c r="K402" s="364" t="s">
        <v>668</v>
      </c>
      <c r="L402" s="364" t="s">
        <v>190</v>
      </c>
      <c r="M402" s="364" t="s">
        <v>58</v>
      </c>
      <c r="N402" s="364" t="s">
        <v>654</v>
      </c>
      <c r="O402" s="364" t="s">
        <v>653</v>
      </c>
      <c r="P402" s="364" t="s">
        <v>198</v>
      </c>
      <c r="Q402" s="364" t="s">
        <v>652</v>
      </c>
      <c r="R402" s="364" t="s">
        <v>88</v>
      </c>
      <c r="S402" s="364" t="s">
        <v>88</v>
      </c>
      <c r="T402" s="364" t="s">
        <v>88</v>
      </c>
      <c r="U402" s="364" t="s">
        <v>88</v>
      </c>
      <c r="V402" s="364" t="s">
        <v>88</v>
      </c>
      <c r="W402" s="364" t="s">
        <v>88</v>
      </c>
      <c r="X402" s="364" t="s">
        <v>88</v>
      </c>
      <c r="Y402" s="364" t="s">
        <v>88</v>
      </c>
      <c r="Z402" s="364" t="s">
        <v>702</v>
      </c>
      <c r="AA402" s="364" t="s">
        <v>701</v>
      </c>
      <c r="AB402" s="364" t="s">
        <v>649</v>
      </c>
      <c r="AC402" s="364" t="s">
        <v>649</v>
      </c>
      <c r="AD402" s="364" t="s">
        <v>649</v>
      </c>
      <c r="AE402" s="364" t="s">
        <v>88</v>
      </c>
      <c r="AF402" s="364" t="s">
        <v>88</v>
      </c>
      <c r="AG402" s="364" t="s">
        <v>88</v>
      </c>
      <c r="AH402" s="364" t="s">
        <v>88</v>
      </c>
      <c r="AI402" s="364" t="s">
        <v>1199</v>
      </c>
      <c r="AJ402" s="364" t="s">
        <v>648</v>
      </c>
      <c r="AK402" s="364" t="s">
        <v>669</v>
      </c>
      <c r="AL402" s="364" t="s">
        <v>646</v>
      </c>
      <c r="AM402" s="364" t="s">
        <v>668</v>
      </c>
      <c r="AN402" s="364" t="s">
        <v>644</v>
      </c>
    </row>
    <row r="403" spans="1:40" x14ac:dyDescent="0.3">
      <c r="A403" s="364" t="s">
        <v>2303</v>
      </c>
      <c r="B403" s="364" t="s">
        <v>661</v>
      </c>
      <c r="C403" s="364" t="s">
        <v>660</v>
      </c>
      <c r="D403" s="364" t="s">
        <v>87</v>
      </c>
      <c r="E403" s="364" t="s">
        <v>2274</v>
      </c>
      <c r="F403" s="364" t="s">
        <v>2274</v>
      </c>
      <c r="G403" s="364" t="s">
        <v>658</v>
      </c>
      <c r="H403" s="364" t="s">
        <v>2302</v>
      </c>
      <c r="I403" s="364" t="s">
        <v>2291</v>
      </c>
      <c r="J403" s="364" t="s">
        <v>673</v>
      </c>
      <c r="K403" s="364" t="s">
        <v>668</v>
      </c>
      <c r="L403" s="364" t="s">
        <v>190</v>
      </c>
      <c r="M403" s="364" t="s">
        <v>59</v>
      </c>
      <c r="N403" s="364" t="s">
        <v>654</v>
      </c>
      <c r="O403" s="364" t="s">
        <v>653</v>
      </c>
      <c r="P403" s="364" t="s">
        <v>198</v>
      </c>
      <c r="Q403" s="364" t="s">
        <v>652</v>
      </c>
      <c r="R403" s="364" t="s">
        <v>88</v>
      </c>
      <c r="S403" s="364" t="s">
        <v>88</v>
      </c>
      <c r="T403" s="364" t="s">
        <v>88</v>
      </c>
      <c r="U403" s="364" t="s">
        <v>88</v>
      </c>
      <c r="V403" s="364" t="s">
        <v>88</v>
      </c>
      <c r="W403" s="364" t="s">
        <v>88</v>
      </c>
      <c r="X403" s="364" t="s">
        <v>88</v>
      </c>
      <c r="Y403" s="364" t="s">
        <v>88</v>
      </c>
      <c r="Z403" s="364" t="s">
        <v>672</v>
      </c>
      <c r="AA403" s="364" t="s">
        <v>671</v>
      </c>
      <c r="AB403" s="364" t="s">
        <v>649</v>
      </c>
      <c r="AC403" s="364" t="s">
        <v>649</v>
      </c>
      <c r="AD403" s="364" t="s">
        <v>649</v>
      </c>
      <c r="AE403" s="364" t="s">
        <v>88</v>
      </c>
      <c r="AF403" s="364" t="s">
        <v>88</v>
      </c>
      <c r="AG403" s="364" t="s">
        <v>88</v>
      </c>
      <c r="AH403" s="364" t="s">
        <v>88</v>
      </c>
      <c r="AI403" s="364" t="s">
        <v>1199</v>
      </c>
      <c r="AJ403" s="364" t="s">
        <v>648</v>
      </c>
      <c r="AK403" s="364" t="s">
        <v>669</v>
      </c>
      <c r="AL403" s="364" t="s">
        <v>646</v>
      </c>
      <c r="AM403" s="364" t="s">
        <v>668</v>
      </c>
      <c r="AN403" s="364" t="s">
        <v>644</v>
      </c>
    </row>
    <row r="404" spans="1:40" x14ac:dyDescent="0.3">
      <c r="A404" s="364" t="s">
        <v>2301</v>
      </c>
      <c r="B404" s="364" t="s">
        <v>661</v>
      </c>
      <c r="C404" s="364" t="s">
        <v>1160</v>
      </c>
      <c r="D404" s="364" t="s">
        <v>87</v>
      </c>
      <c r="E404" s="364" t="s">
        <v>2270</v>
      </c>
      <c r="F404" s="364" t="s">
        <v>2270</v>
      </c>
      <c r="G404" s="364" t="s">
        <v>658</v>
      </c>
      <c r="H404" s="364" t="s">
        <v>2300</v>
      </c>
      <c r="I404" s="364" t="s">
        <v>88</v>
      </c>
      <c r="J404" s="364" t="s">
        <v>88</v>
      </c>
      <c r="K404" s="364" t="s">
        <v>88</v>
      </c>
      <c r="L404" s="364" t="s">
        <v>88</v>
      </c>
      <c r="M404" s="364" t="s">
        <v>138</v>
      </c>
      <c r="N404" s="364" t="s">
        <v>654</v>
      </c>
      <c r="O404" s="364" t="s">
        <v>653</v>
      </c>
      <c r="P404" s="364" t="s">
        <v>88</v>
      </c>
      <c r="Q404" s="364" t="s">
        <v>88</v>
      </c>
      <c r="R404" s="364" t="s">
        <v>88</v>
      </c>
      <c r="S404" s="364" t="s">
        <v>88</v>
      </c>
      <c r="T404" s="364" t="s">
        <v>88</v>
      </c>
      <c r="U404" s="364" t="s">
        <v>88</v>
      </c>
      <c r="V404" s="364" t="s">
        <v>88</v>
      </c>
      <c r="W404" s="364" t="s">
        <v>88</v>
      </c>
      <c r="X404" s="364" t="s">
        <v>88</v>
      </c>
      <c r="Y404" s="364" t="s">
        <v>88</v>
      </c>
      <c r="Z404" s="364" t="s">
        <v>88</v>
      </c>
      <c r="AA404" s="364" t="s">
        <v>649</v>
      </c>
      <c r="AB404" s="364" t="s">
        <v>88</v>
      </c>
      <c r="AC404" s="364" t="s">
        <v>88</v>
      </c>
      <c r="AD404" s="364" t="s">
        <v>88</v>
      </c>
      <c r="AE404" s="364" t="s">
        <v>88</v>
      </c>
      <c r="AF404" s="364" t="s">
        <v>88</v>
      </c>
      <c r="AG404" s="364" t="s">
        <v>88</v>
      </c>
      <c r="AH404" s="364" t="s">
        <v>88</v>
      </c>
      <c r="AI404" s="364" t="s">
        <v>2299</v>
      </c>
      <c r="AJ404" s="364" t="s">
        <v>798</v>
      </c>
      <c r="AK404" s="364" t="s">
        <v>88</v>
      </c>
      <c r="AL404" s="364" t="s">
        <v>88</v>
      </c>
      <c r="AM404" s="364" t="s">
        <v>88</v>
      </c>
      <c r="AN404" s="364" t="s">
        <v>792</v>
      </c>
    </row>
    <row r="405" spans="1:40" x14ac:dyDescent="0.3">
      <c r="A405" s="364" t="s">
        <v>2298</v>
      </c>
      <c r="B405" s="364" t="s">
        <v>661</v>
      </c>
      <c r="C405" s="364" t="s">
        <v>660</v>
      </c>
      <c r="D405" s="364" t="s">
        <v>170</v>
      </c>
      <c r="E405" s="364" t="s">
        <v>2274</v>
      </c>
      <c r="F405" s="364" t="s">
        <v>2274</v>
      </c>
      <c r="G405" s="364" t="s">
        <v>658</v>
      </c>
      <c r="H405" s="364" t="s">
        <v>2297</v>
      </c>
      <c r="I405" s="364" t="s">
        <v>2296</v>
      </c>
      <c r="J405" s="364" t="s">
        <v>673</v>
      </c>
      <c r="K405" s="364" t="s">
        <v>668</v>
      </c>
      <c r="L405" s="364" t="s">
        <v>190</v>
      </c>
      <c r="M405" s="364" t="s">
        <v>164</v>
      </c>
      <c r="N405" s="364" t="s">
        <v>654</v>
      </c>
      <c r="O405" s="364" t="s">
        <v>653</v>
      </c>
      <c r="P405" s="364" t="s">
        <v>198</v>
      </c>
      <c r="Q405" s="364" t="s">
        <v>652</v>
      </c>
      <c r="R405" s="364" t="s">
        <v>88</v>
      </c>
      <c r="S405" s="364" t="s">
        <v>88</v>
      </c>
      <c r="T405" s="364" t="s">
        <v>88</v>
      </c>
      <c r="U405" s="364" t="s">
        <v>88</v>
      </c>
      <c r="V405" s="364" t="s">
        <v>88</v>
      </c>
      <c r="W405" s="364" t="s">
        <v>88</v>
      </c>
      <c r="X405" s="364" t="s">
        <v>88</v>
      </c>
      <c r="Y405" s="364" t="s">
        <v>88</v>
      </c>
      <c r="Z405" s="364" t="s">
        <v>825</v>
      </c>
      <c r="AA405" s="364" t="s">
        <v>649</v>
      </c>
      <c r="AB405" s="364" t="s">
        <v>649</v>
      </c>
      <c r="AC405" s="364" t="s">
        <v>649</v>
      </c>
      <c r="AD405" s="364" t="s">
        <v>649</v>
      </c>
      <c r="AE405" s="364" t="s">
        <v>88</v>
      </c>
      <c r="AF405" s="364" t="s">
        <v>88</v>
      </c>
      <c r="AG405" s="364" t="s">
        <v>88</v>
      </c>
      <c r="AH405" s="364" t="s">
        <v>88</v>
      </c>
      <c r="AI405" s="364" t="s">
        <v>1199</v>
      </c>
      <c r="AJ405" s="364" t="s">
        <v>670</v>
      </c>
      <c r="AK405" s="364" t="s">
        <v>687</v>
      </c>
      <c r="AL405" s="364" t="s">
        <v>646</v>
      </c>
      <c r="AM405" s="364" t="s">
        <v>668</v>
      </c>
      <c r="AN405" s="364" t="s">
        <v>644</v>
      </c>
    </row>
    <row r="406" spans="1:40" x14ac:dyDescent="0.3">
      <c r="A406" s="364" t="s">
        <v>2295</v>
      </c>
      <c r="B406" s="364" t="s">
        <v>661</v>
      </c>
      <c r="C406" s="364" t="s">
        <v>660</v>
      </c>
      <c r="D406" s="364" t="s">
        <v>170</v>
      </c>
      <c r="E406" s="364" t="s">
        <v>2270</v>
      </c>
      <c r="F406" s="364" t="s">
        <v>2270</v>
      </c>
      <c r="G406" s="364" t="s">
        <v>658</v>
      </c>
      <c r="H406" s="364" t="s">
        <v>2294</v>
      </c>
      <c r="I406" s="364" t="s">
        <v>1083</v>
      </c>
      <c r="J406" s="364" t="s">
        <v>673</v>
      </c>
      <c r="K406" s="364" t="s">
        <v>668</v>
      </c>
      <c r="L406" s="364" t="s">
        <v>190</v>
      </c>
      <c r="M406" s="364" t="s">
        <v>164</v>
      </c>
      <c r="N406" s="364" t="s">
        <v>654</v>
      </c>
      <c r="O406" s="364" t="s">
        <v>653</v>
      </c>
      <c r="P406" s="364" t="s">
        <v>198</v>
      </c>
      <c r="Q406" s="364" t="s">
        <v>652</v>
      </c>
      <c r="R406" s="364" t="s">
        <v>88</v>
      </c>
      <c r="S406" s="364" t="s">
        <v>88</v>
      </c>
      <c r="T406" s="364" t="s">
        <v>88</v>
      </c>
      <c r="U406" s="364" t="s">
        <v>88</v>
      </c>
      <c r="V406" s="364" t="s">
        <v>88</v>
      </c>
      <c r="W406" s="364" t="s">
        <v>88</v>
      </c>
      <c r="X406" s="364" t="s">
        <v>88</v>
      </c>
      <c r="Y406" s="364" t="s">
        <v>88</v>
      </c>
      <c r="Z406" s="364" t="s">
        <v>825</v>
      </c>
      <c r="AA406" s="364" t="s">
        <v>649</v>
      </c>
      <c r="AB406" s="364" t="s">
        <v>649</v>
      </c>
      <c r="AC406" s="364" t="s">
        <v>649</v>
      </c>
      <c r="AD406" s="364" t="s">
        <v>649</v>
      </c>
      <c r="AE406" s="364" t="s">
        <v>88</v>
      </c>
      <c r="AF406" s="364" t="s">
        <v>88</v>
      </c>
      <c r="AG406" s="364" t="s">
        <v>88</v>
      </c>
      <c r="AH406" s="364" t="s">
        <v>88</v>
      </c>
      <c r="AI406" s="364" t="s">
        <v>1199</v>
      </c>
      <c r="AJ406" s="364" t="s">
        <v>670</v>
      </c>
      <c r="AK406" s="364" t="s">
        <v>687</v>
      </c>
      <c r="AL406" s="364" t="s">
        <v>646</v>
      </c>
      <c r="AM406" s="364" t="s">
        <v>668</v>
      </c>
      <c r="AN406" s="364" t="s">
        <v>644</v>
      </c>
    </row>
    <row r="407" spans="1:40" x14ac:dyDescent="0.3">
      <c r="A407" s="364" t="s">
        <v>2293</v>
      </c>
      <c r="B407" s="364" t="s">
        <v>661</v>
      </c>
      <c r="C407" s="364" t="s">
        <v>660</v>
      </c>
      <c r="D407" s="364" t="s">
        <v>87</v>
      </c>
      <c r="E407" s="364" t="s">
        <v>2270</v>
      </c>
      <c r="F407" s="364" t="s">
        <v>2270</v>
      </c>
      <c r="G407" s="364" t="s">
        <v>658</v>
      </c>
      <c r="H407" s="364" t="s">
        <v>2292</v>
      </c>
      <c r="I407" s="364" t="s">
        <v>2291</v>
      </c>
      <c r="J407" s="364" t="s">
        <v>673</v>
      </c>
      <c r="K407" s="364" t="s">
        <v>668</v>
      </c>
      <c r="L407" s="364" t="s">
        <v>190</v>
      </c>
      <c r="M407" s="364" t="s">
        <v>59</v>
      </c>
      <c r="N407" s="364" t="s">
        <v>654</v>
      </c>
      <c r="O407" s="364" t="s">
        <v>653</v>
      </c>
      <c r="P407" s="364" t="s">
        <v>198</v>
      </c>
      <c r="Q407" s="364" t="s">
        <v>652</v>
      </c>
      <c r="R407" s="364" t="s">
        <v>88</v>
      </c>
      <c r="S407" s="364" t="s">
        <v>88</v>
      </c>
      <c r="T407" s="364" t="s">
        <v>88</v>
      </c>
      <c r="U407" s="364" t="s">
        <v>88</v>
      </c>
      <c r="V407" s="364" t="s">
        <v>88</v>
      </c>
      <c r="W407" s="364" t="s">
        <v>88</v>
      </c>
      <c r="X407" s="364" t="s">
        <v>88</v>
      </c>
      <c r="Y407" s="364" t="s">
        <v>88</v>
      </c>
      <c r="Z407" s="364" t="s">
        <v>672</v>
      </c>
      <c r="AA407" s="364" t="s">
        <v>671</v>
      </c>
      <c r="AB407" s="364" t="s">
        <v>649</v>
      </c>
      <c r="AC407" s="364" t="s">
        <v>649</v>
      </c>
      <c r="AD407" s="364" t="s">
        <v>649</v>
      </c>
      <c r="AE407" s="364" t="s">
        <v>88</v>
      </c>
      <c r="AF407" s="364" t="s">
        <v>88</v>
      </c>
      <c r="AG407" s="364" t="s">
        <v>88</v>
      </c>
      <c r="AH407" s="364" t="s">
        <v>88</v>
      </c>
      <c r="AI407" s="364" t="s">
        <v>1199</v>
      </c>
      <c r="AJ407" s="364" t="s">
        <v>670</v>
      </c>
      <c r="AK407" s="364" t="s">
        <v>669</v>
      </c>
      <c r="AL407" s="364" t="s">
        <v>646</v>
      </c>
      <c r="AM407" s="364" t="s">
        <v>668</v>
      </c>
      <c r="AN407" s="364" t="s">
        <v>644</v>
      </c>
    </row>
    <row r="408" spans="1:40" x14ac:dyDescent="0.3">
      <c r="A408" s="364" t="s">
        <v>2290</v>
      </c>
      <c r="B408" s="364" t="s">
        <v>661</v>
      </c>
      <c r="C408" s="364" t="s">
        <v>660</v>
      </c>
      <c r="D408" s="364" t="s">
        <v>87</v>
      </c>
      <c r="E408" s="364" t="s">
        <v>2270</v>
      </c>
      <c r="F408" s="364" t="s">
        <v>2270</v>
      </c>
      <c r="G408" s="364" t="s">
        <v>658</v>
      </c>
      <c r="H408" s="364" t="s">
        <v>2289</v>
      </c>
      <c r="I408" s="364" t="s">
        <v>2288</v>
      </c>
      <c r="J408" s="364" t="s">
        <v>673</v>
      </c>
      <c r="K408" s="364" t="s">
        <v>668</v>
      </c>
      <c r="L408" s="364" t="s">
        <v>190</v>
      </c>
      <c r="M408" s="364" t="s">
        <v>58</v>
      </c>
      <c r="N408" s="364" t="s">
        <v>654</v>
      </c>
      <c r="O408" s="364" t="s">
        <v>653</v>
      </c>
      <c r="P408" s="364" t="s">
        <v>198</v>
      </c>
      <c r="Q408" s="364" t="s">
        <v>652</v>
      </c>
      <c r="R408" s="364" t="s">
        <v>88</v>
      </c>
      <c r="S408" s="364" t="s">
        <v>88</v>
      </c>
      <c r="T408" s="364" t="s">
        <v>88</v>
      </c>
      <c r="U408" s="364" t="s">
        <v>88</v>
      </c>
      <c r="V408" s="364" t="s">
        <v>88</v>
      </c>
      <c r="W408" s="364" t="s">
        <v>88</v>
      </c>
      <c r="X408" s="364" t="s">
        <v>88</v>
      </c>
      <c r="Y408" s="364" t="s">
        <v>88</v>
      </c>
      <c r="Z408" s="364" t="s">
        <v>702</v>
      </c>
      <c r="AA408" s="364" t="s">
        <v>701</v>
      </c>
      <c r="AB408" s="364" t="s">
        <v>649</v>
      </c>
      <c r="AC408" s="364" t="s">
        <v>649</v>
      </c>
      <c r="AD408" s="364" t="s">
        <v>649</v>
      </c>
      <c r="AE408" s="364" t="s">
        <v>88</v>
      </c>
      <c r="AF408" s="364" t="s">
        <v>88</v>
      </c>
      <c r="AG408" s="364" t="s">
        <v>88</v>
      </c>
      <c r="AH408" s="364" t="s">
        <v>88</v>
      </c>
      <c r="AI408" s="364" t="s">
        <v>1199</v>
      </c>
      <c r="AJ408" s="364" t="s">
        <v>670</v>
      </c>
      <c r="AK408" s="364" t="s">
        <v>669</v>
      </c>
      <c r="AL408" s="364" t="s">
        <v>646</v>
      </c>
      <c r="AM408" s="364" t="s">
        <v>668</v>
      </c>
      <c r="AN408" s="364" t="s">
        <v>644</v>
      </c>
    </row>
    <row r="409" spans="1:40" x14ac:dyDescent="0.3">
      <c r="A409" s="364" t="s">
        <v>2287</v>
      </c>
      <c r="B409" s="364" t="s">
        <v>661</v>
      </c>
      <c r="C409" s="364" t="s">
        <v>660</v>
      </c>
      <c r="D409" s="364" t="s">
        <v>87</v>
      </c>
      <c r="E409" s="364" t="s">
        <v>2270</v>
      </c>
      <c r="F409" s="364" t="s">
        <v>2270</v>
      </c>
      <c r="G409" s="364" t="s">
        <v>658</v>
      </c>
      <c r="H409" s="364" t="s">
        <v>2286</v>
      </c>
      <c r="I409" s="364" t="s">
        <v>2205</v>
      </c>
      <c r="J409" s="364" t="s">
        <v>673</v>
      </c>
      <c r="K409" s="364" t="s">
        <v>668</v>
      </c>
      <c r="L409" s="364" t="s">
        <v>190</v>
      </c>
      <c r="M409" s="364" t="s">
        <v>62</v>
      </c>
      <c r="N409" s="364" t="s">
        <v>654</v>
      </c>
      <c r="O409" s="364" t="s">
        <v>653</v>
      </c>
      <c r="P409" s="364" t="s">
        <v>198</v>
      </c>
      <c r="Q409" s="364" t="s">
        <v>652</v>
      </c>
      <c r="R409" s="364" t="s">
        <v>88</v>
      </c>
      <c r="S409" s="364" t="s">
        <v>88</v>
      </c>
      <c r="T409" s="364" t="s">
        <v>88</v>
      </c>
      <c r="U409" s="364" t="s">
        <v>88</v>
      </c>
      <c r="V409" s="364" t="s">
        <v>88</v>
      </c>
      <c r="W409" s="364" t="s">
        <v>88</v>
      </c>
      <c r="X409" s="364" t="s">
        <v>88</v>
      </c>
      <c r="Y409" s="364" t="s">
        <v>88</v>
      </c>
      <c r="Z409" s="364" t="s">
        <v>689</v>
      </c>
      <c r="AA409" s="364" t="s">
        <v>688</v>
      </c>
      <c r="AB409" s="364" t="s">
        <v>649</v>
      </c>
      <c r="AC409" s="364" t="s">
        <v>649</v>
      </c>
      <c r="AD409" s="364" t="s">
        <v>649</v>
      </c>
      <c r="AE409" s="364" t="s">
        <v>88</v>
      </c>
      <c r="AF409" s="364" t="s">
        <v>88</v>
      </c>
      <c r="AG409" s="364" t="s">
        <v>88</v>
      </c>
      <c r="AH409" s="364" t="s">
        <v>88</v>
      </c>
      <c r="AI409" s="364" t="s">
        <v>1199</v>
      </c>
      <c r="AJ409" s="364" t="s">
        <v>670</v>
      </c>
      <c r="AK409" s="364" t="s">
        <v>669</v>
      </c>
      <c r="AL409" s="364" t="s">
        <v>646</v>
      </c>
      <c r="AM409" s="364" t="s">
        <v>668</v>
      </c>
      <c r="AN409" s="364" t="s">
        <v>644</v>
      </c>
    </row>
    <row r="410" spans="1:40" x14ac:dyDescent="0.3">
      <c r="A410" s="364" t="s">
        <v>2285</v>
      </c>
      <c r="B410" s="364" t="s">
        <v>661</v>
      </c>
      <c r="C410" s="364" t="s">
        <v>660</v>
      </c>
      <c r="D410" s="364" t="s">
        <v>90</v>
      </c>
      <c r="E410" s="364" t="s">
        <v>2284</v>
      </c>
      <c r="F410" s="364" t="s">
        <v>2284</v>
      </c>
      <c r="G410" s="364" t="s">
        <v>658</v>
      </c>
      <c r="H410" s="364" t="s">
        <v>2283</v>
      </c>
      <c r="I410" s="364" t="s">
        <v>2282</v>
      </c>
      <c r="J410" s="364" t="s">
        <v>673</v>
      </c>
      <c r="K410" s="364" t="s">
        <v>668</v>
      </c>
      <c r="L410" s="364" t="s">
        <v>190</v>
      </c>
      <c r="M410" s="364" t="s">
        <v>718</v>
      </c>
      <c r="N410" s="364" t="s">
        <v>654</v>
      </c>
      <c r="O410" s="364" t="s">
        <v>653</v>
      </c>
      <c r="P410" s="364" t="s">
        <v>198</v>
      </c>
      <c r="Q410" s="364" t="s">
        <v>652</v>
      </c>
      <c r="R410" s="364" t="s">
        <v>88</v>
      </c>
      <c r="S410" s="364" t="s">
        <v>88</v>
      </c>
      <c r="T410" s="364" t="s">
        <v>88</v>
      </c>
      <c r="U410" s="364" t="s">
        <v>88</v>
      </c>
      <c r="V410" s="364" t="s">
        <v>88</v>
      </c>
      <c r="W410" s="364" t="s">
        <v>88</v>
      </c>
      <c r="X410" s="364" t="s">
        <v>88</v>
      </c>
      <c r="Y410" s="364" t="s">
        <v>88</v>
      </c>
      <c r="Z410" s="364" t="s">
        <v>717</v>
      </c>
      <c r="AA410" s="364" t="s">
        <v>649</v>
      </c>
      <c r="AB410" s="364" t="s">
        <v>649</v>
      </c>
      <c r="AC410" s="364" t="s">
        <v>649</v>
      </c>
      <c r="AD410" s="364" t="s">
        <v>649</v>
      </c>
      <c r="AE410" s="364" t="s">
        <v>88</v>
      </c>
      <c r="AF410" s="364" t="s">
        <v>88</v>
      </c>
      <c r="AG410" s="364" t="s">
        <v>88</v>
      </c>
      <c r="AH410" s="364" t="s">
        <v>88</v>
      </c>
      <c r="AI410" s="364" t="s">
        <v>1155</v>
      </c>
      <c r="AJ410" s="364" t="s">
        <v>710</v>
      </c>
      <c r="AK410" s="364" t="s">
        <v>1016</v>
      </c>
      <c r="AL410" s="364" t="s">
        <v>646</v>
      </c>
      <c r="AM410" s="364" t="s">
        <v>668</v>
      </c>
      <c r="AN410" s="364" t="s">
        <v>644</v>
      </c>
    </row>
    <row r="411" spans="1:40" x14ac:dyDescent="0.3">
      <c r="A411" s="364" t="s">
        <v>2285</v>
      </c>
      <c r="B411" s="364" t="s">
        <v>661</v>
      </c>
      <c r="C411" s="364" t="s">
        <v>660</v>
      </c>
      <c r="D411" s="364" t="s">
        <v>90</v>
      </c>
      <c r="E411" s="364" t="s">
        <v>2284</v>
      </c>
      <c r="F411" s="364" t="s">
        <v>2284</v>
      </c>
      <c r="G411" s="364" t="s">
        <v>658</v>
      </c>
      <c r="H411" s="364" t="s">
        <v>2283</v>
      </c>
      <c r="I411" s="364" t="s">
        <v>2282</v>
      </c>
      <c r="J411" s="364" t="s">
        <v>673</v>
      </c>
      <c r="K411" s="364" t="s">
        <v>668</v>
      </c>
      <c r="L411" s="364" t="s">
        <v>190</v>
      </c>
      <c r="M411" s="364" t="s">
        <v>713</v>
      </c>
      <c r="N411" s="364" t="s">
        <v>654</v>
      </c>
      <c r="O411" s="364" t="s">
        <v>653</v>
      </c>
      <c r="P411" s="364" t="s">
        <v>198</v>
      </c>
      <c r="Q411" s="364" t="s">
        <v>652</v>
      </c>
      <c r="R411" s="364" t="s">
        <v>88</v>
      </c>
      <c r="S411" s="364" t="s">
        <v>88</v>
      </c>
      <c r="T411" s="364" t="s">
        <v>88</v>
      </c>
      <c r="U411" s="364" t="s">
        <v>88</v>
      </c>
      <c r="V411" s="364" t="s">
        <v>88</v>
      </c>
      <c r="W411" s="364" t="s">
        <v>88</v>
      </c>
      <c r="X411" s="364" t="s">
        <v>88</v>
      </c>
      <c r="Y411" s="364" t="s">
        <v>88</v>
      </c>
      <c r="Z411" s="364" t="s">
        <v>712</v>
      </c>
      <c r="AA411" s="364" t="s">
        <v>711</v>
      </c>
      <c r="AB411" s="364" t="s">
        <v>649</v>
      </c>
      <c r="AC411" s="364" t="s">
        <v>649</v>
      </c>
      <c r="AD411" s="364" t="s">
        <v>649</v>
      </c>
      <c r="AE411" s="364" t="s">
        <v>88</v>
      </c>
      <c r="AF411" s="364" t="s">
        <v>88</v>
      </c>
      <c r="AG411" s="364" t="s">
        <v>88</v>
      </c>
      <c r="AH411" s="364" t="s">
        <v>88</v>
      </c>
      <c r="AI411" s="364" t="s">
        <v>1155</v>
      </c>
      <c r="AJ411" s="364" t="s">
        <v>710</v>
      </c>
      <c r="AK411" s="364" t="s">
        <v>1016</v>
      </c>
      <c r="AL411" s="364" t="s">
        <v>646</v>
      </c>
      <c r="AM411" s="364" t="s">
        <v>668</v>
      </c>
      <c r="AN411" s="364" t="s">
        <v>644</v>
      </c>
    </row>
    <row r="412" spans="1:40" x14ac:dyDescent="0.3">
      <c r="A412" s="364" t="s">
        <v>2285</v>
      </c>
      <c r="B412" s="364" t="s">
        <v>661</v>
      </c>
      <c r="C412" s="364" t="s">
        <v>660</v>
      </c>
      <c r="D412" s="364" t="s">
        <v>90</v>
      </c>
      <c r="E412" s="364" t="s">
        <v>2284</v>
      </c>
      <c r="F412" s="364" t="s">
        <v>2284</v>
      </c>
      <c r="G412" s="364" t="s">
        <v>658</v>
      </c>
      <c r="H412" s="364" t="s">
        <v>2283</v>
      </c>
      <c r="I412" s="364" t="s">
        <v>2282</v>
      </c>
      <c r="J412" s="364" t="s">
        <v>673</v>
      </c>
      <c r="K412" s="364" t="s">
        <v>668</v>
      </c>
      <c r="L412" s="364" t="s">
        <v>190</v>
      </c>
      <c r="M412" s="364" t="s">
        <v>54</v>
      </c>
      <c r="N412" s="364" t="s">
        <v>654</v>
      </c>
      <c r="O412" s="364" t="s">
        <v>653</v>
      </c>
      <c r="P412" s="364" t="s">
        <v>198</v>
      </c>
      <c r="Q412" s="364" t="s">
        <v>652</v>
      </c>
      <c r="R412" s="364" t="s">
        <v>88</v>
      </c>
      <c r="S412" s="364" t="s">
        <v>88</v>
      </c>
      <c r="T412" s="364" t="s">
        <v>88</v>
      </c>
      <c r="U412" s="364" t="s">
        <v>88</v>
      </c>
      <c r="V412" s="364" t="s">
        <v>88</v>
      </c>
      <c r="W412" s="364" t="s">
        <v>88</v>
      </c>
      <c r="X412" s="364" t="s">
        <v>88</v>
      </c>
      <c r="Y412" s="364" t="s">
        <v>88</v>
      </c>
      <c r="Z412" s="364" t="s">
        <v>1265</v>
      </c>
      <c r="AA412" s="364" t="s">
        <v>649</v>
      </c>
      <c r="AB412" s="364" t="s">
        <v>649</v>
      </c>
      <c r="AC412" s="364" t="s">
        <v>649</v>
      </c>
      <c r="AD412" s="364" t="s">
        <v>649</v>
      </c>
      <c r="AE412" s="364" t="s">
        <v>88</v>
      </c>
      <c r="AF412" s="364" t="s">
        <v>88</v>
      </c>
      <c r="AG412" s="364" t="s">
        <v>88</v>
      </c>
      <c r="AH412" s="364" t="s">
        <v>88</v>
      </c>
      <c r="AI412" s="364" t="s">
        <v>1155</v>
      </c>
      <c r="AJ412" s="364" t="s">
        <v>710</v>
      </c>
      <c r="AK412" s="364" t="s">
        <v>1016</v>
      </c>
      <c r="AL412" s="364" t="s">
        <v>646</v>
      </c>
      <c r="AM412" s="364" t="s">
        <v>668</v>
      </c>
      <c r="AN412" s="364" t="s">
        <v>644</v>
      </c>
    </row>
    <row r="413" spans="1:40" x14ac:dyDescent="0.3">
      <c r="A413" s="364" t="s">
        <v>2285</v>
      </c>
      <c r="B413" s="364" t="s">
        <v>661</v>
      </c>
      <c r="C413" s="364" t="s">
        <v>660</v>
      </c>
      <c r="D413" s="364" t="s">
        <v>90</v>
      </c>
      <c r="E413" s="364" t="s">
        <v>2284</v>
      </c>
      <c r="F413" s="364" t="s">
        <v>2284</v>
      </c>
      <c r="G413" s="364" t="s">
        <v>658</v>
      </c>
      <c r="H413" s="364" t="s">
        <v>2283</v>
      </c>
      <c r="I413" s="364" t="s">
        <v>2282</v>
      </c>
      <c r="J413" s="364" t="s">
        <v>673</v>
      </c>
      <c r="K413" s="364" t="s">
        <v>668</v>
      </c>
      <c r="L413" s="364" t="s">
        <v>190</v>
      </c>
      <c r="M413" s="364" t="s">
        <v>61</v>
      </c>
      <c r="N413" s="364" t="s">
        <v>654</v>
      </c>
      <c r="O413" s="364" t="s">
        <v>653</v>
      </c>
      <c r="P413" s="364" t="s">
        <v>198</v>
      </c>
      <c r="Q413" s="364" t="s">
        <v>652</v>
      </c>
      <c r="R413" s="364" t="s">
        <v>88</v>
      </c>
      <c r="S413" s="364" t="s">
        <v>88</v>
      </c>
      <c r="T413" s="364" t="s">
        <v>88</v>
      </c>
      <c r="U413" s="364" t="s">
        <v>88</v>
      </c>
      <c r="V413" s="364" t="s">
        <v>88</v>
      </c>
      <c r="W413" s="364" t="s">
        <v>88</v>
      </c>
      <c r="X413" s="364" t="s">
        <v>88</v>
      </c>
      <c r="Y413" s="364" t="s">
        <v>88</v>
      </c>
      <c r="Z413" s="364" t="s">
        <v>1021</v>
      </c>
      <c r="AA413" s="364" t="s">
        <v>671</v>
      </c>
      <c r="AB413" s="364" t="s">
        <v>649</v>
      </c>
      <c r="AC413" s="364" t="s">
        <v>649</v>
      </c>
      <c r="AD413" s="364" t="s">
        <v>649</v>
      </c>
      <c r="AE413" s="364" t="s">
        <v>88</v>
      </c>
      <c r="AF413" s="364" t="s">
        <v>88</v>
      </c>
      <c r="AG413" s="364" t="s">
        <v>88</v>
      </c>
      <c r="AH413" s="364" t="s">
        <v>88</v>
      </c>
      <c r="AI413" s="364" t="s">
        <v>1155</v>
      </c>
      <c r="AJ413" s="364" t="s">
        <v>710</v>
      </c>
      <c r="AK413" s="364" t="s">
        <v>1016</v>
      </c>
      <c r="AL413" s="364" t="s">
        <v>646</v>
      </c>
      <c r="AM413" s="364" t="s">
        <v>668</v>
      </c>
      <c r="AN413" s="364" t="s">
        <v>644</v>
      </c>
    </row>
    <row r="414" spans="1:40" x14ac:dyDescent="0.3">
      <c r="A414" s="364" t="s">
        <v>2285</v>
      </c>
      <c r="B414" s="364" t="s">
        <v>661</v>
      </c>
      <c r="C414" s="364" t="s">
        <v>660</v>
      </c>
      <c r="D414" s="364" t="s">
        <v>90</v>
      </c>
      <c r="E414" s="364" t="s">
        <v>2284</v>
      </c>
      <c r="F414" s="364" t="s">
        <v>2284</v>
      </c>
      <c r="G414" s="364" t="s">
        <v>658</v>
      </c>
      <c r="H414" s="364" t="s">
        <v>2283</v>
      </c>
      <c r="I414" s="364" t="s">
        <v>2282</v>
      </c>
      <c r="J414" s="364" t="s">
        <v>673</v>
      </c>
      <c r="K414" s="364" t="s">
        <v>668</v>
      </c>
      <c r="L414" s="364" t="s">
        <v>190</v>
      </c>
      <c r="M414" s="364" t="s">
        <v>725</v>
      </c>
      <c r="N414" s="364" t="s">
        <v>654</v>
      </c>
      <c r="O414" s="364" t="s">
        <v>653</v>
      </c>
      <c r="P414" s="364" t="s">
        <v>198</v>
      </c>
      <c r="Q414" s="364" t="s">
        <v>652</v>
      </c>
      <c r="R414" s="364" t="s">
        <v>88</v>
      </c>
      <c r="S414" s="364" t="s">
        <v>88</v>
      </c>
      <c r="T414" s="364" t="s">
        <v>88</v>
      </c>
      <c r="U414" s="364" t="s">
        <v>88</v>
      </c>
      <c r="V414" s="364" t="s">
        <v>88</v>
      </c>
      <c r="W414" s="364" t="s">
        <v>88</v>
      </c>
      <c r="X414" s="364" t="s">
        <v>88</v>
      </c>
      <c r="Y414" s="364" t="s">
        <v>88</v>
      </c>
      <c r="Z414" s="364" t="s">
        <v>724</v>
      </c>
      <c r="AA414" s="364" t="s">
        <v>649</v>
      </c>
      <c r="AB414" s="364" t="s">
        <v>649</v>
      </c>
      <c r="AC414" s="364" t="s">
        <v>649</v>
      </c>
      <c r="AD414" s="364" t="s">
        <v>649</v>
      </c>
      <c r="AE414" s="364" t="s">
        <v>88</v>
      </c>
      <c r="AF414" s="364" t="s">
        <v>88</v>
      </c>
      <c r="AG414" s="364" t="s">
        <v>88</v>
      </c>
      <c r="AH414" s="364" t="s">
        <v>88</v>
      </c>
      <c r="AI414" s="364" t="s">
        <v>1155</v>
      </c>
      <c r="AJ414" s="364" t="s">
        <v>710</v>
      </c>
      <c r="AK414" s="364" t="s">
        <v>1016</v>
      </c>
      <c r="AL414" s="364" t="s">
        <v>646</v>
      </c>
      <c r="AM414" s="364" t="s">
        <v>668</v>
      </c>
      <c r="AN414" s="364" t="s">
        <v>644</v>
      </c>
    </row>
    <row r="415" spans="1:40" x14ac:dyDescent="0.3">
      <c r="A415" s="364" t="s">
        <v>2285</v>
      </c>
      <c r="B415" s="364" t="s">
        <v>661</v>
      </c>
      <c r="C415" s="364" t="s">
        <v>660</v>
      </c>
      <c r="D415" s="364" t="s">
        <v>90</v>
      </c>
      <c r="E415" s="364" t="s">
        <v>2284</v>
      </c>
      <c r="F415" s="364" t="s">
        <v>2284</v>
      </c>
      <c r="G415" s="364" t="s">
        <v>658</v>
      </c>
      <c r="H415" s="364" t="s">
        <v>2283</v>
      </c>
      <c r="I415" s="364" t="s">
        <v>2282</v>
      </c>
      <c r="J415" s="364" t="s">
        <v>673</v>
      </c>
      <c r="K415" s="364" t="s">
        <v>668</v>
      </c>
      <c r="L415" s="364" t="s">
        <v>190</v>
      </c>
      <c r="M415" s="364" t="s">
        <v>723</v>
      </c>
      <c r="N415" s="364" t="s">
        <v>654</v>
      </c>
      <c r="O415" s="364" t="s">
        <v>653</v>
      </c>
      <c r="P415" s="364" t="s">
        <v>198</v>
      </c>
      <c r="Q415" s="364" t="s">
        <v>652</v>
      </c>
      <c r="R415" s="364" t="s">
        <v>88</v>
      </c>
      <c r="S415" s="364" t="s">
        <v>88</v>
      </c>
      <c r="T415" s="364" t="s">
        <v>88</v>
      </c>
      <c r="U415" s="364" t="s">
        <v>88</v>
      </c>
      <c r="V415" s="364" t="s">
        <v>88</v>
      </c>
      <c r="W415" s="364" t="s">
        <v>88</v>
      </c>
      <c r="X415" s="364" t="s">
        <v>88</v>
      </c>
      <c r="Y415" s="364" t="s">
        <v>88</v>
      </c>
      <c r="Z415" s="364" t="s">
        <v>722</v>
      </c>
      <c r="AA415" s="364" t="s">
        <v>649</v>
      </c>
      <c r="AB415" s="364" t="s">
        <v>649</v>
      </c>
      <c r="AC415" s="364" t="s">
        <v>649</v>
      </c>
      <c r="AD415" s="364" t="s">
        <v>649</v>
      </c>
      <c r="AE415" s="364" t="s">
        <v>88</v>
      </c>
      <c r="AF415" s="364" t="s">
        <v>88</v>
      </c>
      <c r="AG415" s="364" t="s">
        <v>88</v>
      </c>
      <c r="AH415" s="364" t="s">
        <v>88</v>
      </c>
      <c r="AI415" s="364" t="s">
        <v>1155</v>
      </c>
      <c r="AJ415" s="364" t="s">
        <v>710</v>
      </c>
      <c r="AK415" s="364" t="s">
        <v>1016</v>
      </c>
      <c r="AL415" s="364" t="s">
        <v>646</v>
      </c>
      <c r="AM415" s="364" t="s">
        <v>668</v>
      </c>
      <c r="AN415" s="364" t="s">
        <v>644</v>
      </c>
    </row>
    <row r="416" spans="1:40" x14ac:dyDescent="0.3">
      <c r="A416" s="364" t="s">
        <v>2285</v>
      </c>
      <c r="B416" s="364" t="s">
        <v>661</v>
      </c>
      <c r="C416" s="364" t="s">
        <v>660</v>
      </c>
      <c r="D416" s="364" t="s">
        <v>90</v>
      </c>
      <c r="E416" s="364" t="s">
        <v>2284</v>
      </c>
      <c r="F416" s="364" t="s">
        <v>2284</v>
      </c>
      <c r="G416" s="364" t="s">
        <v>658</v>
      </c>
      <c r="H416" s="364" t="s">
        <v>2283</v>
      </c>
      <c r="I416" s="364" t="s">
        <v>2282</v>
      </c>
      <c r="J416" s="364" t="s">
        <v>673</v>
      </c>
      <c r="K416" s="364" t="s">
        <v>668</v>
      </c>
      <c r="L416" s="364" t="s">
        <v>190</v>
      </c>
      <c r="M416" s="364" t="s">
        <v>721</v>
      </c>
      <c r="N416" s="364" t="s">
        <v>654</v>
      </c>
      <c r="O416" s="364" t="s">
        <v>653</v>
      </c>
      <c r="P416" s="364" t="s">
        <v>198</v>
      </c>
      <c r="Q416" s="364" t="s">
        <v>652</v>
      </c>
      <c r="R416" s="364" t="s">
        <v>88</v>
      </c>
      <c r="S416" s="364" t="s">
        <v>88</v>
      </c>
      <c r="T416" s="364" t="s">
        <v>88</v>
      </c>
      <c r="U416" s="364" t="s">
        <v>88</v>
      </c>
      <c r="V416" s="364" t="s">
        <v>88</v>
      </c>
      <c r="W416" s="364" t="s">
        <v>88</v>
      </c>
      <c r="X416" s="364" t="s">
        <v>88</v>
      </c>
      <c r="Y416" s="364" t="s">
        <v>88</v>
      </c>
      <c r="Z416" s="364" t="s">
        <v>720</v>
      </c>
      <c r="AA416" s="364" t="s">
        <v>649</v>
      </c>
      <c r="AB416" s="364" t="s">
        <v>649</v>
      </c>
      <c r="AC416" s="364" t="s">
        <v>649</v>
      </c>
      <c r="AD416" s="364" t="s">
        <v>649</v>
      </c>
      <c r="AE416" s="364" t="s">
        <v>88</v>
      </c>
      <c r="AF416" s="364" t="s">
        <v>88</v>
      </c>
      <c r="AG416" s="364" t="s">
        <v>88</v>
      </c>
      <c r="AH416" s="364" t="s">
        <v>88</v>
      </c>
      <c r="AI416" s="364" t="s">
        <v>1155</v>
      </c>
      <c r="AJ416" s="364" t="s">
        <v>710</v>
      </c>
      <c r="AK416" s="364" t="s">
        <v>1016</v>
      </c>
      <c r="AL416" s="364" t="s">
        <v>646</v>
      </c>
      <c r="AM416" s="364" t="s">
        <v>668</v>
      </c>
      <c r="AN416" s="364" t="s">
        <v>644</v>
      </c>
    </row>
    <row r="417" spans="1:40" x14ac:dyDescent="0.3">
      <c r="A417" s="364" t="s">
        <v>2285</v>
      </c>
      <c r="B417" s="364" t="s">
        <v>661</v>
      </c>
      <c r="C417" s="364" t="s">
        <v>660</v>
      </c>
      <c r="D417" s="364" t="s">
        <v>90</v>
      </c>
      <c r="E417" s="364" t="s">
        <v>2284</v>
      </c>
      <c r="F417" s="364" t="s">
        <v>2284</v>
      </c>
      <c r="G417" s="364" t="s">
        <v>658</v>
      </c>
      <c r="H417" s="364" t="s">
        <v>2283</v>
      </c>
      <c r="I417" s="364" t="s">
        <v>2282</v>
      </c>
      <c r="J417" s="364" t="s">
        <v>673</v>
      </c>
      <c r="K417" s="364" t="s">
        <v>668</v>
      </c>
      <c r="L417" s="364" t="s">
        <v>190</v>
      </c>
      <c r="M417" s="364" t="s">
        <v>56</v>
      </c>
      <c r="N417" s="364" t="s">
        <v>654</v>
      </c>
      <c r="O417" s="364" t="s">
        <v>653</v>
      </c>
      <c r="P417" s="364" t="s">
        <v>198</v>
      </c>
      <c r="Q417" s="364" t="s">
        <v>652</v>
      </c>
      <c r="R417" s="364" t="s">
        <v>88</v>
      </c>
      <c r="S417" s="364" t="s">
        <v>88</v>
      </c>
      <c r="T417" s="364" t="s">
        <v>88</v>
      </c>
      <c r="U417" s="364" t="s">
        <v>88</v>
      </c>
      <c r="V417" s="364" t="s">
        <v>88</v>
      </c>
      <c r="W417" s="364" t="s">
        <v>88</v>
      </c>
      <c r="X417" s="364" t="s">
        <v>88</v>
      </c>
      <c r="Y417" s="364" t="s">
        <v>88</v>
      </c>
      <c r="Z417" s="364" t="s">
        <v>1165</v>
      </c>
      <c r="AA417" s="364" t="s">
        <v>1164</v>
      </c>
      <c r="AB417" s="364" t="s">
        <v>649</v>
      </c>
      <c r="AC417" s="364" t="s">
        <v>649</v>
      </c>
      <c r="AD417" s="364" t="s">
        <v>649</v>
      </c>
      <c r="AE417" s="364" t="s">
        <v>88</v>
      </c>
      <c r="AF417" s="364" t="s">
        <v>88</v>
      </c>
      <c r="AG417" s="364" t="s">
        <v>88</v>
      </c>
      <c r="AH417" s="364" t="s">
        <v>88</v>
      </c>
      <c r="AI417" s="364" t="s">
        <v>1155</v>
      </c>
      <c r="AJ417" s="364" t="s">
        <v>710</v>
      </c>
      <c r="AK417" s="364" t="s">
        <v>1016</v>
      </c>
      <c r="AL417" s="364" t="s">
        <v>646</v>
      </c>
      <c r="AM417" s="364" t="s">
        <v>668</v>
      </c>
      <c r="AN417" s="364" t="s">
        <v>644</v>
      </c>
    </row>
    <row r="418" spans="1:40" x14ac:dyDescent="0.3">
      <c r="A418" s="364" t="s">
        <v>2281</v>
      </c>
      <c r="B418" s="364" t="s">
        <v>661</v>
      </c>
      <c r="C418" s="364" t="s">
        <v>660</v>
      </c>
      <c r="D418" s="364" t="s">
        <v>90</v>
      </c>
      <c r="E418" s="364" t="s">
        <v>2280</v>
      </c>
      <c r="F418" s="364" t="s">
        <v>2280</v>
      </c>
      <c r="G418" s="364" t="s">
        <v>658</v>
      </c>
      <c r="H418" s="364" t="s">
        <v>2279</v>
      </c>
      <c r="I418" s="364" t="s">
        <v>2278</v>
      </c>
      <c r="J418" s="364" t="s">
        <v>673</v>
      </c>
      <c r="K418" s="364" t="s">
        <v>668</v>
      </c>
      <c r="L418" s="364" t="s">
        <v>190</v>
      </c>
      <c r="M418" s="364" t="s">
        <v>718</v>
      </c>
      <c r="N418" s="364" t="s">
        <v>654</v>
      </c>
      <c r="O418" s="364" t="s">
        <v>653</v>
      </c>
      <c r="P418" s="364" t="s">
        <v>198</v>
      </c>
      <c r="Q418" s="364" t="s">
        <v>652</v>
      </c>
      <c r="R418" s="364" t="s">
        <v>88</v>
      </c>
      <c r="S418" s="364" t="s">
        <v>88</v>
      </c>
      <c r="T418" s="364" t="s">
        <v>88</v>
      </c>
      <c r="U418" s="364" t="s">
        <v>88</v>
      </c>
      <c r="V418" s="364" t="s">
        <v>88</v>
      </c>
      <c r="W418" s="364" t="s">
        <v>88</v>
      </c>
      <c r="X418" s="364" t="s">
        <v>88</v>
      </c>
      <c r="Y418" s="364" t="s">
        <v>88</v>
      </c>
      <c r="Z418" s="364" t="s">
        <v>717</v>
      </c>
      <c r="AA418" s="364" t="s">
        <v>649</v>
      </c>
      <c r="AB418" s="364" t="s">
        <v>649</v>
      </c>
      <c r="AC418" s="364" t="s">
        <v>649</v>
      </c>
      <c r="AD418" s="364" t="s">
        <v>649</v>
      </c>
      <c r="AE418" s="364" t="s">
        <v>88</v>
      </c>
      <c r="AF418" s="364" t="s">
        <v>88</v>
      </c>
      <c r="AG418" s="364" t="s">
        <v>88</v>
      </c>
      <c r="AH418" s="364" t="s">
        <v>88</v>
      </c>
      <c r="AI418" s="364" t="s">
        <v>1155</v>
      </c>
      <c r="AJ418" s="364" t="s">
        <v>710</v>
      </c>
      <c r="AK418" s="364" t="s">
        <v>1016</v>
      </c>
      <c r="AL418" s="364" t="s">
        <v>646</v>
      </c>
      <c r="AM418" s="364" t="s">
        <v>668</v>
      </c>
      <c r="AN418" s="364" t="s">
        <v>644</v>
      </c>
    </row>
    <row r="419" spans="1:40" x14ac:dyDescent="0.3">
      <c r="A419" s="364" t="s">
        <v>2281</v>
      </c>
      <c r="B419" s="364" t="s">
        <v>661</v>
      </c>
      <c r="C419" s="364" t="s">
        <v>660</v>
      </c>
      <c r="D419" s="364" t="s">
        <v>90</v>
      </c>
      <c r="E419" s="364" t="s">
        <v>2280</v>
      </c>
      <c r="F419" s="364" t="s">
        <v>2280</v>
      </c>
      <c r="G419" s="364" t="s">
        <v>658</v>
      </c>
      <c r="H419" s="364" t="s">
        <v>2279</v>
      </c>
      <c r="I419" s="364" t="s">
        <v>2278</v>
      </c>
      <c r="J419" s="364" t="s">
        <v>673</v>
      </c>
      <c r="K419" s="364" t="s">
        <v>668</v>
      </c>
      <c r="L419" s="364" t="s">
        <v>190</v>
      </c>
      <c r="M419" s="364" t="s">
        <v>713</v>
      </c>
      <c r="N419" s="364" t="s">
        <v>654</v>
      </c>
      <c r="O419" s="364" t="s">
        <v>653</v>
      </c>
      <c r="P419" s="364" t="s">
        <v>198</v>
      </c>
      <c r="Q419" s="364" t="s">
        <v>652</v>
      </c>
      <c r="R419" s="364" t="s">
        <v>88</v>
      </c>
      <c r="S419" s="364" t="s">
        <v>88</v>
      </c>
      <c r="T419" s="364" t="s">
        <v>88</v>
      </c>
      <c r="U419" s="364" t="s">
        <v>88</v>
      </c>
      <c r="V419" s="364" t="s">
        <v>88</v>
      </c>
      <c r="W419" s="364" t="s">
        <v>88</v>
      </c>
      <c r="X419" s="364" t="s">
        <v>88</v>
      </c>
      <c r="Y419" s="364" t="s">
        <v>88</v>
      </c>
      <c r="Z419" s="364" t="s">
        <v>712</v>
      </c>
      <c r="AA419" s="364" t="s">
        <v>711</v>
      </c>
      <c r="AB419" s="364" t="s">
        <v>649</v>
      </c>
      <c r="AC419" s="364" t="s">
        <v>649</v>
      </c>
      <c r="AD419" s="364" t="s">
        <v>649</v>
      </c>
      <c r="AE419" s="364" t="s">
        <v>88</v>
      </c>
      <c r="AF419" s="364" t="s">
        <v>88</v>
      </c>
      <c r="AG419" s="364" t="s">
        <v>88</v>
      </c>
      <c r="AH419" s="364" t="s">
        <v>88</v>
      </c>
      <c r="AI419" s="364" t="s">
        <v>1155</v>
      </c>
      <c r="AJ419" s="364" t="s">
        <v>710</v>
      </c>
      <c r="AK419" s="364" t="s">
        <v>1016</v>
      </c>
      <c r="AL419" s="364" t="s">
        <v>646</v>
      </c>
      <c r="AM419" s="364" t="s">
        <v>668</v>
      </c>
      <c r="AN419" s="364" t="s">
        <v>644</v>
      </c>
    </row>
    <row r="420" spans="1:40" x14ac:dyDescent="0.3">
      <c r="A420" s="364" t="s">
        <v>2281</v>
      </c>
      <c r="B420" s="364" t="s">
        <v>661</v>
      </c>
      <c r="C420" s="364" t="s">
        <v>660</v>
      </c>
      <c r="D420" s="364" t="s">
        <v>90</v>
      </c>
      <c r="E420" s="364" t="s">
        <v>2280</v>
      </c>
      <c r="F420" s="364" t="s">
        <v>2280</v>
      </c>
      <c r="G420" s="364" t="s">
        <v>658</v>
      </c>
      <c r="H420" s="364" t="s">
        <v>2279</v>
      </c>
      <c r="I420" s="364" t="s">
        <v>2278</v>
      </c>
      <c r="J420" s="364" t="s">
        <v>673</v>
      </c>
      <c r="K420" s="364" t="s">
        <v>668</v>
      </c>
      <c r="L420" s="364" t="s">
        <v>190</v>
      </c>
      <c r="M420" s="364" t="s">
        <v>54</v>
      </c>
      <c r="N420" s="364" t="s">
        <v>654</v>
      </c>
      <c r="O420" s="364" t="s">
        <v>653</v>
      </c>
      <c r="P420" s="364" t="s">
        <v>198</v>
      </c>
      <c r="Q420" s="364" t="s">
        <v>652</v>
      </c>
      <c r="R420" s="364" t="s">
        <v>88</v>
      </c>
      <c r="S420" s="364" t="s">
        <v>88</v>
      </c>
      <c r="T420" s="364" t="s">
        <v>88</v>
      </c>
      <c r="U420" s="364" t="s">
        <v>88</v>
      </c>
      <c r="V420" s="364" t="s">
        <v>88</v>
      </c>
      <c r="W420" s="364" t="s">
        <v>88</v>
      </c>
      <c r="X420" s="364" t="s">
        <v>88</v>
      </c>
      <c r="Y420" s="364" t="s">
        <v>88</v>
      </c>
      <c r="Z420" s="364" t="s">
        <v>1265</v>
      </c>
      <c r="AA420" s="364" t="s">
        <v>649</v>
      </c>
      <c r="AB420" s="364" t="s">
        <v>649</v>
      </c>
      <c r="AC420" s="364" t="s">
        <v>649</v>
      </c>
      <c r="AD420" s="364" t="s">
        <v>649</v>
      </c>
      <c r="AE420" s="364" t="s">
        <v>88</v>
      </c>
      <c r="AF420" s="364" t="s">
        <v>88</v>
      </c>
      <c r="AG420" s="364" t="s">
        <v>88</v>
      </c>
      <c r="AH420" s="364" t="s">
        <v>88</v>
      </c>
      <c r="AI420" s="364" t="s">
        <v>1155</v>
      </c>
      <c r="AJ420" s="364" t="s">
        <v>710</v>
      </c>
      <c r="AK420" s="364" t="s">
        <v>1016</v>
      </c>
      <c r="AL420" s="364" t="s">
        <v>646</v>
      </c>
      <c r="AM420" s="364" t="s">
        <v>668</v>
      </c>
      <c r="AN420" s="364" t="s">
        <v>644</v>
      </c>
    </row>
    <row r="421" spans="1:40" x14ac:dyDescent="0.3">
      <c r="A421" s="364" t="s">
        <v>2281</v>
      </c>
      <c r="B421" s="364" t="s">
        <v>661</v>
      </c>
      <c r="C421" s="364" t="s">
        <v>660</v>
      </c>
      <c r="D421" s="364" t="s">
        <v>90</v>
      </c>
      <c r="E421" s="364" t="s">
        <v>2280</v>
      </c>
      <c r="F421" s="364" t="s">
        <v>2280</v>
      </c>
      <c r="G421" s="364" t="s">
        <v>658</v>
      </c>
      <c r="H421" s="364" t="s">
        <v>2279</v>
      </c>
      <c r="I421" s="364" t="s">
        <v>2278</v>
      </c>
      <c r="J421" s="364" t="s">
        <v>673</v>
      </c>
      <c r="K421" s="364" t="s">
        <v>668</v>
      </c>
      <c r="L421" s="364" t="s">
        <v>190</v>
      </c>
      <c r="M421" s="364" t="s">
        <v>61</v>
      </c>
      <c r="N421" s="364" t="s">
        <v>654</v>
      </c>
      <c r="O421" s="364" t="s">
        <v>653</v>
      </c>
      <c r="P421" s="364" t="s">
        <v>198</v>
      </c>
      <c r="Q421" s="364" t="s">
        <v>652</v>
      </c>
      <c r="R421" s="364" t="s">
        <v>88</v>
      </c>
      <c r="S421" s="364" t="s">
        <v>88</v>
      </c>
      <c r="T421" s="364" t="s">
        <v>88</v>
      </c>
      <c r="U421" s="364" t="s">
        <v>88</v>
      </c>
      <c r="V421" s="364" t="s">
        <v>88</v>
      </c>
      <c r="W421" s="364" t="s">
        <v>88</v>
      </c>
      <c r="X421" s="364" t="s">
        <v>88</v>
      </c>
      <c r="Y421" s="364" t="s">
        <v>88</v>
      </c>
      <c r="Z421" s="364" t="s">
        <v>1021</v>
      </c>
      <c r="AA421" s="364" t="s">
        <v>671</v>
      </c>
      <c r="AB421" s="364" t="s">
        <v>649</v>
      </c>
      <c r="AC421" s="364" t="s">
        <v>649</v>
      </c>
      <c r="AD421" s="364" t="s">
        <v>649</v>
      </c>
      <c r="AE421" s="364" t="s">
        <v>88</v>
      </c>
      <c r="AF421" s="364" t="s">
        <v>88</v>
      </c>
      <c r="AG421" s="364" t="s">
        <v>88</v>
      </c>
      <c r="AH421" s="364" t="s">
        <v>88</v>
      </c>
      <c r="AI421" s="364" t="s">
        <v>1155</v>
      </c>
      <c r="AJ421" s="364" t="s">
        <v>710</v>
      </c>
      <c r="AK421" s="364" t="s">
        <v>1016</v>
      </c>
      <c r="AL421" s="364" t="s">
        <v>646</v>
      </c>
      <c r="AM421" s="364" t="s">
        <v>668</v>
      </c>
      <c r="AN421" s="364" t="s">
        <v>644</v>
      </c>
    </row>
    <row r="422" spans="1:40" x14ac:dyDescent="0.3">
      <c r="A422" s="364" t="s">
        <v>2281</v>
      </c>
      <c r="B422" s="364" t="s">
        <v>661</v>
      </c>
      <c r="C422" s="364" t="s">
        <v>660</v>
      </c>
      <c r="D422" s="364" t="s">
        <v>90</v>
      </c>
      <c r="E422" s="364" t="s">
        <v>2280</v>
      </c>
      <c r="F422" s="364" t="s">
        <v>2280</v>
      </c>
      <c r="G422" s="364" t="s">
        <v>658</v>
      </c>
      <c r="H422" s="364" t="s">
        <v>2279</v>
      </c>
      <c r="I422" s="364" t="s">
        <v>2278</v>
      </c>
      <c r="J422" s="364" t="s">
        <v>673</v>
      </c>
      <c r="K422" s="364" t="s">
        <v>668</v>
      </c>
      <c r="L422" s="364" t="s">
        <v>190</v>
      </c>
      <c r="M422" s="364" t="s">
        <v>725</v>
      </c>
      <c r="N422" s="364" t="s">
        <v>654</v>
      </c>
      <c r="O422" s="364" t="s">
        <v>653</v>
      </c>
      <c r="P422" s="364" t="s">
        <v>198</v>
      </c>
      <c r="Q422" s="364" t="s">
        <v>652</v>
      </c>
      <c r="R422" s="364" t="s">
        <v>88</v>
      </c>
      <c r="S422" s="364" t="s">
        <v>88</v>
      </c>
      <c r="T422" s="364" t="s">
        <v>88</v>
      </c>
      <c r="U422" s="364" t="s">
        <v>88</v>
      </c>
      <c r="V422" s="364" t="s">
        <v>88</v>
      </c>
      <c r="W422" s="364" t="s">
        <v>88</v>
      </c>
      <c r="X422" s="364" t="s">
        <v>88</v>
      </c>
      <c r="Y422" s="364" t="s">
        <v>88</v>
      </c>
      <c r="Z422" s="364" t="s">
        <v>724</v>
      </c>
      <c r="AA422" s="364" t="s">
        <v>649</v>
      </c>
      <c r="AB422" s="364" t="s">
        <v>649</v>
      </c>
      <c r="AC422" s="364" t="s">
        <v>649</v>
      </c>
      <c r="AD422" s="364" t="s">
        <v>649</v>
      </c>
      <c r="AE422" s="364" t="s">
        <v>88</v>
      </c>
      <c r="AF422" s="364" t="s">
        <v>88</v>
      </c>
      <c r="AG422" s="364" t="s">
        <v>88</v>
      </c>
      <c r="AH422" s="364" t="s">
        <v>88</v>
      </c>
      <c r="AI422" s="364" t="s">
        <v>1155</v>
      </c>
      <c r="AJ422" s="364" t="s">
        <v>710</v>
      </c>
      <c r="AK422" s="364" t="s">
        <v>1016</v>
      </c>
      <c r="AL422" s="364" t="s">
        <v>646</v>
      </c>
      <c r="AM422" s="364" t="s">
        <v>668</v>
      </c>
      <c r="AN422" s="364" t="s">
        <v>644</v>
      </c>
    </row>
    <row r="423" spans="1:40" x14ac:dyDescent="0.3">
      <c r="A423" s="364" t="s">
        <v>2281</v>
      </c>
      <c r="B423" s="364" t="s">
        <v>661</v>
      </c>
      <c r="C423" s="364" t="s">
        <v>660</v>
      </c>
      <c r="D423" s="364" t="s">
        <v>90</v>
      </c>
      <c r="E423" s="364" t="s">
        <v>2280</v>
      </c>
      <c r="F423" s="364" t="s">
        <v>2280</v>
      </c>
      <c r="G423" s="364" t="s">
        <v>658</v>
      </c>
      <c r="H423" s="364" t="s">
        <v>2279</v>
      </c>
      <c r="I423" s="364" t="s">
        <v>2278</v>
      </c>
      <c r="J423" s="364" t="s">
        <v>673</v>
      </c>
      <c r="K423" s="364" t="s">
        <v>668</v>
      </c>
      <c r="L423" s="364" t="s">
        <v>190</v>
      </c>
      <c r="M423" s="364" t="s">
        <v>723</v>
      </c>
      <c r="N423" s="364" t="s">
        <v>654</v>
      </c>
      <c r="O423" s="364" t="s">
        <v>653</v>
      </c>
      <c r="P423" s="364" t="s">
        <v>198</v>
      </c>
      <c r="Q423" s="364" t="s">
        <v>652</v>
      </c>
      <c r="R423" s="364" t="s">
        <v>88</v>
      </c>
      <c r="S423" s="364" t="s">
        <v>88</v>
      </c>
      <c r="T423" s="364" t="s">
        <v>88</v>
      </c>
      <c r="U423" s="364" t="s">
        <v>88</v>
      </c>
      <c r="V423" s="364" t="s">
        <v>88</v>
      </c>
      <c r="W423" s="364" t="s">
        <v>88</v>
      </c>
      <c r="X423" s="364" t="s">
        <v>88</v>
      </c>
      <c r="Y423" s="364" t="s">
        <v>88</v>
      </c>
      <c r="Z423" s="364" t="s">
        <v>722</v>
      </c>
      <c r="AA423" s="364" t="s">
        <v>649</v>
      </c>
      <c r="AB423" s="364" t="s">
        <v>649</v>
      </c>
      <c r="AC423" s="364" t="s">
        <v>649</v>
      </c>
      <c r="AD423" s="364" t="s">
        <v>649</v>
      </c>
      <c r="AE423" s="364" t="s">
        <v>88</v>
      </c>
      <c r="AF423" s="364" t="s">
        <v>88</v>
      </c>
      <c r="AG423" s="364" t="s">
        <v>88</v>
      </c>
      <c r="AH423" s="364" t="s">
        <v>88</v>
      </c>
      <c r="AI423" s="364" t="s">
        <v>1155</v>
      </c>
      <c r="AJ423" s="364" t="s">
        <v>710</v>
      </c>
      <c r="AK423" s="364" t="s">
        <v>1016</v>
      </c>
      <c r="AL423" s="364" t="s">
        <v>646</v>
      </c>
      <c r="AM423" s="364" t="s">
        <v>668</v>
      </c>
      <c r="AN423" s="364" t="s">
        <v>644</v>
      </c>
    </row>
    <row r="424" spans="1:40" x14ac:dyDescent="0.3">
      <c r="A424" s="364" t="s">
        <v>2281</v>
      </c>
      <c r="B424" s="364" t="s">
        <v>661</v>
      </c>
      <c r="C424" s="364" t="s">
        <v>660</v>
      </c>
      <c r="D424" s="364" t="s">
        <v>90</v>
      </c>
      <c r="E424" s="364" t="s">
        <v>2280</v>
      </c>
      <c r="F424" s="364" t="s">
        <v>2280</v>
      </c>
      <c r="G424" s="364" t="s">
        <v>658</v>
      </c>
      <c r="H424" s="364" t="s">
        <v>2279</v>
      </c>
      <c r="I424" s="364" t="s">
        <v>2278</v>
      </c>
      <c r="J424" s="364" t="s">
        <v>673</v>
      </c>
      <c r="K424" s="364" t="s">
        <v>668</v>
      </c>
      <c r="L424" s="364" t="s">
        <v>190</v>
      </c>
      <c r="M424" s="364" t="s">
        <v>721</v>
      </c>
      <c r="N424" s="364" t="s">
        <v>654</v>
      </c>
      <c r="O424" s="364" t="s">
        <v>653</v>
      </c>
      <c r="P424" s="364" t="s">
        <v>198</v>
      </c>
      <c r="Q424" s="364" t="s">
        <v>652</v>
      </c>
      <c r="R424" s="364" t="s">
        <v>88</v>
      </c>
      <c r="S424" s="364" t="s">
        <v>88</v>
      </c>
      <c r="T424" s="364" t="s">
        <v>88</v>
      </c>
      <c r="U424" s="364" t="s">
        <v>88</v>
      </c>
      <c r="V424" s="364" t="s">
        <v>88</v>
      </c>
      <c r="W424" s="364" t="s">
        <v>88</v>
      </c>
      <c r="X424" s="364" t="s">
        <v>88</v>
      </c>
      <c r="Y424" s="364" t="s">
        <v>88</v>
      </c>
      <c r="Z424" s="364" t="s">
        <v>720</v>
      </c>
      <c r="AA424" s="364" t="s">
        <v>649</v>
      </c>
      <c r="AB424" s="364" t="s">
        <v>649</v>
      </c>
      <c r="AC424" s="364" t="s">
        <v>649</v>
      </c>
      <c r="AD424" s="364" t="s">
        <v>649</v>
      </c>
      <c r="AE424" s="364" t="s">
        <v>88</v>
      </c>
      <c r="AF424" s="364" t="s">
        <v>88</v>
      </c>
      <c r="AG424" s="364" t="s">
        <v>88</v>
      </c>
      <c r="AH424" s="364" t="s">
        <v>88</v>
      </c>
      <c r="AI424" s="364" t="s">
        <v>1155</v>
      </c>
      <c r="AJ424" s="364" t="s">
        <v>710</v>
      </c>
      <c r="AK424" s="364" t="s">
        <v>1016</v>
      </c>
      <c r="AL424" s="364" t="s">
        <v>646</v>
      </c>
      <c r="AM424" s="364" t="s">
        <v>668</v>
      </c>
      <c r="AN424" s="364" t="s">
        <v>644</v>
      </c>
    </row>
    <row r="425" spans="1:40" x14ac:dyDescent="0.3">
      <c r="A425" s="364" t="s">
        <v>2281</v>
      </c>
      <c r="B425" s="364" t="s">
        <v>661</v>
      </c>
      <c r="C425" s="364" t="s">
        <v>660</v>
      </c>
      <c r="D425" s="364" t="s">
        <v>90</v>
      </c>
      <c r="E425" s="364" t="s">
        <v>2280</v>
      </c>
      <c r="F425" s="364" t="s">
        <v>2280</v>
      </c>
      <c r="G425" s="364" t="s">
        <v>658</v>
      </c>
      <c r="H425" s="364" t="s">
        <v>2279</v>
      </c>
      <c r="I425" s="364" t="s">
        <v>2278</v>
      </c>
      <c r="J425" s="364" t="s">
        <v>673</v>
      </c>
      <c r="K425" s="364" t="s">
        <v>668</v>
      </c>
      <c r="L425" s="364" t="s">
        <v>190</v>
      </c>
      <c r="M425" s="364" t="s">
        <v>56</v>
      </c>
      <c r="N425" s="364" t="s">
        <v>654</v>
      </c>
      <c r="O425" s="364" t="s">
        <v>653</v>
      </c>
      <c r="P425" s="364" t="s">
        <v>198</v>
      </c>
      <c r="Q425" s="364" t="s">
        <v>652</v>
      </c>
      <c r="R425" s="364" t="s">
        <v>88</v>
      </c>
      <c r="S425" s="364" t="s">
        <v>88</v>
      </c>
      <c r="T425" s="364" t="s">
        <v>88</v>
      </c>
      <c r="U425" s="364" t="s">
        <v>88</v>
      </c>
      <c r="V425" s="364" t="s">
        <v>88</v>
      </c>
      <c r="W425" s="364" t="s">
        <v>88</v>
      </c>
      <c r="X425" s="364" t="s">
        <v>88</v>
      </c>
      <c r="Y425" s="364" t="s">
        <v>88</v>
      </c>
      <c r="Z425" s="364" t="s">
        <v>1165</v>
      </c>
      <c r="AA425" s="364" t="s">
        <v>1164</v>
      </c>
      <c r="AB425" s="364" t="s">
        <v>649</v>
      </c>
      <c r="AC425" s="364" t="s">
        <v>649</v>
      </c>
      <c r="AD425" s="364" t="s">
        <v>649</v>
      </c>
      <c r="AE425" s="364" t="s">
        <v>88</v>
      </c>
      <c r="AF425" s="364" t="s">
        <v>88</v>
      </c>
      <c r="AG425" s="364" t="s">
        <v>88</v>
      </c>
      <c r="AH425" s="364" t="s">
        <v>88</v>
      </c>
      <c r="AI425" s="364" t="s">
        <v>1155</v>
      </c>
      <c r="AJ425" s="364" t="s">
        <v>710</v>
      </c>
      <c r="AK425" s="364" t="s">
        <v>1016</v>
      </c>
      <c r="AL425" s="364" t="s">
        <v>646</v>
      </c>
      <c r="AM425" s="364" t="s">
        <v>668</v>
      </c>
      <c r="AN425" s="364" t="s">
        <v>644</v>
      </c>
    </row>
    <row r="426" spans="1:40" x14ac:dyDescent="0.3">
      <c r="A426" s="364" t="s">
        <v>2277</v>
      </c>
      <c r="B426" s="364" t="s">
        <v>661</v>
      </c>
      <c r="C426" s="364" t="s">
        <v>660</v>
      </c>
      <c r="D426" s="364" t="s">
        <v>90</v>
      </c>
      <c r="E426" s="364" t="s">
        <v>865</v>
      </c>
      <c r="F426" s="364" t="s">
        <v>865</v>
      </c>
      <c r="G426" s="364" t="s">
        <v>658</v>
      </c>
      <c r="H426" s="364" t="s">
        <v>2276</v>
      </c>
      <c r="I426" s="364" t="s">
        <v>814</v>
      </c>
      <c r="J426" s="364" t="s">
        <v>673</v>
      </c>
      <c r="K426" s="364" t="s">
        <v>668</v>
      </c>
      <c r="L426" s="364" t="s">
        <v>190</v>
      </c>
      <c r="M426" s="364" t="s">
        <v>718</v>
      </c>
      <c r="N426" s="364" t="s">
        <v>654</v>
      </c>
      <c r="O426" s="364" t="s">
        <v>653</v>
      </c>
      <c r="P426" s="364" t="s">
        <v>198</v>
      </c>
      <c r="Q426" s="364" t="s">
        <v>652</v>
      </c>
      <c r="R426" s="364" t="s">
        <v>88</v>
      </c>
      <c r="S426" s="364" t="s">
        <v>88</v>
      </c>
      <c r="T426" s="364" t="s">
        <v>88</v>
      </c>
      <c r="U426" s="364" t="s">
        <v>88</v>
      </c>
      <c r="V426" s="364" t="s">
        <v>88</v>
      </c>
      <c r="W426" s="364" t="s">
        <v>88</v>
      </c>
      <c r="X426" s="364" t="s">
        <v>88</v>
      </c>
      <c r="Y426" s="364" t="s">
        <v>88</v>
      </c>
      <c r="Z426" s="364" t="s">
        <v>717</v>
      </c>
      <c r="AA426" s="364" t="s">
        <v>649</v>
      </c>
      <c r="AB426" s="364" t="s">
        <v>649</v>
      </c>
      <c r="AC426" s="364" t="s">
        <v>649</v>
      </c>
      <c r="AD426" s="364" t="s">
        <v>649</v>
      </c>
      <c r="AE426" s="364" t="s">
        <v>88</v>
      </c>
      <c r="AF426" s="364" t="s">
        <v>88</v>
      </c>
      <c r="AG426" s="364" t="s">
        <v>88</v>
      </c>
      <c r="AH426" s="364" t="s">
        <v>88</v>
      </c>
      <c r="AI426" s="364" t="s">
        <v>1155</v>
      </c>
      <c r="AJ426" s="364" t="s">
        <v>710</v>
      </c>
      <c r="AK426" s="364" t="s">
        <v>1016</v>
      </c>
      <c r="AL426" s="364" t="s">
        <v>646</v>
      </c>
      <c r="AM426" s="364" t="s">
        <v>668</v>
      </c>
      <c r="AN426" s="364" t="s">
        <v>644</v>
      </c>
    </row>
    <row r="427" spans="1:40" x14ac:dyDescent="0.3">
      <c r="A427" s="364" t="s">
        <v>2277</v>
      </c>
      <c r="B427" s="364" t="s">
        <v>661</v>
      </c>
      <c r="C427" s="364" t="s">
        <v>660</v>
      </c>
      <c r="D427" s="364" t="s">
        <v>90</v>
      </c>
      <c r="E427" s="364" t="s">
        <v>865</v>
      </c>
      <c r="F427" s="364" t="s">
        <v>865</v>
      </c>
      <c r="G427" s="364" t="s">
        <v>658</v>
      </c>
      <c r="H427" s="364" t="s">
        <v>2276</v>
      </c>
      <c r="I427" s="364" t="s">
        <v>814</v>
      </c>
      <c r="J427" s="364" t="s">
        <v>673</v>
      </c>
      <c r="K427" s="364" t="s">
        <v>668</v>
      </c>
      <c r="L427" s="364" t="s">
        <v>190</v>
      </c>
      <c r="M427" s="364" t="s">
        <v>713</v>
      </c>
      <c r="N427" s="364" t="s">
        <v>654</v>
      </c>
      <c r="O427" s="364" t="s">
        <v>653</v>
      </c>
      <c r="P427" s="364" t="s">
        <v>198</v>
      </c>
      <c r="Q427" s="364" t="s">
        <v>652</v>
      </c>
      <c r="R427" s="364" t="s">
        <v>88</v>
      </c>
      <c r="S427" s="364" t="s">
        <v>88</v>
      </c>
      <c r="T427" s="364" t="s">
        <v>88</v>
      </c>
      <c r="U427" s="364" t="s">
        <v>88</v>
      </c>
      <c r="V427" s="364" t="s">
        <v>88</v>
      </c>
      <c r="W427" s="364" t="s">
        <v>88</v>
      </c>
      <c r="X427" s="364" t="s">
        <v>88</v>
      </c>
      <c r="Y427" s="364" t="s">
        <v>88</v>
      </c>
      <c r="Z427" s="364" t="s">
        <v>712</v>
      </c>
      <c r="AA427" s="364" t="s">
        <v>711</v>
      </c>
      <c r="AB427" s="364" t="s">
        <v>649</v>
      </c>
      <c r="AC427" s="364" t="s">
        <v>649</v>
      </c>
      <c r="AD427" s="364" t="s">
        <v>649</v>
      </c>
      <c r="AE427" s="364" t="s">
        <v>88</v>
      </c>
      <c r="AF427" s="364" t="s">
        <v>88</v>
      </c>
      <c r="AG427" s="364" t="s">
        <v>88</v>
      </c>
      <c r="AH427" s="364" t="s">
        <v>88</v>
      </c>
      <c r="AI427" s="364" t="s">
        <v>1155</v>
      </c>
      <c r="AJ427" s="364" t="s">
        <v>710</v>
      </c>
      <c r="AK427" s="364" t="s">
        <v>1016</v>
      </c>
      <c r="AL427" s="364" t="s">
        <v>646</v>
      </c>
      <c r="AM427" s="364" t="s">
        <v>668</v>
      </c>
      <c r="AN427" s="364" t="s">
        <v>644</v>
      </c>
    </row>
    <row r="428" spans="1:40" x14ac:dyDescent="0.3">
      <c r="A428" s="364" t="s">
        <v>2277</v>
      </c>
      <c r="B428" s="364" t="s">
        <v>661</v>
      </c>
      <c r="C428" s="364" t="s">
        <v>660</v>
      </c>
      <c r="D428" s="364" t="s">
        <v>90</v>
      </c>
      <c r="E428" s="364" t="s">
        <v>865</v>
      </c>
      <c r="F428" s="364" t="s">
        <v>865</v>
      </c>
      <c r="G428" s="364" t="s">
        <v>658</v>
      </c>
      <c r="H428" s="364" t="s">
        <v>2276</v>
      </c>
      <c r="I428" s="364" t="s">
        <v>814</v>
      </c>
      <c r="J428" s="364" t="s">
        <v>673</v>
      </c>
      <c r="K428" s="364" t="s">
        <v>668</v>
      </c>
      <c r="L428" s="364" t="s">
        <v>190</v>
      </c>
      <c r="M428" s="364" t="s">
        <v>54</v>
      </c>
      <c r="N428" s="364" t="s">
        <v>654</v>
      </c>
      <c r="O428" s="364" t="s">
        <v>653</v>
      </c>
      <c r="P428" s="364" t="s">
        <v>198</v>
      </c>
      <c r="Q428" s="364" t="s">
        <v>652</v>
      </c>
      <c r="R428" s="364" t="s">
        <v>88</v>
      </c>
      <c r="S428" s="364" t="s">
        <v>88</v>
      </c>
      <c r="T428" s="364" t="s">
        <v>88</v>
      </c>
      <c r="U428" s="364" t="s">
        <v>88</v>
      </c>
      <c r="V428" s="364" t="s">
        <v>88</v>
      </c>
      <c r="W428" s="364" t="s">
        <v>88</v>
      </c>
      <c r="X428" s="364" t="s">
        <v>88</v>
      </c>
      <c r="Y428" s="364" t="s">
        <v>88</v>
      </c>
      <c r="Z428" s="364" t="s">
        <v>1265</v>
      </c>
      <c r="AA428" s="364" t="s">
        <v>649</v>
      </c>
      <c r="AB428" s="364" t="s">
        <v>649</v>
      </c>
      <c r="AC428" s="364" t="s">
        <v>649</v>
      </c>
      <c r="AD428" s="364" t="s">
        <v>649</v>
      </c>
      <c r="AE428" s="364" t="s">
        <v>88</v>
      </c>
      <c r="AF428" s="364" t="s">
        <v>88</v>
      </c>
      <c r="AG428" s="364" t="s">
        <v>88</v>
      </c>
      <c r="AH428" s="364" t="s">
        <v>88</v>
      </c>
      <c r="AI428" s="364" t="s">
        <v>1155</v>
      </c>
      <c r="AJ428" s="364" t="s">
        <v>710</v>
      </c>
      <c r="AK428" s="364" t="s">
        <v>1016</v>
      </c>
      <c r="AL428" s="364" t="s">
        <v>646</v>
      </c>
      <c r="AM428" s="364" t="s">
        <v>668</v>
      </c>
      <c r="AN428" s="364" t="s">
        <v>644</v>
      </c>
    </row>
    <row r="429" spans="1:40" x14ac:dyDescent="0.3">
      <c r="A429" s="364" t="s">
        <v>2277</v>
      </c>
      <c r="B429" s="364" t="s">
        <v>661</v>
      </c>
      <c r="C429" s="364" t="s">
        <v>660</v>
      </c>
      <c r="D429" s="364" t="s">
        <v>90</v>
      </c>
      <c r="E429" s="364" t="s">
        <v>865</v>
      </c>
      <c r="F429" s="364" t="s">
        <v>865</v>
      </c>
      <c r="G429" s="364" t="s">
        <v>658</v>
      </c>
      <c r="H429" s="364" t="s">
        <v>2276</v>
      </c>
      <c r="I429" s="364" t="s">
        <v>814</v>
      </c>
      <c r="J429" s="364" t="s">
        <v>673</v>
      </c>
      <c r="K429" s="364" t="s">
        <v>668</v>
      </c>
      <c r="L429" s="364" t="s">
        <v>190</v>
      </c>
      <c r="M429" s="364" t="s">
        <v>61</v>
      </c>
      <c r="N429" s="364" t="s">
        <v>654</v>
      </c>
      <c r="O429" s="364" t="s">
        <v>653</v>
      </c>
      <c r="P429" s="364" t="s">
        <v>198</v>
      </c>
      <c r="Q429" s="364" t="s">
        <v>652</v>
      </c>
      <c r="R429" s="364" t="s">
        <v>88</v>
      </c>
      <c r="S429" s="364" t="s">
        <v>88</v>
      </c>
      <c r="T429" s="364" t="s">
        <v>88</v>
      </c>
      <c r="U429" s="364" t="s">
        <v>88</v>
      </c>
      <c r="V429" s="364" t="s">
        <v>88</v>
      </c>
      <c r="W429" s="364" t="s">
        <v>88</v>
      </c>
      <c r="X429" s="364" t="s">
        <v>88</v>
      </c>
      <c r="Y429" s="364" t="s">
        <v>88</v>
      </c>
      <c r="Z429" s="364" t="s">
        <v>1021</v>
      </c>
      <c r="AA429" s="364" t="s">
        <v>671</v>
      </c>
      <c r="AB429" s="364" t="s">
        <v>649</v>
      </c>
      <c r="AC429" s="364" t="s">
        <v>649</v>
      </c>
      <c r="AD429" s="364" t="s">
        <v>649</v>
      </c>
      <c r="AE429" s="364" t="s">
        <v>88</v>
      </c>
      <c r="AF429" s="364" t="s">
        <v>88</v>
      </c>
      <c r="AG429" s="364" t="s">
        <v>88</v>
      </c>
      <c r="AH429" s="364" t="s">
        <v>88</v>
      </c>
      <c r="AI429" s="364" t="s">
        <v>1155</v>
      </c>
      <c r="AJ429" s="364" t="s">
        <v>710</v>
      </c>
      <c r="AK429" s="364" t="s">
        <v>1016</v>
      </c>
      <c r="AL429" s="364" t="s">
        <v>646</v>
      </c>
      <c r="AM429" s="364" t="s">
        <v>668</v>
      </c>
      <c r="AN429" s="364" t="s">
        <v>644</v>
      </c>
    </row>
    <row r="430" spans="1:40" x14ac:dyDescent="0.3">
      <c r="A430" s="364" t="s">
        <v>2277</v>
      </c>
      <c r="B430" s="364" t="s">
        <v>661</v>
      </c>
      <c r="C430" s="364" t="s">
        <v>660</v>
      </c>
      <c r="D430" s="364" t="s">
        <v>90</v>
      </c>
      <c r="E430" s="364" t="s">
        <v>865</v>
      </c>
      <c r="F430" s="364" t="s">
        <v>865</v>
      </c>
      <c r="G430" s="364" t="s">
        <v>658</v>
      </c>
      <c r="H430" s="364" t="s">
        <v>2276</v>
      </c>
      <c r="I430" s="364" t="s">
        <v>814</v>
      </c>
      <c r="J430" s="364" t="s">
        <v>673</v>
      </c>
      <c r="K430" s="364" t="s">
        <v>668</v>
      </c>
      <c r="L430" s="364" t="s">
        <v>190</v>
      </c>
      <c r="M430" s="364" t="s">
        <v>725</v>
      </c>
      <c r="N430" s="364" t="s">
        <v>654</v>
      </c>
      <c r="O430" s="364" t="s">
        <v>653</v>
      </c>
      <c r="P430" s="364" t="s">
        <v>198</v>
      </c>
      <c r="Q430" s="364" t="s">
        <v>652</v>
      </c>
      <c r="R430" s="364" t="s">
        <v>88</v>
      </c>
      <c r="S430" s="364" t="s">
        <v>88</v>
      </c>
      <c r="T430" s="364" t="s">
        <v>88</v>
      </c>
      <c r="U430" s="364" t="s">
        <v>88</v>
      </c>
      <c r="V430" s="364" t="s">
        <v>88</v>
      </c>
      <c r="W430" s="364" t="s">
        <v>88</v>
      </c>
      <c r="X430" s="364" t="s">
        <v>88</v>
      </c>
      <c r="Y430" s="364" t="s">
        <v>88</v>
      </c>
      <c r="Z430" s="364" t="s">
        <v>724</v>
      </c>
      <c r="AA430" s="364" t="s">
        <v>649</v>
      </c>
      <c r="AB430" s="364" t="s">
        <v>649</v>
      </c>
      <c r="AC430" s="364" t="s">
        <v>649</v>
      </c>
      <c r="AD430" s="364" t="s">
        <v>649</v>
      </c>
      <c r="AE430" s="364" t="s">
        <v>88</v>
      </c>
      <c r="AF430" s="364" t="s">
        <v>88</v>
      </c>
      <c r="AG430" s="364" t="s">
        <v>88</v>
      </c>
      <c r="AH430" s="364" t="s">
        <v>88</v>
      </c>
      <c r="AI430" s="364" t="s">
        <v>1155</v>
      </c>
      <c r="AJ430" s="364" t="s">
        <v>710</v>
      </c>
      <c r="AK430" s="364" t="s">
        <v>1016</v>
      </c>
      <c r="AL430" s="364" t="s">
        <v>646</v>
      </c>
      <c r="AM430" s="364" t="s">
        <v>668</v>
      </c>
      <c r="AN430" s="364" t="s">
        <v>644</v>
      </c>
    </row>
    <row r="431" spans="1:40" x14ac:dyDescent="0.3">
      <c r="A431" s="364" t="s">
        <v>2277</v>
      </c>
      <c r="B431" s="364" t="s">
        <v>661</v>
      </c>
      <c r="C431" s="364" t="s">
        <v>660</v>
      </c>
      <c r="D431" s="364" t="s">
        <v>90</v>
      </c>
      <c r="E431" s="364" t="s">
        <v>865</v>
      </c>
      <c r="F431" s="364" t="s">
        <v>865</v>
      </c>
      <c r="G431" s="364" t="s">
        <v>658</v>
      </c>
      <c r="H431" s="364" t="s">
        <v>2276</v>
      </c>
      <c r="I431" s="364" t="s">
        <v>814</v>
      </c>
      <c r="J431" s="364" t="s">
        <v>673</v>
      </c>
      <c r="K431" s="364" t="s">
        <v>668</v>
      </c>
      <c r="L431" s="364" t="s">
        <v>190</v>
      </c>
      <c r="M431" s="364" t="s">
        <v>723</v>
      </c>
      <c r="N431" s="364" t="s">
        <v>654</v>
      </c>
      <c r="O431" s="364" t="s">
        <v>653</v>
      </c>
      <c r="P431" s="364" t="s">
        <v>198</v>
      </c>
      <c r="Q431" s="364" t="s">
        <v>652</v>
      </c>
      <c r="R431" s="364" t="s">
        <v>88</v>
      </c>
      <c r="S431" s="364" t="s">
        <v>88</v>
      </c>
      <c r="T431" s="364" t="s">
        <v>88</v>
      </c>
      <c r="U431" s="364" t="s">
        <v>88</v>
      </c>
      <c r="V431" s="364" t="s">
        <v>88</v>
      </c>
      <c r="W431" s="364" t="s">
        <v>88</v>
      </c>
      <c r="X431" s="364" t="s">
        <v>88</v>
      </c>
      <c r="Y431" s="364" t="s">
        <v>88</v>
      </c>
      <c r="Z431" s="364" t="s">
        <v>722</v>
      </c>
      <c r="AA431" s="364" t="s">
        <v>649</v>
      </c>
      <c r="AB431" s="364" t="s">
        <v>649</v>
      </c>
      <c r="AC431" s="364" t="s">
        <v>649</v>
      </c>
      <c r="AD431" s="364" t="s">
        <v>649</v>
      </c>
      <c r="AE431" s="364" t="s">
        <v>88</v>
      </c>
      <c r="AF431" s="364" t="s">
        <v>88</v>
      </c>
      <c r="AG431" s="364" t="s">
        <v>88</v>
      </c>
      <c r="AH431" s="364" t="s">
        <v>88</v>
      </c>
      <c r="AI431" s="364" t="s">
        <v>1155</v>
      </c>
      <c r="AJ431" s="364" t="s">
        <v>710</v>
      </c>
      <c r="AK431" s="364" t="s">
        <v>1016</v>
      </c>
      <c r="AL431" s="364" t="s">
        <v>646</v>
      </c>
      <c r="AM431" s="364" t="s">
        <v>668</v>
      </c>
      <c r="AN431" s="364" t="s">
        <v>644</v>
      </c>
    </row>
    <row r="432" spans="1:40" x14ac:dyDescent="0.3">
      <c r="A432" s="364" t="s">
        <v>2277</v>
      </c>
      <c r="B432" s="364" t="s">
        <v>661</v>
      </c>
      <c r="C432" s="364" t="s">
        <v>660</v>
      </c>
      <c r="D432" s="364" t="s">
        <v>90</v>
      </c>
      <c r="E432" s="364" t="s">
        <v>865</v>
      </c>
      <c r="F432" s="364" t="s">
        <v>865</v>
      </c>
      <c r="G432" s="364" t="s">
        <v>658</v>
      </c>
      <c r="H432" s="364" t="s">
        <v>2276</v>
      </c>
      <c r="I432" s="364" t="s">
        <v>814</v>
      </c>
      <c r="J432" s="364" t="s">
        <v>673</v>
      </c>
      <c r="K432" s="364" t="s">
        <v>668</v>
      </c>
      <c r="L432" s="364" t="s">
        <v>190</v>
      </c>
      <c r="M432" s="364" t="s">
        <v>721</v>
      </c>
      <c r="N432" s="364" t="s">
        <v>654</v>
      </c>
      <c r="O432" s="364" t="s">
        <v>653</v>
      </c>
      <c r="P432" s="364" t="s">
        <v>198</v>
      </c>
      <c r="Q432" s="364" t="s">
        <v>652</v>
      </c>
      <c r="R432" s="364" t="s">
        <v>88</v>
      </c>
      <c r="S432" s="364" t="s">
        <v>88</v>
      </c>
      <c r="T432" s="364" t="s">
        <v>88</v>
      </c>
      <c r="U432" s="364" t="s">
        <v>88</v>
      </c>
      <c r="V432" s="364" t="s">
        <v>88</v>
      </c>
      <c r="W432" s="364" t="s">
        <v>88</v>
      </c>
      <c r="X432" s="364" t="s">
        <v>88</v>
      </c>
      <c r="Y432" s="364" t="s">
        <v>88</v>
      </c>
      <c r="Z432" s="364" t="s">
        <v>720</v>
      </c>
      <c r="AA432" s="364" t="s">
        <v>649</v>
      </c>
      <c r="AB432" s="364" t="s">
        <v>649</v>
      </c>
      <c r="AC432" s="364" t="s">
        <v>649</v>
      </c>
      <c r="AD432" s="364" t="s">
        <v>649</v>
      </c>
      <c r="AE432" s="364" t="s">
        <v>88</v>
      </c>
      <c r="AF432" s="364" t="s">
        <v>88</v>
      </c>
      <c r="AG432" s="364" t="s">
        <v>88</v>
      </c>
      <c r="AH432" s="364" t="s">
        <v>88</v>
      </c>
      <c r="AI432" s="364" t="s">
        <v>1155</v>
      </c>
      <c r="AJ432" s="364" t="s">
        <v>710</v>
      </c>
      <c r="AK432" s="364" t="s">
        <v>1016</v>
      </c>
      <c r="AL432" s="364" t="s">
        <v>646</v>
      </c>
      <c r="AM432" s="364" t="s">
        <v>668</v>
      </c>
      <c r="AN432" s="364" t="s">
        <v>644</v>
      </c>
    </row>
    <row r="433" spans="1:40" x14ac:dyDescent="0.3">
      <c r="A433" s="364" t="s">
        <v>2277</v>
      </c>
      <c r="B433" s="364" t="s">
        <v>661</v>
      </c>
      <c r="C433" s="364" t="s">
        <v>660</v>
      </c>
      <c r="D433" s="364" t="s">
        <v>90</v>
      </c>
      <c r="E433" s="364" t="s">
        <v>865</v>
      </c>
      <c r="F433" s="364" t="s">
        <v>865</v>
      </c>
      <c r="G433" s="364" t="s">
        <v>658</v>
      </c>
      <c r="H433" s="364" t="s">
        <v>2276</v>
      </c>
      <c r="I433" s="364" t="s">
        <v>814</v>
      </c>
      <c r="J433" s="364" t="s">
        <v>673</v>
      </c>
      <c r="K433" s="364" t="s">
        <v>668</v>
      </c>
      <c r="L433" s="364" t="s">
        <v>190</v>
      </c>
      <c r="M433" s="364" t="s">
        <v>56</v>
      </c>
      <c r="N433" s="364" t="s">
        <v>654</v>
      </c>
      <c r="O433" s="364" t="s">
        <v>653</v>
      </c>
      <c r="P433" s="364" t="s">
        <v>198</v>
      </c>
      <c r="Q433" s="364" t="s">
        <v>652</v>
      </c>
      <c r="R433" s="364" t="s">
        <v>88</v>
      </c>
      <c r="S433" s="364" t="s">
        <v>88</v>
      </c>
      <c r="T433" s="364" t="s">
        <v>88</v>
      </c>
      <c r="U433" s="364" t="s">
        <v>88</v>
      </c>
      <c r="V433" s="364" t="s">
        <v>88</v>
      </c>
      <c r="W433" s="364" t="s">
        <v>88</v>
      </c>
      <c r="X433" s="364" t="s">
        <v>88</v>
      </c>
      <c r="Y433" s="364" t="s">
        <v>88</v>
      </c>
      <c r="Z433" s="364" t="s">
        <v>1165</v>
      </c>
      <c r="AA433" s="364" t="s">
        <v>1164</v>
      </c>
      <c r="AB433" s="364" t="s">
        <v>649</v>
      </c>
      <c r="AC433" s="364" t="s">
        <v>649</v>
      </c>
      <c r="AD433" s="364" t="s">
        <v>649</v>
      </c>
      <c r="AE433" s="364" t="s">
        <v>88</v>
      </c>
      <c r="AF433" s="364" t="s">
        <v>88</v>
      </c>
      <c r="AG433" s="364" t="s">
        <v>88</v>
      </c>
      <c r="AH433" s="364" t="s">
        <v>88</v>
      </c>
      <c r="AI433" s="364" t="s">
        <v>1155</v>
      </c>
      <c r="AJ433" s="364" t="s">
        <v>710</v>
      </c>
      <c r="AK433" s="364" t="s">
        <v>1016</v>
      </c>
      <c r="AL433" s="364" t="s">
        <v>646</v>
      </c>
      <c r="AM433" s="364" t="s">
        <v>668</v>
      </c>
      <c r="AN433" s="364" t="s">
        <v>644</v>
      </c>
    </row>
    <row r="434" spans="1:40" x14ac:dyDescent="0.3">
      <c r="A434" s="364" t="s">
        <v>2275</v>
      </c>
      <c r="B434" s="364" t="s">
        <v>661</v>
      </c>
      <c r="C434" s="364" t="s">
        <v>660</v>
      </c>
      <c r="D434" s="364" t="s">
        <v>90</v>
      </c>
      <c r="E434" s="364" t="s">
        <v>2274</v>
      </c>
      <c r="F434" s="364" t="s">
        <v>2274</v>
      </c>
      <c r="G434" s="364" t="s">
        <v>658</v>
      </c>
      <c r="H434" s="364" t="s">
        <v>2273</v>
      </c>
      <c r="I434" s="364" t="s">
        <v>2272</v>
      </c>
      <c r="J434" s="364" t="s">
        <v>673</v>
      </c>
      <c r="K434" s="364" t="s">
        <v>668</v>
      </c>
      <c r="L434" s="364" t="s">
        <v>190</v>
      </c>
      <c r="M434" s="364" t="s">
        <v>718</v>
      </c>
      <c r="N434" s="364" t="s">
        <v>654</v>
      </c>
      <c r="O434" s="364" t="s">
        <v>653</v>
      </c>
      <c r="P434" s="364" t="s">
        <v>198</v>
      </c>
      <c r="Q434" s="364" t="s">
        <v>652</v>
      </c>
      <c r="R434" s="364" t="s">
        <v>88</v>
      </c>
      <c r="S434" s="364" t="s">
        <v>88</v>
      </c>
      <c r="T434" s="364" t="s">
        <v>88</v>
      </c>
      <c r="U434" s="364" t="s">
        <v>88</v>
      </c>
      <c r="V434" s="364" t="s">
        <v>88</v>
      </c>
      <c r="W434" s="364" t="s">
        <v>88</v>
      </c>
      <c r="X434" s="364" t="s">
        <v>88</v>
      </c>
      <c r="Y434" s="364" t="s">
        <v>88</v>
      </c>
      <c r="Z434" s="364" t="s">
        <v>717</v>
      </c>
      <c r="AA434" s="364" t="s">
        <v>649</v>
      </c>
      <c r="AB434" s="364" t="s">
        <v>649</v>
      </c>
      <c r="AC434" s="364" t="s">
        <v>649</v>
      </c>
      <c r="AD434" s="364" t="s">
        <v>649</v>
      </c>
      <c r="AE434" s="364" t="s">
        <v>88</v>
      </c>
      <c r="AF434" s="364" t="s">
        <v>88</v>
      </c>
      <c r="AG434" s="364" t="s">
        <v>88</v>
      </c>
      <c r="AH434" s="364" t="s">
        <v>88</v>
      </c>
      <c r="AI434" s="364" t="s">
        <v>1155</v>
      </c>
      <c r="AJ434" s="364" t="s">
        <v>710</v>
      </c>
      <c r="AK434" s="364" t="s">
        <v>1016</v>
      </c>
      <c r="AL434" s="364" t="s">
        <v>646</v>
      </c>
      <c r="AM434" s="364" t="s">
        <v>668</v>
      </c>
      <c r="AN434" s="364" t="s">
        <v>644</v>
      </c>
    </row>
    <row r="435" spans="1:40" x14ac:dyDescent="0.3">
      <c r="A435" s="364" t="s">
        <v>2275</v>
      </c>
      <c r="B435" s="364" t="s">
        <v>661</v>
      </c>
      <c r="C435" s="364" t="s">
        <v>660</v>
      </c>
      <c r="D435" s="364" t="s">
        <v>90</v>
      </c>
      <c r="E435" s="364" t="s">
        <v>2274</v>
      </c>
      <c r="F435" s="364" t="s">
        <v>2274</v>
      </c>
      <c r="G435" s="364" t="s">
        <v>658</v>
      </c>
      <c r="H435" s="364" t="s">
        <v>2273</v>
      </c>
      <c r="I435" s="364" t="s">
        <v>2272</v>
      </c>
      <c r="J435" s="364" t="s">
        <v>673</v>
      </c>
      <c r="K435" s="364" t="s">
        <v>668</v>
      </c>
      <c r="L435" s="364" t="s">
        <v>190</v>
      </c>
      <c r="M435" s="364" t="s">
        <v>713</v>
      </c>
      <c r="N435" s="364" t="s">
        <v>654</v>
      </c>
      <c r="O435" s="364" t="s">
        <v>653</v>
      </c>
      <c r="P435" s="364" t="s">
        <v>198</v>
      </c>
      <c r="Q435" s="364" t="s">
        <v>652</v>
      </c>
      <c r="R435" s="364" t="s">
        <v>88</v>
      </c>
      <c r="S435" s="364" t="s">
        <v>88</v>
      </c>
      <c r="T435" s="364" t="s">
        <v>88</v>
      </c>
      <c r="U435" s="364" t="s">
        <v>88</v>
      </c>
      <c r="V435" s="364" t="s">
        <v>88</v>
      </c>
      <c r="W435" s="364" t="s">
        <v>88</v>
      </c>
      <c r="X435" s="364" t="s">
        <v>88</v>
      </c>
      <c r="Y435" s="364" t="s">
        <v>88</v>
      </c>
      <c r="Z435" s="364" t="s">
        <v>712</v>
      </c>
      <c r="AA435" s="364" t="s">
        <v>711</v>
      </c>
      <c r="AB435" s="364" t="s">
        <v>649</v>
      </c>
      <c r="AC435" s="364" t="s">
        <v>649</v>
      </c>
      <c r="AD435" s="364" t="s">
        <v>649</v>
      </c>
      <c r="AE435" s="364" t="s">
        <v>88</v>
      </c>
      <c r="AF435" s="364" t="s">
        <v>88</v>
      </c>
      <c r="AG435" s="364" t="s">
        <v>88</v>
      </c>
      <c r="AH435" s="364" t="s">
        <v>88</v>
      </c>
      <c r="AI435" s="364" t="s">
        <v>1155</v>
      </c>
      <c r="AJ435" s="364" t="s">
        <v>710</v>
      </c>
      <c r="AK435" s="364" t="s">
        <v>1016</v>
      </c>
      <c r="AL435" s="364" t="s">
        <v>646</v>
      </c>
      <c r="AM435" s="364" t="s">
        <v>668</v>
      </c>
      <c r="AN435" s="364" t="s">
        <v>644</v>
      </c>
    </row>
    <row r="436" spans="1:40" x14ac:dyDescent="0.3">
      <c r="A436" s="364" t="s">
        <v>2275</v>
      </c>
      <c r="B436" s="364" t="s">
        <v>661</v>
      </c>
      <c r="C436" s="364" t="s">
        <v>660</v>
      </c>
      <c r="D436" s="364" t="s">
        <v>90</v>
      </c>
      <c r="E436" s="364" t="s">
        <v>2274</v>
      </c>
      <c r="F436" s="364" t="s">
        <v>2274</v>
      </c>
      <c r="G436" s="364" t="s">
        <v>658</v>
      </c>
      <c r="H436" s="364" t="s">
        <v>2273</v>
      </c>
      <c r="I436" s="364" t="s">
        <v>2272</v>
      </c>
      <c r="J436" s="364" t="s">
        <v>673</v>
      </c>
      <c r="K436" s="364" t="s">
        <v>668</v>
      </c>
      <c r="L436" s="364" t="s">
        <v>190</v>
      </c>
      <c r="M436" s="364" t="s">
        <v>54</v>
      </c>
      <c r="N436" s="364" t="s">
        <v>654</v>
      </c>
      <c r="O436" s="364" t="s">
        <v>653</v>
      </c>
      <c r="P436" s="364" t="s">
        <v>198</v>
      </c>
      <c r="Q436" s="364" t="s">
        <v>652</v>
      </c>
      <c r="R436" s="364" t="s">
        <v>88</v>
      </c>
      <c r="S436" s="364" t="s">
        <v>88</v>
      </c>
      <c r="T436" s="364" t="s">
        <v>88</v>
      </c>
      <c r="U436" s="364" t="s">
        <v>88</v>
      </c>
      <c r="V436" s="364" t="s">
        <v>88</v>
      </c>
      <c r="W436" s="364" t="s">
        <v>88</v>
      </c>
      <c r="X436" s="364" t="s">
        <v>88</v>
      </c>
      <c r="Y436" s="364" t="s">
        <v>88</v>
      </c>
      <c r="Z436" s="364" t="s">
        <v>1265</v>
      </c>
      <c r="AA436" s="364" t="s">
        <v>649</v>
      </c>
      <c r="AB436" s="364" t="s">
        <v>649</v>
      </c>
      <c r="AC436" s="364" t="s">
        <v>649</v>
      </c>
      <c r="AD436" s="364" t="s">
        <v>649</v>
      </c>
      <c r="AE436" s="364" t="s">
        <v>88</v>
      </c>
      <c r="AF436" s="364" t="s">
        <v>88</v>
      </c>
      <c r="AG436" s="364" t="s">
        <v>88</v>
      </c>
      <c r="AH436" s="364" t="s">
        <v>88</v>
      </c>
      <c r="AI436" s="364" t="s">
        <v>1155</v>
      </c>
      <c r="AJ436" s="364" t="s">
        <v>710</v>
      </c>
      <c r="AK436" s="364" t="s">
        <v>1016</v>
      </c>
      <c r="AL436" s="364" t="s">
        <v>646</v>
      </c>
      <c r="AM436" s="364" t="s">
        <v>668</v>
      </c>
      <c r="AN436" s="364" t="s">
        <v>644</v>
      </c>
    </row>
    <row r="437" spans="1:40" x14ac:dyDescent="0.3">
      <c r="A437" s="364" t="s">
        <v>2275</v>
      </c>
      <c r="B437" s="364" t="s">
        <v>661</v>
      </c>
      <c r="C437" s="364" t="s">
        <v>660</v>
      </c>
      <c r="D437" s="364" t="s">
        <v>90</v>
      </c>
      <c r="E437" s="364" t="s">
        <v>2274</v>
      </c>
      <c r="F437" s="364" t="s">
        <v>2274</v>
      </c>
      <c r="G437" s="364" t="s">
        <v>658</v>
      </c>
      <c r="H437" s="364" t="s">
        <v>2273</v>
      </c>
      <c r="I437" s="364" t="s">
        <v>2272</v>
      </c>
      <c r="J437" s="364" t="s">
        <v>673</v>
      </c>
      <c r="K437" s="364" t="s">
        <v>668</v>
      </c>
      <c r="L437" s="364" t="s">
        <v>190</v>
      </c>
      <c r="M437" s="364" t="s">
        <v>61</v>
      </c>
      <c r="N437" s="364" t="s">
        <v>654</v>
      </c>
      <c r="O437" s="364" t="s">
        <v>653</v>
      </c>
      <c r="P437" s="364" t="s">
        <v>198</v>
      </c>
      <c r="Q437" s="364" t="s">
        <v>652</v>
      </c>
      <c r="R437" s="364" t="s">
        <v>88</v>
      </c>
      <c r="S437" s="364" t="s">
        <v>88</v>
      </c>
      <c r="T437" s="364" t="s">
        <v>88</v>
      </c>
      <c r="U437" s="364" t="s">
        <v>88</v>
      </c>
      <c r="V437" s="364" t="s">
        <v>88</v>
      </c>
      <c r="W437" s="364" t="s">
        <v>88</v>
      </c>
      <c r="X437" s="364" t="s">
        <v>88</v>
      </c>
      <c r="Y437" s="364" t="s">
        <v>88</v>
      </c>
      <c r="Z437" s="364" t="s">
        <v>1021</v>
      </c>
      <c r="AA437" s="364" t="s">
        <v>671</v>
      </c>
      <c r="AB437" s="364" t="s">
        <v>649</v>
      </c>
      <c r="AC437" s="364" t="s">
        <v>649</v>
      </c>
      <c r="AD437" s="364" t="s">
        <v>649</v>
      </c>
      <c r="AE437" s="364" t="s">
        <v>88</v>
      </c>
      <c r="AF437" s="364" t="s">
        <v>88</v>
      </c>
      <c r="AG437" s="364" t="s">
        <v>88</v>
      </c>
      <c r="AH437" s="364" t="s">
        <v>88</v>
      </c>
      <c r="AI437" s="364" t="s">
        <v>1155</v>
      </c>
      <c r="AJ437" s="364" t="s">
        <v>710</v>
      </c>
      <c r="AK437" s="364" t="s">
        <v>1016</v>
      </c>
      <c r="AL437" s="364" t="s">
        <v>646</v>
      </c>
      <c r="AM437" s="364" t="s">
        <v>668</v>
      </c>
      <c r="AN437" s="364" t="s">
        <v>644</v>
      </c>
    </row>
    <row r="438" spans="1:40" x14ac:dyDescent="0.3">
      <c r="A438" s="364" t="s">
        <v>2275</v>
      </c>
      <c r="B438" s="364" t="s">
        <v>661</v>
      </c>
      <c r="C438" s="364" t="s">
        <v>660</v>
      </c>
      <c r="D438" s="364" t="s">
        <v>90</v>
      </c>
      <c r="E438" s="364" t="s">
        <v>2274</v>
      </c>
      <c r="F438" s="364" t="s">
        <v>2274</v>
      </c>
      <c r="G438" s="364" t="s">
        <v>658</v>
      </c>
      <c r="H438" s="364" t="s">
        <v>2273</v>
      </c>
      <c r="I438" s="364" t="s">
        <v>2272</v>
      </c>
      <c r="J438" s="364" t="s">
        <v>673</v>
      </c>
      <c r="K438" s="364" t="s">
        <v>668</v>
      </c>
      <c r="L438" s="364" t="s">
        <v>190</v>
      </c>
      <c r="M438" s="364" t="s">
        <v>725</v>
      </c>
      <c r="N438" s="364" t="s">
        <v>654</v>
      </c>
      <c r="O438" s="364" t="s">
        <v>653</v>
      </c>
      <c r="P438" s="364" t="s">
        <v>198</v>
      </c>
      <c r="Q438" s="364" t="s">
        <v>652</v>
      </c>
      <c r="R438" s="364" t="s">
        <v>88</v>
      </c>
      <c r="S438" s="364" t="s">
        <v>88</v>
      </c>
      <c r="T438" s="364" t="s">
        <v>88</v>
      </c>
      <c r="U438" s="364" t="s">
        <v>88</v>
      </c>
      <c r="V438" s="364" t="s">
        <v>88</v>
      </c>
      <c r="W438" s="364" t="s">
        <v>88</v>
      </c>
      <c r="X438" s="364" t="s">
        <v>88</v>
      </c>
      <c r="Y438" s="364" t="s">
        <v>88</v>
      </c>
      <c r="Z438" s="364" t="s">
        <v>724</v>
      </c>
      <c r="AA438" s="364" t="s">
        <v>649</v>
      </c>
      <c r="AB438" s="364" t="s">
        <v>649</v>
      </c>
      <c r="AC438" s="364" t="s">
        <v>649</v>
      </c>
      <c r="AD438" s="364" t="s">
        <v>649</v>
      </c>
      <c r="AE438" s="364" t="s">
        <v>88</v>
      </c>
      <c r="AF438" s="364" t="s">
        <v>88</v>
      </c>
      <c r="AG438" s="364" t="s">
        <v>88</v>
      </c>
      <c r="AH438" s="364" t="s">
        <v>88</v>
      </c>
      <c r="AI438" s="364" t="s">
        <v>1155</v>
      </c>
      <c r="AJ438" s="364" t="s">
        <v>710</v>
      </c>
      <c r="AK438" s="364" t="s">
        <v>1016</v>
      </c>
      <c r="AL438" s="364" t="s">
        <v>646</v>
      </c>
      <c r="AM438" s="364" t="s">
        <v>668</v>
      </c>
      <c r="AN438" s="364" t="s">
        <v>644</v>
      </c>
    </row>
    <row r="439" spans="1:40" x14ac:dyDescent="0.3">
      <c r="A439" s="364" t="s">
        <v>2275</v>
      </c>
      <c r="B439" s="364" t="s">
        <v>661</v>
      </c>
      <c r="C439" s="364" t="s">
        <v>660</v>
      </c>
      <c r="D439" s="364" t="s">
        <v>90</v>
      </c>
      <c r="E439" s="364" t="s">
        <v>2274</v>
      </c>
      <c r="F439" s="364" t="s">
        <v>2274</v>
      </c>
      <c r="G439" s="364" t="s">
        <v>658</v>
      </c>
      <c r="H439" s="364" t="s">
        <v>2273</v>
      </c>
      <c r="I439" s="364" t="s">
        <v>2272</v>
      </c>
      <c r="J439" s="364" t="s">
        <v>673</v>
      </c>
      <c r="K439" s="364" t="s">
        <v>668</v>
      </c>
      <c r="L439" s="364" t="s">
        <v>190</v>
      </c>
      <c r="M439" s="364" t="s">
        <v>723</v>
      </c>
      <c r="N439" s="364" t="s">
        <v>654</v>
      </c>
      <c r="O439" s="364" t="s">
        <v>653</v>
      </c>
      <c r="P439" s="364" t="s">
        <v>198</v>
      </c>
      <c r="Q439" s="364" t="s">
        <v>652</v>
      </c>
      <c r="R439" s="364" t="s">
        <v>88</v>
      </c>
      <c r="S439" s="364" t="s">
        <v>88</v>
      </c>
      <c r="T439" s="364" t="s">
        <v>88</v>
      </c>
      <c r="U439" s="364" t="s">
        <v>88</v>
      </c>
      <c r="V439" s="364" t="s">
        <v>88</v>
      </c>
      <c r="W439" s="364" t="s">
        <v>88</v>
      </c>
      <c r="X439" s="364" t="s">
        <v>88</v>
      </c>
      <c r="Y439" s="364" t="s">
        <v>88</v>
      </c>
      <c r="Z439" s="364" t="s">
        <v>722</v>
      </c>
      <c r="AA439" s="364" t="s">
        <v>649</v>
      </c>
      <c r="AB439" s="364" t="s">
        <v>649</v>
      </c>
      <c r="AC439" s="364" t="s">
        <v>649</v>
      </c>
      <c r="AD439" s="364" t="s">
        <v>649</v>
      </c>
      <c r="AE439" s="364" t="s">
        <v>88</v>
      </c>
      <c r="AF439" s="364" t="s">
        <v>88</v>
      </c>
      <c r="AG439" s="364" t="s">
        <v>88</v>
      </c>
      <c r="AH439" s="364" t="s">
        <v>88</v>
      </c>
      <c r="AI439" s="364" t="s">
        <v>1155</v>
      </c>
      <c r="AJ439" s="364" t="s">
        <v>710</v>
      </c>
      <c r="AK439" s="364" t="s">
        <v>1016</v>
      </c>
      <c r="AL439" s="364" t="s">
        <v>646</v>
      </c>
      <c r="AM439" s="364" t="s">
        <v>668</v>
      </c>
      <c r="AN439" s="364" t="s">
        <v>644</v>
      </c>
    </row>
    <row r="440" spans="1:40" x14ac:dyDescent="0.3">
      <c r="A440" s="364" t="s">
        <v>2275</v>
      </c>
      <c r="B440" s="364" t="s">
        <v>661</v>
      </c>
      <c r="C440" s="364" t="s">
        <v>660</v>
      </c>
      <c r="D440" s="364" t="s">
        <v>90</v>
      </c>
      <c r="E440" s="364" t="s">
        <v>2274</v>
      </c>
      <c r="F440" s="364" t="s">
        <v>2274</v>
      </c>
      <c r="G440" s="364" t="s">
        <v>658</v>
      </c>
      <c r="H440" s="364" t="s">
        <v>2273</v>
      </c>
      <c r="I440" s="364" t="s">
        <v>2272</v>
      </c>
      <c r="J440" s="364" t="s">
        <v>673</v>
      </c>
      <c r="K440" s="364" t="s">
        <v>668</v>
      </c>
      <c r="L440" s="364" t="s">
        <v>190</v>
      </c>
      <c r="M440" s="364" t="s">
        <v>721</v>
      </c>
      <c r="N440" s="364" t="s">
        <v>654</v>
      </c>
      <c r="O440" s="364" t="s">
        <v>653</v>
      </c>
      <c r="P440" s="364" t="s">
        <v>198</v>
      </c>
      <c r="Q440" s="364" t="s">
        <v>652</v>
      </c>
      <c r="R440" s="364" t="s">
        <v>88</v>
      </c>
      <c r="S440" s="364" t="s">
        <v>88</v>
      </c>
      <c r="T440" s="364" t="s">
        <v>88</v>
      </c>
      <c r="U440" s="364" t="s">
        <v>88</v>
      </c>
      <c r="V440" s="364" t="s">
        <v>88</v>
      </c>
      <c r="W440" s="364" t="s">
        <v>88</v>
      </c>
      <c r="X440" s="364" t="s">
        <v>88</v>
      </c>
      <c r="Y440" s="364" t="s">
        <v>88</v>
      </c>
      <c r="Z440" s="364" t="s">
        <v>720</v>
      </c>
      <c r="AA440" s="364" t="s">
        <v>649</v>
      </c>
      <c r="AB440" s="364" t="s">
        <v>649</v>
      </c>
      <c r="AC440" s="364" t="s">
        <v>649</v>
      </c>
      <c r="AD440" s="364" t="s">
        <v>649</v>
      </c>
      <c r="AE440" s="364" t="s">
        <v>88</v>
      </c>
      <c r="AF440" s="364" t="s">
        <v>88</v>
      </c>
      <c r="AG440" s="364" t="s">
        <v>88</v>
      </c>
      <c r="AH440" s="364" t="s">
        <v>88</v>
      </c>
      <c r="AI440" s="364" t="s">
        <v>1155</v>
      </c>
      <c r="AJ440" s="364" t="s">
        <v>710</v>
      </c>
      <c r="AK440" s="364" t="s">
        <v>1016</v>
      </c>
      <c r="AL440" s="364" t="s">
        <v>646</v>
      </c>
      <c r="AM440" s="364" t="s">
        <v>668</v>
      </c>
      <c r="AN440" s="364" t="s">
        <v>644</v>
      </c>
    </row>
    <row r="441" spans="1:40" x14ac:dyDescent="0.3">
      <c r="A441" s="364" t="s">
        <v>2275</v>
      </c>
      <c r="B441" s="364" t="s">
        <v>661</v>
      </c>
      <c r="C441" s="364" t="s">
        <v>660</v>
      </c>
      <c r="D441" s="364" t="s">
        <v>90</v>
      </c>
      <c r="E441" s="364" t="s">
        <v>2274</v>
      </c>
      <c r="F441" s="364" t="s">
        <v>2274</v>
      </c>
      <c r="G441" s="364" t="s">
        <v>658</v>
      </c>
      <c r="H441" s="364" t="s">
        <v>2273</v>
      </c>
      <c r="I441" s="364" t="s">
        <v>2272</v>
      </c>
      <c r="J441" s="364" t="s">
        <v>673</v>
      </c>
      <c r="K441" s="364" t="s">
        <v>668</v>
      </c>
      <c r="L441" s="364" t="s">
        <v>190</v>
      </c>
      <c r="M441" s="364" t="s">
        <v>56</v>
      </c>
      <c r="N441" s="364" t="s">
        <v>654</v>
      </c>
      <c r="O441" s="364" t="s">
        <v>653</v>
      </c>
      <c r="P441" s="364" t="s">
        <v>198</v>
      </c>
      <c r="Q441" s="364" t="s">
        <v>652</v>
      </c>
      <c r="R441" s="364" t="s">
        <v>88</v>
      </c>
      <c r="S441" s="364" t="s">
        <v>88</v>
      </c>
      <c r="T441" s="364" t="s">
        <v>88</v>
      </c>
      <c r="U441" s="364" t="s">
        <v>88</v>
      </c>
      <c r="V441" s="364" t="s">
        <v>88</v>
      </c>
      <c r="W441" s="364" t="s">
        <v>88</v>
      </c>
      <c r="X441" s="364" t="s">
        <v>88</v>
      </c>
      <c r="Y441" s="364" t="s">
        <v>88</v>
      </c>
      <c r="Z441" s="364" t="s">
        <v>1165</v>
      </c>
      <c r="AA441" s="364" t="s">
        <v>1164</v>
      </c>
      <c r="AB441" s="364" t="s">
        <v>649</v>
      </c>
      <c r="AC441" s="364" t="s">
        <v>649</v>
      </c>
      <c r="AD441" s="364" t="s">
        <v>649</v>
      </c>
      <c r="AE441" s="364" t="s">
        <v>88</v>
      </c>
      <c r="AF441" s="364" t="s">
        <v>88</v>
      </c>
      <c r="AG441" s="364" t="s">
        <v>88</v>
      </c>
      <c r="AH441" s="364" t="s">
        <v>88</v>
      </c>
      <c r="AI441" s="364" t="s">
        <v>1155</v>
      </c>
      <c r="AJ441" s="364" t="s">
        <v>710</v>
      </c>
      <c r="AK441" s="364" t="s">
        <v>1016</v>
      </c>
      <c r="AL441" s="364" t="s">
        <v>646</v>
      </c>
      <c r="AM441" s="364" t="s">
        <v>668</v>
      </c>
      <c r="AN441" s="364" t="s">
        <v>644</v>
      </c>
    </row>
    <row r="442" spans="1:40" x14ac:dyDescent="0.3">
      <c r="A442" s="364" t="s">
        <v>2271</v>
      </c>
      <c r="B442" s="364" t="s">
        <v>661</v>
      </c>
      <c r="C442" s="364" t="s">
        <v>660</v>
      </c>
      <c r="D442" s="364" t="s">
        <v>90</v>
      </c>
      <c r="E442" s="364" t="s">
        <v>2270</v>
      </c>
      <c r="F442" s="364" t="s">
        <v>2270</v>
      </c>
      <c r="G442" s="364" t="s">
        <v>658</v>
      </c>
      <c r="H442" s="364" t="s">
        <v>2269</v>
      </c>
      <c r="I442" s="364" t="s">
        <v>2268</v>
      </c>
      <c r="J442" s="364" t="s">
        <v>673</v>
      </c>
      <c r="K442" s="364" t="s">
        <v>668</v>
      </c>
      <c r="L442" s="364" t="s">
        <v>190</v>
      </c>
      <c r="M442" s="364" t="s">
        <v>718</v>
      </c>
      <c r="N442" s="364" t="s">
        <v>654</v>
      </c>
      <c r="O442" s="364" t="s">
        <v>653</v>
      </c>
      <c r="P442" s="364" t="s">
        <v>198</v>
      </c>
      <c r="Q442" s="364" t="s">
        <v>652</v>
      </c>
      <c r="R442" s="364" t="s">
        <v>88</v>
      </c>
      <c r="S442" s="364" t="s">
        <v>88</v>
      </c>
      <c r="T442" s="364" t="s">
        <v>88</v>
      </c>
      <c r="U442" s="364" t="s">
        <v>88</v>
      </c>
      <c r="V442" s="364" t="s">
        <v>88</v>
      </c>
      <c r="W442" s="364" t="s">
        <v>88</v>
      </c>
      <c r="X442" s="364" t="s">
        <v>88</v>
      </c>
      <c r="Y442" s="364" t="s">
        <v>88</v>
      </c>
      <c r="Z442" s="364" t="s">
        <v>717</v>
      </c>
      <c r="AA442" s="364" t="s">
        <v>649</v>
      </c>
      <c r="AB442" s="364" t="s">
        <v>649</v>
      </c>
      <c r="AC442" s="364" t="s">
        <v>649</v>
      </c>
      <c r="AD442" s="364" t="s">
        <v>649</v>
      </c>
      <c r="AE442" s="364" t="s">
        <v>88</v>
      </c>
      <c r="AF442" s="364" t="s">
        <v>88</v>
      </c>
      <c r="AG442" s="364" t="s">
        <v>88</v>
      </c>
      <c r="AH442" s="364" t="s">
        <v>88</v>
      </c>
      <c r="AI442" s="364" t="s">
        <v>1155</v>
      </c>
      <c r="AJ442" s="364" t="s">
        <v>710</v>
      </c>
      <c r="AK442" s="364" t="s">
        <v>1016</v>
      </c>
      <c r="AL442" s="364" t="s">
        <v>646</v>
      </c>
      <c r="AM442" s="364" t="s">
        <v>668</v>
      </c>
      <c r="AN442" s="364" t="s">
        <v>644</v>
      </c>
    </row>
    <row r="443" spans="1:40" x14ac:dyDescent="0.3">
      <c r="A443" s="364" t="s">
        <v>2271</v>
      </c>
      <c r="B443" s="364" t="s">
        <v>661</v>
      </c>
      <c r="C443" s="364" t="s">
        <v>660</v>
      </c>
      <c r="D443" s="364" t="s">
        <v>90</v>
      </c>
      <c r="E443" s="364" t="s">
        <v>2270</v>
      </c>
      <c r="F443" s="364" t="s">
        <v>2270</v>
      </c>
      <c r="G443" s="364" t="s">
        <v>658</v>
      </c>
      <c r="H443" s="364" t="s">
        <v>2269</v>
      </c>
      <c r="I443" s="364" t="s">
        <v>2268</v>
      </c>
      <c r="J443" s="364" t="s">
        <v>673</v>
      </c>
      <c r="K443" s="364" t="s">
        <v>668</v>
      </c>
      <c r="L443" s="364" t="s">
        <v>190</v>
      </c>
      <c r="M443" s="364" t="s">
        <v>713</v>
      </c>
      <c r="N443" s="364" t="s">
        <v>654</v>
      </c>
      <c r="O443" s="364" t="s">
        <v>653</v>
      </c>
      <c r="P443" s="364" t="s">
        <v>198</v>
      </c>
      <c r="Q443" s="364" t="s">
        <v>652</v>
      </c>
      <c r="R443" s="364" t="s">
        <v>88</v>
      </c>
      <c r="S443" s="364" t="s">
        <v>88</v>
      </c>
      <c r="T443" s="364" t="s">
        <v>88</v>
      </c>
      <c r="U443" s="364" t="s">
        <v>88</v>
      </c>
      <c r="V443" s="364" t="s">
        <v>88</v>
      </c>
      <c r="W443" s="364" t="s">
        <v>88</v>
      </c>
      <c r="X443" s="364" t="s">
        <v>88</v>
      </c>
      <c r="Y443" s="364" t="s">
        <v>88</v>
      </c>
      <c r="Z443" s="364" t="s">
        <v>712</v>
      </c>
      <c r="AA443" s="364" t="s">
        <v>711</v>
      </c>
      <c r="AB443" s="364" t="s">
        <v>649</v>
      </c>
      <c r="AC443" s="364" t="s">
        <v>649</v>
      </c>
      <c r="AD443" s="364" t="s">
        <v>649</v>
      </c>
      <c r="AE443" s="364" t="s">
        <v>88</v>
      </c>
      <c r="AF443" s="364" t="s">
        <v>88</v>
      </c>
      <c r="AG443" s="364" t="s">
        <v>88</v>
      </c>
      <c r="AH443" s="364" t="s">
        <v>88</v>
      </c>
      <c r="AI443" s="364" t="s">
        <v>1155</v>
      </c>
      <c r="AJ443" s="364" t="s">
        <v>710</v>
      </c>
      <c r="AK443" s="364" t="s">
        <v>1016</v>
      </c>
      <c r="AL443" s="364" t="s">
        <v>646</v>
      </c>
      <c r="AM443" s="364" t="s">
        <v>668</v>
      </c>
      <c r="AN443" s="364" t="s">
        <v>644</v>
      </c>
    </row>
    <row r="444" spans="1:40" x14ac:dyDescent="0.3">
      <c r="A444" s="364" t="s">
        <v>2271</v>
      </c>
      <c r="B444" s="364" t="s">
        <v>661</v>
      </c>
      <c r="C444" s="364" t="s">
        <v>660</v>
      </c>
      <c r="D444" s="364" t="s">
        <v>90</v>
      </c>
      <c r="E444" s="364" t="s">
        <v>2270</v>
      </c>
      <c r="F444" s="364" t="s">
        <v>2270</v>
      </c>
      <c r="G444" s="364" t="s">
        <v>658</v>
      </c>
      <c r="H444" s="364" t="s">
        <v>2269</v>
      </c>
      <c r="I444" s="364" t="s">
        <v>2268</v>
      </c>
      <c r="J444" s="364" t="s">
        <v>673</v>
      </c>
      <c r="K444" s="364" t="s">
        <v>668</v>
      </c>
      <c r="L444" s="364" t="s">
        <v>190</v>
      </c>
      <c r="M444" s="364" t="s">
        <v>54</v>
      </c>
      <c r="N444" s="364" t="s">
        <v>654</v>
      </c>
      <c r="O444" s="364" t="s">
        <v>653</v>
      </c>
      <c r="P444" s="364" t="s">
        <v>198</v>
      </c>
      <c r="Q444" s="364" t="s">
        <v>652</v>
      </c>
      <c r="R444" s="364" t="s">
        <v>88</v>
      </c>
      <c r="S444" s="364" t="s">
        <v>88</v>
      </c>
      <c r="T444" s="364" t="s">
        <v>88</v>
      </c>
      <c r="U444" s="364" t="s">
        <v>88</v>
      </c>
      <c r="V444" s="364" t="s">
        <v>88</v>
      </c>
      <c r="W444" s="364" t="s">
        <v>88</v>
      </c>
      <c r="X444" s="364" t="s">
        <v>88</v>
      </c>
      <c r="Y444" s="364" t="s">
        <v>88</v>
      </c>
      <c r="Z444" s="364" t="s">
        <v>1265</v>
      </c>
      <c r="AA444" s="364" t="s">
        <v>649</v>
      </c>
      <c r="AB444" s="364" t="s">
        <v>649</v>
      </c>
      <c r="AC444" s="364" t="s">
        <v>649</v>
      </c>
      <c r="AD444" s="364" t="s">
        <v>649</v>
      </c>
      <c r="AE444" s="364" t="s">
        <v>88</v>
      </c>
      <c r="AF444" s="364" t="s">
        <v>88</v>
      </c>
      <c r="AG444" s="364" t="s">
        <v>88</v>
      </c>
      <c r="AH444" s="364" t="s">
        <v>88</v>
      </c>
      <c r="AI444" s="364" t="s">
        <v>1155</v>
      </c>
      <c r="AJ444" s="364" t="s">
        <v>710</v>
      </c>
      <c r="AK444" s="364" t="s">
        <v>1016</v>
      </c>
      <c r="AL444" s="364" t="s">
        <v>646</v>
      </c>
      <c r="AM444" s="364" t="s">
        <v>668</v>
      </c>
      <c r="AN444" s="364" t="s">
        <v>644</v>
      </c>
    </row>
    <row r="445" spans="1:40" x14ac:dyDescent="0.3">
      <c r="A445" s="364" t="s">
        <v>2271</v>
      </c>
      <c r="B445" s="364" t="s">
        <v>661</v>
      </c>
      <c r="C445" s="364" t="s">
        <v>660</v>
      </c>
      <c r="D445" s="364" t="s">
        <v>90</v>
      </c>
      <c r="E445" s="364" t="s">
        <v>2270</v>
      </c>
      <c r="F445" s="364" t="s">
        <v>2270</v>
      </c>
      <c r="G445" s="364" t="s">
        <v>658</v>
      </c>
      <c r="H445" s="364" t="s">
        <v>2269</v>
      </c>
      <c r="I445" s="364" t="s">
        <v>2268</v>
      </c>
      <c r="J445" s="364" t="s">
        <v>673</v>
      </c>
      <c r="K445" s="364" t="s">
        <v>668</v>
      </c>
      <c r="L445" s="364" t="s">
        <v>190</v>
      </c>
      <c r="M445" s="364" t="s">
        <v>61</v>
      </c>
      <c r="N445" s="364" t="s">
        <v>654</v>
      </c>
      <c r="O445" s="364" t="s">
        <v>653</v>
      </c>
      <c r="P445" s="364" t="s">
        <v>198</v>
      </c>
      <c r="Q445" s="364" t="s">
        <v>652</v>
      </c>
      <c r="R445" s="364" t="s">
        <v>88</v>
      </c>
      <c r="S445" s="364" t="s">
        <v>88</v>
      </c>
      <c r="T445" s="364" t="s">
        <v>88</v>
      </c>
      <c r="U445" s="364" t="s">
        <v>88</v>
      </c>
      <c r="V445" s="364" t="s">
        <v>88</v>
      </c>
      <c r="W445" s="364" t="s">
        <v>88</v>
      </c>
      <c r="X445" s="364" t="s">
        <v>88</v>
      </c>
      <c r="Y445" s="364" t="s">
        <v>88</v>
      </c>
      <c r="Z445" s="364" t="s">
        <v>1021</v>
      </c>
      <c r="AA445" s="364" t="s">
        <v>671</v>
      </c>
      <c r="AB445" s="364" t="s">
        <v>649</v>
      </c>
      <c r="AC445" s="364" t="s">
        <v>649</v>
      </c>
      <c r="AD445" s="364" t="s">
        <v>649</v>
      </c>
      <c r="AE445" s="364" t="s">
        <v>88</v>
      </c>
      <c r="AF445" s="364" t="s">
        <v>88</v>
      </c>
      <c r="AG445" s="364" t="s">
        <v>88</v>
      </c>
      <c r="AH445" s="364" t="s">
        <v>88</v>
      </c>
      <c r="AI445" s="364" t="s">
        <v>1155</v>
      </c>
      <c r="AJ445" s="364" t="s">
        <v>710</v>
      </c>
      <c r="AK445" s="364" t="s">
        <v>1016</v>
      </c>
      <c r="AL445" s="364" t="s">
        <v>646</v>
      </c>
      <c r="AM445" s="364" t="s">
        <v>668</v>
      </c>
      <c r="AN445" s="364" t="s">
        <v>644</v>
      </c>
    </row>
    <row r="446" spans="1:40" x14ac:dyDescent="0.3">
      <c r="A446" s="364" t="s">
        <v>2271</v>
      </c>
      <c r="B446" s="364" t="s">
        <v>661</v>
      </c>
      <c r="C446" s="364" t="s">
        <v>660</v>
      </c>
      <c r="D446" s="364" t="s">
        <v>90</v>
      </c>
      <c r="E446" s="364" t="s">
        <v>2270</v>
      </c>
      <c r="F446" s="364" t="s">
        <v>2270</v>
      </c>
      <c r="G446" s="364" t="s">
        <v>658</v>
      </c>
      <c r="H446" s="364" t="s">
        <v>2269</v>
      </c>
      <c r="I446" s="364" t="s">
        <v>2268</v>
      </c>
      <c r="J446" s="364" t="s">
        <v>673</v>
      </c>
      <c r="K446" s="364" t="s">
        <v>668</v>
      </c>
      <c r="L446" s="364" t="s">
        <v>190</v>
      </c>
      <c r="M446" s="364" t="s">
        <v>725</v>
      </c>
      <c r="N446" s="364" t="s">
        <v>654</v>
      </c>
      <c r="O446" s="364" t="s">
        <v>653</v>
      </c>
      <c r="P446" s="364" t="s">
        <v>198</v>
      </c>
      <c r="Q446" s="364" t="s">
        <v>652</v>
      </c>
      <c r="R446" s="364" t="s">
        <v>88</v>
      </c>
      <c r="S446" s="364" t="s">
        <v>88</v>
      </c>
      <c r="T446" s="364" t="s">
        <v>88</v>
      </c>
      <c r="U446" s="364" t="s">
        <v>88</v>
      </c>
      <c r="V446" s="364" t="s">
        <v>88</v>
      </c>
      <c r="W446" s="364" t="s">
        <v>88</v>
      </c>
      <c r="X446" s="364" t="s">
        <v>88</v>
      </c>
      <c r="Y446" s="364" t="s">
        <v>88</v>
      </c>
      <c r="Z446" s="364" t="s">
        <v>724</v>
      </c>
      <c r="AA446" s="364" t="s">
        <v>649</v>
      </c>
      <c r="AB446" s="364" t="s">
        <v>649</v>
      </c>
      <c r="AC446" s="364" t="s">
        <v>649</v>
      </c>
      <c r="AD446" s="364" t="s">
        <v>649</v>
      </c>
      <c r="AE446" s="364" t="s">
        <v>88</v>
      </c>
      <c r="AF446" s="364" t="s">
        <v>88</v>
      </c>
      <c r="AG446" s="364" t="s">
        <v>88</v>
      </c>
      <c r="AH446" s="364" t="s">
        <v>88</v>
      </c>
      <c r="AI446" s="364" t="s">
        <v>1155</v>
      </c>
      <c r="AJ446" s="364" t="s">
        <v>710</v>
      </c>
      <c r="AK446" s="364" t="s">
        <v>1016</v>
      </c>
      <c r="AL446" s="364" t="s">
        <v>646</v>
      </c>
      <c r="AM446" s="364" t="s">
        <v>668</v>
      </c>
      <c r="AN446" s="364" t="s">
        <v>644</v>
      </c>
    </row>
    <row r="447" spans="1:40" x14ac:dyDescent="0.3">
      <c r="A447" s="364" t="s">
        <v>2271</v>
      </c>
      <c r="B447" s="364" t="s">
        <v>661</v>
      </c>
      <c r="C447" s="364" t="s">
        <v>660</v>
      </c>
      <c r="D447" s="364" t="s">
        <v>90</v>
      </c>
      <c r="E447" s="364" t="s">
        <v>2270</v>
      </c>
      <c r="F447" s="364" t="s">
        <v>2270</v>
      </c>
      <c r="G447" s="364" t="s">
        <v>658</v>
      </c>
      <c r="H447" s="364" t="s">
        <v>2269</v>
      </c>
      <c r="I447" s="364" t="s">
        <v>2268</v>
      </c>
      <c r="J447" s="364" t="s">
        <v>673</v>
      </c>
      <c r="K447" s="364" t="s">
        <v>668</v>
      </c>
      <c r="L447" s="364" t="s">
        <v>190</v>
      </c>
      <c r="M447" s="364" t="s">
        <v>723</v>
      </c>
      <c r="N447" s="364" t="s">
        <v>654</v>
      </c>
      <c r="O447" s="364" t="s">
        <v>653</v>
      </c>
      <c r="P447" s="364" t="s">
        <v>198</v>
      </c>
      <c r="Q447" s="364" t="s">
        <v>652</v>
      </c>
      <c r="R447" s="364" t="s">
        <v>88</v>
      </c>
      <c r="S447" s="364" t="s">
        <v>88</v>
      </c>
      <c r="T447" s="364" t="s">
        <v>88</v>
      </c>
      <c r="U447" s="364" t="s">
        <v>88</v>
      </c>
      <c r="V447" s="364" t="s">
        <v>88</v>
      </c>
      <c r="W447" s="364" t="s">
        <v>88</v>
      </c>
      <c r="X447" s="364" t="s">
        <v>88</v>
      </c>
      <c r="Y447" s="364" t="s">
        <v>88</v>
      </c>
      <c r="Z447" s="364" t="s">
        <v>722</v>
      </c>
      <c r="AA447" s="364" t="s">
        <v>649</v>
      </c>
      <c r="AB447" s="364" t="s">
        <v>649</v>
      </c>
      <c r="AC447" s="364" t="s">
        <v>649</v>
      </c>
      <c r="AD447" s="364" t="s">
        <v>649</v>
      </c>
      <c r="AE447" s="364" t="s">
        <v>88</v>
      </c>
      <c r="AF447" s="364" t="s">
        <v>88</v>
      </c>
      <c r="AG447" s="364" t="s">
        <v>88</v>
      </c>
      <c r="AH447" s="364" t="s">
        <v>88</v>
      </c>
      <c r="AI447" s="364" t="s">
        <v>1155</v>
      </c>
      <c r="AJ447" s="364" t="s">
        <v>710</v>
      </c>
      <c r="AK447" s="364" t="s">
        <v>1016</v>
      </c>
      <c r="AL447" s="364" t="s">
        <v>646</v>
      </c>
      <c r="AM447" s="364" t="s">
        <v>668</v>
      </c>
      <c r="AN447" s="364" t="s">
        <v>644</v>
      </c>
    </row>
    <row r="448" spans="1:40" x14ac:dyDescent="0.3">
      <c r="A448" s="364" t="s">
        <v>2271</v>
      </c>
      <c r="B448" s="364" t="s">
        <v>661</v>
      </c>
      <c r="C448" s="364" t="s">
        <v>660</v>
      </c>
      <c r="D448" s="364" t="s">
        <v>90</v>
      </c>
      <c r="E448" s="364" t="s">
        <v>2270</v>
      </c>
      <c r="F448" s="364" t="s">
        <v>2270</v>
      </c>
      <c r="G448" s="364" t="s">
        <v>658</v>
      </c>
      <c r="H448" s="364" t="s">
        <v>2269</v>
      </c>
      <c r="I448" s="364" t="s">
        <v>2268</v>
      </c>
      <c r="J448" s="364" t="s">
        <v>673</v>
      </c>
      <c r="K448" s="364" t="s">
        <v>668</v>
      </c>
      <c r="L448" s="364" t="s">
        <v>190</v>
      </c>
      <c r="M448" s="364" t="s">
        <v>721</v>
      </c>
      <c r="N448" s="364" t="s">
        <v>654</v>
      </c>
      <c r="O448" s="364" t="s">
        <v>653</v>
      </c>
      <c r="P448" s="364" t="s">
        <v>198</v>
      </c>
      <c r="Q448" s="364" t="s">
        <v>652</v>
      </c>
      <c r="R448" s="364" t="s">
        <v>88</v>
      </c>
      <c r="S448" s="364" t="s">
        <v>88</v>
      </c>
      <c r="T448" s="364" t="s">
        <v>88</v>
      </c>
      <c r="U448" s="364" t="s">
        <v>88</v>
      </c>
      <c r="V448" s="364" t="s">
        <v>88</v>
      </c>
      <c r="W448" s="364" t="s">
        <v>88</v>
      </c>
      <c r="X448" s="364" t="s">
        <v>88</v>
      </c>
      <c r="Y448" s="364" t="s">
        <v>88</v>
      </c>
      <c r="Z448" s="364" t="s">
        <v>720</v>
      </c>
      <c r="AA448" s="364" t="s">
        <v>649</v>
      </c>
      <c r="AB448" s="364" t="s">
        <v>649</v>
      </c>
      <c r="AC448" s="364" t="s">
        <v>649</v>
      </c>
      <c r="AD448" s="364" t="s">
        <v>649</v>
      </c>
      <c r="AE448" s="364" t="s">
        <v>88</v>
      </c>
      <c r="AF448" s="364" t="s">
        <v>88</v>
      </c>
      <c r="AG448" s="364" t="s">
        <v>88</v>
      </c>
      <c r="AH448" s="364" t="s">
        <v>88</v>
      </c>
      <c r="AI448" s="364" t="s">
        <v>1155</v>
      </c>
      <c r="AJ448" s="364" t="s">
        <v>710</v>
      </c>
      <c r="AK448" s="364" t="s">
        <v>1016</v>
      </c>
      <c r="AL448" s="364" t="s">
        <v>646</v>
      </c>
      <c r="AM448" s="364" t="s">
        <v>668</v>
      </c>
      <c r="AN448" s="364" t="s">
        <v>644</v>
      </c>
    </row>
    <row r="449" spans="1:40" x14ac:dyDescent="0.3">
      <c r="A449" s="364" t="s">
        <v>2271</v>
      </c>
      <c r="B449" s="364" t="s">
        <v>661</v>
      </c>
      <c r="C449" s="364" t="s">
        <v>660</v>
      </c>
      <c r="D449" s="364" t="s">
        <v>90</v>
      </c>
      <c r="E449" s="364" t="s">
        <v>2270</v>
      </c>
      <c r="F449" s="364" t="s">
        <v>2270</v>
      </c>
      <c r="G449" s="364" t="s">
        <v>658</v>
      </c>
      <c r="H449" s="364" t="s">
        <v>2269</v>
      </c>
      <c r="I449" s="364" t="s">
        <v>2268</v>
      </c>
      <c r="J449" s="364" t="s">
        <v>673</v>
      </c>
      <c r="K449" s="364" t="s">
        <v>668</v>
      </c>
      <c r="L449" s="364" t="s">
        <v>190</v>
      </c>
      <c r="M449" s="364" t="s">
        <v>56</v>
      </c>
      <c r="N449" s="364" t="s">
        <v>654</v>
      </c>
      <c r="O449" s="364" t="s">
        <v>653</v>
      </c>
      <c r="P449" s="364" t="s">
        <v>198</v>
      </c>
      <c r="Q449" s="364" t="s">
        <v>652</v>
      </c>
      <c r="R449" s="364" t="s">
        <v>88</v>
      </c>
      <c r="S449" s="364" t="s">
        <v>88</v>
      </c>
      <c r="T449" s="364" t="s">
        <v>88</v>
      </c>
      <c r="U449" s="364" t="s">
        <v>88</v>
      </c>
      <c r="V449" s="364" t="s">
        <v>88</v>
      </c>
      <c r="W449" s="364" t="s">
        <v>88</v>
      </c>
      <c r="X449" s="364" t="s">
        <v>88</v>
      </c>
      <c r="Y449" s="364" t="s">
        <v>88</v>
      </c>
      <c r="Z449" s="364" t="s">
        <v>1165</v>
      </c>
      <c r="AA449" s="364" t="s">
        <v>1164</v>
      </c>
      <c r="AB449" s="364" t="s">
        <v>649</v>
      </c>
      <c r="AC449" s="364" t="s">
        <v>649</v>
      </c>
      <c r="AD449" s="364" t="s">
        <v>649</v>
      </c>
      <c r="AE449" s="364" t="s">
        <v>88</v>
      </c>
      <c r="AF449" s="364" t="s">
        <v>88</v>
      </c>
      <c r="AG449" s="364" t="s">
        <v>88</v>
      </c>
      <c r="AH449" s="364" t="s">
        <v>88</v>
      </c>
      <c r="AI449" s="364" t="s">
        <v>1155</v>
      </c>
      <c r="AJ449" s="364" t="s">
        <v>710</v>
      </c>
      <c r="AK449" s="364" t="s">
        <v>1016</v>
      </c>
      <c r="AL449" s="364" t="s">
        <v>646</v>
      </c>
      <c r="AM449" s="364" t="s">
        <v>668</v>
      </c>
      <c r="AN449" s="364" t="s">
        <v>644</v>
      </c>
    </row>
    <row r="450" spans="1:40" x14ac:dyDescent="0.3">
      <c r="A450" s="364" t="s">
        <v>2267</v>
      </c>
      <c r="B450" s="364" t="s">
        <v>661</v>
      </c>
      <c r="C450" s="364" t="s">
        <v>660</v>
      </c>
      <c r="D450" s="364" t="s">
        <v>170</v>
      </c>
      <c r="E450" s="364" t="s">
        <v>935</v>
      </c>
      <c r="F450" s="364" t="s">
        <v>935</v>
      </c>
      <c r="G450" s="364" t="s">
        <v>658</v>
      </c>
      <c r="H450" s="364" t="s">
        <v>2266</v>
      </c>
      <c r="I450" s="364" t="s">
        <v>2211</v>
      </c>
      <c r="J450" s="364" t="s">
        <v>673</v>
      </c>
      <c r="K450" s="364" t="s">
        <v>668</v>
      </c>
      <c r="L450" s="364" t="s">
        <v>190</v>
      </c>
      <c r="M450" s="364" t="s">
        <v>164</v>
      </c>
      <c r="N450" s="364" t="s">
        <v>654</v>
      </c>
      <c r="O450" s="364" t="s">
        <v>653</v>
      </c>
      <c r="P450" s="364" t="s">
        <v>198</v>
      </c>
      <c r="Q450" s="364" t="s">
        <v>652</v>
      </c>
      <c r="R450" s="364" t="s">
        <v>88</v>
      </c>
      <c r="S450" s="364" t="s">
        <v>88</v>
      </c>
      <c r="T450" s="364" t="s">
        <v>88</v>
      </c>
      <c r="U450" s="364" t="s">
        <v>88</v>
      </c>
      <c r="V450" s="364" t="s">
        <v>88</v>
      </c>
      <c r="W450" s="364" t="s">
        <v>88</v>
      </c>
      <c r="X450" s="364" t="s">
        <v>88</v>
      </c>
      <c r="Y450" s="364" t="s">
        <v>88</v>
      </c>
      <c r="Z450" s="364" t="s">
        <v>825</v>
      </c>
      <c r="AA450" s="364" t="s">
        <v>649</v>
      </c>
      <c r="AB450" s="364" t="s">
        <v>649</v>
      </c>
      <c r="AC450" s="364" t="s">
        <v>649</v>
      </c>
      <c r="AD450" s="364" t="s">
        <v>649</v>
      </c>
      <c r="AE450" s="364" t="s">
        <v>88</v>
      </c>
      <c r="AF450" s="364" t="s">
        <v>88</v>
      </c>
      <c r="AG450" s="364" t="s">
        <v>88</v>
      </c>
      <c r="AH450" s="364" t="s">
        <v>88</v>
      </c>
      <c r="AI450" s="364" t="s">
        <v>1199</v>
      </c>
      <c r="AJ450" s="364" t="s">
        <v>670</v>
      </c>
      <c r="AK450" s="364" t="s">
        <v>687</v>
      </c>
      <c r="AL450" s="364" t="s">
        <v>646</v>
      </c>
      <c r="AM450" s="364" t="s">
        <v>668</v>
      </c>
      <c r="AN450" s="364" t="s">
        <v>644</v>
      </c>
    </row>
    <row r="451" spans="1:40" x14ac:dyDescent="0.3">
      <c r="A451" s="364" t="s">
        <v>2265</v>
      </c>
      <c r="B451" s="364" t="s">
        <v>661</v>
      </c>
      <c r="C451" s="364" t="s">
        <v>660</v>
      </c>
      <c r="D451" s="364" t="s">
        <v>87</v>
      </c>
      <c r="E451" s="364" t="s">
        <v>935</v>
      </c>
      <c r="F451" s="364" t="s">
        <v>935</v>
      </c>
      <c r="G451" s="364" t="s">
        <v>658</v>
      </c>
      <c r="H451" s="364" t="s">
        <v>2264</v>
      </c>
      <c r="I451" s="364" t="s">
        <v>2205</v>
      </c>
      <c r="J451" s="364" t="s">
        <v>673</v>
      </c>
      <c r="K451" s="364" t="s">
        <v>668</v>
      </c>
      <c r="L451" s="364" t="s">
        <v>190</v>
      </c>
      <c r="M451" s="364" t="s">
        <v>62</v>
      </c>
      <c r="N451" s="364" t="s">
        <v>654</v>
      </c>
      <c r="O451" s="364" t="s">
        <v>653</v>
      </c>
      <c r="P451" s="364" t="s">
        <v>198</v>
      </c>
      <c r="Q451" s="364" t="s">
        <v>652</v>
      </c>
      <c r="R451" s="364" t="s">
        <v>88</v>
      </c>
      <c r="S451" s="364" t="s">
        <v>88</v>
      </c>
      <c r="T451" s="364" t="s">
        <v>88</v>
      </c>
      <c r="U451" s="364" t="s">
        <v>88</v>
      </c>
      <c r="V451" s="364" t="s">
        <v>88</v>
      </c>
      <c r="W451" s="364" t="s">
        <v>88</v>
      </c>
      <c r="X451" s="364" t="s">
        <v>88</v>
      </c>
      <c r="Y451" s="364" t="s">
        <v>88</v>
      </c>
      <c r="Z451" s="364" t="s">
        <v>689</v>
      </c>
      <c r="AA451" s="364" t="s">
        <v>688</v>
      </c>
      <c r="AB451" s="364" t="s">
        <v>649</v>
      </c>
      <c r="AC451" s="364" t="s">
        <v>649</v>
      </c>
      <c r="AD451" s="364" t="s">
        <v>649</v>
      </c>
      <c r="AE451" s="364" t="s">
        <v>88</v>
      </c>
      <c r="AF451" s="364" t="s">
        <v>88</v>
      </c>
      <c r="AG451" s="364" t="s">
        <v>88</v>
      </c>
      <c r="AH451" s="364" t="s">
        <v>88</v>
      </c>
      <c r="AI451" s="364" t="s">
        <v>1199</v>
      </c>
      <c r="AJ451" s="364" t="s">
        <v>670</v>
      </c>
      <c r="AK451" s="364" t="s">
        <v>669</v>
      </c>
      <c r="AL451" s="364" t="s">
        <v>646</v>
      </c>
      <c r="AM451" s="364" t="s">
        <v>668</v>
      </c>
      <c r="AN451" s="364" t="s">
        <v>644</v>
      </c>
    </row>
    <row r="452" spans="1:40" x14ac:dyDescent="0.3">
      <c r="A452" s="364" t="s">
        <v>2263</v>
      </c>
      <c r="B452" s="364" t="s">
        <v>661</v>
      </c>
      <c r="C452" s="364" t="s">
        <v>660</v>
      </c>
      <c r="D452" s="364" t="s">
        <v>87</v>
      </c>
      <c r="E452" s="364" t="s">
        <v>935</v>
      </c>
      <c r="F452" s="364" t="s">
        <v>935</v>
      </c>
      <c r="G452" s="364" t="s">
        <v>658</v>
      </c>
      <c r="H452" s="364" t="s">
        <v>2262</v>
      </c>
      <c r="I452" s="364" t="s">
        <v>2261</v>
      </c>
      <c r="J452" s="364" t="s">
        <v>673</v>
      </c>
      <c r="K452" s="364" t="s">
        <v>668</v>
      </c>
      <c r="L452" s="364" t="s">
        <v>190</v>
      </c>
      <c r="M452" s="364" t="s">
        <v>58</v>
      </c>
      <c r="N452" s="364" t="s">
        <v>654</v>
      </c>
      <c r="O452" s="364" t="s">
        <v>653</v>
      </c>
      <c r="P452" s="364" t="s">
        <v>198</v>
      </c>
      <c r="Q452" s="364" t="s">
        <v>652</v>
      </c>
      <c r="R452" s="364" t="s">
        <v>88</v>
      </c>
      <c r="S452" s="364" t="s">
        <v>88</v>
      </c>
      <c r="T452" s="364" t="s">
        <v>88</v>
      </c>
      <c r="U452" s="364" t="s">
        <v>88</v>
      </c>
      <c r="V452" s="364" t="s">
        <v>88</v>
      </c>
      <c r="W452" s="364" t="s">
        <v>88</v>
      </c>
      <c r="X452" s="364" t="s">
        <v>88</v>
      </c>
      <c r="Y452" s="364" t="s">
        <v>88</v>
      </c>
      <c r="Z452" s="364" t="s">
        <v>702</v>
      </c>
      <c r="AA452" s="364" t="s">
        <v>701</v>
      </c>
      <c r="AB452" s="364" t="s">
        <v>649</v>
      </c>
      <c r="AC452" s="364" t="s">
        <v>649</v>
      </c>
      <c r="AD452" s="364" t="s">
        <v>649</v>
      </c>
      <c r="AE452" s="364" t="s">
        <v>88</v>
      </c>
      <c r="AF452" s="364" t="s">
        <v>88</v>
      </c>
      <c r="AG452" s="364" t="s">
        <v>88</v>
      </c>
      <c r="AH452" s="364" t="s">
        <v>88</v>
      </c>
      <c r="AI452" s="364" t="s">
        <v>1199</v>
      </c>
      <c r="AJ452" s="364" t="s">
        <v>670</v>
      </c>
      <c r="AK452" s="364" t="s">
        <v>669</v>
      </c>
      <c r="AL452" s="364" t="s">
        <v>646</v>
      </c>
      <c r="AM452" s="364" t="s">
        <v>668</v>
      </c>
      <c r="AN452" s="364" t="s">
        <v>644</v>
      </c>
    </row>
    <row r="453" spans="1:40" x14ac:dyDescent="0.3">
      <c r="A453" s="364" t="s">
        <v>2260</v>
      </c>
      <c r="B453" s="364" t="s">
        <v>661</v>
      </c>
      <c r="C453" s="364" t="s">
        <v>1160</v>
      </c>
      <c r="D453" s="364" t="s">
        <v>87</v>
      </c>
      <c r="E453" s="364" t="s">
        <v>2223</v>
      </c>
      <c r="F453" s="364" t="s">
        <v>2223</v>
      </c>
      <c r="G453" s="364" t="s">
        <v>658</v>
      </c>
      <c r="H453" s="364" t="s">
        <v>2259</v>
      </c>
      <c r="I453" s="364" t="s">
        <v>88</v>
      </c>
      <c r="J453" s="364" t="s">
        <v>88</v>
      </c>
      <c r="K453" s="364" t="s">
        <v>88</v>
      </c>
      <c r="L453" s="364" t="s">
        <v>88</v>
      </c>
      <c r="M453" s="364" t="s">
        <v>138</v>
      </c>
      <c r="N453" s="364" t="s">
        <v>654</v>
      </c>
      <c r="O453" s="364" t="s">
        <v>653</v>
      </c>
      <c r="P453" s="364" t="s">
        <v>88</v>
      </c>
      <c r="Q453" s="364" t="s">
        <v>88</v>
      </c>
      <c r="R453" s="364" t="s">
        <v>88</v>
      </c>
      <c r="S453" s="364" t="s">
        <v>88</v>
      </c>
      <c r="T453" s="364" t="s">
        <v>88</v>
      </c>
      <c r="U453" s="364" t="s">
        <v>88</v>
      </c>
      <c r="V453" s="364" t="s">
        <v>88</v>
      </c>
      <c r="W453" s="364" t="s">
        <v>88</v>
      </c>
      <c r="X453" s="364" t="s">
        <v>88</v>
      </c>
      <c r="Y453" s="364" t="s">
        <v>88</v>
      </c>
      <c r="Z453" s="364" t="s">
        <v>88</v>
      </c>
      <c r="AA453" s="364" t="s">
        <v>649</v>
      </c>
      <c r="AB453" s="364" t="s">
        <v>88</v>
      </c>
      <c r="AC453" s="364" t="s">
        <v>88</v>
      </c>
      <c r="AD453" s="364" t="s">
        <v>88</v>
      </c>
      <c r="AE453" s="364" t="s">
        <v>88</v>
      </c>
      <c r="AF453" s="364" t="s">
        <v>88</v>
      </c>
      <c r="AG453" s="364" t="s">
        <v>88</v>
      </c>
      <c r="AH453" s="364" t="s">
        <v>88</v>
      </c>
      <c r="AI453" s="364" t="s">
        <v>2258</v>
      </c>
      <c r="AJ453" s="364" t="s">
        <v>793</v>
      </c>
      <c r="AK453" s="364" t="s">
        <v>88</v>
      </c>
      <c r="AL453" s="364" t="s">
        <v>88</v>
      </c>
      <c r="AM453" s="364" t="s">
        <v>88</v>
      </c>
      <c r="AN453" s="364" t="s">
        <v>792</v>
      </c>
    </row>
    <row r="454" spans="1:40" x14ac:dyDescent="0.3">
      <c r="A454" s="364" t="s">
        <v>2257</v>
      </c>
      <c r="B454" s="364" t="s">
        <v>661</v>
      </c>
      <c r="C454" s="364" t="s">
        <v>1160</v>
      </c>
      <c r="D454" s="364" t="s">
        <v>87</v>
      </c>
      <c r="E454" s="364" t="s">
        <v>2223</v>
      </c>
      <c r="F454" s="364" t="s">
        <v>2223</v>
      </c>
      <c r="G454" s="364" t="s">
        <v>658</v>
      </c>
      <c r="H454" s="364" t="s">
        <v>2256</v>
      </c>
      <c r="I454" s="364" t="s">
        <v>88</v>
      </c>
      <c r="J454" s="364" t="s">
        <v>88</v>
      </c>
      <c r="K454" s="364" t="s">
        <v>88</v>
      </c>
      <c r="L454" s="364" t="s">
        <v>88</v>
      </c>
      <c r="M454" s="364" t="s">
        <v>138</v>
      </c>
      <c r="N454" s="364" t="s">
        <v>654</v>
      </c>
      <c r="O454" s="364" t="s">
        <v>653</v>
      </c>
      <c r="P454" s="364" t="s">
        <v>88</v>
      </c>
      <c r="Q454" s="364" t="s">
        <v>88</v>
      </c>
      <c r="R454" s="364" t="s">
        <v>88</v>
      </c>
      <c r="S454" s="364" t="s">
        <v>88</v>
      </c>
      <c r="T454" s="364" t="s">
        <v>88</v>
      </c>
      <c r="U454" s="364" t="s">
        <v>88</v>
      </c>
      <c r="V454" s="364" t="s">
        <v>88</v>
      </c>
      <c r="W454" s="364" t="s">
        <v>88</v>
      </c>
      <c r="X454" s="364" t="s">
        <v>88</v>
      </c>
      <c r="Y454" s="364" t="s">
        <v>88</v>
      </c>
      <c r="Z454" s="364" t="s">
        <v>88</v>
      </c>
      <c r="AA454" s="364" t="s">
        <v>649</v>
      </c>
      <c r="AB454" s="364" t="s">
        <v>88</v>
      </c>
      <c r="AC454" s="364" t="s">
        <v>88</v>
      </c>
      <c r="AD454" s="364" t="s">
        <v>88</v>
      </c>
      <c r="AE454" s="364" t="s">
        <v>88</v>
      </c>
      <c r="AF454" s="364" t="s">
        <v>88</v>
      </c>
      <c r="AG454" s="364" t="s">
        <v>88</v>
      </c>
      <c r="AH454" s="364" t="s">
        <v>88</v>
      </c>
      <c r="AI454" s="364" t="s">
        <v>2255</v>
      </c>
      <c r="AJ454" s="364" t="s">
        <v>793</v>
      </c>
      <c r="AK454" s="364" t="s">
        <v>88</v>
      </c>
      <c r="AL454" s="364" t="s">
        <v>88</v>
      </c>
      <c r="AM454" s="364" t="s">
        <v>88</v>
      </c>
      <c r="AN454" s="364" t="s">
        <v>792</v>
      </c>
    </row>
    <row r="455" spans="1:40" x14ac:dyDescent="0.3">
      <c r="A455" s="364" t="s">
        <v>2254</v>
      </c>
      <c r="B455" s="364" t="s">
        <v>661</v>
      </c>
      <c r="C455" s="364" t="s">
        <v>1160</v>
      </c>
      <c r="D455" s="364" t="s">
        <v>87</v>
      </c>
      <c r="E455" s="364" t="s">
        <v>2223</v>
      </c>
      <c r="F455" s="364" t="s">
        <v>2223</v>
      </c>
      <c r="G455" s="364" t="s">
        <v>658</v>
      </c>
      <c r="H455" s="364" t="s">
        <v>2253</v>
      </c>
      <c r="I455" s="364" t="s">
        <v>88</v>
      </c>
      <c r="J455" s="364" t="s">
        <v>88</v>
      </c>
      <c r="K455" s="364" t="s">
        <v>88</v>
      </c>
      <c r="L455" s="364" t="s">
        <v>88</v>
      </c>
      <c r="M455" s="364" t="s">
        <v>138</v>
      </c>
      <c r="N455" s="364" t="s">
        <v>654</v>
      </c>
      <c r="O455" s="364" t="s">
        <v>653</v>
      </c>
      <c r="P455" s="364" t="s">
        <v>88</v>
      </c>
      <c r="Q455" s="364" t="s">
        <v>88</v>
      </c>
      <c r="R455" s="364" t="s">
        <v>88</v>
      </c>
      <c r="S455" s="364" t="s">
        <v>88</v>
      </c>
      <c r="T455" s="364" t="s">
        <v>88</v>
      </c>
      <c r="U455" s="364" t="s">
        <v>88</v>
      </c>
      <c r="V455" s="364" t="s">
        <v>88</v>
      </c>
      <c r="W455" s="364" t="s">
        <v>88</v>
      </c>
      <c r="X455" s="364" t="s">
        <v>88</v>
      </c>
      <c r="Y455" s="364" t="s">
        <v>88</v>
      </c>
      <c r="Z455" s="364" t="s">
        <v>88</v>
      </c>
      <c r="AA455" s="364" t="s">
        <v>649</v>
      </c>
      <c r="AB455" s="364" t="s">
        <v>88</v>
      </c>
      <c r="AC455" s="364" t="s">
        <v>88</v>
      </c>
      <c r="AD455" s="364" t="s">
        <v>88</v>
      </c>
      <c r="AE455" s="364" t="s">
        <v>88</v>
      </c>
      <c r="AF455" s="364" t="s">
        <v>88</v>
      </c>
      <c r="AG455" s="364" t="s">
        <v>88</v>
      </c>
      <c r="AH455" s="364" t="s">
        <v>88</v>
      </c>
      <c r="AI455" s="364" t="s">
        <v>2252</v>
      </c>
      <c r="AJ455" s="364" t="s">
        <v>793</v>
      </c>
      <c r="AK455" s="364" t="s">
        <v>88</v>
      </c>
      <c r="AL455" s="364" t="s">
        <v>88</v>
      </c>
      <c r="AM455" s="364" t="s">
        <v>88</v>
      </c>
      <c r="AN455" s="364" t="s">
        <v>792</v>
      </c>
    </row>
    <row r="456" spans="1:40" x14ac:dyDescent="0.3">
      <c r="A456" s="364" t="s">
        <v>2251</v>
      </c>
      <c r="B456" s="364" t="s">
        <v>661</v>
      </c>
      <c r="C456" s="364" t="s">
        <v>660</v>
      </c>
      <c r="D456" s="364" t="s">
        <v>90</v>
      </c>
      <c r="E456" s="364" t="s">
        <v>935</v>
      </c>
      <c r="F456" s="364" t="s">
        <v>935</v>
      </c>
      <c r="G456" s="364" t="s">
        <v>658</v>
      </c>
      <c r="H456" s="364" t="s">
        <v>2250</v>
      </c>
      <c r="I456" s="364" t="s">
        <v>2249</v>
      </c>
      <c r="J456" s="364" t="s">
        <v>673</v>
      </c>
      <c r="K456" s="364" t="s">
        <v>668</v>
      </c>
      <c r="L456" s="364" t="s">
        <v>190</v>
      </c>
      <c r="M456" s="364" t="s">
        <v>718</v>
      </c>
      <c r="N456" s="364" t="s">
        <v>654</v>
      </c>
      <c r="O456" s="364" t="s">
        <v>653</v>
      </c>
      <c r="P456" s="364" t="s">
        <v>198</v>
      </c>
      <c r="Q456" s="364" t="s">
        <v>652</v>
      </c>
      <c r="R456" s="364" t="s">
        <v>88</v>
      </c>
      <c r="S456" s="364" t="s">
        <v>88</v>
      </c>
      <c r="T456" s="364" t="s">
        <v>88</v>
      </c>
      <c r="U456" s="364" t="s">
        <v>88</v>
      </c>
      <c r="V456" s="364" t="s">
        <v>88</v>
      </c>
      <c r="W456" s="364" t="s">
        <v>88</v>
      </c>
      <c r="X456" s="364" t="s">
        <v>88</v>
      </c>
      <c r="Y456" s="364" t="s">
        <v>88</v>
      </c>
      <c r="Z456" s="364" t="s">
        <v>717</v>
      </c>
      <c r="AA456" s="364" t="s">
        <v>649</v>
      </c>
      <c r="AB456" s="364" t="s">
        <v>649</v>
      </c>
      <c r="AC456" s="364" t="s">
        <v>649</v>
      </c>
      <c r="AD456" s="364" t="s">
        <v>649</v>
      </c>
      <c r="AE456" s="364" t="s">
        <v>88</v>
      </c>
      <c r="AF456" s="364" t="s">
        <v>88</v>
      </c>
      <c r="AG456" s="364" t="s">
        <v>88</v>
      </c>
      <c r="AH456" s="364" t="s">
        <v>88</v>
      </c>
      <c r="AI456" s="364" t="s">
        <v>1155</v>
      </c>
      <c r="AJ456" s="364" t="s">
        <v>710</v>
      </c>
      <c r="AK456" s="364" t="s">
        <v>1016</v>
      </c>
      <c r="AL456" s="364" t="s">
        <v>646</v>
      </c>
      <c r="AM456" s="364" t="s">
        <v>668</v>
      </c>
      <c r="AN456" s="364" t="s">
        <v>644</v>
      </c>
    </row>
    <row r="457" spans="1:40" x14ac:dyDescent="0.3">
      <c r="A457" s="364" t="s">
        <v>2251</v>
      </c>
      <c r="B457" s="364" t="s">
        <v>661</v>
      </c>
      <c r="C457" s="364" t="s">
        <v>660</v>
      </c>
      <c r="D457" s="364" t="s">
        <v>90</v>
      </c>
      <c r="E457" s="364" t="s">
        <v>935</v>
      </c>
      <c r="F457" s="364" t="s">
        <v>935</v>
      </c>
      <c r="G457" s="364" t="s">
        <v>658</v>
      </c>
      <c r="H457" s="364" t="s">
        <v>2250</v>
      </c>
      <c r="I457" s="364" t="s">
        <v>2249</v>
      </c>
      <c r="J457" s="364" t="s">
        <v>673</v>
      </c>
      <c r="K457" s="364" t="s">
        <v>668</v>
      </c>
      <c r="L457" s="364" t="s">
        <v>190</v>
      </c>
      <c r="M457" s="364" t="s">
        <v>713</v>
      </c>
      <c r="N457" s="364" t="s">
        <v>654</v>
      </c>
      <c r="O457" s="364" t="s">
        <v>653</v>
      </c>
      <c r="P457" s="364" t="s">
        <v>198</v>
      </c>
      <c r="Q457" s="364" t="s">
        <v>652</v>
      </c>
      <c r="R457" s="364" t="s">
        <v>88</v>
      </c>
      <c r="S457" s="364" t="s">
        <v>88</v>
      </c>
      <c r="T457" s="364" t="s">
        <v>88</v>
      </c>
      <c r="U457" s="364" t="s">
        <v>88</v>
      </c>
      <c r="V457" s="364" t="s">
        <v>88</v>
      </c>
      <c r="W457" s="364" t="s">
        <v>88</v>
      </c>
      <c r="X457" s="364" t="s">
        <v>88</v>
      </c>
      <c r="Y457" s="364" t="s">
        <v>88</v>
      </c>
      <c r="Z457" s="364" t="s">
        <v>712</v>
      </c>
      <c r="AA457" s="364" t="s">
        <v>711</v>
      </c>
      <c r="AB457" s="364" t="s">
        <v>649</v>
      </c>
      <c r="AC457" s="364" t="s">
        <v>649</v>
      </c>
      <c r="AD457" s="364" t="s">
        <v>649</v>
      </c>
      <c r="AE457" s="364" t="s">
        <v>88</v>
      </c>
      <c r="AF457" s="364" t="s">
        <v>88</v>
      </c>
      <c r="AG457" s="364" t="s">
        <v>88</v>
      </c>
      <c r="AH457" s="364" t="s">
        <v>88</v>
      </c>
      <c r="AI457" s="364" t="s">
        <v>1155</v>
      </c>
      <c r="AJ457" s="364" t="s">
        <v>710</v>
      </c>
      <c r="AK457" s="364" t="s">
        <v>1016</v>
      </c>
      <c r="AL457" s="364" t="s">
        <v>646</v>
      </c>
      <c r="AM457" s="364" t="s">
        <v>668</v>
      </c>
      <c r="AN457" s="364" t="s">
        <v>644</v>
      </c>
    </row>
    <row r="458" spans="1:40" x14ac:dyDescent="0.3">
      <c r="A458" s="364" t="s">
        <v>2251</v>
      </c>
      <c r="B458" s="364" t="s">
        <v>661</v>
      </c>
      <c r="C458" s="364" t="s">
        <v>660</v>
      </c>
      <c r="D458" s="364" t="s">
        <v>90</v>
      </c>
      <c r="E458" s="364" t="s">
        <v>935</v>
      </c>
      <c r="F458" s="364" t="s">
        <v>935</v>
      </c>
      <c r="G458" s="364" t="s">
        <v>658</v>
      </c>
      <c r="H458" s="364" t="s">
        <v>2250</v>
      </c>
      <c r="I458" s="364" t="s">
        <v>2249</v>
      </c>
      <c r="J458" s="364" t="s">
        <v>673</v>
      </c>
      <c r="K458" s="364" t="s">
        <v>668</v>
      </c>
      <c r="L458" s="364" t="s">
        <v>190</v>
      </c>
      <c r="M458" s="364" t="s">
        <v>54</v>
      </c>
      <c r="N458" s="364" t="s">
        <v>654</v>
      </c>
      <c r="O458" s="364" t="s">
        <v>653</v>
      </c>
      <c r="P458" s="364" t="s">
        <v>198</v>
      </c>
      <c r="Q458" s="364" t="s">
        <v>652</v>
      </c>
      <c r="R458" s="364" t="s">
        <v>88</v>
      </c>
      <c r="S458" s="364" t="s">
        <v>88</v>
      </c>
      <c r="T458" s="364" t="s">
        <v>88</v>
      </c>
      <c r="U458" s="364" t="s">
        <v>88</v>
      </c>
      <c r="V458" s="364" t="s">
        <v>88</v>
      </c>
      <c r="W458" s="364" t="s">
        <v>88</v>
      </c>
      <c r="X458" s="364" t="s">
        <v>88</v>
      </c>
      <c r="Y458" s="364" t="s">
        <v>88</v>
      </c>
      <c r="Z458" s="364" t="s">
        <v>1265</v>
      </c>
      <c r="AA458" s="364" t="s">
        <v>649</v>
      </c>
      <c r="AB458" s="364" t="s">
        <v>649</v>
      </c>
      <c r="AC458" s="364" t="s">
        <v>649</v>
      </c>
      <c r="AD458" s="364" t="s">
        <v>649</v>
      </c>
      <c r="AE458" s="364" t="s">
        <v>88</v>
      </c>
      <c r="AF458" s="364" t="s">
        <v>88</v>
      </c>
      <c r="AG458" s="364" t="s">
        <v>88</v>
      </c>
      <c r="AH458" s="364" t="s">
        <v>88</v>
      </c>
      <c r="AI458" s="364" t="s">
        <v>1155</v>
      </c>
      <c r="AJ458" s="364" t="s">
        <v>710</v>
      </c>
      <c r="AK458" s="364" t="s">
        <v>1016</v>
      </c>
      <c r="AL458" s="364" t="s">
        <v>646</v>
      </c>
      <c r="AM458" s="364" t="s">
        <v>668</v>
      </c>
      <c r="AN458" s="364" t="s">
        <v>644</v>
      </c>
    </row>
    <row r="459" spans="1:40" x14ac:dyDescent="0.3">
      <c r="A459" s="364" t="s">
        <v>2251</v>
      </c>
      <c r="B459" s="364" t="s">
        <v>661</v>
      </c>
      <c r="C459" s="364" t="s">
        <v>660</v>
      </c>
      <c r="D459" s="364" t="s">
        <v>90</v>
      </c>
      <c r="E459" s="364" t="s">
        <v>935</v>
      </c>
      <c r="F459" s="364" t="s">
        <v>935</v>
      </c>
      <c r="G459" s="364" t="s">
        <v>658</v>
      </c>
      <c r="H459" s="364" t="s">
        <v>2250</v>
      </c>
      <c r="I459" s="364" t="s">
        <v>2249</v>
      </c>
      <c r="J459" s="364" t="s">
        <v>673</v>
      </c>
      <c r="K459" s="364" t="s">
        <v>668</v>
      </c>
      <c r="L459" s="364" t="s">
        <v>190</v>
      </c>
      <c r="M459" s="364" t="s">
        <v>61</v>
      </c>
      <c r="N459" s="364" t="s">
        <v>654</v>
      </c>
      <c r="O459" s="364" t="s">
        <v>653</v>
      </c>
      <c r="P459" s="364" t="s">
        <v>198</v>
      </c>
      <c r="Q459" s="364" t="s">
        <v>652</v>
      </c>
      <c r="R459" s="364" t="s">
        <v>88</v>
      </c>
      <c r="S459" s="364" t="s">
        <v>88</v>
      </c>
      <c r="T459" s="364" t="s">
        <v>88</v>
      </c>
      <c r="U459" s="364" t="s">
        <v>88</v>
      </c>
      <c r="V459" s="364" t="s">
        <v>88</v>
      </c>
      <c r="W459" s="364" t="s">
        <v>88</v>
      </c>
      <c r="X459" s="364" t="s">
        <v>88</v>
      </c>
      <c r="Y459" s="364" t="s">
        <v>88</v>
      </c>
      <c r="Z459" s="364" t="s">
        <v>1021</v>
      </c>
      <c r="AA459" s="364" t="s">
        <v>671</v>
      </c>
      <c r="AB459" s="364" t="s">
        <v>649</v>
      </c>
      <c r="AC459" s="364" t="s">
        <v>649</v>
      </c>
      <c r="AD459" s="364" t="s">
        <v>649</v>
      </c>
      <c r="AE459" s="364" t="s">
        <v>88</v>
      </c>
      <c r="AF459" s="364" t="s">
        <v>88</v>
      </c>
      <c r="AG459" s="364" t="s">
        <v>88</v>
      </c>
      <c r="AH459" s="364" t="s">
        <v>88</v>
      </c>
      <c r="AI459" s="364" t="s">
        <v>1155</v>
      </c>
      <c r="AJ459" s="364" t="s">
        <v>710</v>
      </c>
      <c r="AK459" s="364" t="s">
        <v>1016</v>
      </c>
      <c r="AL459" s="364" t="s">
        <v>646</v>
      </c>
      <c r="AM459" s="364" t="s">
        <v>668</v>
      </c>
      <c r="AN459" s="364" t="s">
        <v>644</v>
      </c>
    </row>
    <row r="460" spans="1:40" x14ac:dyDescent="0.3">
      <c r="A460" s="364" t="s">
        <v>2251</v>
      </c>
      <c r="B460" s="364" t="s">
        <v>661</v>
      </c>
      <c r="C460" s="364" t="s">
        <v>660</v>
      </c>
      <c r="D460" s="364" t="s">
        <v>90</v>
      </c>
      <c r="E460" s="364" t="s">
        <v>935</v>
      </c>
      <c r="F460" s="364" t="s">
        <v>935</v>
      </c>
      <c r="G460" s="364" t="s">
        <v>658</v>
      </c>
      <c r="H460" s="364" t="s">
        <v>2250</v>
      </c>
      <c r="I460" s="364" t="s">
        <v>2249</v>
      </c>
      <c r="J460" s="364" t="s">
        <v>673</v>
      </c>
      <c r="K460" s="364" t="s">
        <v>668</v>
      </c>
      <c r="L460" s="364" t="s">
        <v>190</v>
      </c>
      <c r="M460" s="364" t="s">
        <v>725</v>
      </c>
      <c r="N460" s="364" t="s">
        <v>654</v>
      </c>
      <c r="O460" s="364" t="s">
        <v>653</v>
      </c>
      <c r="P460" s="364" t="s">
        <v>198</v>
      </c>
      <c r="Q460" s="364" t="s">
        <v>652</v>
      </c>
      <c r="R460" s="364" t="s">
        <v>88</v>
      </c>
      <c r="S460" s="364" t="s">
        <v>88</v>
      </c>
      <c r="T460" s="364" t="s">
        <v>88</v>
      </c>
      <c r="U460" s="364" t="s">
        <v>88</v>
      </c>
      <c r="V460" s="364" t="s">
        <v>88</v>
      </c>
      <c r="W460" s="364" t="s">
        <v>88</v>
      </c>
      <c r="X460" s="364" t="s">
        <v>88</v>
      </c>
      <c r="Y460" s="364" t="s">
        <v>88</v>
      </c>
      <c r="Z460" s="364" t="s">
        <v>724</v>
      </c>
      <c r="AA460" s="364" t="s">
        <v>649</v>
      </c>
      <c r="AB460" s="364" t="s">
        <v>649</v>
      </c>
      <c r="AC460" s="364" t="s">
        <v>649</v>
      </c>
      <c r="AD460" s="364" t="s">
        <v>649</v>
      </c>
      <c r="AE460" s="364" t="s">
        <v>88</v>
      </c>
      <c r="AF460" s="364" t="s">
        <v>88</v>
      </c>
      <c r="AG460" s="364" t="s">
        <v>88</v>
      </c>
      <c r="AH460" s="364" t="s">
        <v>88</v>
      </c>
      <c r="AI460" s="364" t="s">
        <v>1155</v>
      </c>
      <c r="AJ460" s="364" t="s">
        <v>710</v>
      </c>
      <c r="AK460" s="364" t="s">
        <v>1016</v>
      </c>
      <c r="AL460" s="364" t="s">
        <v>646</v>
      </c>
      <c r="AM460" s="364" t="s">
        <v>668</v>
      </c>
      <c r="AN460" s="364" t="s">
        <v>644</v>
      </c>
    </row>
    <row r="461" spans="1:40" x14ac:dyDescent="0.3">
      <c r="A461" s="364" t="s">
        <v>2251</v>
      </c>
      <c r="B461" s="364" t="s">
        <v>661</v>
      </c>
      <c r="C461" s="364" t="s">
        <v>660</v>
      </c>
      <c r="D461" s="364" t="s">
        <v>90</v>
      </c>
      <c r="E461" s="364" t="s">
        <v>935</v>
      </c>
      <c r="F461" s="364" t="s">
        <v>935</v>
      </c>
      <c r="G461" s="364" t="s">
        <v>658</v>
      </c>
      <c r="H461" s="364" t="s">
        <v>2250</v>
      </c>
      <c r="I461" s="364" t="s">
        <v>2249</v>
      </c>
      <c r="J461" s="364" t="s">
        <v>673</v>
      </c>
      <c r="K461" s="364" t="s">
        <v>668</v>
      </c>
      <c r="L461" s="364" t="s">
        <v>190</v>
      </c>
      <c r="M461" s="364" t="s">
        <v>723</v>
      </c>
      <c r="N461" s="364" t="s">
        <v>654</v>
      </c>
      <c r="O461" s="364" t="s">
        <v>653</v>
      </c>
      <c r="P461" s="364" t="s">
        <v>198</v>
      </c>
      <c r="Q461" s="364" t="s">
        <v>652</v>
      </c>
      <c r="R461" s="364" t="s">
        <v>88</v>
      </c>
      <c r="S461" s="364" t="s">
        <v>88</v>
      </c>
      <c r="T461" s="364" t="s">
        <v>88</v>
      </c>
      <c r="U461" s="364" t="s">
        <v>88</v>
      </c>
      <c r="V461" s="364" t="s">
        <v>88</v>
      </c>
      <c r="W461" s="364" t="s">
        <v>88</v>
      </c>
      <c r="X461" s="364" t="s">
        <v>88</v>
      </c>
      <c r="Y461" s="364" t="s">
        <v>88</v>
      </c>
      <c r="Z461" s="364" t="s">
        <v>722</v>
      </c>
      <c r="AA461" s="364" t="s">
        <v>649</v>
      </c>
      <c r="AB461" s="364" t="s">
        <v>649</v>
      </c>
      <c r="AC461" s="364" t="s">
        <v>649</v>
      </c>
      <c r="AD461" s="364" t="s">
        <v>649</v>
      </c>
      <c r="AE461" s="364" t="s">
        <v>88</v>
      </c>
      <c r="AF461" s="364" t="s">
        <v>88</v>
      </c>
      <c r="AG461" s="364" t="s">
        <v>88</v>
      </c>
      <c r="AH461" s="364" t="s">
        <v>88</v>
      </c>
      <c r="AI461" s="364" t="s">
        <v>1155</v>
      </c>
      <c r="AJ461" s="364" t="s">
        <v>710</v>
      </c>
      <c r="AK461" s="364" t="s">
        <v>1016</v>
      </c>
      <c r="AL461" s="364" t="s">
        <v>646</v>
      </c>
      <c r="AM461" s="364" t="s">
        <v>668</v>
      </c>
      <c r="AN461" s="364" t="s">
        <v>644</v>
      </c>
    </row>
    <row r="462" spans="1:40" x14ac:dyDescent="0.3">
      <c r="A462" s="364" t="s">
        <v>2251</v>
      </c>
      <c r="B462" s="364" t="s">
        <v>661</v>
      </c>
      <c r="C462" s="364" t="s">
        <v>660</v>
      </c>
      <c r="D462" s="364" t="s">
        <v>90</v>
      </c>
      <c r="E462" s="364" t="s">
        <v>935</v>
      </c>
      <c r="F462" s="364" t="s">
        <v>935</v>
      </c>
      <c r="G462" s="364" t="s">
        <v>658</v>
      </c>
      <c r="H462" s="364" t="s">
        <v>2250</v>
      </c>
      <c r="I462" s="364" t="s">
        <v>2249</v>
      </c>
      <c r="J462" s="364" t="s">
        <v>673</v>
      </c>
      <c r="K462" s="364" t="s">
        <v>668</v>
      </c>
      <c r="L462" s="364" t="s">
        <v>190</v>
      </c>
      <c r="M462" s="364" t="s">
        <v>721</v>
      </c>
      <c r="N462" s="364" t="s">
        <v>654</v>
      </c>
      <c r="O462" s="364" t="s">
        <v>653</v>
      </c>
      <c r="P462" s="364" t="s">
        <v>198</v>
      </c>
      <c r="Q462" s="364" t="s">
        <v>652</v>
      </c>
      <c r="R462" s="364" t="s">
        <v>88</v>
      </c>
      <c r="S462" s="364" t="s">
        <v>88</v>
      </c>
      <c r="T462" s="364" t="s">
        <v>88</v>
      </c>
      <c r="U462" s="364" t="s">
        <v>88</v>
      </c>
      <c r="V462" s="364" t="s">
        <v>88</v>
      </c>
      <c r="W462" s="364" t="s">
        <v>88</v>
      </c>
      <c r="X462" s="364" t="s">
        <v>88</v>
      </c>
      <c r="Y462" s="364" t="s">
        <v>88</v>
      </c>
      <c r="Z462" s="364" t="s">
        <v>720</v>
      </c>
      <c r="AA462" s="364" t="s">
        <v>649</v>
      </c>
      <c r="AB462" s="364" t="s">
        <v>649</v>
      </c>
      <c r="AC462" s="364" t="s">
        <v>649</v>
      </c>
      <c r="AD462" s="364" t="s">
        <v>649</v>
      </c>
      <c r="AE462" s="364" t="s">
        <v>88</v>
      </c>
      <c r="AF462" s="364" t="s">
        <v>88</v>
      </c>
      <c r="AG462" s="364" t="s">
        <v>88</v>
      </c>
      <c r="AH462" s="364" t="s">
        <v>88</v>
      </c>
      <c r="AI462" s="364" t="s">
        <v>1155</v>
      </c>
      <c r="AJ462" s="364" t="s">
        <v>710</v>
      </c>
      <c r="AK462" s="364" t="s">
        <v>1016</v>
      </c>
      <c r="AL462" s="364" t="s">
        <v>646</v>
      </c>
      <c r="AM462" s="364" t="s">
        <v>668</v>
      </c>
      <c r="AN462" s="364" t="s">
        <v>644</v>
      </c>
    </row>
    <row r="463" spans="1:40" x14ac:dyDescent="0.3">
      <c r="A463" s="364" t="s">
        <v>2251</v>
      </c>
      <c r="B463" s="364" t="s">
        <v>661</v>
      </c>
      <c r="C463" s="364" t="s">
        <v>660</v>
      </c>
      <c r="D463" s="364" t="s">
        <v>90</v>
      </c>
      <c r="E463" s="364" t="s">
        <v>935</v>
      </c>
      <c r="F463" s="364" t="s">
        <v>935</v>
      </c>
      <c r="G463" s="364" t="s">
        <v>658</v>
      </c>
      <c r="H463" s="364" t="s">
        <v>2250</v>
      </c>
      <c r="I463" s="364" t="s">
        <v>2249</v>
      </c>
      <c r="J463" s="364" t="s">
        <v>673</v>
      </c>
      <c r="K463" s="364" t="s">
        <v>668</v>
      </c>
      <c r="L463" s="364" t="s">
        <v>190</v>
      </c>
      <c r="M463" s="364" t="s">
        <v>56</v>
      </c>
      <c r="N463" s="364" t="s">
        <v>654</v>
      </c>
      <c r="O463" s="364" t="s">
        <v>653</v>
      </c>
      <c r="P463" s="364" t="s">
        <v>198</v>
      </c>
      <c r="Q463" s="364" t="s">
        <v>652</v>
      </c>
      <c r="R463" s="364" t="s">
        <v>88</v>
      </c>
      <c r="S463" s="364" t="s">
        <v>88</v>
      </c>
      <c r="T463" s="364" t="s">
        <v>88</v>
      </c>
      <c r="U463" s="364" t="s">
        <v>88</v>
      </c>
      <c r="V463" s="364" t="s">
        <v>88</v>
      </c>
      <c r="W463" s="364" t="s">
        <v>88</v>
      </c>
      <c r="X463" s="364" t="s">
        <v>88</v>
      </c>
      <c r="Y463" s="364" t="s">
        <v>88</v>
      </c>
      <c r="Z463" s="364" t="s">
        <v>1165</v>
      </c>
      <c r="AA463" s="364" t="s">
        <v>1164</v>
      </c>
      <c r="AB463" s="364" t="s">
        <v>649</v>
      </c>
      <c r="AC463" s="364" t="s">
        <v>649</v>
      </c>
      <c r="AD463" s="364" t="s">
        <v>649</v>
      </c>
      <c r="AE463" s="364" t="s">
        <v>88</v>
      </c>
      <c r="AF463" s="364" t="s">
        <v>88</v>
      </c>
      <c r="AG463" s="364" t="s">
        <v>88</v>
      </c>
      <c r="AH463" s="364" t="s">
        <v>88</v>
      </c>
      <c r="AI463" s="364" t="s">
        <v>1155</v>
      </c>
      <c r="AJ463" s="364" t="s">
        <v>710</v>
      </c>
      <c r="AK463" s="364" t="s">
        <v>1016</v>
      </c>
      <c r="AL463" s="364" t="s">
        <v>646</v>
      </c>
      <c r="AM463" s="364" t="s">
        <v>668</v>
      </c>
      <c r="AN463" s="364" t="s">
        <v>644</v>
      </c>
    </row>
    <row r="464" spans="1:40" x14ac:dyDescent="0.3">
      <c r="A464" s="364" t="s">
        <v>2248</v>
      </c>
      <c r="B464" s="364" t="s">
        <v>661</v>
      </c>
      <c r="C464" s="364" t="s">
        <v>1160</v>
      </c>
      <c r="D464" s="364" t="s">
        <v>87</v>
      </c>
      <c r="E464" s="364" t="s">
        <v>2223</v>
      </c>
      <c r="F464" s="364" t="s">
        <v>2223</v>
      </c>
      <c r="G464" s="364" t="s">
        <v>658</v>
      </c>
      <c r="H464" s="364" t="s">
        <v>2247</v>
      </c>
      <c r="I464" s="364" t="s">
        <v>88</v>
      </c>
      <c r="J464" s="364" t="s">
        <v>88</v>
      </c>
      <c r="K464" s="364" t="s">
        <v>88</v>
      </c>
      <c r="L464" s="364" t="s">
        <v>88</v>
      </c>
      <c r="M464" s="364" t="s">
        <v>138</v>
      </c>
      <c r="N464" s="364" t="s">
        <v>654</v>
      </c>
      <c r="O464" s="364" t="s">
        <v>653</v>
      </c>
      <c r="P464" s="364" t="s">
        <v>88</v>
      </c>
      <c r="Q464" s="364" t="s">
        <v>88</v>
      </c>
      <c r="R464" s="364" t="s">
        <v>88</v>
      </c>
      <c r="S464" s="364" t="s">
        <v>88</v>
      </c>
      <c r="T464" s="364" t="s">
        <v>88</v>
      </c>
      <c r="U464" s="364" t="s">
        <v>88</v>
      </c>
      <c r="V464" s="364" t="s">
        <v>88</v>
      </c>
      <c r="W464" s="364" t="s">
        <v>88</v>
      </c>
      <c r="X464" s="364" t="s">
        <v>88</v>
      </c>
      <c r="Y464" s="364" t="s">
        <v>88</v>
      </c>
      <c r="Z464" s="364" t="s">
        <v>88</v>
      </c>
      <c r="AA464" s="364" t="s">
        <v>649</v>
      </c>
      <c r="AB464" s="364" t="s">
        <v>88</v>
      </c>
      <c r="AC464" s="364" t="s">
        <v>88</v>
      </c>
      <c r="AD464" s="364" t="s">
        <v>88</v>
      </c>
      <c r="AE464" s="364" t="s">
        <v>88</v>
      </c>
      <c r="AF464" s="364" t="s">
        <v>88</v>
      </c>
      <c r="AG464" s="364" t="s">
        <v>88</v>
      </c>
      <c r="AH464" s="364" t="s">
        <v>88</v>
      </c>
      <c r="AI464" s="364" t="s">
        <v>2246</v>
      </c>
      <c r="AJ464" s="364" t="s">
        <v>793</v>
      </c>
      <c r="AK464" s="364" t="s">
        <v>88</v>
      </c>
      <c r="AL464" s="364" t="s">
        <v>88</v>
      </c>
      <c r="AM464" s="364" t="s">
        <v>88</v>
      </c>
      <c r="AN464" s="364" t="s">
        <v>792</v>
      </c>
    </row>
    <row r="465" spans="1:40" x14ac:dyDescent="0.3">
      <c r="A465" s="364" t="s">
        <v>2245</v>
      </c>
      <c r="B465" s="364" t="s">
        <v>661</v>
      </c>
      <c r="C465" s="364" t="s">
        <v>660</v>
      </c>
      <c r="D465" s="364" t="s">
        <v>87</v>
      </c>
      <c r="E465" s="364" t="s">
        <v>2223</v>
      </c>
      <c r="F465" s="364" t="s">
        <v>2223</v>
      </c>
      <c r="G465" s="364" t="s">
        <v>658</v>
      </c>
      <c r="H465" s="364" t="s">
        <v>2234</v>
      </c>
      <c r="I465" s="364" t="s">
        <v>2244</v>
      </c>
      <c r="J465" s="364" t="s">
        <v>673</v>
      </c>
      <c r="K465" s="364" t="s">
        <v>668</v>
      </c>
      <c r="L465" s="364" t="s">
        <v>190</v>
      </c>
      <c r="M465" s="364" t="s">
        <v>59</v>
      </c>
      <c r="N465" s="364" t="s">
        <v>654</v>
      </c>
      <c r="O465" s="364" t="s">
        <v>653</v>
      </c>
      <c r="P465" s="364" t="s">
        <v>198</v>
      </c>
      <c r="Q465" s="364" t="s">
        <v>652</v>
      </c>
      <c r="R465" s="364" t="s">
        <v>88</v>
      </c>
      <c r="S465" s="364" t="s">
        <v>88</v>
      </c>
      <c r="T465" s="364" t="s">
        <v>88</v>
      </c>
      <c r="U465" s="364" t="s">
        <v>88</v>
      </c>
      <c r="V465" s="364" t="s">
        <v>88</v>
      </c>
      <c r="W465" s="364" t="s">
        <v>88</v>
      </c>
      <c r="X465" s="364" t="s">
        <v>88</v>
      </c>
      <c r="Y465" s="364" t="s">
        <v>88</v>
      </c>
      <c r="Z465" s="364" t="s">
        <v>672</v>
      </c>
      <c r="AA465" s="364" t="s">
        <v>671</v>
      </c>
      <c r="AB465" s="364" t="s">
        <v>649</v>
      </c>
      <c r="AC465" s="364" t="s">
        <v>649</v>
      </c>
      <c r="AD465" s="364" t="s">
        <v>649</v>
      </c>
      <c r="AE465" s="364" t="s">
        <v>88</v>
      </c>
      <c r="AF465" s="364" t="s">
        <v>88</v>
      </c>
      <c r="AG465" s="364" t="s">
        <v>88</v>
      </c>
      <c r="AH465" s="364" t="s">
        <v>88</v>
      </c>
      <c r="AI465" s="364" t="s">
        <v>1199</v>
      </c>
      <c r="AJ465" s="364" t="s">
        <v>670</v>
      </c>
      <c r="AK465" s="364" t="s">
        <v>669</v>
      </c>
      <c r="AL465" s="364" t="s">
        <v>646</v>
      </c>
      <c r="AM465" s="364" t="s">
        <v>668</v>
      </c>
      <c r="AN465" s="364" t="s">
        <v>644</v>
      </c>
    </row>
    <row r="466" spans="1:40" x14ac:dyDescent="0.3">
      <c r="A466" s="364" t="s">
        <v>2243</v>
      </c>
      <c r="B466" s="364" t="s">
        <v>661</v>
      </c>
      <c r="C466" s="364" t="s">
        <v>660</v>
      </c>
      <c r="D466" s="364" t="s">
        <v>87</v>
      </c>
      <c r="E466" s="364" t="s">
        <v>2226</v>
      </c>
      <c r="F466" s="364" t="s">
        <v>2226</v>
      </c>
      <c r="G466" s="364" t="s">
        <v>658</v>
      </c>
      <c r="H466" s="364" t="s">
        <v>2242</v>
      </c>
      <c r="I466" s="364" t="s">
        <v>2184</v>
      </c>
      <c r="J466" s="364" t="s">
        <v>673</v>
      </c>
      <c r="K466" s="364" t="s">
        <v>668</v>
      </c>
      <c r="L466" s="364" t="s">
        <v>190</v>
      </c>
      <c r="M466" s="364" t="s">
        <v>58</v>
      </c>
      <c r="N466" s="364" t="s">
        <v>654</v>
      </c>
      <c r="O466" s="364" t="s">
        <v>653</v>
      </c>
      <c r="P466" s="364" t="s">
        <v>198</v>
      </c>
      <c r="Q466" s="364" t="s">
        <v>652</v>
      </c>
      <c r="R466" s="364" t="s">
        <v>88</v>
      </c>
      <c r="S466" s="364" t="s">
        <v>88</v>
      </c>
      <c r="T466" s="364" t="s">
        <v>88</v>
      </c>
      <c r="U466" s="364" t="s">
        <v>88</v>
      </c>
      <c r="V466" s="364" t="s">
        <v>88</v>
      </c>
      <c r="W466" s="364" t="s">
        <v>88</v>
      </c>
      <c r="X466" s="364" t="s">
        <v>88</v>
      </c>
      <c r="Y466" s="364" t="s">
        <v>88</v>
      </c>
      <c r="Z466" s="364" t="s">
        <v>702</v>
      </c>
      <c r="AA466" s="364" t="s">
        <v>701</v>
      </c>
      <c r="AB466" s="364" t="s">
        <v>649</v>
      </c>
      <c r="AC466" s="364" t="s">
        <v>649</v>
      </c>
      <c r="AD466" s="364" t="s">
        <v>649</v>
      </c>
      <c r="AE466" s="364" t="s">
        <v>88</v>
      </c>
      <c r="AF466" s="364" t="s">
        <v>88</v>
      </c>
      <c r="AG466" s="364" t="s">
        <v>88</v>
      </c>
      <c r="AH466" s="364" t="s">
        <v>88</v>
      </c>
      <c r="AI466" s="364" t="s">
        <v>1199</v>
      </c>
      <c r="AJ466" s="364" t="s">
        <v>670</v>
      </c>
      <c r="AK466" s="364" t="s">
        <v>669</v>
      </c>
      <c r="AL466" s="364" t="s">
        <v>646</v>
      </c>
      <c r="AM466" s="364" t="s">
        <v>668</v>
      </c>
      <c r="AN466" s="364" t="s">
        <v>644</v>
      </c>
    </row>
    <row r="467" spans="1:40" x14ac:dyDescent="0.3">
      <c r="A467" s="364" t="s">
        <v>2241</v>
      </c>
      <c r="B467" s="364" t="s">
        <v>661</v>
      </c>
      <c r="C467" s="364" t="s">
        <v>660</v>
      </c>
      <c r="D467" s="364" t="s">
        <v>87</v>
      </c>
      <c r="E467" s="364" t="s">
        <v>2223</v>
      </c>
      <c r="F467" s="364" t="s">
        <v>2223</v>
      </c>
      <c r="G467" s="364" t="s">
        <v>658</v>
      </c>
      <c r="H467" s="364" t="s">
        <v>2240</v>
      </c>
      <c r="I467" s="364" t="s">
        <v>2205</v>
      </c>
      <c r="J467" s="364" t="s">
        <v>673</v>
      </c>
      <c r="K467" s="364" t="s">
        <v>668</v>
      </c>
      <c r="L467" s="364" t="s">
        <v>190</v>
      </c>
      <c r="M467" s="364" t="s">
        <v>62</v>
      </c>
      <c r="N467" s="364" t="s">
        <v>654</v>
      </c>
      <c r="O467" s="364" t="s">
        <v>653</v>
      </c>
      <c r="P467" s="364" t="s">
        <v>198</v>
      </c>
      <c r="Q467" s="364" t="s">
        <v>652</v>
      </c>
      <c r="R467" s="364" t="s">
        <v>88</v>
      </c>
      <c r="S467" s="364" t="s">
        <v>88</v>
      </c>
      <c r="T467" s="364" t="s">
        <v>88</v>
      </c>
      <c r="U467" s="364" t="s">
        <v>88</v>
      </c>
      <c r="V467" s="364" t="s">
        <v>88</v>
      </c>
      <c r="W467" s="364" t="s">
        <v>88</v>
      </c>
      <c r="X467" s="364" t="s">
        <v>88</v>
      </c>
      <c r="Y467" s="364" t="s">
        <v>88</v>
      </c>
      <c r="Z467" s="364" t="s">
        <v>689</v>
      </c>
      <c r="AA467" s="364" t="s">
        <v>688</v>
      </c>
      <c r="AB467" s="364" t="s">
        <v>649</v>
      </c>
      <c r="AC467" s="364" t="s">
        <v>649</v>
      </c>
      <c r="AD467" s="364" t="s">
        <v>649</v>
      </c>
      <c r="AE467" s="364" t="s">
        <v>88</v>
      </c>
      <c r="AF467" s="364" t="s">
        <v>88</v>
      </c>
      <c r="AG467" s="364" t="s">
        <v>88</v>
      </c>
      <c r="AH467" s="364" t="s">
        <v>88</v>
      </c>
      <c r="AI467" s="364" t="s">
        <v>1199</v>
      </c>
      <c r="AJ467" s="364" t="s">
        <v>670</v>
      </c>
      <c r="AK467" s="364" t="s">
        <v>669</v>
      </c>
      <c r="AL467" s="364" t="s">
        <v>646</v>
      </c>
      <c r="AM467" s="364" t="s">
        <v>668</v>
      </c>
      <c r="AN467" s="364" t="s">
        <v>644</v>
      </c>
    </row>
    <row r="468" spans="1:40" x14ac:dyDescent="0.3">
      <c r="A468" s="364" t="s">
        <v>2239</v>
      </c>
      <c r="B468" s="364" t="s">
        <v>661</v>
      </c>
      <c r="C468" s="364" t="s">
        <v>660</v>
      </c>
      <c r="D468" s="364" t="s">
        <v>170</v>
      </c>
      <c r="E468" s="364" t="s">
        <v>2223</v>
      </c>
      <c r="F468" s="364" t="s">
        <v>2223</v>
      </c>
      <c r="G468" s="364" t="s">
        <v>658</v>
      </c>
      <c r="H468" s="364" t="s">
        <v>2238</v>
      </c>
      <c r="I468" s="364" t="s">
        <v>2211</v>
      </c>
      <c r="J468" s="364" t="s">
        <v>673</v>
      </c>
      <c r="K468" s="364" t="s">
        <v>668</v>
      </c>
      <c r="L468" s="364" t="s">
        <v>190</v>
      </c>
      <c r="M468" s="364" t="s">
        <v>164</v>
      </c>
      <c r="N468" s="364" t="s">
        <v>654</v>
      </c>
      <c r="O468" s="364" t="s">
        <v>653</v>
      </c>
      <c r="P468" s="364" t="s">
        <v>198</v>
      </c>
      <c r="Q468" s="364" t="s">
        <v>652</v>
      </c>
      <c r="R468" s="364" t="s">
        <v>88</v>
      </c>
      <c r="S468" s="364" t="s">
        <v>88</v>
      </c>
      <c r="T468" s="364" t="s">
        <v>88</v>
      </c>
      <c r="U468" s="364" t="s">
        <v>88</v>
      </c>
      <c r="V468" s="364" t="s">
        <v>88</v>
      </c>
      <c r="W468" s="364" t="s">
        <v>88</v>
      </c>
      <c r="X468" s="364" t="s">
        <v>88</v>
      </c>
      <c r="Y468" s="364" t="s">
        <v>88</v>
      </c>
      <c r="Z468" s="364" t="s">
        <v>825</v>
      </c>
      <c r="AA468" s="364" t="s">
        <v>649</v>
      </c>
      <c r="AB468" s="364" t="s">
        <v>649</v>
      </c>
      <c r="AC468" s="364" t="s">
        <v>649</v>
      </c>
      <c r="AD468" s="364" t="s">
        <v>649</v>
      </c>
      <c r="AE468" s="364" t="s">
        <v>88</v>
      </c>
      <c r="AF468" s="364" t="s">
        <v>88</v>
      </c>
      <c r="AG468" s="364" t="s">
        <v>88</v>
      </c>
      <c r="AH468" s="364" t="s">
        <v>88</v>
      </c>
      <c r="AI468" s="364" t="s">
        <v>1199</v>
      </c>
      <c r="AJ468" s="364" t="s">
        <v>670</v>
      </c>
      <c r="AK468" s="364" t="s">
        <v>687</v>
      </c>
      <c r="AL468" s="364" t="s">
        <v>646</v>
      </c>
      <c r="AM468" s="364" t="s">
        <v>668</v>
      </c>
      <c r="AN468" s="364" t="s">
        <v>644</v>
      </c>
    </row>
    <row r="469" spans="1:40" x14ac:dyDescent="0.3">
      <c r="A469" s="364" t="s">
        <v>2237</v>
      </c>
      <c r="B469" s="364" t="s">
        <v>661</v>
      </c>
      <c r="C469" s="364" t="s">
        <v>660</v>
      </c>
      <c r="D469" s="364" t="s">
        <v>87</v>
      </c>
      <c r="E469" s="364" t="s">
        <v>2226</v>
      </c>
      <c r="F469" s="364" t="s">
        <v>2226</v>
      </c>
      <c r="G469" s="364" t="s">
        <v>658</v>
      </c>
      <c r="H469" s="364" t="s">
        <v>2236</v>
      </c>
      <c r="I469" s="364" t="s">
        <v>2205</v>
      </c>
      <c r="J469" s="364" t="s">
        <v>673</v>
      </c>
      <c r="K469" s="364" t="s">
        <v>668</v>
      </c>
      <c r="L469" s="364" t="s">
        <v>190</v>
      </c>
      <c r="M469" s="364" t="s">
        <v>62</v>
      </c>
      <c r="N469" s="364" t="s">
        <v>654</v>
      </c>
      <c r="O469" s="364" t="s">
        <v>653</v>
      </c>
      <c r="P469" s="364" t="s">
        <v>198</v>
      </c>
      <c r="Q469" s="364" t="s">
        <v>652</v>
      </c>
      <c r="R469" s="364" t="s">
        <v>88</v>
      </c>
      <c r="S469" s="364" t="s">
        <v>88</v>
      </c>
      <c r="T469" s="364" t="s">
        <v>88</v>
      </c>
      <c r="U469" s="364" t="s">
        <v>88</v>
      </c>
      <c r="V469" s="364" t="s">
        <v>88</v>
      </c>
      <c r="W469" s="364" t="s">
        <v>88</v>
      </c>
      <c r="X469" s="364" t="s">
        <v>88</v>
      </c>
      <c r="Y469" s="364" t="s">
        <v>88</v>
      </c>
      <c r="Z469" s="364" t="s">
        <v>689</v>
      </c>
      <c r="AA469" s="364" t="s">
        <v>688</v>
      </c>
      <c r="AB469" s="364" t="s">
        <v>649</v>
      </c>
      <c r="AC469" s="364" t="s">
        <v>649</v>
      </c>
      <c r="AD469" s="364" t="s">
        <v>649</v>
      </c>
      <c r="AE469" s="364" t="s">
        <v>88</v>
      </c>
      <c r="AF469" s="364" t="s">
        <v>88</v>
      </c>
      <c r="AG469" s="364" t="s">
        <v>88</v>
      </c>
      <c r="AH469" s="364" t="s">
        <v>88</v>
      </c>
      <c r="AI469" s="364" t="s">
        <v>1199</v>
      </c>
      <c r="AJ469" s="364" t="s">
        <v>670</v>
      </c>
      <c r="AK469" s="364" t="s">
        <v>669</v>
      </c>
      <c r="AL469" s="364" t="s">
        <v>646</v>
      </c>
      <c r="AM469" s="364" t="s">
        <v>668</v>
      </c>
      <c r="AN469" s="364" t="s">
        <v>644</v>
      </c>
    </row>
    <row r="470" spans="1:40" x14ac:dyDescent="0.3">
      <c r="A470" s="364" t="s">
        <v>2235</v>
      </c>
      <c r="B470" s="364" t="s">
        <v>661</v>
      </c>
      <c r="C470" s="364" t="s">
        <v>660</v>
      </c>
      <c r="D470" s="364" t="s">
        <v>87</v>
      </c>
      <c r="E470" s="364" t="s">
        <v>2226</v>
      </c>
      <c r="F470" s="364" t="s">
        <v>2226</v>
      </c>
      <c r="G470" s="364" t="s">
        <v>658</v>
      </c>
      <c r="H470" s="364" t="s">
        <v>2234</v>
      </c>
      <c r="I470" s="364" t="s">
        <v>2154</v>
      </c>
      <c r="J470" s="364" t="s">
        <v>673</v>
      </c>
      <c r="K470" s="364" t="s">
        <v>668</v>
      </c>
      <c r="L470" s="364" t="s">
        <v>190</v>
      </c>
      <c r="M470" s="364" t="s">
        <v>59</v>
      </c>
      <c r="N470" s="364" t="s">
        <v>654</v>
      </c>
      <c r="O470" s="364" t="s">
        <v>653</v>
      </c>
      <c r="P470" s="364" t="s">
        <v>198</v>
      </c>
      <c r="Q470" s="364" t="s">
        <v>652</v>
      </c>
      <c r="R470" s="364" t="s">
        <v>88</v>
      </c>
      <c r="S470" s="364" t="s">
        <v>88</v>
      </c>
      <c r="T470" s="364" t="s">
        <v>88</v>
      </c>
      <c r="U470" s="364" t="s">
        <v>88</v>
      </c>
      <c r="V470" s="364" t="s">
        <v>88</v>
      </c>
      <c r="W470" s="364" t="s">
        <v>88</v>
      </c>
      <c r="X470" s="364" t="s">
        <v>88</v>
      </c>
      <c r="Y470" s="364" t="s">
        <v>88</v>
      </c>
      <c r="Z470" s="364" t="s">
        <v>672</v>
      </c>
      <c r="AA470" s="364" t="s">
        <v>671</v>
      </c>
      <c r="AB470" s="364" t="s">
        <v>649</v>
      </c>
      <c r="AC470" s="364" t="s">
        <v>649</v>
      </c>
      <c r="AD470" s="364" t="s">
        <v>649</v>
      </c>
      <c r="AE470" s="364" t="s">
        <v>88</v>
      </c>
      <c r="AF470" s="364" t="s">
        <v>88</v>
      </c>
      <c r="AG470" s="364" t="s">
        <v>88</v>
      </c>
      <c r="AH470" s="364" t="s">
        <v>88</v>
      </c>
      <c r="AI470" s="364" t="s">
        <v>1199</v>
      </c>
      <c r="AJ470" s="364" t="s">
        <v>670</v>
      </c>
      <c r="AK470" s="364" t="s">
        <v>669</v>
      </c>
      <c r="AL470" s="364" t="s">
        <v>646</v>
      </c>
      <c r="AM470" s="364" t="s">
        <v>668</v>
      </c>
      <c r="AN470" s="364" t="s">
        <v>644</v>
      </c>
    </row>
    <row r="471" spans="1:40" x14ac:dyDescent="0.3">
      <c r="A471" s="364" t="s">
        <v>2233</v>
      </c>
      <c r="B471" s="364" t="s">
        <v>661</v>
      </c>
      <c r="C471" s="364" t="s">
        <v>660</v>
      </c>
      <c r="D471" s="364" t="s">
        <v>90</v>
      </c>
      <c r="E471" s="364" t="s">
        <v>2223</v>
      </c>
      <c r="F471" s="364" t="s">
        <v>2223</v>
      </c>
      <c r="G471" s="364" t="s">
        <v>658</v>
      </c>
      <c r="H471" s="364" t="s">
        <v>2232</v>
      </c>
      <c r="I471" s="364" t="s">
        <v>2231</v>
      </c>
      <c r="J471" s="364" t="s">
        <v>673</v>
      </c>
      <c r="K471" s="364" t="s">
        <v>668</v>
      </c>
      <c r="L471" s="364" t="s">
        <v>190</v>
      </c>
      <c r="M471" s="364" t="s">
        <v>165</v>
      </c>
      <c r="N471" s="364" t="s">
        <v>654</v>
      </c>
      <c r="O471" s="364" t="s">
        <v>653</v>
      </c>
      <c r="P471" s="364" t="s">
        <v>198</v>
      </c>
      <c r="Q471" s="364" t="s">
        <v>652</v>
      </c>
      <c r="R471" s="364" t="s">
        <v>88</v>
      </c>
      <c r="S471" s="364" t="s">
        <v>88</v>
      </c>
      <c r="T471" s="364" t="s">
        <v>88</v>
      </c>
      <c r="U471" s="364" t="s">
        <v>88</v>
      </c>
      <c r="V471" s="364" t="s">
        <v>88</v>
      </c>
      <c r="W471" s="364" t="s">
        <v>88</v>
      </c>
      <c r="X471" s="364" t="s">
        <v>88</v>
      </c>
      <c r="Y471" s="364" t="s">
        <v>88</v>
      </c>
      <c r="Z471" s="364" t="s">
        <v>2027</v>
      </c>
      <c r="AA471" s="364" t="s">
        <v>688</v>
      </c>
      <c r="AB471" s="364" t="s">
        <v>649</v>
      </c>
      <c r="AC471" s="364" t="s">
        <v>649</v>
      </c>
      <c r="AD471" s="364" t="s">
        <v>649</v>
      </c>
      <c r="AE471" s="364" t="s">
        <v>88</v>
      </c>
      <c r="AF471" s="364" t="s">
        <v>88</v>
      </c>
      <c r="AG471" s="364" t="s">
        <v>88</v>
      </c>
      <c r="AH471" s="364" t="s">
        <v>88</v>
      </c>
      <c r="AI471" s="364" t="s">
        <v>1155</v>
      </c>
      <c r="AJ471" s="364" t="s">
        <v>710</v>
      </c>
      <c r="AK471" s="364" t="s">
        <v>1016</v>
      </c>
      <c r="AL471" s="364" t="s">
        <v>646</v>
      </c>
      <c r="AM471" s="364" t="s">
        <v>668</v>
      </c>
      <c r="AN471" s="364" t="s">
        <v>644</v>
      </c>
    </row>
    <row r="472" spans="1:40" x14ac:dyDescent="0.3">
      <c r="A472" s="364" t="s">
        <v>2233</v>
      </c>
      <c r="B472" s="364" t="s">
        <v>661</v>
      </c>
      <c r="C472" s="364" t="s">
        <v>660</v>
      </c>
      <c r="D472" s="364" t="s">
        <v>90</v>
      </c>
      <c r="E472" s="364" t="s">
        <v>2223</v>
      </c>
      <c r="F472" s="364" t="s">
        <v>2223</v>
      </c>
      <c r="G472" s="364" t="s">
        <v>658</v>
      </c>
      <c r="H472" s="364" t="s">
        <v>2232</v>
      </c>
      <c r="I472" s="364" t="s">
        <v>2231</v>
      </c>
      <c r="J472" s="364" t="s">
        <v>673</v>
      </c>
      <c r="K472" s="364" t="s">
        <v>668</v>
      </c>
      <c r="L472" s="364" t="s">
        <v>190</v>
      </c>
      <c r="M472" s="364" t="s">
        <v>718</v>
      </c>
      <c r="N472" s="364" t="s">
        <v>654</v>
      </c>
      <c r="O472" s="364" t="s">
        <v>653</v>
      </c>
      <c r="P472" s="364" t="s">
        <v>198</v>
      </c>
      <c r="Q472" s="364" t="s">
        <v>652</v>
      </c>
      <c r="R472" s="364" t="s">
        <v>88</v>
      </c>
      <c r="S472" s="364" t="s">
        <v>88</v>
      </c>
      <c r="T472" s="364" t="s">
        <v>88</v>
      </c>
      <c r="U472" s="364" t="s">
        <v>88</v>
      </c>
      <c r="V472" s="364" t="s">
        <v>88</v>
      </c>
      <c r="W472" s="364" t="s">
        <v>88</v>
      </c>
      <c r="X472" s="364" t="s">
        <v>88</v>
      </c>
      <c r="Y472" s="364" t="s">
        <v>88</v>
      </c>
      <c r="Z472" s="364" t="s">
        <v>717</v>
      </c>
      <c r="AA472" s="364" t="s">
        <v>649</v>
      </c>
      <c r="AB472" s="364" t="s">
        <v>649</v>
      </c>
      <c r="AC472" s="364" t="s">
        <v>649</v>
      </c>
      <c r="AD472" s="364" t="s">
        <v>649</v>
      </c>
      <c r="AE472" s="364" t="s">
        <v>88</v>
      </c>
      <c r="AF472" s="364" t="s">
        <v>88</v>
      </c>
      <c r="AG472" s="364" t="s">
        <v>88</v>
      </c>
      <c r="AH472" s="364" t="s">
        <v>88</v>
      </c>
      <c r="AI472" s="364" t="s">
        <v>1155</v>
      </c>
      <c r="AJ472" s="364" t="s">
        <v>710</v>
      </c>
      <c r="AK472" s="364" t="s">
        <v>1016</v>
      </c>
      <c r="AL472" s="364" t="s">
        <v>646</v>
      </c>
      <c r="AM472" s="364" t="s">
        <v>668</v>
      </c>
      <c r="AN472" s="364" t="s">
        <v>644</v>
      </c>
    </row>
    <row r="473" spans="1:40" x14ac:dyDescent="0.3">
      <c r="A473" s="364" t="s">
        <v>2233</v>
      </c>
      <c r="B473" s="364" t="s">
        <v>661</v>
      </c>
      <c r="C473" s="364" t="s">
        <v>660</v>
      </c>
      <c r="D473" s="364" t="s">
        <v>90</v>
      </c>
      <c r="E473" s="364" t="s">
        <v>2223</v>
      </c>
      <c r="F473" s="364" t="s">
        <v>2223</v>
      </c>
      <c r="G473" s="364" t="s">
        <v>658</v>
      </c>
      <c r="H473" s="364" t="s">
        <v>2232</v>
      </c>
      <c r="I473" s="364" t="s">
        <v>2231</v>
      </c>
      <c r="J473" s="364" t="s">
        <v>673</v>
      </c>
      <c r="K473" s="364" t="s">
        <v>668</v>
      </c>
      <c r="L473" s="364" t="s">
        <v>190</v>
      </c>
      <c r="M473" s="364" t="s">
        <v>713</v>
      </c>
      <c r="N473" s="364" t="s">
        <v>654</v>
      </c>
      <c r="O473" s="364" t="s">
        <v>653</v>
      </c>
      <c r="P473" s="364" t="s">
        <v>198</v>
      </c>
      <c r="Q473" s="364" t="s">
        <v>652</v>
      </c>
      <c r="R473" s="364" t="s">
        <v>88</v>
      </c>
      <c r="S473" s="364" t="s">
        <v>88</v>
      </c>
      <c r="T473" s="364" t="s">
        <v>88</v>
      </c>
      <c r="U473" s="364" t="s">
        <v>88</v>
      </c>
      <c r="V473" s="364" t="s">
        <v>88</v>
      </c>
      <c r="W473" s="364" t="s">
        <v>88</v>
      </c>
      <c r="X473" s="364" t="s">
        <v>88</v>
      </c>
      <c r="Y473" s="364" t="s">
        <v>88</v>
      </c>
      <c r="Z473" s="364" t="s">
        <v>712</v>
      </c>
      <c r="AA473" s="364" t="s">
        <v>711</v>
      </c>
      <c r="AB473" s="364" t="s">
        <v>649</v>
      </c>
      <c r="AC473" s="364" t="s">
        <v>649</v>
      </c>
      <c r="AD473" s="364" t="s">
        <v>649</v>
      </c>
      <c r="AE473" s="364" t="s">
        <v>88</v>
      </c>
      <c r="AF473" s="364" t="s">
        <v>88</v>
      </c>
      <c r="AG473" s="364" t="s">
        <v>88</v>
      </c>
      <c r="AH473" s="364" t="s">
        <v>88</v>
      </c>
      <c r="AI473" s="364" t="s">
        <v>1155</v>
      </c>
      <c r="AJ473" s="364" t="s">
        <v>710</v>
      </c>
      <c r="AK473" s="364" t="s">
        <v>1016</v>
      </c>
      <c r="AL473" s="364" t="s">
        <v>646</v>
      </c>
      <c r="AM473" s="364" t="s">
        <v>668</v>
      </c>
      <c r="AN473" s="364" t="s">
        <v>644</v>
      </c>
    </row>
    <row r="474" spans="1:40" x14ac:dyDescent="0.3">
      <c r="A474" s="364" t="s">
        <v>2233</v>
      </c>
      <c r="B474" s="364" t="s">
        <v>661</v>
      </c>
      <c r="C474" s="364" t="s">
        <v>660</v>
      </c>
      <c r="D474" s="364" t="s">
        <v>90</v>
      </c>
      <c r="E474" s="364" t="s">
        <v>2223</v>
      </c>
      <c r="F474" s="364" t="s">
        <v>2223</v>
      </c>
      <c r="G474" s="364" t="s">
        <v>658</v>
      </c>
      <c r="H474" s="364" t="s">
        <v>2232</v>
      </c>
      <c r="I474" s="364" t="s">
        <v>2231</v>
      </c>
      <c r="J474" s="364" t="s">
        <v>673</v>
      </c>
      <c r="K474" s="364" t="s">
        <v>668</v>
      </c>
      <c r="L474" s="364" t="s">
        <v>190</v>
      </c>
      <c r="M474" s="364" t="s">
        <v>54</v>
      </c>
      <c r="N474" s="364" t="s">
        <v>654</v>
      </c>
      <c r="O474" s="364" t="s">
        <v>653</v>
      </c>
      <c r="P474" s="364" t="s">
        <v>198</v>
      </c>
      <c r="Q474" s="364" t="s">
        <v>652</v>
      </c>
      <c r="R474" s="364" t="s">
        <v>88</v>
      </c>
      <c r="S474" s="364" t="s">
        <v>88</v>
      </c>
      <c r="T474" s="364" t="s">
        <v>88</v>
      </c>
      <c r="U474" s="364" t="s">
        <v>88</v>
      </c>
      <c r="V474" s="364" t="s">
        <v>88</v>
      </c>
      <c r="W474" s="364" t="s">
        <v>88</v>
      </c>
      <c r="X474" s="364" t="s">
        <v>88</v>
      </c>
      <c r="Y474" s="364" t="s">
        <v>88</v>
      </c>
      <c r="Z474" s="364" t="s">
        <v>1265</v>
      </c>
      <c r="AA474" s="364" t="s">
        <v>649</v>
      </c>
      <c r="AB474" s="364" t="s">
        <v>649</v>
      </c>
      <c r="AC474" s="364" t="s">
        <v>649</v>
      </c>
      <c r="AD474" s="364" t="s">
        <v>649</v>
      </c>
      <c r="AE474" s="364" t="s">
        <v>88</v>
      </c>
      <c r="AF474" s="364" t="s">
        <v>88</v>
      </c>
      <c r="AG474" s="364" t="s">
        <v>88</v>
      </c>
      <c r="AH474" s="364" t="s">
        <v>88</v>
      </c>
      <c r="AI474" s="364" t="s">
        <v>1155</v>
      </c>
      <c r="AJ474" s="364" t="s">
        <v>710</v>
      </c>
      <c r="AK474" s="364" t="s">
        <v>1016</v>
      </c>
      <c r="AL474" s="364" t="s">
        <v>646</v>
      </c>
      <c r="AM474" s="364" t="s">
        <v>668</v>
      </c>
      <c r="AN474" s="364" t="s">
        <v>644</v>
      </c>
    </row>
    <row r="475" spans="1:40" x14ac:dyDescent="0.3">
      <c r="A475" s="364" t="s">
        <v>2233</v>
      </c>
      <c r="B475" s="364" t="s">
        <v>661</v>
      </c>
      <c r="C475" s="364" t="s">
        <v>660</v>
      </c>
      <c r="D475" s="364" t="s">
        <v>90</v>
      </c>
      <c r="E475" s="364" t="s">
        <v>2223</v>
      </c>
      <c r="F475" s="364" t="s">
        <v>2223</v>
      </c>
      <c r="G475" s="364" t="s">
        <v>658</v>
      </c>
      <c r="H475" s="364" t="s">
        <v>2232</v>
      </c>
      <c r="I475" s="364" t="s">
        <v>2231</v>
      </c>
      <c r="J475" s="364" t="s">
        <v>673</v>
      </c>
      <c r="K475" s="364" t="s">
        <v>668</v>
      </c>
      <c r="L475" s="364" t="s">
        <v>190</v>
      </c>
      <c r="M475" s="364" t="s">
        <v>61</v>
      </c>
      <c r="N475" s="364" t="s">
        <v>654</v>
      </c>
      <c r="O475" s="364" t="s">
        <v>653</v>
      </c>
      <c r="P475" s="364" t="s">
        <v>198</v>
      </c>
      <c r="Q475" s="364" t="s">
        <v>652</v>
      </c>
      <c r="R475" s="364" t="s">
        <v>88</v>
      </c>
      <c r="S475" s="364" t="s">
        <v>88</v>
      </c>
      <c r="T475" s="364" t="s">
        <v>88</v>
      </c>
      <c r="U475" s="364" t="s">
        <v>88</v>
      </c>
      <c r="V475" s="364" t="s">
        <v>88</v>
      </c>
      <c r="W475" s="364" t="s">
        <v>88</v>
      </c>
      <c r="X475" s="364" t="s">
        <v>88</v>
      </c>
      <c r="Y475" s="364" t="s">
        <v>88</v>
      </c>
      <c r="Z475" s="364" t="s">
        <v>1021</v>
      </c>
      <c r="AA475" s="364" t="s">
        <v>671</v>
      </c>
      <c r="AB475" s="364" t="s">
        <v>649</v>
      </c>
      <c r="AC475" s="364" t="s">
        <v>649</v>
      </c>
      <c r="AD475" s="364" t="s">
        <v>649</v>
      </c>
      <c r="AE475" s="364" t="s">
        <v>88</v>
      </c>
      <c r="AF475" s="364" t="s">
        <v>88</v>
      </c>
      <c r="AG475" s="364" t="s">
        <v>88</v>
      </c>
      <c r="AH475" s="364" t="s">
        <v>88</v>
      </c>
      <c r="AI475" s="364" t="s">
        <v>1155</v>
      </c>
      <c r="AJ475" s="364" t="s">
        <v>710</v>
      </c>
      <c r="AK475" s="364" t="s">
        <v>1016</v>
      </c>
      <c r="AL475" s="364" t="s">
        <v>646</v>
      </c>
      <c r="AM475" s="364" t="s">
        <v>668</v>
      </c>
      <c r="AN475" s="364" t="s">
        <v>644</v>
      </c>
    </row>
    <row r="476" spans="1:40" x14ac:dyDescent="0.3">
      <c r="A476" s="364" t="s">
        <v>2233</v>
      </c>
      <c r="B476" s="364" t="s">
        <v>661</v>
      </c>
      <c r="C476" s="364" t="s">
        <v>660</v>
      </c>
      <c r="D476" s="364" t="s">
        <v>90</v>
      </c>
      <c r="E476" s="364" t="s">
        <v>2223</v>
      </c>
      <c r="F476" s="364" t="s">
        <v>2223</v>
      </c>
      <c r="G476" s="364" t="s">
        <v>658</v>
      </c>
      <c r="H476" s="364" t="s">
        <v>2232</v>
      </c>
      <c r="I476" s="364" t="s">
        <v>2231</v>
      </c>
      <c r="J476" s="364" t="s">
        <v>673</v>
      </c>
      <c r="K476" s="364" t="s">
        <v>668</v>
      </c>
      <c r="L476" s="364" t="s">
        <v>190</v>
      </c>
      <c r="M476" s="364" t="s">
        <v>725</v>
      </c>
      <c r="N476" s="364" t="s">
        <v>654</v>
      </c>
      <c r="O476" s="364" t="s">
        <v>653</v>
      </c>
      <c r="P476" s="364" t="s">
        <v>198</v>
      </c>
      <c r="Q476" s="364" t="s">
        <v>652</v>
      </c>
      <c r="R476" s="364" t="s">
        <v>88</v>
      </c>
      <c r="S476" s="364" t="s">
        <v>88</v>
      </c>
      <c r="T476" s="364" t="s">
        <v>88</v>
      </c>
      <c r="U476" s="364" t="s">
        <v>88</v>
      </c>
      <c r="V476" s="364" t="s">
        <v>88</v>
      </c>
      <c r="W476" s="364" t="s">
        <v>88</v>
      </c>
      <c r="X476" s="364" t="s">
        <v>88</v>
      </c>
      <c r="Y476" s="364" t="s">
        <v>88</v>
      </c>
      <c r="Z476" s="364" t="s">
        <v>724</v>
      </c>
      <c r="AA476" s="364" t="s">
        <v>649</v>
      </c>
      <c r="AB476" s="364" t="s">
        <v>649</v>
      </c>
      <c r="AC476" s="364" t="s">
        <v>649</v>
      </c>
      <c r="AD476" s="364" t="s">
        <v>649</v>
      </c>
      <c r="AE476" s="364" t="s">
        <v>88</v>
      </c>
      <c r="AF476" s="364" t="s">
        <v>88</v>
      </c>
      <c r="AG476" s="364" t="s">
        <v>88</v>
      </c>
      <c r="AH476" s="364" t="s">
        <v>88</v>
      </c>
      <c r="AI476" s="364" t="s">
        <v>1155</v>
      </c>
      <c r="AJ476" s="364" t="s">
        <v>710</v>
      </c>
      <c r="AK476" s="364" t="s">
        <v>1016</v>
      </c>
      <c r="AL476" s="364" t="s">
        <v>646</v>
      </c>
      <c r="AM476" s="364" t="s">
        <v>668</v>
      </c>
      <c r="AN476" s="364" t="s">
        <v>644</v>
      </c>
    </row>
    <row r="477" spans="1:40" x14ac:dyDescent="0.3">
      <c r="A477" s="364" t="s">
        <v>2233</v>
      </c>
      <c r="B477" s="364" t="s">
        <v>661</v>
      </c>
      <c r="C477" s="364" t="s">
        <v>660</v>
      </c>
      <c r="D477" s="364" t="s">
        <v>90</v>
      </c>
      <c r="E477" s="364" t="s">
        <v>2223</v>
      </c>
      <c r="F477" s="364" t="s">
        <v>2223</v>
      </c>
      <c r="G477" s="364" t="s">
        <v>658</v>
      </c>
      <c r="H477" s="364" t="s">
        <v>2232</v>
      </c>
      <c r="I477" s="364" t="s">
        <v>2231</v>
      </c>
      <c r="J477" s="364" t="s">
        <v>673</v>
      </c>
      <c r="K477" s="364" t="s">
        <v>668</v>
      </c>
      <c r="L477" s="364" t="s">
        <v>190</v>
      </c>
      <c r="M477" s="364" t="s">
        <v>723</v>
      </c>
      <c r="N477" s="364" t="s">
        <v>654</v>
      </c>
      <c r="O477" s="364" t="s">
        <v>653</v>
      </c>
      <c r="P477" s="364" t="s">
        <v>198</v>
      </c>
      <c r="Q477" s="364" t="s">
        <v>652</v>
      </c>
      <c r="R477" s="364" t="s">
        <v>88</v>
      </c>
      <c r="S477" s="364" t="s">
        <v>88</v>
      </c>
      <c r="T477" s="364" t="s">
        <v>88</v>
      </c>
      <c r="U477" s="364" t="s">
        <v>88</v>
      </c>
      <c r="V477" s="364" t="s">
        <v>88</v>
      </c>
      <c r="W477" s="364" t="s">
        <v>88</v>
      </c>
      <c r="X477" s="364" t="s">
        <v>88</v>
      </c>
      <c r="Y477" s="364" t="s">
        <v>88</v>
      </c>
      <c r="Z477" s="364" t="s">
        <v>722</v>
      </c>
      <c r="AA477" s="364" t="s">
        <v>649</v>
      </c>
      <c r="AB477" s="364" t="s">
        <v>649</v>
      </c>
      <c r="AC477" s="364" t="s">
        <v>649</v>
      </c>
      <c r="AD477" s="364" t="s">
        <v>649</v>
      </c>
      <c r="AE477" s="364" t="s">
        <v>88</v>
      </c>
      <c r="AF477" s="364" t="s">
        <v>88</v>
      </c>
      <c r="AG477" s="364" t="s">
        <v>88</v>
      </c>
      <c r="AH477" s="364" t="s">
        <v>88</v>
      </c>
      <c r="AI477" s="364" t="s">
        <v>1155</v>
      </c>
      <c r="AJ477" s="364" t="s">
        <v>710</v>
      </c>
      <c r="AK477" s="364" t="s">
        <v>1016</v>
      </c>
      <c r="AL477" s="364" t="s">
        <v>646</v>
      </c>
      <c r="AM477" s="364" t="s">
        <v>668</v>
      </c>
      <c r="AN477" s="364" t="s">
        <v>644</v>
      </c>
    </row>
    <row r="478" spans="1:40" x14ac:dyDescent="0.3">
      <c r="A478" s="364" t="s">
        <v>2233</v>
      </c>
      <c r="B478" s="364" t="s">
        <v>661</v>
      </c>
      <c r="C478" s="364" t="s">
        <v>660</v>
      </c>
      <c r="D478" s="364" t="s">
        <v>90</v>
      </c>
      <c r="E478" s="364" t="s">
        <v>2223</v>
      </c>
      <c r="F478" s="364" t="s">
        <v>2223</v>
      </c>
      <c r="G478" s="364" t="s">
        <v>658</v>
      </c>
      <c r="H478" s="364" t="s">
        <v>2232</v>
      </c>
      <c r="I478" s="364" t="s">
        <v>2231</v>
      </c>
      <c r="J478" s="364" t="s">
        <v>673</v>
      </c>
      <c r="K478" s="364" t="s">
        <v>668</v>
      </c>
      <c r="L478" s="364" t="s">
        <v>190</v>
      </c>
      <c r="M478" s="364" t="s">
        <v>721</v>
      </c>
      <c r="N478" s="364" t="s">
        <v>654</v>
      </c>
      <c r="O478" s="364" t="s">
        <v>653</v>
      </c>
      <c r="P478" s="364" t="s">
        <v>198</v>
      </c>
      <c r="Q478" s="364" t="s">
        <v>652</v>
      </c>
      <c r="R478" s="364" t="s">
        <v>88</v>
      </c>
      <c r="S478" s="364" t="s">
        <v>88</v>
      </c>
      <c r="T478" s="364" t="s">
        <v>88</v>
      </c>
      <c r="U478" s="364" t="s">
        <v>88</v>
      </c>
      <c r="V478" s="364" t="s">
        <v>88</v>
      </c>
      <c r="W478" s="364" t="s">
        <v>88</v>
      </c>
      <c r="X478" s="364" t="s">
        <v>88</v>
      </c>
      <c r="Y478" s="364" t="s">
        <v>88</v>
      </c>
      <c r="Z478" s="364" t="s">
        <v>720</v>
      </c>
      <c r="AA478" s="364" t="s">
        <v>649</v>
      </c>
      <c r="AB478" s="364" t="s">
        <v>649</v>
      </c>
      <c r="AC478" s="364" t="s">
        <v>649</v>
      </c>
      <c r="AD478" s="364" t="s">
        <v>649</v>
      </c>
      <c r="AE478" s="364" t="s">
        <v>88</v>
      </c>
      <c r="AF478" s="364" t="s">
        <v>88</v>
      </c>
      <c r="AG478" s="364" t="s">
        <v>88</v>
      </c>
      <c r="AH478" s="364" t="s">
        <v>88</v>
      </c>
      <c r="AI478" s="364" t="s">
        <v>1155</v>
      </c>
      <c r="AJ478" s="364" t="s">
        <v>710</v>
      </c>
      <c r="AK478" s="364" t="s">
        <v>1016</v>
      </c>
      <c r="AL478" s="364" t="s">
        <v>646</v>
      </c>
      <c r="AM478" s="364" t="s">
        <v>668</v>
      </c>
      <c r="AN478" s="364" t="s">
        <v>644</v>
      </c>
    </row>
    <row r="479" spans="1:40" x14ac:dyDescent="0.3">
      <c r="A479" s="364" t="s">
        <v>2233</v>
      </c>
      <c r="B479" s="364" t="s">
        <v>661</v>
      </c>
      <c r="C479" s="364" t="s">
        <v>660</v>
      </c>
      <c r="D479" s="364" t="s">
        <v>90</v>
      </c>
      <c r="E479" s="364" t="s">
        <v>2223</v>
      </c>
      <c r="F479" s="364" t="s">
        <v>2223</v>
      </c>
      <c r="G479" s="364" t="s">
        <v>658</v>
      </c>
      <c r="H479" s="364" t="s">
        <v>2232</v>
      </c>
      <c r="I479" s="364" t="s">
        <v>2231</v>
      </c>
      <c r="J479" s="364" t="s">
        <v>673</v>
      </c>
      <c r="K479" s="364" t="s">
        <v>668</v>
      </c>
      <c r="L479" s="364" t="s">
        <v>190</v>
      </c>
      <c r="M479" s="364" t="s">
        <v>56</v>
      </c>
      <c r="N479" s="364" t="s">
        <v>654</v>
      </c>
      <c r="O479" s="364" t="s">
        <v>653</v>
      </c>
      <c r="P479" s="364" t="s">
        <v>198</v>
      </c>
      <c r="Q479" s="364" t="s">
        <v>652</v>
      </c>
      <c r="R479" s="364" t="s">
        <v>88</v>
      </c>
      <c r="S479" s="364" t="s">
        <v>88</v>
      </c>
      <c r="T479" s="364" t="s">
        <v>88</v>
      </c>
      <c r="U479" s="364" t="s">
        <v>88</v>
      </c>
      <c r="V479" s="364" t="s">
        <v>88</v>
      </c>
      <c r="W479" s="364" t="s">
        <v>88</v>
      </c>
      <c r="X479" s="364" t="s">
        <v>88</v>
      </c>
      <c r="Y479" s="364" t="s">
        <v>88</v>
      </c>
      <c r="Z479" s="364" t="s">
        <v>1165</v>
      </c>
      <c r="AA479" s="364" t="s">
        <v>1164</v>
      </c>
      <c r="AB479" s="364" t="s">
        <v>649</v>
      </c>
      <c r="AC479" s="364" t="s">
        <v>649</v>
      </c>
      <c r="AD479" s="364" t="s">
        <v>649</v>
      </c>
      <c r="AE479" s="364" t="s">
        <v>88</v>
      </c>
      <c r="AF479" s="364" t="s">
        <v>88</v>
      </c>
      <c r="AG479" s="364" t="s">
        <v>88</v>
      </c>
      <c r="AH479" s="364" t="s">
        <v>88</v>
      </c>
      <c r="AI479" s="364" t="s">
        <v>1155</v>
      </c>
      <c r="AJ479" s="364" t="s">
        <v>710</v>
      </c>
      <c r="AK479" s="364" t="s">
        <v>1016</v>
      </c>
      <c r="AL479" s="364" t="s">
        <v>646</v>
      </c>
      <c r="AM479" s="364" t="s">
        <v>668</v>
      </c>
      <c r="AN479" s="364" t="s">
        <v>644</v>
      </c>
    </row>
    <row r="480" spans="1:40" x14ac:dyDescent="0.3">
      <c r="A480" s="364" t="s">
        <v>2230</v>
      </c>
      <c r="B480" s="364" t="s">
        <v>661</v>
      </c>
      <c r="C480" s="364" t="s">
        <v>660</v>
      </c>
      <c r="D480" s="364" t="s">
        <v>90</v>
      </c>
      <c r="E480" s="364" t="s">
        <v>2226</v>
      </c>
      <c r="F480" s="364" t="s">
        <v>2226</v>
      </c>
      <c r="G480" s="364" t="s">
        <v>658</v>
      </c>
      <c r="H480" s="364" t="s">
        <v>2229</v>
      </c>
      <c r="I480" s="364" t="s">
        <v>2228</v>
      </c>
      <c r="J480" s="364" t="s">
        <v>673</v>
      </c>
      <c r="K480" s="364" t="s">
        <v>668</v>
      </c>
      <c r="L480" s="364" t="s">
        <v>190</v>
      </c>
      <c r="M480" s="364" t="s">
        <v>165</v>
      </c>
      <c r="N480" s="364" t="s">
        <v>654</v>
      </c>
      <c r="O480" s="364" t="s">
        <v>653</v>
      </c>
      <c r="P480" s="364" t="s">
        <v>198</v>
      </c>
      <c r="Q480" s="364" t="s">
        <v>652</v>
      </c>
      <c r="R480" s="364" t="s">
        <v>88</v>
      </c>
      <c r="S480" s="364" t="s">
        <v>88</v>
      </c>
      <c r="T480" s="364" t="s">
        <v>88</v>
      </c>
      <c r="U480" s="364" t="s">
        <v>88</v>
      </c>
      <c r="V480" s="364" t="s">
        <v>88</v>
      </c>
      <c r="W480" s="364" t="s">
        <v>88</v>
      </c>
      <c r="X480" s="364" t="s">
        <v>88</v>
      </c>
      <c r="Y480" s="364" t="s">
        <v>88</v>
      </c>
      <c r="Z480" s="364" t="s">
        <v>2027</v>
      </c>
      <c r="AA480" s="364" t="s">
        <v>688</v>
      </c>
      <c r="AB480" s="364" t="s">
        <v>649</v>
      </c>
      <c r="AC480" s="364" t="s">
        <v>649</v>
      </c>
      <c r="AD480" s="364" t="s">
        <v>649</v>
      </c>
      <c r="AE480" s="364" t="s">
        <v>88</v>
      </c>
      <c r="AF480" s="364" t="s">
        <v>88</v>
      </c>
      <c r="AG480" s="364" t="s">
        <v>88</v>
      </c>
      <c r="AH480" s="364" t="s">
        <v>88</v>
      </c>
      <c r="AI480" s="364" t="s">
        <v>1155</v>
      </c>
      <c r="AJ480" s="364" t="s">
        <v>710</v>
      </c>
      <c r="AK480" s="364" t="s">
        <v>1016</v>
      </c>
      <c r="AL480" s="364" t="s">
        <v>646</v>
      </c>
      <c r="AM480" s="364" t="s">
        <v>668</v>
      </c>
      <c r="AN480" s="364" t="s">
        <v>644</v>
      </c>
    </row>
    <row r="481" spans="1:40" x14ac:dyDescent="0.3">
      <c r="A481" s="364" t="s">
        <v>2230</v>
      </c>
      <c r="B481" s="364" t="s">
        <v>661</v>
      </c>
      <c r="C481" s="364" t="s">
        <v>660</v>
      </c>
      <c r="D481" s="364" t="s">
        <v>90</v>
      </c>
      <c r="E481" s="364" t="s">
        <v>2226</v>
      </c>
      <c r="F481" s="364" t="s">
        <v>2226</v>
      </c>
      <c r="G481" s="364" t="s">
        <v>658</v>
      </c>
      <c r="H481" s="364" t="s">
        <v>2229</v>
      </c>
      <c r="I481" s="364" t="s">
        <v>2228</v>
      </c>
      <c r="J481" s="364" t="s">
        <v>673</v>
      </c>
      <c r="K481" s="364" t="s">
        <v>668</v>
      </c>
      <c r="L481" s="364" t="s">
        <v>190</v>
      </c>
      <c r="M481" s="364" t="s">
        <v>718</v>
      </c>
      <c r="N481" s="364" t="s">
        <v>654</v>
      </c>
      <c r="O481" s="364" t="s">
        <v>653</v>
      </c>
      <c r="P481" s="364" t="s">
        <v>198</v>
      </c>
      <c r="Q481" s="364" t="s">
        <v>652</v>
      </c>
      <c r="R481" s="364" t="s">
        <v>88</v>
      </c>
      <c r="S481" s="364" t="s">
        <v>88</v>
      </c>
      <c r="T481" s="364" t="s">
        <v>88</v>
      </c>
      <c r="U481" s="364" t="s">
        <v>88</v>
      </c>
      <c r="V481" s="364" t="s">
        <v>88</v>
      </c>
      <c r="W481" s="364" t="s">
        <v>88</v>
      </c>
      <c r="X481" s="364" t="s">
        <v>88</v>
      </c>
      <c r="Y481" s="364" t="s">
        <v>88</v>
      </c>
      <c r="Z481" s="364" t="s">
        <v>717</v>
      </c>
      <c r="AA481" s="364" t="s">
        <v>649</v>
      </c>
      <c r="AB481" s="364" t="s">
        <v>649</v>
      </c>
      <c r="AC481" s="364" t="s">
        <v>649</v>
      </c>
      <c r="AD481" s="364" t="s">
        <v>649</v>
      </c>
      <c r="AE481" s="364" t="s">
        <v>88</v>
      </c>
      <c r="AF481" s="364" t="s">
        <v>88</v>
      </c>
      <c r="AG481" s="364" t="s">
        <v>88</v>
      </c>
      <c r="AH481" s="364" t="s">
        <v>88</v>
      </c>
      <c r="AI481" s="364" t="s">
        <v>1155</v>
      </c>
      <c r="AJ481" s="364" t="s">
        <v>710</v>
      </c>
      <c r="AK481" s="364" t="s">
        <v>1016</v>
      </c>
      <c r="AL481" s="364" t="s">
        <v>646</v>
      </c>
      <c r="AM481" s="364" t="s">
        <v>668</v>
      </c>
      <c r="AN481" s="364" t="s">
        <v>644</v>
      </c>
    </row>
    <row r="482" spans="1:40" x14ac:dyDescent="0.3">
      <c r="A482" s="364" t="s">
        <v>2230</v>
      </c>
      <c r="B482" s="364" t="s">
        <v>661</v>
      </c>
      <c r="C482" s="364" t="s">
        <v>660</v>
      </c>
      <c r="D482" s="364" t="s">
        <v>90</v>
      </c>
      <c r="E482" s="364" t="s">
        <v>2226</v>
      </c>
      <c r="F482" s="364" t="s">
        <v>2226</v>
      </c>
      <c r="G482" s="364" t="s">
        <v>658</v>
      </c>
      <c r="H482" s="364" t="s">
        <v>2229</v>
      </c>
      <c r="I482" s="364" t="s">
        <v>2228</v>
      </c>
      <c r="J482" s="364" t="s">
        <v>673</v>
      </c>
      <c r="K482" s="364" t="s">
        <v>668</v>
      </c>
      <c r="L482" s="364" t="s">
        <v>190</v>
      </c>
      <c r="M482" s="364" t="s">
        <v>713</v>
      </c>
      <c r="N482" s="364" t="s">
        <v>654</v>
      </c>
      <c r="O482" s="364" t="s">
        <v>653</v>
      </c>
      <c r="P482" s="364" t="s">
        <v>198</v>
      </c>
      <c r="Q482" s="364" t="s">
        <v>652</v>
      </c>
      <c r="R482" s="364" t="s">
        <v>88</v>
      </c>
      <c r="S482" s="364" t="s">
        <v>88</v>
      </c>
      <c r="T482" s="364" t="s">
        <v>88</v>
      </c>
      <c r="U482" s="364" t="s">
        <v>88</v>
      </c>
      <c r="V482" s="364" t="s">
        <v>88</v>
      </c>
      <c r="W482" s="364" t="s">
        <v>88</v>
      </c>
      <c r="X482" s="364" t="s">
        <v>88</v>
      </c>
      <c r="Y482" s="364" t="s">
        <v>88</v>
      </c>
      <c r="Z482" s="364" t="s">
        <v>712</v>
      </c>
      <c r="AA482" s="364" t="s">
        <v>711</v>
      </c>
      <c r="AB482" s="364" t="s">
        <v>649</v>
      </c>
      <c r="AC482" s="364" t="s">
        <v>649</v>
      </c>
      <c r="AD482" s="364" t="s">
        <v>649</v>
      </c>
      <c r="AE482" s="364" t="s">
        <v>88</v>
      </c>
      <c r="AF482" s="364" t="s">
        <v>88</v>
      </c>
      <c r="AG482" s="364" t="s">
        <v>88</v>
      </c>
      <c r="AH482" s="364" t="s">
        <v>88</v>
      </c>
      <c r="AI482" s="364" t="s">
        <v>1155</v>
      </c>
      <c r="AJ482" s="364" t="s">
        <v>710</v>
      </c>
      <c r="AK482" s="364" t="s">
        <v>1016</v>
      </c>
      <c r="AL482" s="364" t="s">
        <v>646</v>
      </c>
      <c r="AM482" s="364" t="s">
        <v>668</v>
      </c>
      <c r="AN482" s="364" t="s">
        <v>644</v>
      </c>
    </row>
    <row r="483" spans="1:40" x14ac:dyDescent="0.3">
      <c r="A483" s="364" t="s">
        <v>2230</v>
      </c>
      <c r="B483" s="364" t="s">
        <v>661</v>
      </c>
      <c r="C483" s="364" t="s">
        <v>660</v>
      </c>
      <c r="D483" s="364" t="s">
        <v>90</v>
      </c>
      <c r="E483" s="364" t="s">
        <v>2226</v>
      </c>
      <c r="F483" s="364" t="s">
        <v>2226</v>
      </c>
      <c r="G483" s="364" t="s">
        <v>658</v>
      </c>
      <c r="H483" s="364" t="s">
        <v>2229</v>
      </c>
      <c r="I483" s="364" t="s">
        <v>2228</v>
      </c>
      <c r="J483" s="364" t="s">
        <v>673</v>
      </c>
      <c r="K483" s="364" t="s">
        <v>668</v>
      </c>
      <c r="L483" s="364" t="s">
        <v>190</v>
      </c>
      <c r="M483" s="364" t="s">
        <v>54</v>
      </c>
      <c r="N483" s="364" t="s">
        <v>654</v>
      </c>
      <c r="O483" s="364" t="s">
        <v>653</v>
      </c>
      <c r="P483" s="364" t="s">
        <v>198</v>
      </c>
      <c r="Q483" s="364" t="s">
        <v>652</v>
      </c>
      <c r="R483" s="364" t="s">
        <v>88</v>
      </c>
      <c r="S483" s="364" t="s">
        <v>88</v>
      </c>
      <c r="T483" s="364" t="s">
        <v>88</v>
      </c>
      <c r="U483" s="364" t="s">
        <v>88</v>
      </c>
      <c r="V483" s="364" t="s">
        <v>88</v>
      </c>
      <c r="W483" s="364" t="s">
        <v>88</v>
      </c>
      <c r="X483" s="364" t="s">
        <v>88</v>
      </c>
      <c r="Y483" s="364" t="s">
        <v>88</v>
      </c>
      <c r="Z483" s="364" t="s">
        <v>1265</v>
      </c>
      <c r="AA483" s="364" t="s">
        <v>649</v>
      </c>
      <c r="AB483" s="364" t="s">
        <v>649</v>
      </c>
      <c r="AC483" s="364" t="s">
        <v>649</v>
      </c>
      <c r="AD483" s="364" t="s">
        <v>649</v>
      </c>
      <c r="AE483" s="364" t="s">
        <v>88</v>
      </c>
      <c r="AF483" s="364" t="s">
        <v>88</v>
      </c>
      <c r="AG483" s="364" t="s">
        <v>88</v>
      </c>
      <c r="AH483" s="364" t="s">
        <v>88</v>
      </c>
      <c r="AI483" s="364" t="s">
        <v>1155</v>
      </c>
      <c r="AJ483" s="364" t="s">
        <v>710</v>
      </c>
      <c r="AK483" s="364" t="s">
        <v>1016</v>
      </c>
      <c r="AL483" s="364" t="s">
        <v>646</v>
      </c>
      <c r="AM483" s="364" t="s">
        <v>668</v>
      </c>
      <c r="AN483" s="364" t="s">
        <v>644</v>
      </c>
    </row>
    <row r="484" spans="1:40" x14ac:dyDescent="0.3">
      <c r="A484" s="364" t="s">
        <v>2230</v>
      </c>
      <c r="B484" s="364" t="s">
        <v>661</v>
      </c>
      <c r="C484" s="364" t="s">
        <v>660</v>
      </c>
      <c r="D484" s="364" t="s">
        <v>90</v>
      </c>
      <c r="E484" s="364" t="s">
        <v>2226</v>
      </c>
      <c r="F484" s="364" t="s">
        <v>2226</v>
      </c>
      <c r="G484" s="364" t="s">
        <v>658</v>
      </c>
      <c r="H484" s="364" t="s">
        <v>2229</v>
      </c>
      <c r="I484" s="364" t="s">
        <v>2228</v>
      </c>
      <c r="J484" s="364" t="s">
        <v>673</v>
      </c>
      <c r="K484" s="364" t="s">
        <v>668</v>
      </c>
      <c r="L484" s="364" t="s">
        <v>190</v>
      </c>
      <c r="M484" s="364" t="s">
        <v>61</v>
      </c>
      <c r="N484" s="364" t="s">
        <v>654</v>
      </c>
      <c r="O484" s="364" t="s">
        <v>653</v>
      </c>
      <c r="P484" s="364" t="s">
        <v>198</v>
      </c>
      <c r="Q484" s="364" t="s">
        <v>652</v>
      </c>
      <c r="R484" s="364" t="s">
        <v>88</v>
      </c>
      <c r="S484" s="364" t="s">
        <v>88</v>
      </c>
      <c r="T484" s="364" t="s">
        <v>88</v>
      </c>
      <c r="U484" s="364" t="s">
        <v>88</v>
      </c>
      <c r="V484" s="364" t="s">
        <v>88</v>
      </c>
      <c r="W484" s="364" t="s">
        <v>88</v>
      </c>
      <c r="X484" s="364" t="s">
        <v>88</v>
      </c>
      <c r="Y484" s="364" t="s">
        <v>88</v>
      </c>
      <c r="Z484" s="364" t="s">
        <v>1021</v>
      </c>
      <c r="AA484" s="364" t="s">
        <v>671</v>
      </c>
      <c r="AB484" s="364" t="s">
        <v>649</v>
      </c>
      <c r="AC484" s="364" t="s">
        <v>649</v>
      </c>
      <c r="AD484" s="364" t="s">
        <v>649</v>
      </c>
      <c r="AE484" s="364" t="s">
        <v>88</v>
      </c>
      <c r="AF484" s="364" t="s">
        <v>88</v>
      </c>
      <c r="AG484" s="364" t="s">
        <v>88</v>
      </c>
      <c r="AH484" s="364" t="s">
        <v>88</v>
      </c>
      <c r="AI484" s="364" t="s">
        <v>1155</v>
      </c>
      <c r="AJ484" s="364" t="s">
        <v>710</v>
      </c>
      <c r="AK484" s="364" t="s">
        <v>1016</v>
      </c>
      <c r="AL484" s="364" t="s">
        <v>646</v>
      </c>
      <c r="AM484" s="364" t="s">
        <v>668</v>
      </c>
      <c r="AN484" s="364" t="s">
        <v>644</v>
      </c>
    </row>
    <row r="485" spans="1:40" x14ac:dyDescent="0.3">
      <c r="A485" s="364" t="s">
        <v>2230</v>
      </c>
      <c r="B485" s="364" t="s">
        <v>661</v>
      </c>
      <c r="C485" s="364" t="s">
        <v>660</v>
      </c>
      <c r="D485" s="364" t="s">
        <v>90</v>
      </c>
      <c r="E485" s="364" t="s">
        <v>2226</v>
      </c>
      <c r="F485" s="364" t="s">
        <v>2226</v>
      </c>
      <c r="G485" s="364" t="s">
        <v>658</v>
      </c>
      <c r="H485" s="364" t="s">
        <v>2229</v>
      </c>
      <c r="I485" s="364" t="s">
        <v>2228</v>
      </c>
      <c r="J485" s="364" t="s">
        <v>673</v>
      </c>
      <c r="K485" s="364" t="s">
        <v>668</v>
      </c>
      <c r="L485" s="364" t="s">
        <v>190</v>
      </c>
      <c r="M485" s="364" t="s">
        <v>725</v>
      </c>
      <c r="N485" s="364" t="s">
        <v>654</v>
      </c>
      <c r="O485" s="364" t="s">
        <v>653</v>
      </c>
      <c r="P485" s="364" t="s">
        <v>198</v>
      </c>
      <c r="Q485" s="364" t="s">
        <v>652</v>
      </c>
      <c r="R485" s="364" t="s">
        <v>88</v>
      </c>
      <c r="S485" s="364" t="s">
        <v>88</v>
      </c>
      <c r="T485" s="364" t="s">
        <v>88</v>
      </c>
      <c r="U485" s="364" t="s">
        <v>88</v>
      </c>
      <c r="V485" s="364" t="s">
        <v>88</v>
      </c>
      <c r="W485" s="364" t="s">
        <v>88</v>
      </c>
      <c r="X485" s="364" t="s">
        <v>88</v>
      </c>
      <c r="Y485" s="364" t="s">
        <v>88</v>
      </c>
      <c r="Z485" s="364" t="s">
        <v>724</v>
      </c>
      <c r="AA485" s="364" t="s">
        <v>649</v>
      </c>
      <c r="AB485" s="364" t="s">
        <v>649</v>
      </c>
      <c r="AC485" s="364" t="s">
        <v>649</v>
      </c>
      <c r="AD485" s="364" t="s">
        <v>649</v>
      </c>
      <c r="AE485" s="364" t="s">
        <v>88</v>
      </c>
      <c r="AF485" s="364" t="s">
        <v>88</v>
      </c>
      <c r="AG485" s="364" t="s">
        <v>88</v>
      </c>
      <c r="AH485" s="364" t="s">
        <v>88</v>
      </c>
      <c r="AI485" s="364" t="s">
        <v>1155</v>
      </c>
      <c r="AJ485" s="364" t="s">
        <v>710</v>
      </c>
      <c r="AK485" s="364" t="s">
        <v>1016</v>
      </c>
      <c r="AL485" s="364" t="s">
        <v>646</v>
      </c>
      <c r="AM485" s="364" t="s">
        <v>668</v>
      </c>
      <c r="AN485" s="364" t="s">
        <v>644</v>
      </c>
    </row>
    <row r="486" spans="1:40" x14ac:dyDescent="0.3">
      <c r="A486" s="364" t="s">
        <v>2230</v>
      </c>
      <c r="B486" s="364" t="s">
        <v>661</v>
      </c>
      <c r="C486" s="364" t="s">
        <v>660</v>
      </c>
      <c r="D486" s="364" t="s">
        <v>90</v>
      </c>
      <c r="E486" s="364" t="s">
        <v>2226</v>
      </c>
      <c r="F486" s="364" t="s">
        <v>2226</v>
      </c>
      <c r="G486" s="364" t="s">
        <v>658</v>
      </c>
      <c r="H486" s="364" t="s">
        <v>2229</v>
      </c>
      <c r="I486" s="364" t="s">
        <v>2228</v>
      </c>
      <c r="J486" s="364" t="s">
        <v>673</v>
      </c>
      <c r="K486" s="364" t="s">
        <v>668</v>
      </c>
      <c r="L486" s="364" t="s">
        <v>190</v>
      </c>
      <c r="M486" s="364" t="s">
        <v>723</v>
      </c>
      <c r="N486" s="364" t="s">
        <v>654</v>
      </c>
      <c r="O486" s="364" t="s">
        <v>653</v>
      </c>
      <c r="P486" s="364" t="s">
        <v>198</v>
      </c>
      <c r="Q486" s="364" t="s">
        <v>652</v>
      </c>
      <c r="R486" s="364" t="s">
        <v>88</v>
      </c>
      <c r="S486" s="364" t="s">
        <v>88</v>
      </c>
      <c r="T486" s="364" t="s">
        <v>88</v>
      </c>
      <c r="U486" s="364" t="s">
        <v>88</v>
      </c>
      <c r="V486" s="364" t="s">
        <v>88</v>
      </c>
      <c r="W486" s="364" t="s">
        <v>88</v>
      </c>
      <c r="X486" s="364" t="s">
        <v>88</v>
      </c>
      <c r="Y486" s="364" t="s">
        <v>88</v>
      </c>
      <c r="Z486" s="364" t="s">
        <v>722</v>
      </c>
      <c r="AA486" s="364" t="s">
        <v>649</v>
      </c>
      <c r="AB486" s="364" t="s">
        <v>649</v>
      </c>
      <c r="AC486" s="364" t="s">
        <v>649</v>
      </c>
      <c r="AD486" s="364" t="s">
        <v>649</v>
      </c>
      <c r="AE486" s="364" t="s">
        <v>88</v>
      </c>
      <c r="AF486" s="364" t="s">
        <v>88</v>
      </c>
      <c r="AG486" s="364" t="s">
        <v>88</v>
      </c>
      <c r="AH486" s="364" t="s">
        <v>88</v>
      </c>
      <c r="AI486" s="364" t="s">
        <v>1155</v>
      </c>
      <c r="AJ486" s="364" t="s">
        <v>710</v>
      </c>
      <c r="AK486" s="364" t="s">
        <v>1016</v>
      </c>
      <c r="AL486" s="364" t="s">
        <v>646</v>
      </c>
      <c r="AM486" s="364" t="s">
        <v>668</v>
      </c>
      <c r="AN486" s="364" t="s">
        <v>644</v>
      </c>
    </row>
    <row r="487" spans="1:40" x14ac:dyDescent="0.3">
      <c r="A487" s="364" t="s">
        <v>2230</v>
      </c>
      <c r="B487" s="364" t="s">
        <v>661</v>
      </c>
      <c r="C487" s="364" t="s">
        <v>660</v>
      </c>
      <c r="D487" s="364" t="s">
        <v>90</v>
      </c>
      <c r="E487" s="364" t="s">
        <v>2226</v>
      </c>
      <c r="F487" s="364" t="s">
        <v>2226</v>
      </c>
      <c r="G487" s="364" t="s">
        <v>658</v>
      </c>
      <c r="H487" s="364" t="s">
        <v>2229</v>
      </c>
      <c r="I487" s="364" t="s">
        <v>2228</v>
      </c>
      <c r="J487" s="364" t="s">
        <v>673</v>
      </c>
      <c r="K487" s="364" t="s">
        <v>668</v>
      </c>
      <c r="L487" s="364" t="s">
        <v>190</v>
      </c>
      <c r="M487" s="364" t="s">
        <v>721</v>
      </c>
      <c r="N487" s="364" t="s">
        <v>654</v>
      </c>
      <c r="O487" s="364" t="s">
        <v>653</v>
      </c>
      <c r="P487" s="364" t="s">
        <v>198</v>
      </c>
      <c r="Q487" s="364" t="s">
        <v>652</v>
      </c>
      <c r="R487" s="364" t="s">
        <v>88</v>
      </c>
      <c r="S487" s="364" t="s">
        <v>88</v>
      </c>
      <c r="T487" s="364" t="s">
        <v>88</v>
      </c>
      <c r="U487" s="364" t="s">
        <v>88</v>
      </c>
      <c r="V487" s="364" t="s">
        <v>88</v>
      </c>
      <c r="W487" s="364" t="s">
        <v>88</v>
      </c>
      <c r="X487" s="364" t="s">
        <v>88</v>
      </c>
      <c r="Y487" s="364" t="s">
        <v>88</v>
      </c>
      <c r="Z487" s="364" t="s">
        <v>720</v>
      </c>
      <c r="AA487" s="364" t="s">
        <v>649</v>
      </c>
      <c r="AB487" s="364" t="s">
        <v>649</v>
      </c>
      <c r="AC487" s="364" t="s">
        <v>649</v>
      </c>
      <c r="AD487" s="364" t="s">
        <v>649</v>
      </c>
      <c r="AE487" s="364" t="s">
        <v>88</v>
      </c>
      <c r="AF487" s="364" t="s">
        <v>88</v>
      </c>
      <c r="AG487" s="364" t="s">
        <v>88</v>
      </c>
      <c r="AH487" s="364" t="s">
        <v>88</v>
      </c>
      <c r="AI487" s="364" t="s">
        <v>1155</v>
      </c>
      <c r="AJ487" s="364" t="s">
        <v>710</v>
      </c>
      <c r="AK487" s="364" t="s">
        <v>1016</v>
      </c>
      <c r="AL487" s="364" t="s">
        <v>646</v>
      </c>
      <c r="AM487" s="364" t="s">
        <v>668</v>
      </c>
      <c r="AN487" s="364" t="s">
        <v>644</v>
      </c>
    </row>
    <row r="488" spans="1:40" x14ac:dyDescent="0.3">
      <c r="A488" s="364" t="s">
        <v>2230</v>
      </c>
      <c r="B488" s="364" t="s">
        <v>661</v>
      </c>
      <c r="C488" s="364" t="s">
        <v>660</v>
      </c>
      <c r="D488" s="364" t="s">
        <v>90</v>
      </c>
      <c r="E488" s="364" t="s">
        <v>2226</v>
      </c>
      <c r="F488" s="364" t="s">
        <v>2226</v>
      </c>
      <c r="G488" s="364" t="s">
        <v>658</v>
      </c>
      <c r="H488" s="364" t="s">
        <v>2229</v>
      </c>
      <c r="I488" s="364" t="s">
        <v>2228</v>
      </c>
      <c r="J488" s="364" t="s">
        <v>673</v>
      </c>
      <c r="K488" s="364" t="s">
        <v>668</v>
      </c>
      <c r="L488" s="364" t="s">
        <v>190</v>
      </c>
      <c r="M488" s="364" t="s">
        <v>56</v>
      </c>
      <c r="N488" s="364" t="s">
        <v>654</v>
      </c>
      <c r="O488" s="364" t="s">
        <v>653</v>
      </c>
      <c r="P488" s="364" t="s">
        <v>198</v>
      </c>
      <c r="Q488" s="364" t="s">
        <v>652</v>
      </c>
      <c r="R488" s="364" t="s">
        <v>88</v>
      </c>
      <c r="S488" s="364" t="s">
        <v>88</v>
      </c>
      <c r="T488" s="364" t="s">
        <v>88</v>
      </c>
      <c r="U488" s="364" t="s">
        <v>88</v>
      </c>
      <c r="V488" s="364" t="s">
        <v>88</v>
      </c>
      <c r="W488" s="364" t="s">
        <v>88</v>
      </c>
      <c r="X488" s="364" t="s">
        <v>88</v>
      </c>
      <c r="Y488" s="364" t="s">
        <v>88</v>
      </c>
      <c r="Z488" s="364" t="s">
        <v>1165</v>
      </c>
      <c r="AA488" s="364" t="s">
        <v>1164</v>
      </c>
      <c r="AB488" s="364" t="s">
        <v>649</v>
      </c>
      <c r="AC488" s="364" t="s">
        <v>649</v>
      </c>
      <c r="AD488" s="364" t="s">
        <v>649</v>
      </c>
      <c r="AE488" s="364" t="s">
        <v>88</v>
      </c>
      <c r="AF488" s="364" t="s">
        <v>88</v>
      </c>
      <c r="AG488" s="364" t="s">
        <v>88</v>
      </c>
      <c r="AH488" s="364" t="s">
        <v>88</v>
      </c>
      <c r="AI488" s="364" t="s">
        <v>1155</v>
      </c>
      <c r="AJ488" s="364" t="s">
        <v>710</v>
      </c>
      <c r="AK488" s="364" t="s">
        <v>1016</v>
      </c>
      <c r="AL488" s="364" t="s">
        <v>646</v>
      </c>
      <c r="AM488" s="364" t="s">
        <v>668</v>
      </c>
      <c r="AN488" s="364" t="s">
        <v>644</v>
      </c>
    </row>
    <row r="489" spans="1:40" x14ac:dyDescent="0.3">
      <c r="A489" s="364" t="s">
        <v>2227</v>
      </c>
      <c r="B489" s="364" t="s">
        <v>661</v>
      </c>
      <c r="C489" s="364" t="s">
        <v>660</v>
      </c>
      <c r="D489" s="364" t="s">
        <v>170</v>
      </c>
      <c r="E489" s="364" t="s">
        <v>2226</v>
      </c>
      <c r="F489" s="364" t="s">
        <v>2226</v>
      </c>
      <c r="G489" s="364" t="s">
        <v>658</v>
      </c>
      <c r="H489" s="364" t="s">
        <v>2225</v>
      </c>
      <c r="I489" s="364" t="s">
        <v>2211</v>
      </c>
      <c r="J489" s="364" t="s">
        <v>673</v>
      </c>
      <c r="K489" s="364" t="s">
        <v>668</v>
      </c>
      <c r="L489" s="364" t="s">
        <v>190</v>
      </c>
      <c r="M489" s="364" t="s">
        <v>164</v>
      </c>
      <c r="N489" s="364" t="s">
        <v>654</v>
      </c>
      <c r="O489" s="364" t="s">
        <v>653</v>
      </c>
      <c r="P489" s="364" t="s">
        <v>198</v>
      </c>
      <c r="Q489" s="364" t="s">
        <v>652</v>
      </c>
      <c r="R489" s="364" t="s">
        <v>88</v>
      </c>
      <c r="S489" s="364" t="s">
        <v>88</v>
      </c>
      <c r="T489" s="364" t="s">
        <v>88</v>
      </c>
      <c r="U489" s="364" t="s">
        <v>88</v>
      </c>
      <c r="V489" s="364" t="s">
        <v>88</v>
      </c>
      <c r="W489" s="364" t="s">
        <v>88</v>
      </c>
      <c r="X489" s="364" t="s">
        <v>88</v>
      </c>
      <c r="Y489" s="364" t="s">
        <v>88</v>
      </c>
      <c r="Z489" s="364" t="s">
        <v>825</v>
      </c>
      <c r="AA489" s="364" t="s">
        <v>649</v>
      </c>
      <c r="AB489" s="364" t="s">
        <v>649</v>
      </c>
      <c r="AC489" s="364" t="s">
        <v>649</v>
      </c>
      <c r="AD489" s="364" t="s">
        <v>649</v>
      </c>
      <c r="AE489" s="364" t="s">
        <v>88</v>
      </c>
      <c r="AF489" s="364" t="s">
        <v>88</v>
      </c>
      <c r="AG489" s="364" t="s">
        <v>88</v>
      </c>
      <c r="AH489" s="364" t="s">
        <v>88</v>
      </c>
      <c r="AI489" s="364" t="s">
        <v>1199</v>
      </c>
      <c r="AJ489" s="364" t="s">
        <v>670</v>
      </c>
      <c r="AK489" s="364" t="s">
        <v>687</v>
      </c>
      <c r="AL489" s="364" t="s">
        <v>646</v>
      </c>
      <c r="AM489" s="364" t="s">
        <v>668</v>
      </c>
      <c r="AN489" s="364" t="s">
        <v>644</v>
      </c>
    </row>
    <row r="490" spans="1:40" x14ac:dyDescent="0.3">
      <c r="A490" s="364" t="s">
        <v>2224</v>
      </c>
      <c r="B490" s="364" t="s">
        <v>661</v>
      </c>
      <c r="C490" s="364" t="s">
        <v>660</v>
      </c>
      <c r="D490" s="364" t="s">
        <v>87</v>
      </c>
      <c r="E490" s="364" t="s">
        <v>2223</v>
      </c>
      <c r="F490" s="364" t="s">
        <v>2223</v>
      </c>
      <c r="G490" s="364" t="s">
        <v>658</v>
      </c>
      <c r="H490" s="364" t="s">
        <v>2222</v>
      </c>
      <c r="I490" s="364" t="s">
        <v>2184</v>
      </c>
      <c r="J490" s="364" t="s">
        <v>673</v>
      </c>
      <c r="K490" s="364" t="s">
        <v>668</v>
      </c>
      <c r="L490" s="364" t="s">
        <v>190</v>
      </c>
      <c r="M490" s="364" t="s">
        <v>58</v>
      </c>
      <c r="N490" s="364" t="s">
        <v>654</v>
      </c>
      <c r="O490" s="364" t="s">
        <v>653</v>
      </c>
      <c r="P490" s="364" t="s">
        <v>198</v>
      </c>
      <c r="Q490" s="364" t="s">
        <v>652</v>
      </c>
      <c r="R490" s="364" t="s">
        <v>88</v>
      </c>
      <c r="S490" s="364" t="s">
        <v>88</v>
      </c>
      <c r="T490" s="364" t="s">
        <v>88</v>
      </c>
      <c r="U490" s="364" t="s">
        <v>88</v>
      </c>
      <c r="V490" s="364" t="s">
        <v>88</v>
      </c>
      <c r="W490" s="364" t="s">
        <v>88</v>
      </c>
      <c r="X490" s="364" t="s">
        <v>88</v>
      </c>
      <c r="Y490" s="364" t="s">
        <v>88</v>
      </c>
      <c r="Z490" s="364" t="s">
        <v>702</v>
      </c>
      <c r="AA490" s="364" t="s">
        <v>701</v>
      </c>
      <c r="AB490" s="364" t="s">
        <v>649</v>
      </c>
      <c r="AC490" s="364" t="s">
        <v>649</v>
      </c>
      <c r="AD490" s="364" t="s">
        <v>649</v>
      </c>
      <c r="AE490" s="364" t="s">
        <v>88</v>
      </c>
      <c r="AF490" s="364" t="s">
        <v>88</v>
      </c>
      <c r="AG490" s="364" t="s">
        <v>88</v>
      </c>
      <c r="AH490" s="364" t="s">
        <v>88</v>
      </c>
      <c r="AI490" s="364" t="s">
        <v>1199</v>
      </c>
      <c r="AJ490" s="364" t="s">
        <v>670</v>
      </c>
      <c r="AK490" s="364" t="s">
        <v>669</v>
      </c>
      <c r="AL490" s="364" t="s">
        <v>646</v>
      </c>
      <c r="AM490" s="364" t="s">
        <v>668</v>
      </c>
      <c r="AN490" s="364" t="s">
        <v>644</v>
      </c>
    </row>
    <row r="491" spans="1:40" x14ac:dyDescent="0.3">
      <c r="A491" s="364" t="s">
        <v>2221</v>
      </c>
      <c r="B491" s="364" t="s">
        <v>661</v>
      </c>
      <c r="C491" s="364" t="s">
        <v>660</v>
      </c>
      <c r="D491" s="364" t="s">
        <v>87</v>
      </c>
      <c r="E491" s="364" t="s">
        <v>2173</v>
      </c>
      <c r="F491" s="364" t="s">
        <v>2173</v>
      </c>
      <c r="G491" s="364" t="s">
        <v>658</v>
      </c>
      <c r="H491" s="364" t="s">
        <v>934</v>
      </c>
      <c r="I491" s="364" t="s">
        <v>2220</v>
      </c>
      <c r="J491" s="364" t="s">
        <v>673</v>
      </c>
      <c r="K491" s="364" t="s">
        <v>668</v>
      </c>
      <c r="L491" s="364" t="s">
        <v>190</v>
      </c>
      <c r="M491" s="364" t="s">
        <v>59</v>
      </c>
      <c r="N491" s="364" t="s">
        <v>654</v>
      </c>
      <c r="O491" s="364" t="s">
        <v>653</v>
      </c>
      <c r="P491" s="364" t="s">
        <v>198</v>
      </c>
      <c r="Q491" s="364" t="s">
        <v>652</v>
      </c>
      <c r="R491" s="364" t="s">
        <v>88</v>
      </c>
      <c r="S491" s="364" t="s">
        <v>88</v>
      </c>
      <c r="T491" s="364" t="s">
        <v>88</v>
      </c>
      <c r="U491" s="364" t="s">
        <v>88</v>
      </c>
      <c r="V491" s="364" t="s">
        <v>88</v>
      </c>
      <c r="W491" s="364" t="s">
        <v>88</v>
      </c>
      <c r="X491" s="364" t="s">
        <v>88</v>
      </c>
      <c r="Y491" s="364" t="s">
        <v>88</v>
      </c>
      <c r="Z491" s="364" t="s">
        <v>672</v>
      </c>
      <c r="AA491" s="364" t="s">
        <v>671</v>
      </c>
      <c r="AB491" s="364" t="s">
        <v>649</v>
      </c>
      <c r="AC491" s="364" t="s">
        <v>649</v>
      </c>
      <c r="AD491" s="364" t="s">
        <v>649</v>
      </c>
      <c r="AE491" s="364" t="s">
        <v>88</v>
      </c>
      <c r="AF491" s="364" t="s">
        <v>88</v>
      </c>
      <c r="AG491" s="364" t="s">
        <v>88</v>
      </c>
      <c r="AH491" s="364" t="s">
        <v>88</v>
      </c>
      <c r="AI491" s="364" t="s">
        <v>1199</v>
      </c>
      <c r="AJ491" s="364" t="s">
        <v>670</v>
      </c>
      <c r="AK491" s="364" t="s">
        <v>669</v>
      </c>
      <c r="AL491" s="364" t="s">
        <v>646</v>
      </c>
      <c r="AM491" s="364" t="s">
        <v>668</v>
      </c>
      <c r="AN491" s="364" t="s">
        <v>644</v>
      </c>
    </row>
    <row r="492" spans="1:40" x14ac:dyDescent="0.3">
      <c r="A492" s="364" t="s">
        <v>2219</v>
      </c>
      <c r="B492" s="364" t="s">
        <v>661</v>
      </c>
      <c r="C492" s="364" t="s">
        <v>660</v>
      </c>
      <c r="D492" s="364" t="s">
        <v>87</v>
      </c>
      <c r="E492" s="364" t="s">
        <v>2173</v>
      </c>
      <c r="F492" s="364" t="s">
        <v>2173</v>
      </c>
      <c r="G492" s="364" t="s">
        <v>658</v>
      </c>
      <c r="H492" s="364" t="s">
        <v>2218</v>
      </c>
      <c r="I492" s="364" t="s">
        <v>2184</v>
      </c>
      <c r="J492" s="364" t="s">
        <v>673</v>
      </c>
      <c r="K492" s="364" t="s">
        <v>668</v>
      </c>
      <c r="L492" s="364" t="s">
        <v>190</v>
      </c>
      <c r="M492" s="364" t="s">
        <v>58</v>
      </c>
      <c r="N492" s="364" t="s">
        <v>654</v>
      </c>
      <c r="O492" s="364" t="s">
        <v>653</v>
      </c>
      <c r="P492" s="364" t="s">
        <v>198</v>
      </c>
      <c r="Q492" s="364" t="s">
        <v>652</v>
      </c>
      <c r="R492" s="364" t="s">
        <v>88</v>
      </c>
      <c r="S492" s="364" t="s">
        <v>88</v>
      </c>
      <c r="T492" s="364" t="s">
        <v>88</v>
      </c>
      <c r="U492" s="364" t="s">
        <v>88</v>
      </c>
      <c r="V492" s="364" t="s">
        <v>88</v>
      </c>
      <c r="W492" s="364" t="s">
        <v>88</v>
      </c>
      <c r="X492" s="364" t="s">
        <v>88</v>
      </c>
      <c r="Y492" s="364" t="s">
        <v>88</v>
      </c>
      <c r="Z492" s="364" t="s">
        <v>702</v>
      </c>
      <c r="AA492" s="364" t="s">
        <v>701</v>
      </c>
      <c r="AB492" s="364" t="s">
        <v>649</v>
      </c>
      <c r="AC492" s="364" t="s">
        <v>649</v>
      </c>
      <c r="AD492" s="364" t="s">
        <v>649</v>
      </c>
      <c r="AE492" s="364" t="s">
        <v>88</v>
      </c>
      <c r="AF492" s="364" t="s">
        <v>88</v>
      </c>
      <c r="AG492" s="364" t="s">
        <v>88</v>
      </c>
      <c r="AH492" s="364" t="s">
        <v>88</v>
      </c>
      <c r="AI492" s="364" t="s">
        <v>1199</v>
      </c>
      <c r="AJ492" s="364" t="s">
        <v>670</v>
      </c>
      <c r="AK492" s="364" t="s">
        <v>669</v>
      </c>
      <c r="AL492" s="364" t="s">
        <v>646</v>
      </c>
      <c r="AM492" s="364" t="s">
        <v>668</v>
      </c>
      <c r="AN492" s="364" t="s">
        <v>644</v>
      </c>
    </row>
    <row r="493" spans="1:40" x14ac:dyDescent="0.3">
      <c r="A493" s="364" t="s">
        <v>2217</v>
      </c>
      <c r="B493" s="364" t="s">
        <v>661</v>
      </c>
      <c r="C493" s="364" t="s">
        <v>660</v>
      </c>
      <c r="D493" s="364" t="s">
        <v>87</v>
      </c>
      <c r="E493" s="364" t="s">
        <v>2169</v>
      </c>
      <c r="F493" s="364" t="s">
        <v>2169</v>
      </c>
      <c r="G493" s="364" t="s">
        <v>658</v>
      </c>
      <c r="H493" s="364" t="s">
        <v>2216</v>
      </c>
      <c r="I493" s="364" t="s">
        <v>2202</v>
      </c>
      <c r="J493" s="364" t="s">
        <v>673</v>
      </c>
      <c r="K493" s="364" t="s">
        <v>668</v>
      </c>
      <c r="L493" s="364" t="s">
        <v>190</v>
      </c>
      <c r="M493" s="364" t="s">
        <v>58</v>
      </c>
      <c r="N493" s="364" t="s">
        <v>654</v>
      </c>
      <c r="O493" s="364" t="s">
        <v>653</v>
      </c>
      <c r="P493" s="364" t="s">
        <v>198</v>
      </c>
      <c r="Q493" s="364" t="s">
        <v>652</v>
      </c>
      <c r="R493" s="364" t="s">
        <v>88</v>
      </c>
      <c r="S493" s="364" t="s">
        <v>88</v>
      </c>
      <c r="T493" s="364" t="s">
        <v>88</v>
      </c>
      <c r="U493" s="364" t="s">
        <v>88</v>
      </c>
      <c r="V493" s="364" t="s">
        <v>88</v>
      </c>
      <c r="W493" s="364" t="s">
        <v>88</v>
      </c>
      <c r="X493" s="364" t="s">
        <v>88</v>
      </c>
      <c r="Y493" s="364" t="s">
        <v>88</v>
      </c>
      <c r="Z493" s="364" t="s">
        <v>702</v>
      </c>
      <c r="AA493" s="364" t="s">
        <v>701</v>
      </c>
      <c r="AB493" s="364" t="s">
        <v>649</v>
      </c>
      <c r="AC493" s="364" t="s">
        <v>649</v>
      </c>
      <c r="AD493" s="364" t="s">
        <v>649</v>
      </c>
      <c r="AE493" s="364" t="s">
        <v>88</v>
      </c>
      <c r="AF493" s="364" t="s">
        <v>88</v>
      </c>
      <c r="AG493" s="364" t="s">
        <v>88</v>
      </c>
      <c r="AH493" s="364" t="s">
        <v>88</v>
      </c>
      <c r="AI493" s="364" t="s">
        <v>1199</v>
      </c>
      <c r="AJ493" s="364" t="s">
        <v>670</v>
      </c>
      <c r="AK493" s="364" t="s">
        <v>669</v>
      </c>
      <c r="AL493" s="364" t="s">
        <v>646</v>
      </c>
      <c r="AM493" s="364" t="s">
        <v>668</v>
      </c>
      <c r="AN493" s="364" t="s">
        <v>644</v>
      </c>
    </row>
    <row r="494" spans="1:40" x14ac:dyDescent="0.3">
      <c r="A494" s="364" t="s">
        <v>2215</v>
      </c>
      <c r="B494" s="364" t="s">
        <v>661</v>
      </c>
      <c r="C494" s="364" t="s">
        <v>660</v>
      </c>
      <c r="D494" s="364" t="s">
        <v>87</v>
      </c>
      <c r="E494" s="364" t="s">
        <v>2169</v>
      </c>
      <c r="F494" s="364" t="s">
        <v>2169</v>
      </c>
      <c r="G494" s="364" t="s">
        <v>658</v>
      </c>
      <c r="H494" s="364" t="s">
        <v>2214</v>
      </c>
      <c r="I494" s="364" t="s">
        <v>2202</v>
      </c>
      <c r="J494" s="364" t="s">
        <v>673</v>
      </c>
      <c r="K494" s="364" t="s">
        <v>668</v>
      </c>
      <c r="L494" s="364" t="s">
        <v>190</v>
      </c>
      <c r="M494" s="364" t="s">
        <v>59</v>
      </c>
      <c r="N494" s="364" t="s">
        <v>654</v>
      </c>
      <c r="O494" s="364" t="s">
        <v>653</v>
      </c>
      <c r="P494" s="364" t="s">
        <v>198</v>
      </c>
      <c r="Q494" s="364" t="s">
        <v>652</v>
      </c>
      <c r="R494" s="364" t="s">
        <v>88</v>
      </c>
      <c r="S494" s="364" t="s">
        <v>88</v>
      </c>
      <c r="T494" s="364" t="s">
        <v>88</v>
      </c>
      <c r="U494" s="364" t="s">
        <v>88</v>
      </c>
      <c r="V494" s="364" t="s">
        <v>88</v>
      </c>
      <c r="W494" s="364" t="s">
        <v>88</v>
      </c>
      <c r="X494" s="364" t="s">
        <v>88</v>
      </c>
      <c r="Y494" s="364" t="s">
        <v>88</v>
      </c>
      <c r="Z494" s="364" t="s">
        <v>672</v>
      </c>
      <c r="AA494" s="364" t="s">
        <v>671</v>
      </c>
      <c r="AB494" s="364" t="s">
        <v>649</v>
      </c>
      <c r="AC494" s="364" t="s">
        <v>649</v>
      </c>
      <c r="AD494" s="364" t="s">
        <v>649</v>
      </c>
      <c r="AE494" s="364" t="s">
        <v>88</v>
      </c>
      <c r="AF494" s="364" t="s">
        <v>88</v>
      </c>
      <c r="AG494" s="364" t="s">
        <v>88</v>
      </c>
      <c r="AH494" s="364" t="s">
        <v>88</v>
      </c>
      <c r="AI494" s="364" t="s">
        <v>1199</v>
      </c>
      <c r="AJ494" s="364" t="s">
        <v>670</v>
      </c>
      <c r="AK494" s="364" t="s">
        <v>669</v>
      </c>
      <c r="AL494" s="364" t="s">
        <v>646</v>
      </c>
      <c r="AM494" s="364" t="s">
        <v>668</v>
      </c>
      <c r="AN494" s="364" t="s">
        <v>644</v>
      </c>
    </row>
    <row r="495" spans="1:40" x14ac:dyDescent="0.3">
      <c r="A495" s="364" t="s">
        <v>2213</v>
      </c>
      <c r="B495" s="364" t="s">
        <v>661</v>
      </c>
      <c r="C495" s="364" t="s">
        <v>660</v>
      </c>
      <c r="D495" s="364" t="s">
        <v>170</v>
      </c>
      <c r="E495" s="364" t="s">
        <v>2173</v>
      </c>
      <c r="F495" s="364" t="s">
        <v>2173</v>
      </c>
      <c r="G495" s="364" t="s">
        <v>658</v>
      </c>
      <c r="H495" s="364" t="s">
        <v>2212</v>
      </c>
      <c r="I495" s="364" t="s">
        <v>2211</v>
      </c>
      <c r="J495" s="364" t="s">
        <v>673</v>
      </c>
      <c r="K495" s="364" t="s">
        <v>668</v>
      </c>
      <c r="L495" s="364" t="s">
        <v>190</v>
      </c>
      <c r="M495" s="364" t="s">
        <v>164</v>
      </c>
      <c r="N495" s="364" t="s">
        <v>654</v>
      </c>
      <c r="O495" s="364" t="s">
        <v>653</v>
      </c>
      <c r="P495" s="364" t="s">
        <v>198</v>
      </c>
      <c r="Q495" s="364" t="s">
        <v>652</v>
      </c>
      <c r="R495" s="364" t="s">
        <v>88</v>
      </c>
      <c r="S495" s="364" t="s">
        <v>88</v>
      </c>
      <c r="T495" s="364" t="s">
        <v>88</v>
      </c>
      <c r="U495" s="364" t="s">
        <v>88</v>
      </c>
      <c r="V495" s="364" t="s">
        <v>88</v>
      </c>
      <c r="W495" s="364" t="s">
        <v>88</v>
      </c>
      <c r="X495" s="364" t="s">
        <v>88</v>
      </c>
      <c r="Y495" s="364" t="s">
        <v>88</v>
      </c>
      <c r="Z495" s="364" t="s">
        <v>825</v>
      </c>
      <c r="AA495" s="364" t="s">
        <v>649</v>
      </c>
      <c r="AB495" s="364" t="s">
        <v>649</v>
      </c>
      <c r="AC495" s="364" t="s">
        <v>649</v>
      </c>
      <c r="AD495" s="364" t="s">
        <v>649</v>
      </c>
      <c r="AE495" s="364" t="s">
        <v>88</v>
      </c>
      <c r="AF495" s="364" t="s">
        <v>88</v>
      </c>
      <c r="AG495" s="364" t="s">
        <v>88</v>
      </c>
      <c r="AH495" s="364" t="s">
        <v>88</v>
      </c>
      <c r="AI495" s="364" t="s">
        <v>1199</v>
      </c>
      <c r="AJ495" s="364" t="s">
        <v>670</v>
      </c>
      <c r="AK495" s="364" t="s">
        <v>687</v>
      </c>
      <c r="AL495" s="364" t="s">
        <v>646</v>
      </c>
      <c r="AM495" s="364" t="s">
        <v>668</v>
      </c>
      <c r="AN495" s="364" t="s">
        <v>644</v>
      </c>
    </row>
    <row r="496" spans="1:40" x14ac:dyDescent="0.3">
      <c r="A496" s="364" t="s">
        <v>2210</v>
      </c>
      <c r="B496" s="364" t="s">
        <v>661</v>
      </c>
      <c r="C496" s="364" t="s">
        <v>660</v>
      </c>
      <c r="D496" s="364" t="s">
        <v>170</v>
      </c>
      <c r="E496" s="364" t="s">
        <v>2169</v>
      </c>
      <c r="F496" s="364" t="s">
        <v>2169</v>
      </c>
      <c r="G496" s="364" t="s">
        <v>658</v>
      </c>
      <c r="H496" s="364" t="s">
        <v>2209</v>
      </c>
      <c r="I496" s="364" t="s">
        <v>2208</v>
      </c>
      <c r="J496" s="364" t="s">
        <v>673</v>
      </c>
      <c r="K496" s="364" t="s">
        <v>668</v>
      </c>
      <c r="L496" s="364" t="s">
        <v>190</v>
      </c>
      <c r="M496" s="364" t="s">
        <v>164</v>
      </c>
      <c r="N496" s="364" t="s">
        <v>654</v>
      </c>
      <c r="O496" s="364" t="s">
        <v>653</v>
      </c>
      <c r="P496" s="364" t="s">
        <v>198</v>
      </c>
      <c r="Q496" s="364" t="s">
        <v>652</v>
      </c>
      <c r="R496" s="364" t="s">
        <v>88</v>
      </c>
      <c r="S496" s="364" t="s">
        <v>88</v>
      </c>
      <c r="T496" s="364" t="s">
        <v>88</v>
      </c>
      <c r="U496" s="364" t="s">
        <v>88</v>
      </c>
      <c r="V496" s="364" t="s">
        <v>88</v>
      </c>
      <c r="W496" s="364" t="s">
        <v>88</v>
      </c>
      <c r="X496" s="364" t="s">
        <v>88</v>
      </c>
      <c r="Y496" s="364" t="s">
        <v>88</v>
      </c>
      <c r="Z496" s="364" t="s">
        <v>825</v>
      </c>
      <c r="AA496" s="364" t="s">
        <v>649</v>
      </c>
      <c r="AB496" s="364" t="s">
        <v>649</v>
      </c>
      <c r="AC496" s="364" t="s">
        <v>649</v>
      </c>
      <c r="AD496" s="364" t="s">
        <v>649</v>
      </c>
      <c r="AE496" s="364" t="s">
        <v>88</v>
      </c>
      <c r="AF496" s="364" t="s">
        <v>88</v>
      </c>
      <c r="AG496" s="364" t="s">
        <v>88</v>
      </c>
      <c r="AH496" s="364" t="s">
        <v>88</v>
      </c>
      <c r="AI496" s="364" t="s">
        <v>1199</v>
      </c>
      <c r="AJ496" s="364" t="s">
        <v>670</v>
      </c>
      <c r="AK496" s="364" t="s">
        <v>687</v>
      </c>
      <c r="AL496" s="364" t="s">
        <v>646</v>
      </c>
      <c r="AM496" s="364" t="s">
        <v>668</v>
      </c>
      <c r="AN496" s="364" t="s">
        <v>644</v>
      </c>
    </row>
    <row r="497" spans="1:40" x14ac:dyDescent="0.3">
      <c r="A497" s="364" t="s">
        <v>2207</v>
      </c>
      <c r="B497" s="364" t="s">
        <v>661</v>
      </c>
      <c r="C497" s="364" t="s">
        <v>660</v>
      </c>
      <c r="D497" s="364" t="s">
        <v>87</v>
      </c>
      <c r="E497" s="364" t="s">
        <v>2173</v>
      </c>
      <c r="F497" s="364" t="s">
        <v>2173</v>
      </c>
      <c r="G497" s="364" t="s">
        <v>658</v>
      </c>
      <c r="H497" s="364" t="s">
        <v>2206</v>
      </c>
      <c r="I497" s="364" t="s">
        <v>2205</v>
      </c>
      <c r="J497" s="364" t="s">
        <v>673</v>
      </c>
      <c r="K497" s="364" t="s">
        <v>668</v>
      </c>
      <c r="L497" s="364" t="s">
        <v>190</v>
      </c>
      <c r="M497" s="364" t="s">
        <v>62</v>
      </c>
      <c r="N497" s="364" t="s">
        <v>654</v>
      </c>
      <c r="O497" s="364" t="s">
        <v>653</v>
      </c>
      <c r="P497" s="364" t="s">
        <v>198</v>
      </c>
      <c r="Q497" s="364" t="s">
        <v>652</v>
      </c>
      <c r="R497" s="364" t="s">
        <v>88</v>
      </c>
      <c r="S497" s="364" t="s">
        <v>88</v>
      </c>
      <c r="T497" s="364" t="s">
        <v>88</v>
      </c>
      <c r="U497" s="364" t="s">
        <v>88</v>
      </c>
      <c r="V497" s="364" t="s">
        <v>88</v>
      </c>
      <c r="W497" s="364" t="s">
        <v>88</v>
      </c>
      <c r="X497" s="364" t="s">
        <v>88</v>
      </c>
      <c r="Y497" s="364" t="s">
        <v>88</v>
      </c>
      <c r="Z497" s="364" t="s">
        <v>689</v>
      </c>
      <c r="AA497" s="364" t="s">
        <v>688</v>
      </c>
      <c r="AB497" s="364" t="s">
        <v>649</v>
      </c>
      <c r="AC497" s="364" t="s">
        <v>649</v>
      </c>
      <c r="AD497" s="364" t="s">
        <v>649</v>
      </c>
      <c r="AE497" s="364" t="s">
        <v>88</v>
      </c>
      <c r="AF497" s="364" t="s">
        <v>88</v>
      </c>
      <c r="AG497" s="364" t="s">
        <v>88</v>
      </c>
      <c r="AH497" s="364" t="s">
        <v>88</v>
      </c>
      <c r="AI497" s="364" t="s">
        <v>1199</v>
      </c>
      <c r="AJ497" s="364" t="s">
        <v>670</v>
      </c>
      <c r="AK497" s="364" t="s">
        <v>669</v>
      </c>
      <c r="AL497" s="364" t="s">
        <v>646</v>
      </c>
      <c r="AM497" s="364" t="s">
        <v>668</v>
      </c>
      <c r="AN497" s="364" t="s">
        <v>644</v>
      </c>
    </row>
    <row r="498" spans="1:40" x14ac:dyDescent="0.3">
      <c r="A498" s="364" t="s">
        <v>2204</v>
      </c>
      <c r="B498" s="364" t="s">
        <v>661</v>
      </c>
      <c r="C498" s="364" t="s">
        <v>660</v>
      </c>
      <c r="D498" s="364" t="s">
        <v>87</v>
      </c>
      <c r="E498" s="364" t="s">
        <v>2169</v>
      </c>
      <c r="F498" s="364" t="s">
        <v>2169</v>
      </c>
      <c r="G498" s="364" t="s">
        <v>658</v>
      </c>
      <c r="H498" s="364" t="s">
        <v>2203</v>
      </c>
      <c r="I498" s="364" t="s">
        <v>2202</v>
      </c>
      <c r="J498" s="364" t="s">
        <v>673</v>
      </c>
      <c r="K498" s="364" t="s">
        <v>668</v>
      </c>
      <c r="L498" s="364" t="s">
        <v>190</v>
      </c>
      <c r="M498" s="364" t="s">
        <v>62</v>
      </c>
      <c r="N498" s="364" t="s">
        <v>654</v>
      </c>
      <c r="O498" s="364" t="s">
        <v>653</v>
      </c>
      <c r="P498" s="364" t="s">
        <v>198</v>
      </c>
      <c r="Q498" s="364" t="s">
        <v>652</v>
      </c>
      <c r="R498" s="364" t="s">
        <v>88</v>
      </c>
      <c r="S498" s="364" t="s">
        <v>88</v>
      </c>
      <c r="T498" s="364" t="s">
        <v>88</v>
      </c>
      <c r="U498" s="364" t="s">
        <v>88</v>
      </c>
      <c r="V498" s="364" t="s">
        <v>88</v>
      </c>
      <c r="W498" s="364" t="s">
        <v>88</v>
      </c>
      <c r="X498" s="364" t="s">
        <v>88</v>
      </c>
      <c r="Y498" s="364" t="s">
        <v>88</v>
      </c>
      <c r="Z498" s="364" t="s">
        <v>689</v>
      </c>
      <c r="AA498" s="364" t="s">
        <v>688</v>
      </c>
      <c r="AB498" s="364" t="s">
        <v>649</v>
      </c>
      <c r="AC498" s="364" t="s">
        <v>649</v>
      </c>
      <c r="AD498" s="364" t="s">
        <v>649</v>
      </c>
      <c r="AE498" s="364" t="s">
        <v>88</v>
      </c>
      <c r="AF498" s="364" t="s">
        <v>88</v>
      </c>
      <c r="AG498" s="364" t="s">
        <v>88</v>
      </c>
      <c r="AH498" s="364" t="s">
        <v>88</v>
      </c>
      <c r="AI498" s="364" t="s">
        <v>1199</v>
      </c>
      <c r="AJ498" s="364" t="s">
        <v>670</v>
      </c>
      <c r="AK498" s="364" t="s">
        <v>669</v>
      </c>
      <c r="AL498" s="364" t="s">
        <v>646</v>
      </c>
      <c r="AM498" s="364" t="s">
        <v>668</v>
      </c>
      <c r="AN498" s="364" t="s">
        <v>644</v>
      </c>
    </row>
    <row r="499" spans="1:40" x14ac:dyDescent="0.3">
      <c r="A499" s="364" t="s">
        <v>2201</v>
      </c>
      <c r="B499" s="364" t="s">
        <v>661</v>
      </c>
      <c r="C499" s="364" t="s">
        <v>660</v>
      </c>
      <c r="D499" s="364" t="s">
        <v>87</v>
      </c>
      <c r="E499" s="364" t="s">
        <v>2166</v>
      </c>
      <c r="F499" s="364" t="s">
        <v>2166</v>
      </c>
      <c r="G499" s="364" t="s">
        <v>658</v>
      </c>
      <c r="H499" s="364" t="s">
        <v>2200</v>
      </c>
      <c r="I499" s="364" t="s">
        <v>2199</v>
      </c>
      <c r="J499" s="364" t="s">
        <v>673</v>
      </c>
      <c r="K499" s="364" t="s">
        <v>668</v>
      </c>
      <c r="L499" s="364" t="s">
        <v>190</v>
      </c>
      <c r="M499" s="364" t="s">
        <v>62</v>
      </c>
      <c r="N499" s="364" t="s">
        <v>654</v>
      </c>
      <c r="O499" s="364" t="s">
        <v>653</v>
      </c>
      <c r="P499" s="364" t="s">
        <v>198</v>
      </c>
      <c r="Q499" s="364" t="s">
        <v>652</v>
      </c>
      <c r="R499" s="364" t="s">
        <v>88</v>
      </c>
      <c r="S499" s="364" t="s">
        <v>88</v>
      </c>
      <c r="T499" s="364" t="s">
        <v>88</v>
      </c>
      <c r="U499" s="364" t="s">
        <v>88</v>
      </c>
      <c r="V499" s="364" t="s">
        <v>88</v>
      </c>
      <c r="W499" s="364" t="s">
        <v>88</v>
      </c>
      <c r="X499" s="364" t="s">
        <v>88</v>
      </c>
      <c r="Y499" s="364" t="s">
        <v>88</v>
      </c>
      <c r="Z499" s="364" t="s">
        <v>689</v>
      </c>
      <c r="AA499" s="364" t="s">
        <v>688</v>
      </c>
      <c r="AB499" s="364" t="s">
        <v>649</v>
      </c>
      <c r="AC499" s="364" t="s">
        <v>649</v>
      </c>
      <c r="AD499" s="364" t="s">
        <v>649</v>
      </c>
      <c r="AE499" s="364" t="s">
        <v>88</v>
      </c>
      <c r="AF499" s="364" t="s">
        <v>88</v>
      </c>
      <c r="AG499" s="364" t="s">
        <v>88</v>
      </c>
      <c r="AH499" s="364" t="s">
        <v>88</v>
      </c>
      <c r="AI499" s="364" t="s">
        <v>1199</v>
      </c>
      <c r="AJ499" s="364" t="s">
        <v>670</v>
      </c>
      <c r="AK499" s="364" t="s">
        <v>669</v>
      </c>
      <c r="AL499" s="364" t="s">
        <v>646</v>
      </c>
      <c r="AM499" s="364" t="s">
        <v>668</v>
      </c>
      <c r="AN499" s="364" t="s">
        <v>644</v>
      </c>
    </row>
    <row r="500" spans="1:40" x14ac:dyDescent="0.3">
      <c r="A500" s="364" t="s">
        <v>2198</v>
      </c>
      <c r="B500" s="364" t="s">
        <v>661</v>
      </c>
      <c r="C500" s="364" t="s">
        <v>660</v>
      </c>
      <c r="D500" s="364" t="s">
        <v>87</v>
      </c>
      <c r="E500" s="364" t="s">
        <v>2173</v>
      </c>
      <c r="F500" s="364" t="s">
        <v>2173</v>
      </c>
      <c r="G500" s="364" t="s">
        <v>658</v>
      </c>
      <c r="H500" s="364" t="s">
        <v>2197</v>
      </c>
      <c r="I500" s="364" t="s">
        <v>2194</v>
      </c>
      <c r="J500" s="364" t="s">
        <v>673</v>
      </c>
      <c r="K500" s="364" t="s">
        <v>668</v>
      </c>
      <c r="L500" s="364" t="s">
        <v>190</v>
      </c>
      <c r="M500" s="364" t="s">
        <v>59</v>
      </c>
      <c r="N500" s="364" t="s">
        <v>654</v>
      </c>
      <c r="O500" s="364" t="s">
        <v>653</v>
      </c>
      <c r="P500" s="364" t="s">
        <v>198</v>
      </c>
      <c r="Q500" s="364" t="s">
        <v>652</v>
      </c>
      <c r="R500" s="364" t="s">
        <v>88</v>
      </c>
      <c r="S500" s="364" t="s">
        <v>88</v>
      </c>
      <c r="T500" s="364" t="s">
        <v>88</v>
      </c>
      <c r="U500" s="364" t="s">
        <v>88</v>
      </c>
      <c r="V500" s="364" t="s">
        <v>88</v>
      </c>
      <c r="W500" s="364" t="s">
        <v>88</v>
      </c>
      <c r="X500" s="364" t="s">
        <v>88</v>
      </c>
      <c r="Y500" s="364" t="s">
        <v>88</v>
      </c>
      <c r="Z500" s="364" t="s">
        <v>672</v>
      </c>
      <c r="AA500" s="364" t="s">
        <v>671</v>
      </c>
      <c r="AB500" s="364" t="s">
        <v>649</v>
      </c>
      <c r="AC500" s="364" t="s">
        <v>649</v>
      </c>
      <c r="AD500" s="364" t="s">
        <v>649</v>
      </c>
      <c r="AE500" s="364" t="s">
        <v>88</v>
      </c>
      <c r="AF500" s="364" t="s">
        <v>88</v>
      </c>
      <c r="AG500" s="364" t="s">
        <v>88</v>
      </c>
      <c r="AH500" s="364" t="s">
        <v>88</v>
      </c>
      <c r="AI500" s="364" t="s">
        <v>1199</v>
      </c>
      <c r="AJ500" s="364" t="s">
        <v>670</v>
      </c>
      <c r="AK500" s="364" t="s">
        <v>669</v>
      </c>
      <c r="AL500" s="364" t="s">
        <v>646</v>
      </c>
      <c r="AM500" s="364" t="s">
        <v>668</v>
      </c>
      <c r="AN500" s="364" t="s">
        <v>644</v>
      </c>
    </row>
    <row r="501" spans="1:40" x14ac:dyDescent="0.3">
      <c r="A501" s="364" t="s">
        <v>2196</v>
      </c>
      <c r="B501" s="364" t="s">
        <v>661</v>
      </c>
      <c r="C501" s="364" t="s">
        <v>660</v>
      </c>
      <c r="D501" s="364" t="s">
        <v>87</v>
      </c>
      <c r="E501" s="364" t="s">
        <v>2166</v>
      </c>
      <c r="F501" s="364" t="s">
        <v>2166</v>
      </c>
      <c r="G501" s="364" t="s">
        <v>658</v>
      </c>
      <c r="H501" s="364" t="s">
        <v>2195</v>
      </c>
      <c r="I501" s="364" t="s">
        <v>2194</v>
      </c>
      <c r="J501" s="364" t="s">
        <v>673</v>
      </c>
      <c r="K501" s="364" t="s">
        <v>668</v>
      </c>
      <c r="L501" s="364" t="s">
        <v>190</v>
      </c>
      <c r="M501" s="364" t="s">
        <v>59</v>
      </c>
      <c r="N501" s="364" t="s">
        <v>654</v>
      </c>
      <c r="O501" s="364" t="s">
        <v>653</v>
      </c>
      <c r="P501" s="364" t="s">
        <v>198</v>
      </c>
      <c r="Q501" s="364" t="s">
        <v>652</v>
      </c>
      <c r="R501" s="364" t="s">
        <v>88</v>
      </c>
      <c r="S501" s="364" t="s">
        <v>88</v>
      </c>
      <c r="T501" s="364" t="s">
        <v>88</v>
      </c>
      <c r="U501" s="364" t="s">
        <v>88</v>
      </c>
      <c r="V501" s="364" t="s">
        <v>88</v>
      </c>
      <c r="W501" s="364" t="s">
        <v>88</v>
      </c>
      <c r="X501" s="364" t="s">
        <v>88</v>
      </c>
      <c r="Y501" s="364" t="s">
        <v>88</v>
      </c>
      <c r="Z501" s="364" t="s">
        <v>672</v>
      </c>
      <c r="AA501" s="364" t="s">
        <v>671</v>
      </c>
      <c r="AB501" s="364" t="s">
        <v>649</v>
      </c>
      <c r="AC501" s="364" t="s">
        <v>649</v>
      </c>
      <c r="AD501" s="364" t="s">
        <v>649</v>
      </c>
      <c r="AE501" s="364" t="s">
        <v>88</v>
      </c>
      <c r="AF501" s="364" t="s">
        <v>88</v>
      </c>
      <c r="AG501" s="364" t="s">
        <v>88</v>
      </c>
      <c r="AH501" s="364" t="s">
        <v>88</v>
      </c>
      <c r="AI501" s="364" t="s">
        <v>1199</v>
      </c>
      <c r="AJ501" s="364" t="s">
        <v>670</v>
      </c>
      <c r="AK501" s="364" t="s">
        <v>669</v>
      </c>
      <c r="AL501" s="364" t="s">
        <v>646</v>
      </c>
      <c r="AM501" s="364" t="s">
        <v>668</v>
      </c>
      <c r="AN501" s="364" t="s">
        <v>644</v>
      </c>
    </row>
    <row r="502" spans="1:40" x14ac:dyDescent="0.3">
      <c r="A502" s="364" t="s">
        <v>2193</v>
      </c>
      <c r="B502" s="364" t="s">
        <v>661</v>
      </c>
      <c r="C502" s="364" t="s">
        <v>660</v>
      </c>
      <c r="D502" s="364" t="s">
        <v>87</v>
      </c>
      <c r="E502" s="364" t="s">
        <v>2166</v>
      </c>
      <c r="F502" s="364" t="s">
        <v>2166</v>
      </c>
      <c r="G502" s="364" t="s">
        <v>658</v>
      </c>
      <c r="H502" s="364" t="s">
        <v>2192</v>
      </c>
      <c r="I502" s="364" t="s">
        <v>2184</v>
      </c>
      <c r="J502" s="364" t="s">
        <v>673</v>
      </c>
      <c r="K502" s="364" t="s">
        <v>668</v>
      </c>
      <c r="L502" s="364" t="s">
        <v>190</v>
      </c>
      <c r="M502" s="364" t="s">
        <v>58</v>
      </c>
      <c r="N502" s="364" t="s">
        <v>654</v>
      </c>
      <c r="O502" s="364" t="s">
        <v>653</v>
      </c>
      <c r="P502" s="364" t="s">
        <v>198</v>
      </c>
      <c r="Q502" s="364" t="s">
        <v>652</v>
      </c>
      <c r="R502" s="364" t="s">
        <v>88</v>
      </c>
      <c r="S502" s="364" t="s">
        <v>88</v>
      </c>
      <c r="T502" s="364" t="s">
        <v>88</v>
      </c>
      <c r="U502" s="364" t="s">
        <v>88</v>
      </c>
      <c r="V502" s="364" t="s">
        <v>88</v>
      </c>
      <c r="W502" s="364" t="s">
        <v>88</v>
      </c>
      <c r="X502" s="364" t="s">
        <v>88</v>
      </c>
      <c r="Y502" s="364" t="s">
        <v>88</v>
      </c>
      <c r="Z502" s="364" t="s">
        <v>702</v>
      </c>
      <c r="AA502" s="364" t="s">
        <v>701</v>
      </c>
      <c r="AB502" s="364" t="s">
        <v>649</v>
      </c>
      <c r="AC502" s="364" t="s">
        <v>649</v>
      </c>
      <c r="AD502" s="364" t="s">
        <v>649</v>
      </c>
      <c r="AE502" s="364" t="s">
        <v>88</v>
      </c>
      <c r="AF502" s="364" t="s">
        <v>88</v>
      </c>
      <c r="AG502" s="364" t="s">
        <v>88</v>
      </c>
      <c r="AH502" s="364" t="s">
        <v>88</v>
      </c>
      <c r="AI502" s="364" t="s">
        <v>1199</v>
      </c>
      <c r="AJ502" s="364" t="s">
        <v>670</v>
      </c>
      <c r="AK502" s="364" t="s">
        <v>669</v>
      </c>
      <c r="AL502" s="364" t="s">
        <v>646</v>
      </c>
      <c r="AM502" s="364" t="s">
        <v>668</v>
      </c>
      <c r="AN502" s="364" t="s">
        <v>644</v>
      </c>
    </row>
    <row r="503" spans="1:40" x14ac:dyDescent="0.3">
      <c r="A503" s="364" t="s">
        <v>2191</v>
      </c>
      <c r="B503" s="364" t="s">
        <v>661</v>
      </c>
      <c r="C503" s="364" t="s">
        <v>1160</v>
      </c>
      <c r="D503" s="364" t="s">
        <v>87</v>
      </c>
      <c r="E503" s="364" t="s">
        <v>2166</v>
      </c>
      <c r="F503" s="364" t="s">
        <v>2166</v>
      </c>
      <c r="G503" s="364" t="s">
        <v>658</v>
      </c>
      <c r="H503" s="364" t="s">
        <v>2190</v>
      </c>
      <c r="I503" s="364" t="s">
        <v>88</v>
      </c>
      <c r="J503" s="364" t="s">
        <v>88</v>
      </c>
      <c r="K503" s="364" t="s">
        <v>88</v>
      </c>
      <c r="L503" s="364" t="s">
        <v>88</v>
      </c>
      <c r="M503" s="364" t="s">
        <v>138</v>
      </c>
      <c r="N503" s="364" t="s">
        <v>654</v>
      </c>
      <c r="O503" s="364" t="s">
        <v>653</v>
      </c>
      <c r="P503" s="364" t="s">
        <v>88</v>
      </c>
      <c r="Q503" s="364" t="s">
        <v>88</v>
      </c>
      <c r="R503" s="364" t="s">
        <v>88</v>
      </c>
      <c r="S503" s="364" t="s">
        <v>88</v>
      </c>
      <c r="T503" s="364" t="s">
        <v>88</v>
      </c>
      <c r="U503" s="364" t="s">
        <v>88</v>
      </c>
      <c r="V503" s="364" t="s">
        <v>88</v>
      </c>
      <c r="W503" s="364" t="s">
        <v>88</v>
      </c>
      <c r="X503" s="364" t="s">
        <v>88</v>
      </c>
      <c r="Y503" s="364" t="s">
        <v>88</v>
      </c>
      <c r="Z503" s="364" t="s">
        <v>88</v>
      </c>
      <c r="AA503" s="364" t="s">
        <v>649</v>
      </c>
      <c r="AB503" s="364" t="s">
        <v>88</v>
      </c>
      <c r="AC503" s="364" t="s">
        <v>88</v>
      </c>
      <c r="AD503" s="364" t="s">
        <v>88</v>
      </c>
      <c r="AE503" s="364" t="s">
        <v>88</v>
      </c>
      <c r="AF503" s="364" t="s">
        <v>88</v>
      </c>
      <c r="AG503" s="364" t="s">
        <v>88</v>
      </c>
      <c r="AH503" s="364" t="s">
        <v>88</v>
      </c>
      <c r="AI503" s="364" t="s">
        <v>2189</v>
      </c>
      <c r="AJ503" s="364" t="s">
        <v>798</v>
      </c>
      <c r="AK503" s="364" t="s">
        <v>88</v>
      </c>
      <c r="AL503" s="364" t="s">
        <v>88</v>
      </c>
      <c r="AM503" s="364" t="s">
        <v>88</v>
      </c>
      <c r="AN503" s="364" t="s">
        <v>792</v>
      </c>
    </row>
    <row r="504" spans="1:40" x14ac:dyDescent="0.3">
      <c r="A504" s="364" t="s">
        <v>2188</v>
      </c>
      <c r="B504" s="364" t="s">
        <v>661</v>
      </c>
      <c r="C504" s="364" t="s">
        <v>660</v>
      </c>
      <c r="D504" s="364" t="s">
        <v>170</v>
      </c>
      <c r="E504" s="364" t="s">
        <v>2166</v>
      </c>
      <c r="F504" s="364" t="s">
        <v>2166</v>
      </c>
      <c r="G504" s="364" t="s">
        <v>658</v>
      </c>
      <c r="H504" s="364" t="s">
        <v>2187</v>
      </c>
      <c r="I504" s="364" t="s">
        <v>2151</v>
      </c>
      <c r="J504" s="364" t="s">
        <v>673</v>
      </c>
      <c r="K504" s="364" t="s">
        <v>668</v>
      </c>
      <c r="L504" s="364" t="s">
        <v>190</v>
      </c>
      <c r="M504" s="364" t="s">
        <v>164</v>
      </c>
      <c r="N504" s="364" t="s">
        <v>654</v>
      </c>
      <c r="O504" s="364" t="s">
        <v>653</v>
      </c>
      <c r="P504" s="364" t="s">
        <v>198</v>
      </c>
      <c r="Q504" s="364" t="s">
        <v>652</v>
      </c>
      <c r="R504" s="364" t="s">
        <v>88</v>
      </c>
      <c r="S504" s="364" t="s">
        <v>88</v>
      </c>
      <c r="T504" s="364" t="s">
        <v>88</v>
      </c>
      <c r="U504" s="364" t="s">
        <v>88</v>
      </c>
      <c r="V504" s="364" t="s">
        <v>88</v>
      </c>
      <c r="W504" s="364" t="s">
        <v>88</v>
      </c>
      <c r="X504" s="364" t="s">
        <v>88</v>
      </c>
      <c r="Y504" s="364" t="s">
        <v>88</v>
      </c>
      <c r="Z504" s="364" t="s">
        <v>825</v>
      </c>
      <c r="AA504" s="364" t="s">
        <v>649</v>
      </c>
      <c r="AB504" s="364" t="s">
        <v>649</v>
      </c>
      <c r="AC504" s="364" t="s">
        <v>649</v>
      </c>
      <c r="AD504" s="364" t="s">
        <v>649</v>
      </c>
      <c r="AE504" s="364" t="s">
        <v>88</v>
      </c>
      <c r="AF504" s="364" t="s">
        <v>88</v>
      </c>
      <c r="AG504" s="364" t="s">
        <v>88</v>
      </c>
      <c r="AH504" s="364" t="s">
        <v>88</v>
      </c>
      <c r="AI504" s="364" t="s">
        <v>1199</v>
      </c>
      <c r="AJ504" s="364" t="s">
        <v>670</v>
      </c>
      <c r="AK504" s="364" t="s">
        <v>687</v>
      </c>
      <c r="AL504" s="364" t="s">
        <v>646</v>
      </c>
      <c r="AM504" s="364" t="s">
        <v>668</v>
      </c>
      <c r="AN504" s="364" t="s">
        <v>644</v>
      </c>
    </row>
    <row r="505" spans="1:40" x14ac:dyDescent="0.3">
      <c r="A505" s="364" t="s">
        <v>2186</v>
      </c>
      <c r="B505" s="364" t="s">
        <v>661</v>
      </c>
      <c r="C505" s="364" t="s">
        <v>660</v>
      </c>
      <c r="D505" s="364" t="s">
        <v>87</v>
      </c>
      <c r="E505" s="364" t="s">
        <v>2104</v>
      </c>
      <c r="F505" s="364" t="s">
        <v>2104</v>
      </c>
      <c r="G505" s="364" t="s">
        <v>658</v>
      </c>
      <c r="H505" s="364" t="s">
        <v>2185</v>
      </c>
      <c r="I505" s="364" t="s">
        <v>2184</v>
      </c>
      <c r="J505" s="364" t="s">
        <v>673</v>
      </c>
      <c r="K505" s="364" t="s">
        <v>668</v>
      </c>
      <c r="L505" s="364" t="s">
        <v>190</v>
      </c>
      <c r="M505" s="364" t="s">
        <v>58</v>
      </c>
      <c r="N505" s="364" t="s">
        <v>654</v>
      </c>
      <c r="O505" s="364" t="s">
        <v>653</v>
      </c>
      <c r="P505" s="364" t="s">
        <v>198</v>
      </c>
      <c r="Q505" s="364" t="s">
        <v>652</v>
      </c>
      <c r="R505" s="364" t="s">
        <v>88</v>
      </c>
      <c r="S505" s="364" t="s">
        <v>88</v>
      </c>
      <c r="T505" s="364" t="s">
        <v>88</v>
      </c>
      <c r="U505" s="364" t="s">
        <v>88</v>
      </c>
      <c r="V505" s="364" t="s">
        <v>88</v>
      </c>
      <c r="W505" s="364" t="s">
        <v>88</v>
      </c>
      <c r="X505" s="364" t="s">
        <v>88</v>
      </c>
      <c r="Y505" s="364" t="s">
        <v>88</v>
      </c>
      <c r="Z505" s="364" t="s">
        <v>702</v>
      </c>
      <c r="AA505" s="364" t="s">
        <v>701</v>
      </c>
      <c r="AB505" s="364" t="s">
        <v>649</v>
      </c>
      <c r="AC505" s="364" t="s">
        <v>649</v>
      </c>
      <c r="AD505" s="364" t="s">
        <v>649</v>
      </c>
      <c r="AE505" s="364" t="s">
        <v>88</v>
      </c>
      <c r="AF505" s="364" t="s">
        <v>88</v>
      </c>
      <c r="AG505" s="364" t="s">
        <v>88</v>
      </c>
      <c r="AH505" s="364" t="s">
        <v>88</v>
      </c>
      <c r="AI505" s="364" t="s">
        <v>1199</v>
      </c>
      <c r="AJ505" s="364" t="s">
        <v>670</v>
      </c>
      <c r="AK505" s="364" t="s">
        <v>669</v>
      </c>
      <c r="AL505" s="364" t="s">
        <v>646</v>
      </c>
      <c r="AM505" s="364" t="s">
        <v>668</v>
      </c>
      <c r="AN505" s="364" t="s">
        <v>644</v>
      </c>
    </row>
    <row r="506" spans="1:40" x14ac:dyDescent="0.3">
      <c r="A506" s="364" t="s">
        <v>2183</v>
      </c>
      <c r="B506" s="364" t="s">
        <v>661</v>
      </c>
      <c r="C506" s="364" t="s">
        <v>660</v>
      </c>
      <c r="D506" s="364" t="s">
        <v>87</v>
      </c>
      <c r="E506" s="364" t="s">
        <v>2104</v>
      </c>
      <c r="F506" s="364" t="s">
        <v>2104</v>
      </c>
      <c r="G506" s="364" t="s">
        <v>658</v>
      </c>
      <c r="H506" s="364" t="s">
        <v>2182</v>
      </c>
      <c r="I506" s="364" t="s">
        <v>2181</v>
      </c>
      <c r="J506" s="364" t="s">
        <v>673</v>
      </c>
      <c r="K506" s="364" t="s">
        <v>668</v>
      </c>
      <c r="L506" s="364" t="s">
        <v>190</v>
      </c>
      <c r="M506" s="364" t="s">
        <v>62</v>
      </c>
      <c r="N506" s="364" t="s">
        <v>654</v>
      </c>
      <c r="O506" s="364" t="s">
        <v>653</v>
      </c>
      <c r="P506" s="364" t="s">
        <v>198</v>
      </c>
      <c r="Q506" s="364" t="s">
        <v>652</v>
      </c>
      <c r="R506" s="364" t="s">
        <v>88</v>
      </c>
      <c r="S506" s="364" t="s">
        <v>88</v>
      </c>
      <c r="T506" s="364" t="s">
        <v>88</v>
      </c>
      <c r="U506" s="364" t="s">
        <v>88</v>
      </c>
      <c r="V506" s="364" t="s">
        <v>88</v>
      </c>
      <c r="W506" s="364" t="s">
        <v>88</v>
      </c>
      <c r="X506" s="364" t="s">
        <v>88</v>
      </c>
      <c r="Y506" s="364" t="s">
        <v>88</v>
      </c>
      <c r="Z506" s="364" t="s">
        <v>689</v>
      </c>
      <c r="AA506" s="364" t="s">
        <v>688</v>
      </c>
      <c r="AB506" s="364" t="s">
        <v>649</v>
      </c>
      <c r="AC506" s="364" t="s">
        <v>649</v>
      </c>
      <c r="AD506" s="364" t="s">
        <v>649</v>
      </c>
      <c r="AE506" s="364" t="s">
        <v>88</v>
      </c>
      <c r="AF506" s="364" t="s">
        <v>88</v>
      </c>
      <c r="AG506" s="364" t="s">
        <v>88</v>
      </c>
      <c r="AH506" s="364" t="s">
        <v>88</v>
      </c>
      <c r="AI506" s="364" t="s">
        <v>1199</v>
      </c>
      <c r="AJ506" s="364" t="s">
        <v>670</v>
      </c>
      <c r="AK506" s="364" t="s">
        <v>669</v>
      </c>
      <c r="AL506" s="364" t="s">
        <v>646</v>
      </c>
      <c r="AM506" s="364" t="s">
        <v>668</v>
      </c>
      <c r="AN506" s="364" t="s">
        <v>644</v>
      </c>
    </row>
    <row r="507" spans="1:40" x14ac:dyDescent="0.3">
      <c r="A507" s="364" t="s">
        <v>2180</v>
      </c>
      <c r="B507" s="364" t="s">
        <v>661</v>
      </c>
      <c r="C507" s="364" t="s">
        <v>660</v>
      </c>
      <c r="D507" s="364" t="s">
        <v>87</v>
      </c>
      <c r="E507" s="364" t="s">
        <v>2104</v>
      </c>
      <c r="F507" s="364" t="s">
        <v>2104</v>
      </c>
      <c r="G507" s="364" t="s">
        <v>658</v>
      </c>
      <c r="H507" s="364" t="s">
        <v>2155</v>
      </c>
      <c r="I507" s="364" t="s">
        <v>2154</v>
      </c>
      <c r="J507" s="364" t="s">
        <v>673</v>
      </c>
      <c r="K507" s="364" t="s">
        <v>668</v>
      </c>
      <c r="L507" s="364" t="s">
        <v>190</v>
      </c>
      <c r="M507" s="364" t="s">
        <v>59</v>
      </c>
      <c r="N507" s="364" t="s">
        <v>654</v>
      </c>
      <c r="O507" s="364" t="s">
        <v>653</v>
      </c>
      <c r="P507" s="364" t="s">
        <v>198</v>
      </c>
      <c r="Q507" s="364" t="s">
        <v>652</v>
      </c>
      <c r="R507" s="364" t="s">
        <v>88</v>
      </c>
      <c r="S507" s="364" t="s">
        <v>88</v>
      </c>
      <c r="T507" s="364" t="s">
        <v>88</v>
      </c>
      <c r="U507" s="364" t="s">
        <v>88</v>
      </c>
      <c r="V507" s="364" t="s">
        <v>88</v>
      </c>
      <c r="W507" s="364" t="s">
        <v>88</v>
      </c>
      <c r="X507" s="364" t="s">
        <v>88</v>
      </c>
      <c r="Y507" s="364" t="s">
        <v>88</v>
      </c>
      <c r="Z507" s="364" t="s">
        <v>672</v>
      </c>
      <c r="AA507" s="364" t="s">
        <v>671</v>
      </c>
      <c r="AB507" s="364" t="s">
        <v>649</v>
      </c>
      <c r="AC507" s="364" t="s">
        <v>649</v>
      </c>
      <c r="AD507" s="364" t="s">
        <v>649</v>
      </c>
      <c r="AE507" s="364" t="s">
        <v>88</v>
      </c>
      <c r="AF507" s="364" t="s">
        <v>88</v>
      </c>
      <c r="AG507" s="364" t="s">
        <v>88</v>
      </c>
      <c r="AH507" s="364" t="s">
        <v>88</v>
      </c>
      <c r="AI507" s="364" t="s">
        <v>1199</v>
      </c>
      <c r="AJ507" s="364" t="s">
        <v>670</v>
      </c>
      <c r="AK507" s="364" t="s">
        <v>669</v>
      </c>
      <c r="AL507" s="364" t="s">
        <v>646</v>
      </c>
      <c r="AM507" s="364" t="s">
        <v>668</v>
      </c>
      <c r="AN507" s="364" t="s">
        <v>644</v>
      </c>
    </row>
    <row r="508" spans="1:40" x14ac:dyDescent="0.3">
      <c r="A508" s="364" t="s">
        <v>2179</v>
      </c>
      <c r="B508" s="364" t="s">
        <v>661</v>
      </c>
      <c r="C508" s="364" t="s">
        <v>660</v>
      </c>
      <c r="D508" s="364" t="s">
        <v>170</v>
      </c>
      <c r="E508" s="364" t="s">
        <v>2104</v>
      </c>
      <c r="F508" s="364" t="s">
        <v>2104</v>
      </c>
      <c r="G508" s="364" t="s">
        <v>658</v>
      </c>
      <c r="H508" s="364" t="s">
        <v>2178</v>
      </c>
      <c r="I508" s="364" t="s">
        <v>2177</v>
      </c>
      <c r="J508" s="364" t="s">
        <v>673</v>
      </c>
      <c r="K508" s="364" t="s">
        <v>668</v>
      </c>
      <c r="L508" s="364" t="s">
        <v>190</v>
      </c>
      <c r="M508" s="364" t="s">
        <v>164</v>
      </c>
      <c r="N508" s="364" t="s">
        <v>654</v>
      </c>
      <c r="O508" s="364" t="s">
        <v>653</v>
      </c>
      <c r="P508" s="364" t="s">
        <v>198</v>
      </c>
      <c r="Q508" s="364" t="s">
        <v>652</v>
      </c>
      <c r="R508" s="364" t="s">
        <v>88</v>
      </c>
      <c r="S508" s="364" t="s">
        <v>88</v>
      </c>
      <c r="T508" s="364" t="s">
        <v>88</v>
      </c>
      <c r="U508" s="364" t="s">
        <v>88</v>
      </c>
      <c r="V508" s="364" t="s">
        <v>88</v>
      </c>
      <c r="W508" s="364" t="s">
        <v>88</v>
      </c>
      <c r="X508" s="364" t="s">
        <v>88</v>
      </c>
      <c r="Y508" s="364" t="s">
        <v>88</v>
      </c>
      <c r="Z508" s="364" t="s">
        <v>825</v>
      </c>
      <c r="AA508" s="364" t="s">
        <v>649</v>
      </c>
      <c r="AB508" s="364" t="s">
        <v>649</v>
      </c>
      <c r="AC508" s="364" t="s">
        <v>649</v>
      </c>
      <c r="AD508" s="364" t="s">
        <v>649</v>
      </c>
      <c r="AE508" s="364" t="s">
        <v>88</v>
      </c>
      <c r="AF508" s="364" t="s">
        <v>88</v>
      </c>
      <c r="AG508" s="364" t="s">
        <v>88</v>
      </c>
      <c r="AH508" s="364" t="s">
        <v>88</v>
      </c>
      <c r="AI508" s="364" t="s">
        <v>1199</v>
      </c>
      <c r="AJ508" s="364" t="s">
        <v>670</v>
      </c>
      <c r="AK508" s="364" t="s">
        <v>687</v>
      </c>
      <c r="AL508" s="364" t="s">
        <v>646</v>
      </c>
      <c r="AM508" s="364" t="s">
        <v>668</v>
      </c>
      <c r="AN508" s="364" t="s">
        <v>644</v>
      </c>
    </row>
    <row r="509" spans="1:40" x14ac:dyDescent="0.3">
      <c r="A509" s="364" t="s">
        <v>2176</v>
      </c>
      <c r="B509" s="364" t="s">
        <v>661</v>
      </c>
      <c r="C509" s="364" t="s">
        <v>660</v>
      </c>
      <c r="D509" s="364" t="s">
        <v>87</v>
      </c>
      <c r="E509" s="364" t="s">
        <v>2100</v>
      </c>
      <c r="F509" s="364" t="s">
        <v>2100</v>
      </c>
      <c r="G509" s="364" t="s">
        <v>658</v>
      </c>
      <c r="H509" s="364" t="s">
        <v>2175</v>
      </c>
      <c r="I509" s="364" t="s">
        <v>2091</v>
      </c>
      <c r="J509" s="364" t="s">
        <v>673</v>
      </c>
      <c r="K509" s="364" t="s">
        <v>668</v>
      </c>
      <c r="L509" s="364" t="s">
        <v>190</v>
      </c>
      <c r="M509" s="364" t="s">
        <v>58</v>
      </c>
      <c r="N509" s="364" t="s">
        <v>654</v>
      </c>
      <c r="O509" s="364" t="s">
        <v>653</v>
      </c>
      <c r="P509" s="364" t="s">
        <v>198</v>
      </c>
      <c r="Q509" s="364" t="s">
        <v>652</v>
      </c>
      <c r="R509" s="364" t="s">
        <v>88</v>
      </c>
      <c r="S509" s="364" t="s">
        <v>88</v>
      </c>
      <c r="T509" s="364" t="s">
        <v>88</v>
      </c>
      <c r="U509" s="364" t="s">
        <v>88</v>
      </c>
      <c r="V509" s="364" t="s">
        <v>88</v>
      </c>
      <c r="W509" s="364" t="s">
        <v>88</v>
      </c>
      <c r="X509" s="364" t="s">
        <v>88</v>
      </c>
      <c r="Y509" s="364" t="s">
        <v>88</v>
      </c>
      <c r="Z509" s="364" t="s">
        <v>702</v>
      </c>
      <c r="AA509" s="364" t="s">
        <v>701</v>
      </c>
      <c r="AB509" s="364" t="s">
        <v>649</v>
      </c>
      <c r="AC509" s="364" t="s">
        <v>649</v>
      </c>
      <c r="AD509" s="364" t="s">
        <v>649</v>
      </c>
      <c r="AE509" s="364" t="s">
        <v>88</v>
      </c>
      <c r="AF509" s="364" t="s">
        <v>88</v>
      </c>
      <c r="AG509" s="364" t="s">
        <v>88</v>
      </c>
      <c r="AH509" s="364" t="s">
        <v>88</v>
      </c>
      <c r="AI509" s="364" t="s">
        <v>1199</v>
      </c>
      <c r="AJ509" s="364" t="s">
        <v>670</v>
      </c>
      <c r="AK509" s="364" t="s">
        <v>669</v>
      </c>
      <c r="AL509" s="364" t="s">
        <v>646</v>
      </c>
      <c r="AM509" s="364" t="s">
        <v>668</v>
      </c>
      <c r="AN509" s="364" t="s">
        <v>644</v>
      </c>
    </row>
    <row r="510" spans="1:40" x14ac:dyDescent="0.3">
      <c r="A510" s="364" t="s">
        <v>2174</v>
      </c>
      <c r="B510" s="364" t="s">
        <v>661</v>
      </c>
      <c r="C510" s="364" t="s">
        <v>660</v>
      </c>
      <c r="D510" s="364" t="s">
        <v>90</v>
      </c>
      <c r="E510" s="364" t="s">
        <v>2173</v>
      </c>
      <c r="F510" s="364" t="s">
        <v>2173</v>
      </c>
      <c r="G510" s="364" t="s">
        <v>658</v>
      </c>
      <c r="H510" s="364" t="s">
        <v>2172</v>
      </c>
      <c r="I510" s="364" t="s">
        <v>2171</v>
      </c>
      <c r="J510" s="364" t="s">
        <v>673</v>
      </c>
      <c r="K510" s="364" t="s">
        <v>668</v>
      </c>
      <c r="L510" s="364" t="s">
        <v>190</v>
      </c>
      <c r="M510" s="364" t="s">
        <v>718</v>
      </c>
      <c r="N510" s="364" t="s">
        <v>654</v>
      </c>
      <c r="O510" s="364" t="s">
        <v>653</v>
      </c>
      <c r="P510" s="364" t="s">
        <v>198</v>
      </c>
      <c r="Q510" s="364" t="s">
        <v>652</v>
      </c>
      <c r="R510" s="364" t="s">
        <v>88</v>
      </c>
      <c r="S510" s="364" t="s">
        <v>88</v>
      </c>
      <c r="T510" s="364" t="s">
        <v>88</v>
      </c>
      <c r="U510" s="364" t="s">
        <v>88</v>
      </c>
      <c r="V510" s="364" t="s">
        <v>88</v>
      </c>
      <c r="W510" s="364" t="s">
        <v>88</v>
      </c>
      <c r="X510" s="364" t="s">
        <v>88</v>
      </c>
      <c r="Y510" s="364" t="s">
        <v>88</v>
      </c>
      <c r="Z510" s="364" t="s">
        <v>717</v>
      </c>
      <c r="AA510" s="364" t="s">
        <v>649</v>
      </c>
      <c r="AB510" s="364" t="s">
        <v>649</v>
      </c>
      <c r="AC510" s="364" t="s">
        <v>649</v>
      </c>
      <c r="AD510" s="364" t="s">
        <v>649</v>
      </c>
      <c r="AE510" s="364" t="s">
        <v>88</v>
      </c>
      <c r="AF510" s="364" t="s">
        <v>88</v>
      </c>
      <c r="AG510" s="364" t="s">
        <v>88</v>
      </c>
      <c r="AH510" s="364" t="s">
        <v>88</v>
      </c>
      <c r="AI510" s="364" t="s">
        <v>1155</v>
      </c>
      <c r="AJ510" s="364" t="s">
        <v>710</v>
      </c>
      <c r="AK510" s="364" t="s">
        <v>1016</v>
      </c>
      <c r="AL510" s="364" t="s">
        <v>646</v>
      </c>
      <c r="AM510" s="364" t="s">
        <v>668</v>
      </c>
      <c r="AN510" s="364" t="s">
        <v>644</v>
      </c>
    </row>
    <row r="511" spans="1:40" x14ac:dyDescent="0.3">
      <c r="A511" s="364" t="s">
        <v>2174</v>
      </c>
      <c r="B511" s="364" t="s">
        <v>661</v>
      </c>
      <c r="C511" s="364" t="s">
        <v>660</v>
      </c>
      <c r="D511" s="364" t="s">
        <v>90</v>
      </c>
      <c r="E511" s="364" t="s">
        <v>2173</v>
      </c>
      <c r="F511" s="364" t="s">
        <v>2173</v>
      </c>
      <c r="G511" s="364" t="s">
        <v>658</v>
      </c>
      <c r="H511" s="364" t="s">
        <v>2172</v>
      </c>
      <c r="I511" s="364" t="s">
        <v>2171</v>
      </c>
      <c r="J511" s="364" t="s">
        <v>673</v>
      </c>
      <c r="K511" s="364" t="s">
        <v>668</v>
      </c>
      <c r="L511" s="364" t="s">
        <v>190</v>
      </c>
      <c r="M511" s="364" t="s">
        <v>713</v>
      </c>
      <c r="N511" s="364" t="s">
        <v>654</v>
      </c>
      <c r="O511" s="364" t="s">
        <v>653</v>
      </c>
      <c r="P511" s="364" t="s">
        <v>198</v>
      </c>
      <c r="Q511" s="364" t="s">
        <v>652</v>
      </c>
      <c r="R511" s="364" t="s">
        <v>88</v>
      </c>
      <c r="S511" s="364" t="s">
        <v>88</v>
      </c>
      <c r="T511" s="364" t="s">
        <v>88</v>
      </c>
      <c r="U511" s="364" t="s">
        <v>88</v>
      </c>
      <c r="V511" s="364" t="s">
        <v>88</v>
      </c>
      <c r="W511" s="364" t="s">
        <v>88</v>
      </c>
      <c r="X511" s="364" t="s">
        <v>88</v>
      </c>
      <c r="Y511" s="364" t="s">
        <v>88</v>
      </c>
      <c r="Z511" s="364" t="s">
        <v>712</v>
      </c>
      <c r="AA511" s="364" t="s">
        <v>711</v>
      </c>
      <c r="AB511" s="364" t="s">
        <v>649</v>
      </c>
      <c r="AC511" s="364" t="s">
        <v>649</v>
      </c>
      <c r="AD511" s="364" t="s">
        <v>649</v>
      </c>
      <c r="AE511" s="364" t="s">
        <v>88</v>
      </c>
      <c r="AF511" s="364" t="s">
        <v>88</v>
      </c>
      <c r="AG511" s="364" t="s">
        <v>88</v>
      </c>
      <c r="AH511" s="364" t="s">
        <v>88</v>
      </c>
      <c r="AI511" s="364" t="s">
        <v>1155</v>
      </c>
      <c r="AJ511" s="364" t="s">
        <v>710</v>
      </c>
      <c r="AK511" s="364" t="s">
        <v>1016</v>
      </c>
      <c r="AL511" s="364" t="s">
        <v>646</v>
      </c>
      <c r="AM511" s="364" t="s">
        <v>668</v>
      </c>
      <c r="AN511" s="364" t="s">
        <v>644</v>
      </c>
    </row>
    <row r="512" spans="1:40" x14ac:dyDescent="0.3">
      <c r="A512" s="364" t="s">
        <v>2174</v>
      </c>
      <c r="B512" s="364" t="s">
        <v>661</v>
      </c>
      <c r="C512" s="364" t="s">
        <v>660</v>
      </c>
      <c r="D512" s="364" t="s">
        <v>90</v>
      </c>
      <c r="E512" s="364" t="s">
        <v>2173</v>
      </c>
      <c r="F512" s="364" t="s">
        <v>2173</v>
      </c>
      <c r="G512" s="364" t="s">
        <v>658</v>
      </c>
      <c r="H512" s="364" t="s">
        <v>2172</v>
      </c>
      <c r="I512" s="364" t="s">
        <v>2171</v>
      </c>
      <c r="J512" s="364" t="s">
        <v>673</v>
      </c>
      <c r="K512" s="364" t="s">
        <v>668</v>
      </c>
      <c r="L512" s="364" t="s">
        <v>190</v>
      </c>
      <c r="M512" s="364" t="s">
        <v>54</v>
      </c>
      <c r="N512" s="364" t="s">
        <v>654</v>
      </c>
      <c r="O512" s="364" t="s">
        <v>653</v>
      </c>
      <c r="P512" s="364" t="s">
        <v>198</v>
      </c>
      <c r="Q512" s="364" t="s">
        <v>652</v>
      </c>
      <c r="R512" s="364" t="s">
        <v>88</v>
      </c>
      <c r="S512" s="364" t="s">
        <v>88</v>
      </c>
      <c r="T512" s="364" t="s">
        <v>88</v>
      </c>
      <c r="U512" s="364" t="s">
        <v>88</v>
      </c>
      <c r="V512" s="364" t="s">
        <v>88</v>
      </c>
      <c r="W512" s="364" t="s">
        <v>88</v>
      </c>
      <c r="X512" s="364" t="s">
        <v>88</v>
      </c>
      <c r="Y512" s="364" t="s">
        <v>88</v>
      </c>
      <c r="Z512" s="364" t="s">
        <v>1265</v>
      </c>
      <c r="AA512" s="364" t="s">
        <v>649</v>
      </c>
      <c r="AB512" s="364" t="s">
        <v>649</v>
      </c>
      <c r="AC512" s="364" t="s">
        <v>649</v>
      </c>
      <c r="AD512" s="364" t="s">
        <v>649</v>
      </c>
      <c r="AE512" s="364" t="s">
        <v>88</v>
      </c>
      <c r="AF512" s="364" t="s">
        <v>88</v>
      </c>
      <c r="AG512" s="364" t="s">
        <v>88</v>
      </c>
      <c r="AH512" s="364" t="s">
        <v>88</v>
      </c>
      <c r="AI512" s="364" t="s">
        <v>1155</v>
      </c>
      <c r="AJ512" s="364" t="s">
        <v>710</v>
      </c>
      <c r="AK512" s="364" t="s">
        <v>1016</v>
      </c>
      <c r="AL512" s="364" t="s">
        <v>646</v>
      </c>
      <c r="AM512" s="364" t="s">
        <v>668</v>
      </c>
      <c r="AN512" s="364" t="s">
        <v>644</v>
      </c>
    </row>
    <row r="513" spans="1:40" x14ac:dyDescent="0.3">
      <c r="A513" s="364" t="s">
        <v>2174</v>
      </c>
      <c r="B513" s="364" t="s">
        <v>661</v>
      </c>
      <c r="C513" s="364" t="s">
        <v>660</v>
      </c>
      <c r="D513" s="364" t="s">
        <v>90</v>
      </c>
      <c r="E513" s="364" t="s">
        <v>2173</v>
      </c>
      <c r="F513" s="364" t="s">
        <v>2173</v>
      </c>
      <c r="G513" s="364" t="s">
        <v>658</v>
      </c>
      <c r="H513" s="364" t="s">
        <v>2172</v>
      </c>
      <c r="I513" s="364" t="s">
        <v>2171</v>
      </c>
      <c r="J513" s="364" t="s">
        <v>673</v>
      </c>
      <c r="K513" s="364" t="s">
        <v>668</v>
      </c>
      <c r="L513" s="364" t="s">
        <v>190</v>
      </c>
      <c r="M513" s="364" t="s">
        <v>61</v>
      </c>
      <c r="N513" s="364" t="s">
        <v>654</v>
      </c>
      <c r="O513" s="364" t="s">
        <v>653</v>
      </c>
      <c r="P513" s="364" t="s">
        <v>198</v>
      </c>
      <c r="Q513" s="364" t="s">
        <v>652</v>
      </c>
      <c r="R513" s="364" t="s">
        <v>88</v>
      </c>
      <c r="S513" s="364" t="s">
        <v>88</v>
      </c>
      <c r="T513" s="364" t="s">
        <v>88</v>
      </c>
      <c r="U513" s="364" t="s">
        <v>88</v>
      </c>
      <c r="V513" s="364" t="s">
        <v>88</v>
      </c>
      <c r="W513" s="364" t="s">
        <v>88</v>
      </c>
      <c r="X513" s="364" t="s">
        <v>88</v>
      </c>
      <c r="Y513" s="364" t="s">
        <v>88</v>
      </c>
      <c r="Z513" s="364" t="s">
        <v>1021</v>
      </c>
      <c r="AA513" s="364" t="s">
        <v>671</v>
      </c>
      <c r="AB513" s="364" t="s">
        <v>649</v>
      </c>
      <c r="AC513" s="364" t="s">
        <v>649</v>
      </c>
      <c r="AD513" s="364" t="s">
        <v>649</v>
      </c>
      <c r="AE513" s="364" t="s">
        <v>88</v>
      </c>
      <c r="AF513" s="364" t="s">
        <v>88</v>
      </c>
      <c r="AG513" s="364" t="s">
        <v>88</v>
      </c>
      <c r="AH513" s="364" t="s">
        <v>88</v>
      </c>
      <c r="AI513" s="364" t="s">
        <v>1155</v>
      </c>
      <c r="AJ513" s="364" t="s">
        <v>710</v>
      </c>
      <c r="AK513" s="364" t="s">
        <v>1016</v>
      </c>
      <c r="AL513" s="364" t="s">
        <v>646</v>
      </c>
      <c r="AM513" s="364" t="s">
        <v>668</v>
      </c>
      <c r="AN513" s="364" t="s">
        <v>644</v>
      </c>
    </row>
    <row r="514" spans="1:40" x14ac:dyDescent="0.3">
      <c r="A514" s="364" t="s">
        <v>2174</v>
      </c>
      <c r="B514" s="364" t="s">
        <v>661</v>
      </c>
      <c r="C514" s="364" t="s">
        <v>660</v>
      </c>
      <c r="D514" s="364" t="s">
        <v>90</v>
      </c>
      <c r="E514" s="364" t="s">
        <v>2173</v>
      </c>
      <c r="F514" s="364" t="s">
        <v>2173</v>
      </c>
      <c r="G514" s="364" t="s">
        <v>658</v>
      </c>
      <c r="H514" s="364" t="s">
        <v>2172</v>
      </c>
      <c r="I514" s="364" t="s">
        <v>2171</v>
      </c>
      <c r="J514" s="364" t="s">
        <v>673</v>
      </c>
      <c r="K514" s="364" t="s">
        <v>668</v>
      </c>
      <c r="L514" s="364" t="s">
        <v>190</v>
      </c>
      <c r="M514" s="364" t="s">
        <v>725</v>
      </c>
      <c r="N514" s="364" t="s">
        <v>654</v>
      </c>
      <c r="O514" s="364" t="s">
        <v>653</v>
      </c>
      <c r="P514" s="364" t="s">
        <v>198</v>
      </c>
      <c r="Q514" s="364" t="s">
        <v>652</v>
      </c>
      <c r="R514" s="364" t="s">
        <v>88</v>
      </c>
      <c r="S514" s="364" t="s">
        <v>88</v>
      </c>
      <c r="T514" s="364" t="s">
        <v>88</v>
      </c>
      <c r="U514" s="364" t="s">
        <v>88</v>
      </c>
      <c r="V514" s="364" t="s">
        <v>88</v>
      </c>
      <c r="W514" s="364" t="s">
        <v>88</v>
      </c>
      <c r="X514" s="364" t="s">
        <v>88</v>
      </c>
      <c r="Y514" s="364" t="s">
        <v>88</v>
      </c>
      <c r="Z514" s="364" t="s">
        <v>724</v>
      </c>
      <c r="AA514" s="364" t="s">
        <v>649</v>
      </c>
      <c r="AB514" s="364" t="s">
        <v>649</v>
      </c>
      <c r="AC514" s="364" t="s">
        <v>649</v>
      </c>
      <c r="AD514" s="364" t="s">
        <v>649</v>
      </c>
      <c r="AE514" s="364" t="s">
        <v>88</v>
      </c>
      <c r="AF514" s="364" t="s">
        <v>88</v>
      </c>
      <c r="AG514" s="364" t="s">
        <v>88</v>
      </c>
      <c r="AH514" s="364" t="s">
        <v>88</v>
      </c>
      <c r="AI514" s="364" t="s">
        <v>1155</v>
      </c>
      <c r="AJ514" s="364" t="s">
        <v>710</v>
      </c>
      <c r="AK514" s="364" t="s">
        <v>1016</v>
      </c>
      <c r="AL514" s="364" t="s">
        <v>646</v>
      </c>
      <c r="AM514" s="364" t="s">
        <v>668</v>
      </c>
      <c r="AN514" s="364" t="s">
        <v>644</v>
      </c>
    </row>
    <row r="515" spans="1:40" x14ac:dyDescent="0.3">
      <c r="A515" s="364" t="s">
        <v>2174</v>
      </c>
      <c r="B515" s="364" t="s">
        <v>661</v>
      </c>
      <c r="C515" s="364" t="s">
        <v>660</v>
      </c>
      <c r="D515" s="364" t="s">
        <v>90</v>
      </c>
      <c r="E515" s="364" t="s">
        <v>2173</v>
      </c>
      <c r="F515" s="364" t="s">
        <v>2173</v>
      </c>
      <c r="G515" s="364" t="s">
        <v>658</v>
      </c>
      <c r="H515" s="364" t="s">
        <v>2172</v>
      </c>
      <c r="I515" s="364" t="s">
        <v>2171</v>
      </c>
      <c r="J515" s="364" t="s">
        <v>673</v>
      </c>
      <c r="K515" s="364" t="s">
        <v>668</v>
      </c>
      <c r="L515" s="364" t="s">
        <v>190</v>
      </c>
      <c r="M515" s="364" t="s">
        <v>723</v>
      </c>
      <c r="N515" s="364" t="s">
        <v>654</v>
      </c>
      <c r="O515" s="364" t="s">
        <v>653</v>
      </c>
      <c r="P515" s="364" t="s">
        <v>198</v>
      </c>
      <c r="Q515" s="364" t="s">
        <v>652</v>
      </c>
      <c r="R515" s="364" t="s">
        <v>88</v>
      </c>
      <c r="S515" s="364" t="s">
        <v>88</v>
      </c>
      <c r="T515" s="364" t="s">
        <v>88</v>
      </c>
      <c r="U515" s="364" t="s">
        <v>88</v>
      </c>
      <c r="V515" s="364" t="s">
        <v>88</v>
      </c>
      <c r="W515" s="364" t="s">
        <v>88</v>
      </c>
      <c r="X515" s="364" t="s">
        <v>88</v>
      </c>
      <c r="Y515" s="364" t="s">
        <v>88</v>
      </c>
      <c r="Z515" s="364" t="s">
        <v>722</v>
      </c>
      <c r="AA515" s="364" t="s">
        <v>649</v>
      </c>
      <c r="AB515" s="364" t="s">
        <v>649</v>
      </c>
      <c r="AC515" s="364" t="s">
        <v>649</v>
      </c>
      <c r="AD515" s="364" t="s">
        <v>649</v>
      </c>
      <c r="AE515" s="364" t="s">
        <v>88</v>
      </c>
      <c r="AF515" s="364" t="s">
        <v>88</v>
      </c>
      <c r="AG515" s="364" t="s">
        <v>88</v>
      </c>
      <c r="AH515" s="364" t="s">
        <v>88</v>
      </c>
      <c r="AI515" s="364" t="s">
        <v>1155</v>
      </c>
      <c r="AJ515" s="364" t="s">
        <v>710</v>
      </c>
      <c r="AK515" s="364" t="s">
        <v>1016</v>
      </c>
      <c r="AL515" s="364" t="s">
        <v>646</v>
      </c>
      <c r="AM515" s="364" t="s">
        <v>668</v>
      </c>
      <c r="AN515" s="364" t="s">
        <v>644</v>
      </c>
    </row>
    <row r="516" spans="1:40" x14ac:dyDescent="0.3">
      <c r="A516" s="364" t="s">
        <v>2174</v>
      </c>
      <c r="B516" s="364" t="s">
        <v>661</v>
      </c>
      <c r="C516" s="364" t="s">
        <v>660</v>
      </c>
      <c r="D516" s="364" t="s">
        <v>90</v>
      </c>
      <c r="E516" s="364" t="s">
        <v>2173</v>
      </c>
      <c r="F516" s="364" t="s">
        <v>2173</v>
      </c>
      <c r="G516" s="364" t="s">
        <v>658</v>
      </c>
      <c r="H516" s="364" t="s">
        <v>2172</v>
      </c>
      <c r="I516" s="364" t="s">
        <v>2171</v>
      </c>
      <c r="J516" s="364" t="s">
        <v>673</v>
      </c>
      <c r="K516" s="364" t="s">
        <v>668</v>
      </c>
      <c r="L516" s="364" t="s">
        <v>190</v>
      </c>
      <c r="M516" s="364" t="s">
        <v>721</v>
      </c>
      <c r="N516" s="364" t="s">
        <v>654</v>
      </c>
      <c r="O516" s="364" t="s">
        <v>653</v>
      </c>
      <c r="P516" s="364" t="s">
        <v>198</v>
      </c>
      <c r="Q516" s="364" t="s">
        <v>652</v>
      </c>
      <c r="R516" s="364" t="s">
        <v>88</v>
      </c>
      <c r="S516" s="364" t="s">
        <v>88</v>
      </c>
      <c r="T516" s="364" t="s">
        <v>88</v>
      </c>
      <c r="U516" s="364" t="s">
        <v>88</v>
      </c>
      <c r="V516" s="364" t="s">
        <v>88</v>
      </c>
      <c r="W516" s="364" t="s">
        <v>88</v>
      </c>
      <c r="X516" s="364" t="s">
        <v>88</v>
      </c>
      <c r="Y516" s="364" t="s">
        <v>88</v>
      </c>
      <c r="Z516" s="364" t="s">
        <v>720</v>
      </c>
      <c r="AA516" s="364" t="s">
        <v>649</v>
      </c>
      <c r="AB516" s="364" t="s">
        <v>649</v>
      </c>
      <c r="AC516" s="364" t="s">
        <v>649</v>
      </c>
      <c r="AD516" s="364" t="s">
        <v>649</v>
      </c>
      <c r="AE516" s="364" t="s">
        <v>88</v>
      </c>
      <c r="AF516" s="364" t="s">
        <v>88</v>
      </c>
      <c r="AG516" s="364" t="s">
        <v>88</v>
      </c>
      <c r="AH516" s="364" t="s">
        <v>88</v>
      </c>
      <c r="AI516" s="364" t="s">
        <v>1155</v>
      </c>
      <c r="AJ516" s="364" t="s">
        <v>710</v>
      </c>
      <c r="AK516" s="364" t="s">
        <v>1016</v>
      </c>
      <c r="AL516" s="364" t="s">
        <v>646</v>
      </c>
      <c r="AM516" s="364" t="s">
        <v>668</v>
      </c>
      <c r="AN516" s="364" t="s">
        <v>644</v>
      </c>
    </row>
    <row r="517" spans="1:40" x14ac:dyDescent="0.3">
      <c r="A517" s="364" t="s">
        <v>2170</v>
      </c>
      <c r="B517" s="364" t="s">
        <v>661</v>
      </c>
      <c r="C517" s="364" t="s">
        <v>660</v>
      </c>
      <c r="D517" s="364" t="s">
        <v>90</v>
      </c>
      <c r="E517" s="364" t="s">
        <v>2169</v>
      </c>
      <c r="F517" s="364" t="s">
        <v>2169</v>
      </c>
      <c r="G517" s="364" t="s">
        <v>658</v>
      </c>
      <c r="H517" s="364" t="s">
        <v>2168</v>
      </c>
      <c r="I517" s="364" t="s">
        <v>814</v>
      </c>
      <c r="J517" s="364" t="s">
        <v>673</v>
      </c>
      <c r="K517" s="364" t="s">
        <v>668</v>
      </c>
      <c r="L517" s="364" t="s">
        <v>190</v>
      </c>
      <c r="M517" s="364" t="s">
        <v>718</v>
      </c>
      <c r="N517" s="364" t="s">
        <v>654</v>
      </c>
      <c r="O517" s="364" t="s">
        <v>653</v>
      </c>
      <c r="P517" s="364" t="s">
        <v>198</v>
      </c>
      <c r="Q517" s="364" t="s">
        <v>652</v>
      </c>
      <c r="R517" s="364" t="s">
        <v>88</v>
      </c>
      <c r="S517" s="364" t="s">
        <v>88</v>
      </c>
      <c r="T517" s="364" t="s">
        <v>88</v>
      </c>
      <c r="U517" s="364" t="s">
        <v>88</v>
      </c>
      <c r="V517" s="364" t="s">
        <v>88</v>
      </c>
      <c r="W517" s="364" t="s">
        <v>88</v>
      </c>
      <c r="X517" s="364" t="s">
        <v>88</v>
      </c>
      <c r="Y517" s="364" t="s">
        <v>88</v>
      </c>
      <c r="Z517" s="364" t="s">
        <v>717</v>
      </c>
      <c r="AA517" s="364" t="s">
        <v>649</v>
      </c>
      <c r="AB517" s="364" t="s">
        <v>649</v>
      </c>
      <c r="AC517" s="364" t="s">
        <v>649</v>
      </c>
      <c r="AD517" s="364" t="s">
        <v>649</v>
      </c>
      <c r="AE517" s="364" t="s">
        <v>88</v>
      </c>
      <c r="AF517" s="364" t="s">
        <v>88</v>
      </c>
      <c r="AG517" s="364" t="s">
        <v>88</v>
      </c>
      <c r="AH517" s="364" t="s">
        <v>88</v>
      </c>
      <c r="AI517" s="364" t="s">
        <v>1155</v>
      </c>
      <c r="AJ517" s="364" t="s">
        <v>710</v>
      </c>
      <c r="AK517" s="364" t="s">
        <v>1016</v>
      </c>
      <c r="AL517" s="364" t="s">
        <v>646</v>
      </c>
      <c r="AM517" s="364" t="s">
        <v>668</v>
      </c>
      <c r="AN517" s="364" t="s">
        <v>644</v>
      </c>
    </row>
    <row r="518" spans="1:40" x14ac:dyDescent="0.3">
      <c r="A518" s="364" t="s">
        <v>2170</v>
      </c>
      <c r="B518" s="364" t="s">
        <v>661</v>
      </c>
      <c r="C518" s="364" t="s">
        <v>660</v>
      </c>
      <c r="D518" s="364" t="s">
        <v>90</v>
      </c>
      <c r="E518" s="364" t="s">
        <v>2169</v>
      </c>
      <c r="F518" s="364" t="s">
        <v>2169</v>
      </c>
      <c r="G518" s="364" t="s">
        <v>658</v>
      </c>
      <c r="H518" s="364" t="s">
        <v>2168</v>
      </c>
      <c r="I518" s="364" t="s">
        <v>814</v>
      </c>
      <c r="J518" s="364" t="s">
        <v>673</v>
      </c>
      <c r="K518" s="364" t="s">
        <v>668</v>
      </c>
      <c r="L518" s="364" t="s">
        <v>190</v>
      </c>
      <c r="M518" s="364" t="s">
        <v>713</v>
      </c>
      <c r="N518" s="364" t="s">
        <v>654</v>
      </c>
      <c r="O518" s="364" t="s">
        <v>653</v>
      </c>
      <c r="P518" s="364" t="s">
        <v>198</v>
      </c>
      <c r="Q518" s="364" t="s">
        <v>652</v>
      </c>
      <c r="R518" s="364" t="s">
        <v>88</v>
      </c>
      <c r="S518" s="364" t="s">
        <v>88</v>
      </c>
      <c r="T518" s="364" t="s">
        <v>88</v>
      </c>
      <c r="U518" s="364" t="s">
        <v>88</v>
      </c>
      <c r="V518" s="364" t="s">
        <v>88</v>
      </c>
      <c r="W518" s="364" t="s">
        <v>88</v>
      </c>
      <c r="X518" s="364" t="s">
        <v>88</v>
      </c>
      <c r="Y518" s="364" t="s">
        <v>88</v>
      </c>
      <c r="Z518" s="364" t="s">
        <v>712</v>
      </c>
      <c r="AA518" s="364" t="s">
        <v>711</v>
      </c>
      <c r="AB518" s="364" t="s">
        <v>649</v>
      </c>
      <c r="AC518" s="364" t="s">
        <v>649</v>
      </c>
      <c r="AD518" s="364" t="s">
        <v>649</v>
      </c>
      <c r="AE518" s="364" t="s">
        <v>88</v>
      </c>
      <c r="AF518" s="364" t="s">
        <v>88</v>
      </c>
      <c r="AG518" s="364" t="s">
        <v>88</v>
      </c>
      <c r="AH518" s="364" t="s">
        <v>88</v>
      </c>
      <c r="AI518" s="364" t="s">
        <v>1155</v>
      </c>
      <c r="AJ518" s="364" t="s">
        <v>710</v>
      </c>
      <c r="AK518" s="364" t="s">
        <v>1016</v>
      </c>
      <c r="AL518" s="364" t="s">
        <v>646</v>
      </c>
      <c r="AM518" s="364" t="s">
        <v>668</v>
      </c>
      <c r="AN518" s="364" t="s">
        <v>644</v>
      </c>
    </row>
    <row r="519" spans="1:40" x14ac:dyDescent="0.3">
      <c r="A519" s="364" t="s">
        <v>2170</v>
      </c>
      <c r="B519" s="364" t="s">
        <v>661</v>
      </c>
      <c r="C519" s="364" t="s">
        <v>660</v>
      </c>
      <c r="D519" s="364" t="s">
        <v>90</v>
      </c>
      <c r="E519" s="364" t="s">
        <v>2169</v>
      </c>
      <c r="F519" s="364" t="s">
        <v>2169</v>
      </c>
      <c r="G519" s="364" t="s">
        <v>658</v>
      </c>
      <c r="H519" s="364" t="s">
        <v>2168</v>
      </c>
      <c r="I519" s="364" t="s">
        <v>814</v>
      </c>
      <c r="J519" s="364" t="s">
        <v>673</v>
      </c>
      <c r="K519" s="364" t="s">
        <v>668</v>
      </c>
      <c r="L519" s="364" t="s">
        <v>190</v>
      </c>
      <c r="M519" s="364" t="s">
        <v>54</v>
      </c>
      <c r="N519" s="364" t="s">
        <v>654</v>
      </c>
      <c r="O519" s="364" t="s">
        <v>653</v>
      </c>
      <c r="P519" s="364" t="s">
        <v>198</v>
      </c>
      <c r="Q519" s="364" t="s">
        <v>652</v>
      </c>
      <c r="R519" s="364" t="s">
        <v>88</v>
      </c>
      <c r="S519" s="364" t="s">
        <v>88</v>
      </c>
      <c r="T519" s="364" t="s">
        <v>88</v>
      </c>
      <c r="U519" s="364" t="s">
        <v>88</v>
      </c>
      <c r="V519" s="364" t="s">
        <v>88</v>
      </c>
      <c r="W519" s="364" t="s">
        <v>88</v>
      </c>
      <c r="X519" s="364" t="s">
        <v>88</v>
      </c>
      <c r="Y519" s="364" t="s">
        <v>88</v>
      </c>
      <c r="Z519" s="364" t="s">
        <v>1265</v>
      </c>
      <c r="AA519" s="364" t="s">
        <v>649</v>
      </c>
      <c r="AB519" s="364" t="s">
        <v>649</v>
      </c>
      <c r="AC519" s="364" t="s">
        <v>649</v>
      </c>
      <c r="AD519" s="364" t="s">
        <v>649</v>
      </c>
      <c r="AE519" s="364" t="s">
        <v>88</v>
      </c>
      <c r="AF519" s="364" t="s">
        <v>88</v>
      </c>
      <c r="AG519" s="364" t="s">
        <v>88</v>
      </c>
      <c r="AH519" s="364" t="s">
        <v>88</v>
      </c>
      <c r="AI519" s="364" t="s">
        <v>1155</v>
      </c>
      <c r="AJ519" s="364" t="s">
        <v>710</v>
      </c>
      <c r="AK519" s="364" t="s">
        <v>1016</v>
      </c>
      <c r="AL519" s="364" t="s">
        <v>646</v>
      </c>
      <c r="AM519" s="364" t="s">
        <v>668</v>
      </c>
      <c r="AN519" s="364" t="s">
        <v>644</v>
      </c>
    </row>
    <row r="520" spans="1:40" x14ac:dyDescent="0.3">
      <c r="A520" s="364" t="s">
        <v>2170</v>
      </c>
      <c r="B520" s="364" t="s">
        <v>661</v>
      </c>
      <c r="C520" s="364" t="s">
        <v>660</v>
      </c>
      <c r="D520" s="364" t="s">
        <v>90</v>
      </c>
      <c r="E520" s="364" t="s">
        <v>2169</v>
      </c>
      <c r="F520" s="364" t="s">
        <v>2169</v>
      </c>
      <c r="G520" s="364" t="s">
        <v>658</v>
      </c>
      <c r="H520" s="364" t="s">
        <v>2168</v>
      </c>
      <c r="I520" s="364" t="s">
        <v>814</v>
      </c>
      <c r="J520" s="364" t="s">
        <v>673</v>
      </c>
      <c r="K520" s="364" t="s">
        <v>668</v>
      </c>
      <c r="L520" s="364" t="s">
        <v>190</v>
      </c>
      <c r="M520" s="364" t="s">
        <v>61</v>
      </c>
      <c r="N520" s="364" t="s">
        <v>654</v>
      </c>
      <c r="O520" s="364" t="s">
        <v>653</v>
      </c>
      <c r="P520" s="364" t="s">
        <v>198</v>
      </c>
      <c r="Q520" s="364" t="s">
        <v>652</v>
      </c>
      <c r="R520" s="364" t="s">
        <v>88</v>
      </c>
      <c r="S520" s="364" t="s">
        <v>88</v>
      </c>
      <c r="T520" s="364" t="s">
        <v>88</v>
      </c>
      <c r="U520" s="364" t="s">
        <v>88</v>
      </c>
      <c r="V520" s="364" t="s">
        <v>88</v>
      </c>
      <c r="W520" s="364" t="s">
        <v>88</v>
      </c>
      <c r="X520" s="364" t="s">
        <v>88</v>
      </c>
      <c r="Y520" s="364" t="s">
        <v>88</v>
      </c>
      <c r="Z520" s="364" t="s">
        <v>1021</v>
      </c>
      <c r="AA520" s="364" t="s">
        <v>671</v>
      </c>
      <c r="AB520" s="364" t="s">
        <v>649</v>
      </c>
      <c r="AC520" s="364" t="s">
        <v>649</v>
      </c>
      <c r="AD520" s="364" t="s">
        <v>649</v>
      </c>
      <c r="AE520" s="364" t="s">
        <v>88</v>
      </c>
      <c r="AF520" s="364" t="s">
        <v>88</v>
      </c>
      <c r="AG520" s="364" t="s">
        <v>88</v>
      </c>
      <c r="AH520" s="364" t="s">
        <v>88</v>
      </c>
      <c r="AI520" s="364" t="s">
        <v>1155</v>
      </c>
      <c r="AJ520" s="364" t="s">
        <v>710</v>
      </c>
      <c r="AK520" s="364" t="s">
        <v>1016</v>
      </c>
      <c r="AL520" s="364" t="s">
        <v>646</v>
      </c>
      <c r="AM520" s="364" t="s">
        <v>668</v>
      </c>
      <c r="AN520" s="364" t="s">
        <v>644</v>
      </c>
    </row>
    <row r="521" spans="1:40" x14ac:dyDescent="0.3">
      <c r="A521" s="364" t="s">
        <v>2170</v>
      </c>
      <c r="B521" s="364" t="s">
        <v>661</v>
      </c>
      <c r="C521" s="364" t="s">
        <v>660</v>
      </c>
      <c r="D521" s="364" t="s">
        <v>90</v>
      </c>
      <c r="E521" s="364" t="s">
        <v>2169</v>
      </c>
      <c r="F521" s="364" t="s">
        <v>2169</v>
      </c>
      <c r="G521" s="364" t="s">
        <v>658</v>
      </c>
      <c r="H521" s="364" t="s">
        <v>2168</v>
      </c>
      <c r="I521" s="364" t="s">
        <v>814</v>
      </c>
      <c r="J521" s="364" t="s">
        <v>673</v>
      </c>
      <c r="K521" s="364" t="s">
        <v>668</v>
      </c>
      <c r="L521" s="364" t="s">
        <v>190</v>
      </c>
      <c r="M521" s="364" t="s">
        <v>725</v>
      </c>
      <c r="N521" s="364" t="s">
        <v>654</v>
      </c>
      <c r="O521" s="364" t="s">
        <v>653</v>
      </c>
      <c r="P521" s="364" t="s">
        <v>198</v>
      </c>
      <c r="Q521" s="364" t="s">
        <v>652</v>
      </c>
      <c r="R521" s="364" t="s">
        <v>88</v>
      </c>
      <c r="S521" s="364" t="s">
        <v>88</v>
      </c>
      <c r="T521" s="364" t="s">
        <v>88</v>
      </c>
      <c r="U521" s="364" t="s">
        <v>88</v>
      </c>
      <c r="V521" s="364" t="s">
        <v>88</v>
      </c>
      <c r="W521" s="364" t="s">
        <v>88</v>
      </c>
      <c r="X521" s="364" t="s">
        <v>88</v>
      </c>
      <c r="Y521" s="364" t="s">
        <v>88</v>
      </c>
      <c r="Z521" s="364" t="s">
        <v>724</v>
      </c>
      <c r="AA521" s="364" t="s">
        <v>649</v>
      </c>
      <c r="AB521" s="364" t="s">
        <v>649</v>
      </c>
      <c r="AC521" s="364" t="s">
        <v>649</v>
      </c>
      <c r="AD521" s="364" t="s">
        <v>649</v>
      </c>
      <c r="AE521" s="364" t="s">
        <v>88</v>
      </c>
      <c r="AF521" s="364" t="s">
        <v>88</v>
      </c>
      <c r="AG521" s="364" t="s">
        <v>88</v>
      </c>
      <c r="AH521" s="364" t="s">
        <v>88</v>
      </c>
      <c r="AI521" s="364" t="s">
        <v>1155</v>
      </c>
      <c r="AJ521" s="364" t="s">
        <v>710</v>
      </c>
      <c r="AK521" s="364" t="s">
        <v>1016</v>
      </c>
      <c r="AL521" s="364" t="s">
        <v>646</v>
      </c>
      <c r="AM521" s="364" t="s">
        <v>668</v>
      </c>
      <c r="AN521" s="364" t="s">
        <v>644</v>
      </c>
    </row>
    <row r="522" spans="1:40" x14ac:dyDescent="0.3">
      <c r="A522" s="364" t="s">
        <v>2170</v>
      </c>
      <c r="B522" s="364" t="s">
        <v>661</v>
      </c>
      <c r="C522" s="364" t="s">
        <v>660</v>
      </c>
      <c r="D522" s="364" t="s">
        <v>90</v>
      </c>
      <c r="E522" s="364" t="s">
        <v>2169</v>
      </c>
      <c r="F522" s="364" t="s">
        <v>2169</v>
      </c>
      <c r="G522" s="364" t="s">
        <v>658</v>
      </c>
      <c r="H522" s="364" t="s">
        <v>2168</v>
      </c>
      <c r="I522" s="364" t="s">
        <v>814</v>
      </c>
      <c r="J522" s="364" t="s">
        <v>673</v>
      </c>
      <c r="K522" s="364" t="s">
        <v>668</v>
      </c>
      <c r="L522" s="364" t="s">
        <v>190</v>
      </c>
      <c r="M522" s="364" t="s">
        <v>723</v>
      </c>
      <c r="N522" s="364" t="s">
        <v>654</v>
      </c>
      <c r="O522" s="364" t="s">
        <v>653</v>
      </c>
      <c r="P522" s="364" t="s">
        <v>198</v>
      </c>
      <c r="Q522" s="364" t="s">
        <v>652</v>
      </c>
      <c r="R522" s="364" t="s">
        <v>88</v>
      </c>
      <c r="S522" s="364" t="s">
        <v>88</v>
      </c>
      <c r="T522" s="364" t="s">
        <v>88</v>
      </c>
      <c r="U522" s="364" t="s">
        <v>88</v>
      </c>
      <c r="V522" s="364" t="s">
        <v>88</v>
      </c>
      <c r="W522" s="364" t="s">
        <v>88</v>
      </c>
      <c r="X522" s="364" t="s">
        <v>88</v>
      </c>
      <c r="Y522" s="364" t="s">
        <v>88</v>
      </c>
      <c r="Z522" s="364" t="s">
        <v>722</v>
      </c>
      <c r="AA522" s="364" t="s">
        <v>649</v>
      </c>
      <c r="AB522" s="364" t="s">
        <v>649</v>
      </c>
      <c r="AC522" s="364" t="s">
        <v>649</v>
      </c>
      <c r="AD522" s="364" t="s">
        <v>649</v>
      </c>
      <c r="AE522" s="364" t="s">
        <v>88</v>
      </c>
      <c r="AF522" s="364" t="s">
        <v>88</v>
      </c>
      <c r="AG522" s="364" t="s">
        <v>88</v>
      </c>
      <c r="AH522" s="364" t="s">
        <v>88</v>
      </c>
      <c r="AI522" s="364" t="s">
        <v>1155</v>
      </c>
      <c r="AJ522" s="364" t="s">
        <v>710</v>
      </c>
      <c r="AK522" s="364" t="s">
        <v>1016</v>
      </c>
      <c r="AL522" s="364" t="s">
        <v>646</v>
      </c>
      <c r="AM522" s="364" t="s">
        <v>668</v>
      </c>
      <c r="AN522" s="364" t="s">
        <v>644</v>
      </c>
    </row>
    <row r="523" spans="1:40" x14ac:dyDescent="0.3">
      <c r="A523" s="364" t="s">
        <v>2170</v>
      </c>
      <c r="B523" s="364" t="s">
        <v>661</v>
      </c>
      <c r="C523" s="364" t="s">
        <v>660</v>
      </c>
      <c r="D523" s="364" t="s">
        <v>90</v>
      </c>
      <c r="E523" s="364" t="s">
        <v>2169</v>
      </c>
      <c r="F523" s="364" t="s">
        <v>2169</v>
      </c>
      <c r="G523" s="364" t="s">
        <v>658</v>
      </c>
      <c r="H523" s="364" t="s">
        <v>2168</v>
      </c>
      <c r="I523" s="364" t="s">
        <v>814</v>
      </c>
      <c r="J523" s="364" t="s">
        <v>673</v>
      </c>
      <c r="K523" s="364" t="s">
        <v>668</v>
      </c>
      <c r="L523" s="364" t="s">
        <v>190</v>
      </c>
      <c r="M523" s="364" t="s">
        <v>721</v>
      </c>
      <c r="N523" s="364" t="s">
        <v>654</v>
      </c>
      <c r="O523" s="364" t="s">
        <v>653</v>
      </c>
      <c r="P523" s="364" t="s">
        <v>198</v>
      </c>
      <c r="Q523" s="364" t="s">
        <v>652</v>
      </c>
      <c r="R523" s="364" t="s">
        <v>88</v>
      </c>
      <c r="S523" s="364" t="s">
        <v>88</v>
      </c>
      <c r="T523" s="364" t="s">
        <v>88</v>
      </c>
      <c r="U523" s="364" t="s">
        <v>88</v>
      </c>
      <c r="V523" s="364" t="s">
        <v>88</v>
      </c>
      <c r="W523" s="364" t="s">
        <v>88</v>
      </c>
      <c r="X523" s="364" t="s">
        <v>88</v>
      </c>
      <c r="Y523" s="364" t="s">
        <v>88</v>
      </c>
      <c r="Z523" s="364" t="s">
        <v>720</v>
      </c>
      <c r="AA523" s="364" t="s">
        <v>649</v>
      </c>
      <c r="AB523" s="364" t="s">
        <v>649</v>
      </c>
      <c r="AC523" s="364" t="s">
        <v>649</v>
      </c>
      <c r="AD523" s="364" t="s">
        <v>649</v>
      </c>
      <c r="AE523" s="364" t="s">
        <v>88</v>
      </c>
      <c r="AF523" s="364" t="s">
        <v>88</v>
      </c>
      <c r="AG523" s="364" t="s">
        <v>88</v>
      </c>
      <c r="AH523" s="364" t="s">
        <v>88</v>
      </c>
      <c r="AI523" s="364" t="s">
        <v>1155</v>
      </c>
      <c r="AJ523" s="364" t="s">
        <v>710</v>
      </c>
      <c r="AK523" s="364" t="s">
        <v>1016</v>
      </c>
      <c r="AL523" s="364" t="s">
        <v>646</v>
      </c>
      <c r="AM523" s="364" t="s">
        <v>668</v>
      </c>
      <c r="AN523" s="364" t="s">
        <v>644</v>
      </c>
    </row>
    <row r="524" spans="1:40" x14ac:dyDescent="0.3">
      <c r="A524" s="364" t="s">
        <v>2167</v>
      </c>
      <c r="B524" s="364" t="s">
        <v>661</v>
      </c>
      <c r="C524" s="364" t="s">
        <v>660</v>
      </c>
      <c r="D524" s="364" t="s">
        <v>90</v>
      </c>
      <c r="E524" s="364" t="s">
        <v>2166</v>
      </c>
      <c r="F524" s="364" t="s">
        <v>2166</v>
      </c>
      <c r="G524" s="364" t="s">
        <v>658</v>
      </c>
      <c r="H524" s="364" t="s">
        <v>2165</v>
      </c>
      <c r="I524" s="364" t="s">
        <v>2164</v>
      </c>
      <c r="J524" s="364" t="s">
        <v>673</v>
      </c>
      <c r="K524" s="364" t="s">
        <v>668</v>
      </c>
      <c r="L524" s="364" t="s">
        <v>190</v>
      </c>
      <c r="M524" s="364" t="s">
        <v>713</v>
      </c>
      <c r="N524" s="364" t="s">
        <v>654</v>
      </c>
      <c r="O524" s="364" t="s">
        <v>653</v>
      </c>
      <c r="P524" s="364" t="s">
        <v>198</v>
      </c>
      <c r="Q524" s="364" t="s">
        <v>652</v>
      </c>
      <c r="R524" s="364" t="s">
        <v>88</v>
      </c>
      <c r="S524" s="364" t="s">
        <v>88</v>
      </c>
      <c r="T524" s="364" t="s">
        <v>88</v>
      </c>
      <c r="U524" s="364" t="s">
        <v>88</v>
      </c>
      <c r="V524" s="364" t="s">
        <v>88</v>
      </c>
      <c r="W524" s="364" t="s">
        <v>88</v>
      </c>
      <c r="X524" s="364" t="s">
        <v>88</v>
      </c>
      <c r="Y524" s="364" t="s">
        <v>88</v>
      </c>
      <c r="Z524" s="364" t="s">
        <v>712</v>
      </c>
      <c r="AA524" s="364" t="s">
        <v>711</v>
      </c>
      <c r="AB524" s="364" t="s">
        <v>649</v>
      </c>
      <c r="AC524" s="364" t="s">
        <v>649</v>
      </c>
      <c r="AD524" s="364" t="s">
        <v>649</v>
      </c>
      <c r="AE524" s="364" t="s">
        <v>88</v>
      </c>
      <c r="AF524" s="364" t="s">
        <v>88</v>
      </c>
      <c r="AG524" s="364" t="s">
        <v>88</v>
      </c>
      <c r="AH524" s="364" t="s">
        <v>88</v>
      </c>
      <c r="AI524" s="364" t="s">
        <v>1155</v>
      </c>
      <c r="AJ524" s="364" t="s">
        <v>710</v>
      </c>
      <c r="AK524" s="364" t="s">
        <v>1016</v>
      </c>
      <c r="AL524" s="364" t="s">
        <v>646</v>
      </c>
      <c r="AM524" s="364" t="s">
        <v>668</v>
      </c>
      <c r="AN524" s="364" t="s">
        <v>644</v>
      </c>
    </row>
    <row r="525" spans="1:40" x14ac:dyDescent="0.3">
      <c r="A525" s="364" t="s">
        <v>2167</v>
      </c>
      <c r="B525" s="364" t="s">
        <v>661</v>
      </c>
      <c r="C525" s="364" t="s">
        <v>660</v>
      </c>
      <c r="D525" s="364" t="s">
        <v>90</v>
      </c>
      <c r="E525" s="364" t="s">
        <v>2166</v>
      </c>
      <c r="F525" s="364" t="s">
        <v>2166</v>
      </c>
      <c r="G525" s="364" t="s">
        <v>658</v>
      </c>
      <c r="H525" s="364" t="s">
        <v>2165</v>
      </c>
      <c r="I525" s="364" t="s">
        <v>2164</v>
      </c>
      <c r="J525" s="364" t="s">
        <v>673</v>
      </c>
      <c r="K525" s="364" t="s">
        <v>668</v>
      </c>
      <c r="L525" s="364" t="s">
        <v>190</v>
      </c>
      <c r="M525" s="364" t="s">
        <v>718</v>
      </c>
      <c r="N525" s="364" t="s">
        <v>654</v>
      </c>
      <c r="O525" s="364" t="s">
        <v>653</v>
      </c>
      <c r="P525" s="364" t="s">
        <v>198</v>
      </c>
      <c r="Q525" s="364" t="s">
        <v>652</v>
      </c>
      <c r="R525" s="364" t="s">
        <v>88</v>
      </c>
      <c r="S525" s="364" t="s">
        <v>88</v>
      </c>
      <c r="T525" s="364" t="s">
        <v>88</v>
      </c>
      <c r="U525" s="364" t="s">
        <v>88</v>
      </c>
      <c r="V525" s="364" t="s">
        <v>88</v>
      </c>
      <c r="W525" s="364" t="s">
        <v>88</v>
      </c>
      <c r="X525" s="364" t="s">
        <v>88</v>
      </c>
      <c r="Y525" s="364" t="s">
        <v>88</v>
      </c>
      <c r="Z525" s="364" t="s">
        <v>717</v>
      </c>
      <c r="AA525" s="364" t="s">
        <v>649</v>
      </c>
      <c r="AB525" s="364" t="s">
        <v>649</v>
      </c>
      <c r="AC525" s="364" t="s">
        <v>649</v>
      </c>
      <c r="AD525" s="364" t="s">
        <v>649</v>
      </c>
      <c r="AE525" s="364" t="s">
        <v>88</v>
      </c>
      <c r="AF525" s="364" t="s">
        <v>88</v>
      </c>
      <c r="AG525" s="364" t="s">
        <v>88</v>
      </c>
      <c r="AH525" s="364" t="s">
        <v>88</v>
      </c>
      <c r="AI525" s="364" t="s">
        <v>1155</v>
      </c>
      <c r="AJ525" s="364" t="s">
        <v>710</v>
      </c>
      <c r="AK525" s="364" t="s">
        <v>1016</v>
      </c>
      <c r="AL525" s="364" t="s">
        <v>646</v>
      </c>
      <c r="AM525" s="364" t="s">
        <v>668</v>
      </c>
      <c r="AN525" s="364" t="s">
        <v>644</v>
      </c>
    </row>
    <row r="526" spans="1:40" x14ac:dyDescent="0.3">
      <c r="A526" s="364" t="s">
        <v>2167</v>
      </c>
      <c r="B526" s="364" t="s">
        <v>661</v>
      </c>
      <c r="C526" s="364" t="s">
        <v>660</v>
      </c>
      <c r="D526" s="364" t="s">
        <v>90</v>
      </c>
      <c r="E526" s="364" t="s">
        <v>2166</v>
      </c>
      <c r="F526" s="364" t="s">
        <v>2166</v>
      </c>
      <c r="G526" s="364" t="s">
        <v>658</v>
      </c>
      <c r="H526" s="364" t="s">
        <v>2165</v>
      </c>
      <c r="I526" s="364" t="s">
        <v>2164</v>
      </c>
      <c r="J526" s="364" t="s">
        <v>673</v>
      </c>
      <c r="K526" s="364" t="s">
        <v>668</v>
      </c>
      <c r="L526" s="364" t="s">
        <v>190</v>
      </c>
      <c r="M526" s="364" t="s">
        <v>54</v>
      </c>
      <c r="N526" s="364" t="s">
        <v>654</v>
      </c>
      <c r="O526" s="364" t="s">
        <v>653</v>
      </c>
      <c r="P526" s="364" t="s">
        <v>198</v>
      </c>
      <c r="Q526" s="364" t="s">
        <v>652</v>
      </c>
      <c r="R526" s="364" t="s">
        <v>88</v>
      </c>
      <c r="S526" s="364" t="s">
        <v>88</v>
      </c>
      <c r="T526" s="364" t="s">
        <v>88</v>
      </c>
      <c r="U526" s="364" t="s">
        <v>88</v>
      </c>
      <c r="V526" s="364" t="s">
        <v>88</v>
      </c>
      <c r="W526" s="364" t="s">
        <v>88</v>
      </c>
      <c r="X526" s="364" t="s">
        <v>88</v>
      </c>
      <c r="Y526" s="364" t="s">
        <v>88</v>
      </c>
      <c r="Z526" s="364" t="s">
        <v>1265</v>
      </c>
      <c r="AA526" s="364" t="s">
        <v>649</v>
      </c>
      <c r="AB526" s="364" t="s">
        <v>649</v>
      </c>
      <c r="AC526" s="364" t="s">
        <v>649</v>
      </c>
      <c r="AD526" s="364" t="s">
        <v>649</v>
      </c>
      <c r="AE526" s="364" t="s">
        <v>88</v>
      </c>
      <c r="AF526" s="364" t="s">
        <v>88</v>
      </c>
      <c r="AG526" s="364" t="s">
        <v>88</v>
      </c>
      <c r="AH526" s="364" t="s">
        <v>88</v>
      </c>
      <c r="AI526" s="364" t="s">
        <v>1155</v>
      </c>
      <c r="AJ526" s="364" t="s">
        <v>710</v>
      </c>
      <c r="AK526" s="364" t="s">
        <v>1016</v>
      </c>
      <c r="AL526" s="364" t="s">
        <v>646</v>
      </c>
      <c r="AM526" s="364" t="s">
        <v>668</v>
      </c>
      <c r="AN526" s="364" t="s">
        <v>644</v>
      </c>
    </row>
    <row r="527" spans="1:40" x14ac:dyDescent="0.3">
      <c r="A527" s="364" t="s">
        <v>2167</v>
      </c>
      <c r="B527" s="364" t="s">
        <v>661</v>
      </c>
      <c r="C527" s="364" t="s">
        <v>660</v>
      </c>
      <c r="D527" s="364" t="s">
        <v>90</v>
      </c>
      <c r="E527" s="364" t="s">
        <v>2166</v>
      </c>
      <c r="F527" s="364" t="s">
        <v>2166</v>
      </c>
      <c r="G527" s="364" t="s">
        <v>658</v>
      </c>
      <c r="H527" s="364" t="s">
        <v>2165</v>
      </c>
      <c r="I527" s="364" t="s">
        <v>2164</v>
      </c>
      <c r="J527" s="364" t="s">
        <v>673</v>
      </c>
      <c r="K527" s="364" t="s">
        <v>668</v>
      </c>
      <c r="L527" s="364" t="s">
        <v>190</v>
      </c>
      <c r="M527" s="364" t="s">
        <v>61</v>
      </c>
      <c r="N527" s="364" t="s">
        <v>654</v>
      </c>
      <c r="O527" s="364" t="s">
        <v>653</v>
      </c>
      <c r="P527" s="364" t="s">
        <v>198</v>
      </c>
      <c r="Q527" s="364" t="s">
        <v>652</v>
      </c>
      <c r="R527" s="364" t="s">
        <v>88</v>
      </c>
      <c r="S527" s="364" t="s">
        <v>88</v>
      </c>
      <c r="T527" s="364" t="s">
        <v>88</v>
      </c>
      <c r="U527" s="364" t="s">
        <v>88</v>
      </c>
      <c r="V527" s="364" t="s">
        <v>88</v>
      </c>
      <c r="W527" s="364" t="s">
        <v>88</v>
      </c>
      <c r="X527" s="364" t="s">
        <v>88</v>
      </c>
      <c r="Y527" s="364" t="s">
        <v>88</v>
      </c>
      <c r="Z527" s="364" t="s">
        <v>1021</v>
      </c>
      <c r="AA527" s="364" t="s">
        <v>671</v>
      </c>
      <c r="AB527" s="364" t="s">
        <v>649</v>
      </c>
      <c r="AC527" s="364" t="s">
        <v>649</v>
      </c>
      <c r="AD527" s="364" t="s">
        <v>649</v>
      </c>
      <c r="AE527" s="364" t="s">
        <v>88</v>
      </c>
      <c r="AF527" s="364" t="s">
        <v>88</v>
      </c>
      <c r="AG527" s="364" t="s">
        <v>88</v>
      </c>
      <c r="AH527" s="364" t="s">
        <v>88</v>
      </c>
      <c r="AI527" s="364" t="s">
        <v>1155</v>
      </c>
      <c r="AJ527" s="364" t="s">
        <v>710</v>
      </c>
      <c r="AK527" s="364" t="s">
        <v>1016</v>
      </c>
      <c r="AL527" s="364" t="s">
        <v>646</v>
      </c>
      <c r="AM527" s="364" t="s">
        <v>668</v>
      </c>
      <c r="AN527" s="364" t="s">
        <v>644</v>
      </c>
    </row>
    <row r="528" spans="1:40" x14ac:dyDescent="0.3">
      <c r="A528" s="364" t="s">
        <v>2167</v>
      </c>
      <c r="B528" s="364" t="s">
        <v>661</v>
      </c>
      <c r="C528" s="364" t="s">
        <v>660</v>
      </c>
      <c r="D528" s="364" t="s">
        <v>90</v>
      </c>
      <c r="E528" s="364" t="s">
        <v>2166</v>
      </c>
      <c r="F528" s="364" t="s">
        <v>2166</v>
      </c>
      <c r="G528" s="364" t="s">
        <v>658</v>
      </c>
      <c r="H528" s="364" t="s">
        <v>2165</v>
      </c>
      <c r="I528" s="364" t="s">
        <v>2164</v>
      </c>
      <c r="J528" s="364" t="s">
        <v>673</v>
      </c>
      <c r="K528" s="364" t="s">
        <v>668</v>
      </c>
      <c r="L528" s="364" t="s">
        <v>190</v>
      </c>
      <c r="M528" s="364" t="s">
        <v>725</v>
      </c>
      <c r="N528" s="364" t="s">
        <v>654</v>
      </c>
      <c r="O528" s="364" t="s">
        <v>653</v>
      </c>
      <c r="P528" s="364" t="s">
        <v>198</v>
      </c>
      <c r="Q528" s="364" t="s">
        <v>652</v>
      </c>
      <c r="R528" s="364" t="s">
        <v>88</v>
      </c>
      <c r="S528" s="364" t="s">
        <v>88</v>
      </c>
      <c r="T528" s="364" t="s">
        <v>88</v>
      </c>
      <c r="U528" s="364" t="s">
        <v>88</v>
      </c>
      <c r="V528" s="364" t="s">
        <v>88</v>
      </c>
      <c r="W528" s="364" t="s">
        <v>88</v>
      </c>
      <c r="X528" s="364" t="s">
        <v>88</v>
      </c>
      <c r="Y528" s="364" t="s">
        <v>88</v>
      </c>
      <c r="Z528" s="364" t="s">
        <v>724</v>
      </c>
      <c r="AA528" s="364" t="s">
        <v>649</v>
      </c>
      <c r="AB528" s="364" t="s">
        <v>649</v>
      </c>
      <c r="AC528" s="364" t="s">
        <v>649</v>
      </c>
      <c r="AD528" s="364" t="s">
        <v>649</v>
      </c>
      <c r="AE528" s="364" t="s">
        <v>88</v>
      </c>
      <c r="AF528" s="364" t="s">
        <v>88</v>
      </c>
      <c r="AG528" s="364" t="s">
        <v>88</v>
      </c>
      <c r="AH528" s="364" t="s">
        <v>88</v>
      </c>
      <c r="AI528" s="364" t="s">
        <v>1155</v>
      </c>
      <c r="AJ528" s="364" t="s">
        <v>710</v>
      </c>
      <c r="AK528" s="364" t="s">
        <v>1016</v>
      </c>
      <c r="AL528" s="364" t="s">
        <v>646</v>
      </c>
      <c r="AM528" s="364" t="s">
        <v>668</v>
      </c>
      <c r="AN528" s="364" t="s">
        <v>644</v>
      </c>
    </row>
    <row r="529" spans="1:40" x14ac:dyDescent="0.3">
      <c r="A529" s="364" t="s">
        <v>2167</v>
      </c>
      <c r="B529" s="364" t="s">
        <v>661</v>
      </c>
      <c r="C529" s="364" t="s">
        <v>660</v>
      </c>
      <c r="D529" s="364" t="s">
        <v>90</v>
      </c>
      <c r="E529" s="364" t="s">
        <v>2166</v>
      </c>
      <c r="F529" s="364" t="s">
        <v>2166</v>
      </c>
      <c r="G529" s="364" t="s">
        <v>658</v>
      </c>
      <c r="H529" s="364" t="s">
        <v>2165</v>
      </c>
      <c r="I529" s="364" t="s">
        <v>2164</v>
      </c>
      <c r="J529" s="364" t="s">
        <v>673</v>
      </c>
      <c r="K529" s="364" t="s">
        <v>668</v>
      </c>
      <c r="L529" s="364" t="s">
        <v>190</v>
      </c>
      <c r="M529" s="364" t="s">
        <v>723</v>
      </c>
      <c r="N529" s="364" t="s">
        <v>654</v>
      </c>
      <c r="O529" s="364" t="s">
        <v>653</v>
      </c>
      <c r="P529" s="364" t="s">
        <v>198</v>
      </c>
      <c r="Q529" s="364" t="s">
        <v>652</v>
      </c>
      <c r="R529" s="364" t="s">
        <v>88</v>
      </c>
      <c r="S529" s="364" t="s">
        <v>88</v>
      </c>
      <c r="T529" s="364" t="s">
        <v>88</v>
      </c>
      <c r="U529" s="364" t="s">
        <v>88</v>
      </c>
      <c r="V529" s="364" t="s">
        <v>88</v>
      </c>
      <c r="W529" s="364" t="s">
        <v>88</v>
      </c>
      <c r="X529" s="364" t="s">
        <v>88</v>
      </c>
      <c r="Y529" s="364" t="s">
        <v>88</v>
      </c>
      <c r="Z529" s="364" t="s">
        <v>722</v>
      </c>
      <c r="AA529" s="364" t="s">
        <v>649</v>
      </c>
      <c r="AB529" s="364" t="s">
        <v>649</v>
      </c>
      <c r="AC529" s="364" t="s">
        <v>649</v>
      </c>
      <c r="AD529" s="364" t="s">
        <v>649</v>
      </c>
      <c r="AE529" s="364" t="s">
        <v>88</v>
      </c>
      <c r="AF529" s="364" t="s">
        <v>88</v>
      </c>
      <c r="AG529" s="364" t="s">
        <v>88</v>
      </c>
      <c r="AH529" s="364" t="s">
        <v>88</v>
      </c>
      <c r="AI529" s="364" t="s">
        <v>1155</v>
      </c>
      <c r="AJ529" s="364" t="s">
        <v>710</v>
      </c>
      <c r="AK529" s="364" t="s">
        <v>1016</v>
      </c>
      <c r="AL529" s="364" t="s">
        <v>646</v>
      </c>
      <c r="AM529" s="364" t="s">
        <v>668</v>
      </c>
      <c r="AN529" s="364" t="s">
        <v>644</v>
      </c>
    </row>
    <row r="530" spans="1:40" x14ac:dyDescent="0.3">
      <c r="A530" s="364" t="s">
        <v>2167</v>
      </c>
      <c r="B530" s="364" t="s">
        <v>661</v>
      </c>
      <c r="C530" s="364" t="s">
        <v>660</v>
      </c>
      <c r="D530" s="364" t="s">
        <v>90</v>
      </c>
      <c r="E530" s="364" t="s">
        <v>2166</v>
      </c>
      <c r="F530" s="364" t="s">
        <v>2166</v>
      </c>
      <c r="G530" s="364" t="s">
        <v>658</v>
      </c>
      <c r="H530" s="364" t="s">
        <v>2165</v>
      </c>
      <c r="I530" s="364" t="s">
        <v>2164</v>
      </c>
      <c r="J530" s="364" t="s">
        <v>673</v>
      </c>
      <c r="K530" s="364" t="s">
        <v>668</v>
      </c>
      <c r="L530" s="364" t="s">
        <v>190</v>
      </c>
      <c r="M530" s="364" t="s">
        <v>721</v>
      </c>
      <c r="N530" s="364" t="s">
        <v>654</v>
      </c>
      <c r="O530" s="364" t="s">
        <v>653</v>
      </c>
      <c r="P530" s="364" t="s">
        <v>198</v>
      </c>
      <c r="Q530" s="364" t="s">
        <v>652</v>
      </c>
      <c r="R530" s="364" t="s">
        <v>88</v>
      </c>
      <c r="S530" s="364" t="s">
        <v>88</v>
      </c>
      <c r="T530" s="364" t="s">
        <v>88</v>
      </c>
      <c r="U530" s="364" t="s">
        <v>88</v>
      </c>
      <c r="V530" s="364" t="s">
        <v>88</v>
      </c>
      <c r="W530" s="364" t="s">
        <v>88</v>
      </c>
      <c r="X530" s="364" t="s">
        <v>88</v>
      </c>
      <c r="Y530" s="364" t="s">
        <v>88</v>
      </c>
      <c r="Z530" s="364" t="s">
        <v>720</v>
      </c>
      <c r="AA530" s="364" t="s">
        <v>649</v>
      </c>
      <c r="AB530" s="364" t="s">
        <v>649</v>
      </c>
      <c r="AC530" s="364" t="s">
        <v>649</v>
      </c>
      <c r="AD530" s="364" t="s">
        <v>649</v>
      </c>
      <c r="AE530" s="364" t="s">
        <v>88</v>
      </c>
      <c r="AF530" s="364" t="s">
        <v>88</v>
      </c>
      <c r="AG530" s="364" t="s">
        <v>88</v>
      </c>
      <c r="AH530" s="364" t="s">
        <v>88</v>
      </c>
      <c r="AI530" s="364" t="s">
        <v>1155</v>
      </c>
      <c r="AJ530" s="364" t="s">
        <v>710</v>
      </c>
      <c r="AK530" s="364" t="s">
        <v>1016</v>
      </c>
      <c r="AL530" s="364" t="s">
        <v>646</v>
      </c>
      <c r="AM530" s="364" t="s">
        <v>668</v>
      </c>
      <c r="AN530" s="364" t="s">
        <v>644</v>
      </c>
    </row>
    <row r="531" spans="1:40" x14ac:dyDescent="0.3">
      <c r="A531" s="364" t="s">
        <v>2163</v>
      </c>
      <c r="B531" s="364" t="s">
        <v>661</v>
      </c>
      <c r="C531" s="364" t="s">
        <v>660</v>
      </c>
      <c r="D531" s="364" t="s">
        <v>170</v>
      </c>
      <c r="E531" s="364" t="s">
        <v>2100</v>
      </c>
      <c r="F531" s="364" t="s">
        <v>2100</v>
      </c>
      <c r="G531" s="364" t="s">
        <v>658</v>
      </c>
      <c r="H531" s="364" t="s">
        <v>2162</v>
      </c>
      <c r="I531" s="364" t="s">
        <v>2151</v>
      </c>
      <c r="J531" s="364" t="s">
        <v>673</v>
      </c>
      <c r="K531" s="364" t="s">
        <v>668</v>
      </c>
      <c r="L531" s="364" t="s">
        <v>190</v>
      </c>
      <c r="M531" s="364" t="s">
        <v>164</v>
      </c>
      <c r="N531" s="364" t="s">
        <v>654</v>
      </c>
      <c r="O531" s="364" t="s">
        <v>653</v>
      </c>
      <c r="P531" s="364" t="s">
        <v>198</v>
      </c>
      <c r="Q531" s="364" t="s">
        <v>652</v>
      </c>
      <c r="R531" s="364" t="s">
        <v>88</v>
      </c>
      <c r="S531" s="364" t="s">
        <v>88</v>
      </c>
      <c r="T531" s="364" t="s">
        <v>88</v>
      </c>
      <c r="U531" s="364" t="s">
        <v>88</v>
      </c>
      <c r="V531" s="364" t="s">
        <v>88</v>
      </c>
      <c r="W531" s="364" t="s">
        <v>88</v>
      </c>
      <c r="X531" s="364" t="s">
        <v>88</v>
      </c>
      <c r="Y531" s="364" t="s">
        <v>88</v>
      </c>
      <c r="Z531" s="364" t="s">
        <v>825</v>
      </c>
      <c r="AA531" s="364" t="s">
        <v>649</v>
      </c>
      <c r="AB531" s="364" t="s">
        <v>649</v>
      </c>
      <c r="AC531" s="364" t="s">
        <v>649</v>
      </c>
      <c r="AD531" s="364" t="s">
        <v>649</v>
      </c>
      <c r="AE531" s="364" t="s">
        <v>88</v>
      </c>
      <c r="AF531" s="364" t="s">
        <v>88</v>
      </c>
      <c r="AG531" s="364" t="s">
        <v>88</v>
      </c>
      <c r="AH531" s="364" t="s">
        <v>88</v>
      </c>
      <c r="AI531" s="364" t="s">
        <v>1199</v>
      </c>
      <c r="AJ531" s="364" t="s">
        <v>670</v>
      </c>
      <c r="AK531" s="364" t="s">
        <v>687</v>
      </c>
      <c r="AL531" s="364" t="s">
        <v>646</v>
      </c>
      <c r="AM531" s="364" t="s">
        <v>668</v>
      </c>
      <c r="AN531" s="364" t="s">
        <v>644</v>
      </c>
    </row>
    <row r="532" spans="1:40" x14ac:dyDescent="0.3">
      <c r="A532" s="364" t="s">
        <v>2161</v>
      </c>
      <c r="B532" s="364" t="s">
        <v>661</v>
      </c>
      <c r="C532" s="364" t="s">
        <v>660</v>
      </c>
      <c r="D532" s="364" t="s">
        <v>87</v>
      </c>
      <c r="E532" s="364" t="s">
        <v>2100</v>
      </c>
      <c r="F532" s="364" t="s">
        <v>2100</v>
      </c>
      <c r="G532" s="364" t="s">
        <v>658</v>
      </c>
      <c r="H532" s="364" t="s">
        <v>2155</v>
      </c>
      <c r="I532" s="364" t="s">
        <v>2154</v>
      </c>
      <c r="J532" s="364" t="s">
        <v>673</v>
      </c>
      <c r="K532" s="364" t="s">
        <v>668</v>
      </c>
      <c r="L532" s="364" t="s">
        <v>190</v>
      </c>
      <c r="M532" s="364" t="s">
        <v>59</v>
      </c>
      <c r="N532" s="364" t="s">
        <v>654</v>
      </c>
      <c r="O532" s="364" t="s">
        <v>653</v>
      </c>
      <c r="P532" s="364" t="s">
        <v>198</v>
      </c>
      <c r="Q532" s="364" t="s">
        <v>652</v>
      </c>
      <c r="R532" s="364" t="s">
        <v>88</v>
      </c>
      <c r="S532" s="364" t="s">
        <v>88</v>
      </c>
      <c r="T532" s="364" t="s">
        <v>88</v>
      </c>
      <c r="U532" s="364" t="s">
        <v>88</v>
      </c>
      <c r="V532" s="364" t="s">
        <v>88</v>
      </c>
      <c r="W532" s="364" t="s">
        <v>88</v>
      </c>
      <c r="X532" s="364" t="s">
        <v>88</v>
      </c>
      <c r="Y532" s="364" t="s">
        <v>88</v>
      </c>
      <c r="Z532" s="364" t="s">
        <v>672</v>
      </c>
      <c r="AA532" s="364" t="s">
        <v>671</v>
      </c>
      <c r="AB532" s="364" t="s">
        <v>649</v>
      </c>
      <c r="AC532" s="364" t="s">
        <v>649</v>
      </c>
      <c r="AD532" s="364" t="s">
        <v>649</v>
      </c>
      <c r="AE532" s="364" t="s">
        <v>88</v>
      </c>
      <c r="AF532" s="364" t="s">
        <v>88</v>
      </c>
      <c r="AG532" s="364" t="s">
        <v>88</v>
      </c>
      <c r="AH532" s="364" t="s">
        <v>88</v>
      </c>
      <c r="AI532" s="364" t="s">
        <v>1199</v>
      </c>
      <c r="AJ532" s="364" t="s">
        <v>670</v>
      </c>
      <c r="AK532" s="364" t="s">
        <v>669</v>
      </c>
      <c r="AL532" s="364" t="s">
        <v>646</v>
      </c>
      <c r="AM532" s="364" t="s">
        <v>668</v>
      </c>
      <c r="AN532" s="364" t="s">
        <v>644</v>
      </c>
    </row>
    <row r="533" spans="1:40" x14ac:dyDescent="0.3">
      <c r="A533" s="364" t="s">
        <v>2160</v>
      </c>
      <c r="B533" s="364" t="s">
        <v>661</v>
      </c>
      <c r="C533" s="364" t="s">
        <v>660</v>
      </c>
      <c r="D533" s="364" t="s">
        <v>87</v>
      </c>
      <c r="E533" s="364" t="s">
        <v>2096</v>
      </c>
      <c r="F533" s="364" t="s">
        <v>2096</v>
      </c>
      <c r="G533" s="364" t="s">
        <v>658</v>
      </c>
      <c r="H533" s="364" t="s">
        <v>2159</v>
      </c>
      <c r="I533" s="364" t="s">
        <v>2091</v>
      </c>
      <c r="J533" s="364" t="s">
        <v>673</v>
      </c>
      <c r="K533" s="364" t="s">
        <v>668</v>
      </c>
      <c r="L533" s="364" t="s">
        <v>190</v>
      </c>
      <c r="M533" s="364" t="s">
        <v>58</v>
      </c>
      <c r="N533" s="364" t="s">
        <v>654</v>
      </c>
      <c r="O533" s="364" t="s">
        <v>653</v>
      </c>
      <c r="P533" s="364" t="s">
        <v>198</v>
      </c>
      <c r="Q533" s="364" t="s">
        <v>652</v>
      </c>
      <c r="R533" s="364" t="s">
        <v>88</v>
      </c>
      <c r="S533" s="364" t="s">
        <v>88</v>
      </c>
      <c r="T533" s="364" t="s">
        <v>88</v>
      </c>
      <c r="U533" s="364" t="s">
        <v>88</v>
      </c>
      <c r="V533" s="364" t="s">
        <v>88</v>
      </c>
      <c r="W533" s="364" t="s">
        <v>88</v>
      </c>
      <c r="X533" s="364" t="s">
        <v>88</v>
      </c>
      <c r="Y533" s="364" t="s">
        <v>88</v>
      </c>
      <c r="Z533" s="364" t="s">
        <v>702</v>
      </c>
      <c r="AA533" s="364" t="s">
        <v>701</v>
      </c>
      <c r="AB533" s="364" t="s">
        <v>649</v>
      </c>
      <c r="AC533" s="364" t="s">
        <v>649</v>
      </c>
      <c r="AD533" s="364" t="s">
        <v>649</v>
      </c>
      <c r="AE533" s="364" t="s">
        <v>88</v>
      </c>
      <c r="AF533" s="364" t="s">
        <v>88</v>
      </c>
      <c r="AG533" s="364" t="s">
        <v>88</v>
      </c>
      <c r="AH533" s="364" t="s">
        <v>88</v>
      </c>
      <c r="AI533" s="364" t="s">
        <v>1199</v>
      </c>
      <c r="AJ533" s="364" t="s">
        <v>670</v>
      </c>
      <c r="AK533" s="364" t="s">
        <v>669</v>
      </c>
      <c r="AL533" s="364" t="s">
        <v>646</v>
      </c>
      <c r="AM533" s="364" t="s">
        <v>668</v>
      </c>
      <c r="AN533" s="364" t="s">
        <v>644</v>
      </c>
    </row>
    <row r="534" spans="1:40" x14ac:dyDescent="0.3">
      <c r="A534" s="364" t="s">
        <v>2158</v>
      </c>
      <c r="B534" s="364" t="s">
        <v>661</v>
      </c>
      <c r="C534" s="364" t="s">
        <v>660</v>
      </c>
      <c r="D534" s="364" t="s">
        <v>170</v>
      </c>
      <c r="E534" s="364" t="s">
        <v>2096</v>
      </c>
      <c r="F534" s="364" t="s">
        <v>2096</v>
      </c>
      <c r="G534" s="364" t="s">
        <v>658</v>
      </c>
      <c r="H534" s="364" t="s">
        <v>2157</v>
      </c>
      <c r="I534" s="364" t="s">
        <v>2151</v>
      </c>
      <c r="J534" s="364" t="s">
        <v>673</v>
      </c>
      <c r="K534" s="364" t="s">
        <v>668</v>
      </c>
      <c r="L534" s="364" t="s">
        <v>190</v>
      </c>
      <c r="M534" s="364" t="s">
        <v>164</v>
      </c>
      <c r="N534" s="364" t="s">
        <v>654</v>
      </c>
      <c r="O534" s="364" t="s">
        <v>653</v>
      </c>
      <c r="P534" s="364" t="s">
        <v>198</v>
      </c>
      <c r="Q534" s="364" t="s">
        <v>652</v>
      </c>
      <c r="R534" s="364" t="s">
        <v>88</v>
      </c>
      <c r="S534" s="364" t="s">
        <v>88</v>
      </c>
      <c r="T534" s="364" t="s">
        <v>88</v>
      </c>
      <c r="U534" s="364" t="s">
        <v>88</v>
      </c>
      <c r="V534" s="364" t="s">
        <v>88</v>
      </c>
      <c r="W534" s="364" t="s">
        <v>88</v>
      </c>
      <c r="X534" s="364" t="s">
        <v>88</v>
      </c>
      <c r="Y534" s="364" t="s">
        <v>88</v>
      </c>
      <c r="Z534" s="364" t="s">
        <v>825</v>
      </c>
      <c r="AA534" s="364" t="s">
        <v>649</v>
      </c>
      <c r="AB534" s="364" t="s">
        <v>649</v>
      </c>
      <c r="AC534" s="364" t="s">
        <v>649</v>
      </c>
      <c r="AD534" s="364" t="s">
        <v>649</v>
      </c>
      <c r="AE534" s="364" t="s">
        <v>88</v>
      </c>
      <c r="AF534" s="364" t="s">
        <v>88</v>
      </c>
      <c r="AG534" s="364" t="s">
        <v>88</v>
      </c>
      <c r="AH534" s="364" t="s">
        <v>88</v>
      </c>
      <c r="AI534" s="364" t="s">
        <v>1199</v>
      </c>
      <c r="AJ534" s="364" t="s">
        <v>670</v>
      </c>
      <c r="AK534" s="364" t="s">
        <v>687</v>
      </c>
      <c r="AL534" s="364" t="s">
        <v>646</v>
      </c>
      <c r="AM534" s="364" t="s">
        <v>668</v>
      </c>
      <c r="AN534" s="364" t="s">
        <v>644</v>
      </c>
    </row>
    <row r="535" spans="1:40" x14ac:dyDescent="0.3">
      <c r="A535" s="364" t="s">
        <v>2156</v>
      </c>
      <c r="B535" s="364" t="s">
        <v>661</v>
      </c>
      <c r="C535" s="364" t="s">
        <v>660</v>
      </c>
      <c r="D535" s="364" t="s">
        <v>87</v>
      </c>
      <c r="E535" s="364" t="s">
        <v>2096</v>
      </c>
      <c r="F535" s="364" t="s">
        <v>2096</v>
      </c>
      <c r="G535" s="364" t="s">
        <v>658</v>
      </c>
      <c r="H535" s="364" t="s">
        <v>2155</v>
      </c>
      <c r="I535" s="364" t="s">
        <v>2154</v>
      </c>
      <c r="J535" s="364" t="s">
        <v>673</v>
      </c>
      <c r="K535" s="364" t="s">
        <v>668</v>
      </c>
      <c r="L535" s="364" t="s">
        <v>190</v>
      </c>
      <c r="M535" s="364" t="s">
        <v>59</v>
      </c>
      <c r="N535" s="364" t="s">
        <v>654</v>
      </c>
      <c r="O535" s="364" t="s">
        <v>653</v>
      </c>
      <c r="P535" s="364" t="s">
        <v>198</v>
      </c>
      <c r="Q535" s="364" t="s">
        <v>652</v>
      </c>
      <c r="R535" s="364" t="s">
        <v>88</v>
      </c>
      <c r="S535" s="364" t="s">
        <v>88</v>
      </c>
      <c r="T535" s="364" t="s">
        <v>88</v>
      </c>
      <c r="U535" s="364" t="s">
        <v>88</v>
      </c>
      <c r="V535" s="364" t="s">
        <v>88</v>
      </c>
      <c r="W535" s="364" t="s">
        <v>88</v>
      </c>
      <c r="X535" s="364" t="s">
        <v>88</v>
      </c>
      <c r="Y535" s="364" t="s">
        <v>88</v>
      </c>
      <c r="Z535" s="364" t="s">
        <v>672</v>
      </c>
      <c r="AA535" s="364" t="s">
        <v>671</v>
      </c>
      <c r="AB535" s="364" t="s">
        <v>649</v>
      </c>
      <c r="AC535" s="364" t="s">
        <v>649</v>
      </c>
      <c r="AD535" s="364" t="s">
        <v>649</v>
      </c>
      <c r="AE535" s="364" t="s">
        <v>88</v>
      </c>
      <c r="AF535" s="364" t="s">
        <v>88</v>
      </c>
      <c r="AG535" s="364" t="s">
        <v>88</v>
      </c>
      <c r="AH535" s="364" t="s">
        <v>88</v>
      </c>
      <c r="AI535" s="364" t="s">
        <v>1199</v>
      </c>
      <c r="AJ535" s="364" t="s">
        <v>670</v>
      </c>
      <c r="AK535" s="364" t="s">
        <v>669</v>
      </c>
      <c r="AL535" s="364" t="s">
        <v>646</v>
      </c>
      <c r="AM535" s="364" t="s">
        <v>668</v>
      </c>
      <c r="AN535" s="364" t="s">
        <v>644</v>
      </c>
    </row>
    <row r="536" spans="1:40" x14ac:dyDescent="0.3">
      <c r="A536" s="364" t="s">
        <v>2153</v>
      </c>
      <c r="B536" s="364" t="s">
        <v>661</v>
      </c>
      <c r="C536" s="364" t="s">
        <v>660</v>
      </c>
      <c r="D536" s="364" t="s">
        <v>87</v>
      </c>
      <c r="E536" s="364" t="s">
        <v>2096</v>
      </c>
      <c r="F536" s="364" t="s">
        <v>2096</v>
      </c>
      <c r="G536" s="364" t="s">
        <v>658</v>
      </c>
      <c r="H536" s="364" t="s">
        <v>2152</v>
      </c>
      <c r="I536" s="364" t="s">
        <v>2151</v>
      </c>
      <c r="J536" s="364" t="s">
        <v>673</v>
      </c>
      <c r="K536" s="364" t="s">
        <v>668</v>
      </c>
      <c r="L536" s="364" t="s">
        <v>190</v>
      </c>
      <c r="M536" s="364" t="s">
        <v>60</v>
      </c>
      <c r="N536" s="364" t="s">
        <v>654</v>
      </c>
      <c r="O536" s="364" t="s">
        <v>653</v>
      </c>
      <c r="P536" s="364" t="s">
        <v>198</v>
      </c>
      <c r="Q536" s="364" t="s">
        <v>652</v>
      </c>
      <c r="R536" s="364" t="s">
        <v>88</v>
      </c>
      <c r="S536" s="364" t="s">
        <v>88</v>
      </c>
      <c r="T536" s="364" t="s">
        <v>88</v>
      </c>
      <c r="U536" s="364" t="s">
        <v>88</v>
      </c>
      <c r="V536" s="364" t="s">
        <v>88</v>
      </c>
      <c r="W536" s="364" t="s">
        <v>88</v>
      </c>
      <c r="X536" s="364" t="s">
        <v>88</v>
      </c>
      <c r="Y536" s="364" t="s">
        <v>88</v>
      </c>
      <c r="Z536" s="364" t="s">
        <v>709</v>
      </c>
      <c r="AA536" s="364" t="s">
        <v>708</v>
      </c>
      <c r="AB536" s="364" t="s">
        <v>649</v>
      </c>
      <c r="AC536" s="364" t="s">
        <v>649</v>
      </c>
      <c r="AD536" s="364" t="s">
        <v>649</v>
      </c>
      <c r="AE536" s="364" t="s">
        <v>88</v>
      </c>
      <c r="AF536" s="364" t="s">
        <v>88</v>
      </c>
      <c r="AG536" s="364" t="s">
        <v>88</v>
      </c>
      <c r="AH536" s="364" t="s">
        <v>88</v>
      </c>
      <c r="AI536" s="364" t="s">
        <v>1199</v>
      </c>
      <c r="AJ536" s="364" t="s">
        <v>670</v>
      </c>
      <c r="AK536" s="364" t="s">
        <v>687</v>
      </c>
      <c r="AL536" s="364" t="s">
        <v>646</v>
      </c>
      <c r="AM536" s="364" t="s">
        <v>668</v>
      </c>
      <c r="AN536" s="364" t="s">
        <v>644</v>
      </c>
    </row>
    <row r="537" spans="1:40" x14ac:dyDescent="0.3">
      <c r="A537" s="364" t="s">
        <v>2150</v>
      </c>
      <c r="B537" s="364" t="s">
        <v>661</v>
      </c>
      <c r="C537" s="364" t="s">
        <v>660</v>
      </c>
      <c r="D537" s="364" t="s">
        <v>87</v>
      </c>
      <c r="E537" s="364" t="s">
        <v>2086</v>
      </c>
      <c r="F537" s="364" t="s">
        <v>2086</v>
      </c>
      <c r="G537" s="364" t="s">
        <v>658</v>
      </c>
      <c r="H537" s="364" t="s">
        <v>2149</v>
      </c>
      <c r="I537" s="364" t="s">
        <v>2148</v>
      </c>
      <c r="J537" s="364" t="s">
        <v>673</v>
      </c>
      <c r="K537" s="364" t="s">
        <v>668</v>
      </c>
      <c r="L537" s="364" t="s">
        <v>190</v>
      </c>
      <c r="M537" s="364" t="s">
        <v>60</v>
      </c>
      <c r="N537" s="364" t="s">
        <v>654</v>
      </c>
      <c r="O537" s="364" t="s">
        <v>653</v>
      </c>
      <c r="P537" s="364" t="s">
        <v>198</v>
      </c>
      <c r="Q537" s="364" t="s">
        <v>652</v>
      </c>
      <c r="R537" s="364" t="s">
        <v>88</v>
      </c>
      <c r="S537" s="364" t="s">
        <v>88</v>
      </c>
      <c r="T537" s="364" t="s">
        <v>88</v>
      </c>
      <c r="U537" s="364" t="s">
        <v>88</v>
      </c>
      <c r="V537" s="364" t="s">
        <v>88</v>
      </c>
      <c r="W537" s="364" t="s">
        <v>88</v>
      </c>
      <c r="X537" s="364" t="s">
        <v>88</v>
      </c>
      <c r="Y537" s="364" t="s">
        <v>88</v>
      </c>
      <c r="Z537" s="364" t="s">
        <v>709</v>
      </c>
      <c r="AA537" s="364" t="s">
        <v>708</v>
      </c>
      <c r="AB537" s="364" t="s">
        <v>649</v>
      </c>
      <c r="AC537" s="364" t="s">
        <v>649</v>
      </c>
      <c r="AD537" s="364" t="s">
        <v>649</v>
      </c>
      <c r="AE537" s="364" t="s">
        <v>88</v>
      </c>
      <c r="AF537" s="364" t="s">
        <v>88</v>
      </c>
      <c r="AG537" s="364" t="s">
        <v>88</v>
      </c>
      <c r="AH537" s="364" t="s">
        <v>88</v>
      </c>
      <c r="AI537" s="364" t="s">
        <v>1199</v>
      </c>
      <c r="AJ537" s="364" t="s">
        <v>670</v>
      </c>
      <c r="AK537" s="364" t="s">
        <v>687</v>
      </c>
      <c r="AL537" s="364" t="s">
        <v>646</v>
      </c>
      <c r="AM537" s="364" t="s">
        <v>668</v>
      </c>
      <c r="AN537" s="364" t="s">
        <v>644</v>
      </c>
    </row>
    <row r="538" spans="1:40" x14ac:dyDescent="0.3">
      <c r="A538" s="364" t="s">
        <v>2147</v>
      </c>
      <c r="B538" s="364" t="s">
        <v>661</v>
      </c>
      <c r="C538" s="364" t="s">
        <v>660</v>
      </c>
      <c r="D538" s="364" t="s">
        <v>87</v>
      </c>
      <c r="E538" s="364" t="s">
        <v>2086</v>
      </c>
      <c r="F538" s="364" t="s">
        <v>2086</v>
      </c>
      <c r="G538" s="364" t="s">
        <v>658</v>
      </c>
      <c r="H538" s="364" t="s">
        <v>2146</v>
      </c>
      <c r="I538" s="364" t="s">
        <v>2073</v>
      </c>
      <c r="J538" s="364" t="s">
        <v>673</v>
      </c>
      <c r="K538" s="364" t="s">
        <v>668</v>
      </c>
      <c r="L538" s="364" t="s">
        <v>190</v>
      </c>
      <c r="M538" s="364" t="s">
        <v>59</v>
      </c>
      <c r="N538" s="364" t="s">
        <v>654</v>
      </c>
      <c r="O538" s="364" t="s">
        <v>653</v>
      </c>
      <c r="P538" s="364" t="s">
        <v>198</v>
      </c>
      <c r="Q538" s="364" t="s">
        <v>652</v>
      </c>
      <c r="R538" s="364" t="s">
        <v>88</v>
      </c>
      <c r="S538" s="364" t="s">
        <v>88</v>
      </c>
      <c r="T538" s="364" t="s">
        <v>88</v>
      </c>
      <c r="U538" s="364" t="s">
        <v>88</v>
      </c>
      <c r="V538" s="364" t="s">
        <v>88</v>
      </c>
      <c r="W538" s="364" t="s">
        <v>88</v>
      </c>
      <c r="X538" s="364" t="s">
        <v>88</v>
      </c>
      <c r="Y538" s="364" t="s">
        <v>88</v>
      </c>
      <c r="Z538" s="364" t="s">
        <v>672</v>
      </c>
      <c r="AA538" s="364" t="s">
        <v>671</v>
      </c>
      <c r="AB538" s="364" t="s">
        <v>649</v>
      </c>
      <c r="AC538" s="364" t="s">
        <v>649</v>
      </c>
      <c r="AD538" s="364" t="s">
        <v>649</v>
      </c>
      <c r="AE538" s="364" t="s">
        <v>88</v>
      </c>
      <c r="AF538" s="364" t="s">
        <v>88</v>
      </c>
      <c r="AG538" s="364" t="s">
        <v>88</v>
      </c>
      <c r="AH538" s="364" t="s">
        <v>88</v>
      </c>
      <c r="AI538" s="364" t="s">
        <v>1199</v>
      </c>
      <c r="AJ538" s="364" t="s">
        <v>670</v>
      </c>
      <c r="AK538" s="364" t="s">
        <v>669</v>
      </c>
      <c r="AL538" s="364" t="s">
        <v>646</v>
      </c>
      <c r="AM538" s="364" t="s">
        <v>668</v>
      </c>
      <c r="AN538" s="364" t="s">
        <v>644</v>
      </c>
    </row>
    <row r="539" spans="1:40" x14ac:dyDescent="0.3">
      <c r="A539" s="364" t="s">
        <v>2145</v>
      </c>
      <c r="B539" s="364" t="s">
        <v>661</v>
      </c>
      <c r="C539" s="364" t="s">
        <v>660</v>
      </c>
      <c r="D539" s="364" t="s">
        <v>170</v>
      </c>
      <c r="E539" s="364" t="s">
        <v>2086</v>
      </c>
      <c r="F539" s="364" t="s">
        <v>2086</v>
      </c>
      <c r="G539" s="364" t="s">
        <v>658</v>
      </c>
      <c r="H539" s="364" t="s">
        <v>2144</v>
      </c>
      <c r="I539" s="364" t="s">
        <v>2143</v>
      </c>
      <c r="J539" s="364" t="s">
        <v>673</v>
      </c>
      <c r="K539" s="364" t="s">
        <v>668</v>
      </c>
      <c r="L539" s="364" t="s">
        <v>190</v>
      </c>
      <c r="M539" s="364" t="s">
        <v>164</v>
      </c>
      <c r="N539" s="364" t="s">
        <v>654</v>
      </c>
      <c r="O539" s="364" t="s">
        <v>653</v>
      </c>
      <c r="P539" s="364" t="s">
        <v>198</v>
      </c>
      <c r="Q539" s="364" t="s">
        <v>652</v>
      </c>
      <c r="R539" s="364" t="s">
        <v>88</v>
      </c>
      <c r="S539" s="364" t="s">
        <v>88</v>
      </c>
      <c r="T539" s="364" t="s">
        <v>88</v>
      </c>
      <c r="U539" s="364" t="s">
        <v>88</v>
      </c>
      <c r="V539" s="364" t="s">
        <v>88</v>
      </c>
      <c r="W539" s="364" t="s">
        <v>88</v>
      </c>
      <c r="X539" s="364" t="s">
        <v>88</v>
      </c>
      <c r="Y539" s="364" t="s">
        <v>88</v>
      </c>
      <c r="Z539" s="364" t="s">
        <v>825</v>
      </c>
      <c r="AA539" s="364" t="s">
        <v>649</v>
      </c>
      <c r="AB539" s="364" t="s">
        <v>649</v>
      </c>
      <c r="AC539" s="364" t="s">
        <v>649</v>
      </c>
      <c r="AD539" s="364" t="s">
        <v>649</v>
      </c>
      <c r="AE539" s="364" t="s">
        <v>88</v>
      </c>
      <c r="AF539" s="364" t="s">
        <v>88</v>
      </c>
      <c r="AG539" s="364" t="s">
        <v>88</v>
      </c>
      <c r="AH539" s="364" t="s">
        <v>88</v>
      </c>
      <c r="AI539" s="364" t="s">
        <v>1199</v>
      </c>
      <c r="AJ539" s="364" t="s">
        <v>670</v>
      </c>
      <c r="AK539" s="364" t="s">
        <v>687</v>
      </c>
      <c r="AL539" s="364" t="s">
        <v>646</v>
      </c>
      <c r="AM539" s="364" t="s">
        <v>668</v>
      </c>
      <c r="AN539" s="364" t="s">
        <v>644</v>
      </c>
    </row>
    <row r="540" spans="1:40" x14ac:dyDescent="0.3">
      <c r="A540" s="364" t="s">
        <v>2142</v>
      </c>
      <c r="B540" s="364" t="s">
        <v>661</v>
      </c>
      <c r="C540" s="364" t="s">
        <v>660</v>
      </c>
      <c r="D540" s="364" t="s">
        <v>87</v>
      </c>
      <c r="E540" s="364" t="s">
        <v>2096</v>
      </c>
      <c r="F540" s="364" t="s">
        <v>2096</v>
      </c>
      <c r="G540" s="364" t="s">
        <v>658</v>
      </c>
      <c r="H540" s="364" t="s">
        <v>2141</v>
      </c>
      <c r="I540" s="364" t="s">
        <v>2140</v>
      </c>
      <c r="J540" s="364" t="s">
        <v>673</v>
      </c>
      <c r="K540" s="364" t="s">
        <v>668</v>
      </c>
      <c r="L540" s="364" t="s">
        <v>190</v>
      </c>
      <c r="M540" s="364" t="s">
        <v>58</v>
      </c>
      <c r="N540" s="364" t="s">
        <v>654</v>
      </c>
      <c r="O540" s="364" t="s">
        <v>653</v>
      </c>
      <c r="P540" s="364" t="s">
        <v>198</v>
      </c>
      <c r="Q540" s="364" t="s">
        <v>652</v>
      </c>
      <c r="R540" s="364" t="s">
        <v>88</v>
      </c>
      <c r="S540" s="364" t="s">
        <v>88</v>
      </c>
      <c r="T540" s="364" t="s">
        <v>88</v>
      </c>
      <c r="U540" s="364" t="s">
        <v>88</v>
      </c>
      <c r="V540" s="364" t="s">
        <v>88</v>
      </c>
      <c r="W540" s="364" t="s">
        <v>88</v>
      </c>
      <c r="X540" s="364" t="s">
        <v>88</v>
      </c>
      <c r="Y540" s="364" t="s">
        <v>88</v>
      </c>
      <c r="Z540" s="364" t="s">
        <v>702</v>
      </c>
      <c r="AA540" s="364" t="s">
        <v>701</v>
      </c>
      <c r="AB540" s="364" t="s">
        <v>649</v>
      </c>
      <c r="AC540" s="364" t="s">
        <v>649</v>
      </c>
      <c r="AD540" s="364" t="s">
        <v>649</v>
      </c>
      <c r="AE540" s="364" t="s">
        <v>88</v>
      </c>
      <c r="AF540" s="364" t="s">
        <v>88</v>
      </c>
      <c r="AG540" s="364" t="s">
        <v>88</v>
      </c>
      <c r="AH540" s="364" t="s">
        <v>88</v>
      </c>
      <c r="AI540" s="364" t="s">
        <v>1199</v>
      </c>
      <c r="AJ540" s="364" t="s">
        <v>670</v>
      </c>
      <c r="AK540" s="364" t="s">
        <v>669</v>
      </c>
      <c r="AL540" s="364" t="s">
        <v>646</v>
      </c>
      <c r="AM540" s="364" t="s">
        <v>668</v>
      </c>
      <c r="AN540" s="364" t="s">
        <v>644</v>
      </c>
    </row>
    <row r="541" spans="1:40" x14ac:dyDescent="0.3">
      <c r="A541" s="364" t="s">
        <v>2139</v>
      </c>
      <c r="B541" s="364" t="s">
        <v>661</v>
      </c>
      <c r="C541" s="364" t="s">
        <v>1420</v>
      </c>
      <c r="D541" s="364" t="s">
        <v>170</v>
      </c>
      <c r="E541" s="364" t="s">
        <v>1994</v>
      </c>
      <c r="F541" s="364" t="s">
        <v>1971</v>
      </c>
      <c r="G541" s="364" t="s">
        <v>658</v>
      </c>
      <c r="H541" s="364" t="s">
        <v>2138</v>
      </c>
      <c r="I541" s="364" t="s">
        <v>2128</v>
      </c>
      <c r="J541" s="364" t="s">
        <v>673</v>
      </c>
      <c r="K541" s="364" t="s">
        <v>668</v>
      </c>
      <c r="L541" s="364" t="s">
        <v>190</v>
      </c>
      <c r="M541" s="364" t="s">
        <v>164</v>
      </c>
      <c r="N541" s="364" t="s">
        <v>654</v>
      </c>
      <c r="O541" s="364" t="s">
        <v>653</v>
      </c>
      <c r="P541" s="364" t="s">
        <v>198</v>
      </c>
      <c r="Q541" s="364" t="s">
        <v>652</v>
      </c>
      <c r="R541" s="364" t="s">
        <v>88</v>
      </c>
      <c r="S541" s="364" t="s">
        <v>88</v>
      </c>
      <c r="T541" s="364" t="s">
        <v>88</v>
      </c>
      <c r="U541" s="364" t="s">
        <v>88</v>
      </c>
      <c r="V541" s="364" t="s">
        <v>88</v>
      </c>
      <c r="W541" s="364" t="s">
        <v>88</v>
      </c>
      <c r="X541" s="364" t="s">
        <v>88</v>
      </c>
      <c r="Y541" s="364" t="s">
        <v>88</v>
      </c>
      <c r="Z541" s="364" t="s">
        <v>825</v>
      </c>
      <c r="AA541" s="364" t="s">
        <v>649</v>
      </c>
      <c r="AB541" s="364" t="s">
        <v>2137</v>
      </c>
      <c r="AC541" s="364" t="s">
        <v>2137</v>
      </c>
      <c r="AD541" s="364" t="s">
        <v>2137</v>
      </c>
      <c r="AE541" s="364" t="s">
        <v>88</v>
      </c>
      <c r="AF541" s="364" t="s">
        <v>1416</v>
      </c>
      <c r="AG541" s="364" t="s">
        <v>1415</v>
      </c>
      <c r="AH541" s="364" t="s">
        <v>1991</v>
      </c>
      <c r="AI541" s="364" t="s">
        <v>2136</v>
      </c>
      <c r="AJ541" s="364" t="s">
        <v>1446</v>
      </c>
      <c r="AK541" s="364" t="s">
        <v>669</v>
      </c>
      <c r="AL541" s="364" t="s">
        <v>1412</v>
      </c>
      <c r="AM541" s="364" t="s">
        <v>668</v>
      </c>
      <c r="AN541" s="364" t="s">
        <v>1411</v>
      </c>
    </row>
    <row r="542" spans="1:40" x14ac:dyDescent="0.3">
      <c r="A542" s="364" t="s">
        <v>2129</v>
      </c>
      <c r="B542" s="364" t="s">
        <v>661</v>
      </c>
      <c r="C542" s="364" t="s">
        <v>1420</v>
      </c>
      <c r="D542" s="364" t="s">
        <v>87</v>
      </c>
      <c r="E542" s="364" t="s">
        <v>1994</v>
      </c>
      <c r="F542" s="364" t="s">
        <v>1971</v>
      </c>
      <c r="G542" s="364" t="s">
        <v>658</v>
      </c>
      <c r="H542" s="364" t="s">
        <v>1998</v>
      </c>
      <c r="I542" s="364" t="s">
        <v>2128</v>
      </c>
      <c r="J542" s="364" t="s">
        <v>673</v>
      </c>
      <c r="K542" s="364" t="s">
        <v>668</v>
      </c>
      <c r="L542" s="364" t="s">
        <v>190</v>
      </c>
      <c r="M542" s="364" t="s">
        <v>166</v>
      </c>
      <c r="N542" s="364" t="s">
        <v>654</v>
      </c>
      <c r="O542" s="364" t="s">
        <v>653</v>
      </c>
      <c r="P542" s="364" t="s">
        <v>198</v>
      </c>
      <c r="Q542" s="364" t="s">
        <v>652</v>
      </c>
      <c r="R542" s="364" t="s">
        <v>88</v>
      </c>
      <c r="S542" s="364" t="s">
        <v>88</v>
      </c>
      <c r="T542" s="364" t="s">
        <v>88</v>
      </c>
      <c r="U542" s="364" t="s">
        <v>88</v>
      </c>
      <c r="V542" s="364" t="s">
        <v>88</v>
      </c>
      <c r="W542" s="364" t="s">
        <v>88</v>
      </c>
      <c r="X542" s="364" t="s">
        <v>88</v>
      </c>
      <c r="Y542" s="364" t="s">
        <v>88</v>
      </c>
      <c r="Z542" s="364" t="s">
        <v>877</v>
      </c>
      <c r="AA542" s="364" t="s">
        <v>876</v>
      </c>
      <c r="AB542" s="364" t="s">
        <v>2135</v>
      </c>
      <c r="AC542" s="364" t="s">
        <v>2135</v>
      </c>
      <c r="AD542" s="364" t="s">
        <v>2135</v>
      </c>
      <c r="AE542" s="364" t="s">
        <v>88</v>
      </c>
      <c r="AF542" s="364" t="s">
        <v>1416</v>
      </c>
      <c r="AG542" s="364" t="s">
        <v>1415</v>
      </c>
      <c r="AH542" s="364" t="s">
        <v>1456</v>
      </c>
      <c r="AI542" s="364" t="s">
        <v>2126</v>
      </c>
      <c r="AJ542" s="364" t="s">
        <v>1446</v>
      </c>
      <c r="AK542" s="364" t="s">
        <v>669</v>
      </c>
      <c r="AL542" s="364" t="s">
        <v>1412</v>
      </c>
      <c r="AM542" s="364" t="s">
        <v>668</v>
      </c>
      <c r="AN542" s="364" t="s">
        <v>1411</v>
      </c>
    </row>
    <row r="543" spans="1:40" x14ac:dyDescent="0.3">
      <c r="A543" s="364" t="s">
        <v>2129</v>
      </c>
      <c r="B543" s="364" t="s">
        <v>661</v>
      </c>
      <c r="C543" s="364" t="s">
        <v>1420</v>
      </c>
      <c r="D543" s="364" t="s">
        <v>87</v>
      </c>
      <c r="E543" s="364" t="s">
        <v>1994</v>
      </c>
      <c r="F543" s="364" t="s">
        <v>1971</v>
      </c>
      <c r="G543" s="364" t="s">
        <v>658</v>
      </c>
      <c r="H543" s="364" t="s">
        <v>1998</v>
      </c>
      <c r="I543" s="364" t="s">
        <v>2128</v>
      </c>
      <c r="J543" s="364" t="s">
        <v>673</v>
      </c>
      <c r="K543" s="364" t="s">
        <v>668</v>
      </c>
      <c r="L543" s="364" t="s">
        <v>190</v>
      </c>
      <c r="M543" s="364" t="s">
        <v>62</v>
      </c>
      <c r="N543" s="364" t="s">
        <v>654</v>
      </c>
      <c r="O543" s="364" t="s">
        <v>653</v>
      </c>
      <c r="P543" s="364" t="s">
        <v>198</v>
      </c>
      <c r="Q543" s="364" t="s">
        <v>652</v>
      </c>
      <c r="R543" s="364" t="s">
        <v>88</v>
      </c>
      <c r="S543" s="364" t="s">
        <v>88</v>
      </c>
      <c r="T543" s="364" t="s">
        <v>88</v>
      </c>
      <c r="U543" s="364" t="s">
        <v>88</v>
      </c>
      <c r="V543" s="364" t="s">
        <v>88</v>
      </c>
      <c r="W543" s="364" t="s">
        <v>88</v>
      </c>
      <c r="X543" s="364" t="s">
        <v>88</v>
      </c>
      <c r="Y543" s="364" t="s">
        <v>88</v>
      </c>
      <c r="Z543" s="364" t="s">
        <v>689</v>
      </c>
      <c r="AA543" s="364" t="s">
        <v>688</v>
      </c>
      <c r="AB543" s="364" t="s">
        <v>2134</v>
      </c>
      <c r="AC543" s="364" t="s">
        <v>2134</v>
      </c>
      <c r="AD543" s="364" t="s">
        <v>2134</v>
      </c>
      <c r="AE543" s="364" t="s">
        <v>88</v>
      </c>
      <c r="AF543" s="364" t="s">
        <v>1416</v>
      </c>
      <c r="AG543" s="364" t="s">
        <v>1415</v>
      </c>
      <c r="AH543" s="364" t="s">
        <v>2131</v>
      </c>
      <c r="AI543" s="364" t="s">
        <v>2126</v>
      </c>
      <c r="AJ543" s="364" t="s">
        <v>1446</v>
      </c>
      <c r="AK543" s="364" t="s">
        <v>669</v>
      </c>
      <c r="AL543" s="364" t="s">
        <v>1412</v>
      </c>
      <c r="AM543" s="364" t="s">
        <v>668</v>
      </c>
      <c r="AN543" s="364" t="s">
        <v>1411</v>
      </c>
    </row>
    <row r="544" spans="1:40" x14ac:dyDescent="0.3">
      <c r="A544" s="364" t="s">
        <v>2129</v>
      </c>
      <c r="B544" s="364" t="s">
        <v>661</v>
      </c>
      <c r="C544" s="364" t="s">
        <v>1420</v>
      </c>
      <c r="D544" s="364" t="s">
        <v>87</v>
      </c>
      <c r="E544" s="364" t="s">
        <v>1994</v>
      </c>
      <c r="F544" s="364" t="s">
        <v>1971</v>
      </c>
      <c r="G544" s="364" t="s">
        <v>658</v>
      </c>
      <c r="H544" s="364" t="s">
        <v>1998</v>
      </c>
      <c r="I544" s="364" t="s">
        <v>2128</v>
      </c>
      <c r="J544" s="364" t="s">
        <v>673</v>
      </c>
      <c r="K544" s="364" t="s">
        <v>668</v>
      </c>
      <c r="L544" s="364" t="s">
        <v>190</v>
      </c>
      <c r="M544" s="364" t="s">
        <v>60</v>
      </c>
      <c r="N544" s="364" t="s">
        <v>654</v>
      </c>
      <c r="O544" s="364" t="s">
        <v>653</v>
      </c>
      <c r="P544" s="364" t="s">
        <v>198</v>
      </c>
      <c r="Q544" s="364" t="s">
        <v>652</v>
      </c>
      <c r="R544" s="364" t="s">
        <v>88</v>
      </c>
      <c r="S544" s="364" t="s">
        <v>88</v>
      </c>
      <c r="T544" s="364" t="s">
        <v>88</v>
      </c>
      <c r="U544" s="364" t="s">
        <v>88</v>
      </c>
      <c r="V544" s="364" t="s">
        <v>88</v>
      </c>
      <c r="W544" s="364" t="s">
        <v>88</v>
      </c>
      <c r="X544" s="364" t="s">
        <v>88</v>
      </c>
      <c r="Y544" s="364" t="s">
        <v>88</v>
      </c>
      <c r="Z544" s="364" t="s">
        <v>709</v>
      </c>
      <c r="AA544" s="364" t="s">
        <v>708</v>
      </c>
      <c r="AB544" s="364" t="s">
        <v>2133</v>
      </c>
      <c r="AC544" s="364" t="s">
        <v>2133</v>
      </c>
      <c r="AD544" s="364" t="s">
        <v>2133</v>
      </c>
      <c r="AE544" s="364" t="s">
        <v>88</v>
      </c>
      <c r="AF544" s="364" t="s">
        <v>1416</v>
      </c>
      <c r="AG544" s="364" t="s">
        <v>1415</v>
      </c>
      <c r="AH544" s="364" t="s">
        <v>1461</v>
      </c>
      <c r="AI544" s="364" t="s">
        <v>2126</v>
      </c>
      <c r="AJ544" s="364" t="s">
        <v>1446</v>
      </c>
      <c r="AK544" s="364" t="s">
        <v>669</v>
      </c>
      <c r="AL544" s="364" t="s">
        <v>1412</v>
      </c>
      <c r="AM544" s="364" t="s">
        <v>668</v>
      </c>
      <c r="AN544" s="364" t="s">
        <v>1411</v>
      </c>
    </row>
    <row r="545" spans="1:40" x14ac:dyDescent="0.3">
      <c r="A545" s="364" t="s">
        <v>2129</v>
      </c>
      <c r="B545" s="364" t="s">
        <v>661</v>
      </c>
      <c r="C545" s="364" t="s">
        <v>1420</v>
      </c>
      <c r="D545" s="364" t="s">
        <v>87</v>
      </c>
      <c r="E545" s="364" t="s">
        <v>1994</v>
      </c>
      <c r="F545" s="364" t="s">
        <v>1971</v>
      </c>
      <c r="G545" s="364" t="s">
        <v>658</v>
      </c>
      <c r="H545" s="364" t="s">
        <v>1998</v>
      </c>
      <c r="I545" s="364" t="s">
        <v>2128</v>
      </c>
      <c r="J545" s="364" t="s">
        <v>198</v>
      </c>
      <c r="K545" s="364" t="s">
        <v>645</v>
      </c>
      <c r="L545" s="364" t="s">
        <v>188</v>
      </c>
      <c r="M545" s="364" t="s">
        <v>696</v>
      </c>
      <c r="N545" s="364" t="s">
        <v>654</v>
      </c>
      <c r="O545" s="364" t="s">
        <v>653</v>
      </c>
      <c r="P545" s="364" t="s">
        <v>198</v>
      </c>
      <c r="Q545" s="364" t="s">
        <v>652</v>
      </c>
      <c r="R545" s="364" t="s">
        <v>88</v>
      </c>
      <c r="S545" s="364" t="s">
        <v>88</v>
      </c>
      <c r="T545" s="364" t="s">
        <v>88</v>
      </c>
      <c r="U545" s="364" t="s">
        <v>88</v>
      </c>
      <c r="V545" s="364" t="s">
        <v>88</v>
      </c>
      <c r="W545" s="364" t="s">
        <v>88</v>
      </c>
      <c r="X545" s="364" t="s">
        <v>88</v>
      </c>
      <c r="Y545" s="364" t="s">
        <v>88</v>
      </c>
      <c r="Z545" s="364" t="s">
        <v>695</v>
      </c>
      <c r="AA545" s="364" t="s">
        <v>694</v>
      </c>
      <c r="AB545" s="364" t="s">
        <v>1455</v>
      </c>
      <c r="AC545" s="364" t="s">
        <v>1455</v>
      </c>
      <c r="AD545" s="364" t="s">
        <v>1455</v>
      </c>
      <c r="AE545" s="364" t="s">
        <v>88</v>
      </c>
      <c r="AF545" s="364" t="s">
        <v>2132</v>
      </c>
      <c r="AG545" s="364" t="s">
        <v>1415</v>
      </c>
      <c r="AH545" s="364" t="s">
        <v>1461</v>
      </c>
      <c r="AI545" s="364" t="s">
        <v>2126</v>
      </c>
      <c r="AJ545" s="364" t="s">
        <v>1446</v>
      </c>
      <c r="AK545" s="364" t="s">
        <v>669</v>
      </c>
      <c r="AL545" s="364" t="s">
        <v>1412</v>
      </c>
      <c r="AM545" s="364" t="s">
        <v>645</v>
      </c>
      <c r="AN545" s="364" t="s">
        <v>1411</v>
      </c>
    </row>
    <row r="546" spans="1:40" x14ac:dyDescent="0.3">
      <c r="A546" s="364" t="s">
        <v>2129</v>
      </c>
      <c r="B546" s="364" t="s">
        <v>661</v>
      </c>
      <c r="C546" s="364" t="s">
        <v>1420</v>
      </c>
      <c r="D546" s="364" t="s">
        <v>87</v>
      </c>
      <c r="E546" s="364" t="s">
        <v>1994</v>
      </c>
      <c r="F546" s="364" t="s">
        <v>1971</v>
      </c>
      <c r="G546" s="364" t="s">
        <v>658</v>
      </c>
      <c r="H546" s="364" t="s">
        <v>1998</v>
      </c>
      <c r="I546" s="364" t="s">
        <v>2128</v>
      </c>
      <c r="J546" s="364" t="s">
        <v>198</v>
      </c>
      <c r="K546" s="364" t="s">
        <v>645</v>
      </c>
      <c r="L546" s="364" t="s">
        <v>188</v>
      </c>
      <c r="M546" s="364" t="s">
        <v>696</v>
      </c>
      <c r="N546" s="364" t="s">
        <v>654</v>
      </c>
      <c r="O546" s="364" t="s">
        <v>653</v>
      </c>
      <c r="P546" s="364" t="s">
        <v>198</v>
      </c>
      <c r="Q546" s="364" t="s">
        <v>652</v>
      </c>
      <c r="R546" s="364" t="s">
        <v>88</v>
      </c>
      <c r="S546" s="364" t="s">
        <v>88</v>
      </c>
      <c r="T546" s="364" t="s">
        <v>88</v>
      </c>
      <c r="U546" s="364" t="s">
        <v>88</v>
      </c>
      <c r="V546" s="364" t="s">
        <v>88</v>
      </c>
      <c r="W546" s="364" t="s">
        <v>88</v>
      </c>
      <c r="X546" s="364" t="s">
        <v>88</v>
      </c>
      <c r="Y546" s="364" t="s">
        <v>88</v>
      </c>
      <c r="Z546" s="364" t="s">
        <v>695</v>
      </c>
      <c r="AA546" s="364" t="s">
        <v>694</v>
      </c>
      <c r="AB546" s="364" t="s">
        <v>1455</v>
      </c>
      <c r="AC546" s="364" t="s">
        <v>1455</v>
      </c>
      <c r="AD546" s="364" t="s">
        <v>1455</v>
      </c>
      <c r="AE546" s="364" t="s">
        <v>88</v>
      </c>
      <c r="AF546" s="364" t="s">
        <v>2122</v>
      </c>
      <c r="AG546" s="364" t="s">
        <v>1415</v>
      </c>
      <c r="AH546" s="364" t="s">
        <v>1456</v>
      </c>
      <c r="AI546" s="364" t="s">
        <v>2126</v>
      </c>
      <c r="AJ546" s="364" t="s">
        <v>1446</v>
      </c>
      <c r="AK546" s="364" t="s">
        <v>669</v>
      </c>
      <c r="AL546" s="364" t="s">
        <v>1412</v>
      </c>
      <c r="AM546" s="364" t="s">
        <v>645</v>
      </c>
      <c r="AN546" s="364" t="s">
        <v>1411</v>
      </c>
    </row>
    <row r="547" spans="1:40" x14ac:dyDescent="0.3">
      <c r="A547" s="364" t="s">
        <v>2129</v>
      </c>
      <c r="B547" s="364" t="s">
        <v>661</v>
      </c>
      <c r="C547" s="364" t="s">
        <v>1420</v>
      </c>
      <c r="D547" s="364" t="s">
        <v>87</v>
      </c>
      <c r="E547" s="364" t="s">
        <v>1994</v>
      </c>
      <c r="F547" s="364" t="s">
        <v>1971</v>
      </c>
      <c r="G547" s="364" t="s">
        <v>658</v>
      </c>
      <c r="H547" s="364" t="s">
        <v>1998</v>
      </c>
      <c r="I547" s="364" t="s">
        <v>2128</v>
      </c>
      <c r="J547" s="364" t="s">
        <v>198</v>
      </c>
      <c r="K547" s="364" t="s">
        <v>645</v>
      </c>
      <c r="L547" s="364" t="s">
        <v>188</v>
      </c>
      <c r="M547" s="364" t="s">
        <v>696</v>
      </c>
      <c r="N547" s="364" t="s">
        <v>654</v>
      </c>
      <c r="O547" s="364" t="s">
        <v>653</v>
      </c>
      <c r="P547" s="364" t="s">
        <v>198</v>
      </c>
      <c r="Q547" s="364" t="s">
        <v>652</v>
      </c>
      <c r="R547" s="364" t="s">
        <v>88</v>
      </c>
      <c r="S547" s="364" t="s">
        <v>88</v>
      </c>
      <c r="T547" s="364" t="s">
        <v>88</v>
      </c>
      <c r="U547" s="364" t="s">
        <v>88</v>
      </c>
      <c r="V547" s="364" t="s">
        <v>88</v>
      </c>
      <c r="W547" s="364" t="s">
        <v>88</v>
      </c>
      <c r="X547" s="364" t="s">
        <v>88</v>
      </c>
      <c r="Y547" s="364" t="s">
        <v>88</v>
      </c>
      <c r="Z547" s="364" t="s">
        <v>695</v>
      </c>
      <c r="AA547" s="364" t="s">
        <v>694</v>
      </c>
      <c r="AB547" s="364" t="s">
        <v>1455</v>
      </c>
      <c r="AC547" s="364" t="s">
        <v>1455</v>
      </c>
      <c r="AD547" s="364" t="s">
        <v>1455</v>
      </c>
      <c r="AE547" s="364" t="s">
        <v>88</v>
      </c>
      <c r="AF547" s="364" t="s">
        <v>1423</v>
      </c>
      <c r="AG547" s="364" t="s">
        <v>1415</v>
      </c>
      <c r="AH547" s="364" t="s">
        <v>2131</v>
      </c>
      <c r="AI547" s="364" t="s">
        <v>2126</v>
      </c>
      <c r="AJ547" s="364" t="s">
        <v>1446</v>
      </c>
      <c r="AK547" s="364" t="s">
        <v>669</v>
      </c>
      <c r="AL547" s="364" t="s">
        <v>1412</v>
      </c>
      <c r="AM547" s="364" t="s">
        <v>645</v>
      </c>
      <c r="AN547" s="364" t="s">
        <v>1411</v>
      </c>
    </row>
    <row r="548" spans="1:40" x14ac:dyDescent="0.3">
      <c r="A548" s="364" t="s">
        <v>2129</v>
      </c>
      <c r="B548" s="364" t="s">
        <v>661</v>
      </c>
      <c r="C548" s="364" t="s">
        <v>1420</v>
      </c>
      <c r="D548" s="364" t="s">
        <v>87</v>
      </c>
      <c r="E548" s="364" t="s">
        <v>1994</v>
      </c>
      <c r="F548" s="364" t="s">
        <v>1971</v>
      </c>
      <c r="G548" s="364" t="s">
        <v>658</v>
      </c>
      <c r="H548" s="364" t="s">
        <v>1998</v>
      </c>
      <c r="I548" s="364" t="s">
        <v>2128</v>
      </c>
      <c r="J548" s="364" t="s">
        <v>673</v>
      </c>
      <c r="K548" s="364" t="s">
        <v>668</v>
      </c>
      <c r="L548" s="364" t="s">
        <v>190</v>
      </c>
      <c r="M548" s="364" t="s">
        <v>58</v>
      </c>
      <c r="N548" s="364" t="s">
        <v>654</v>
      </c>
      <c r="O548" s="364" t="s">
        <v>653</v>
      </c>
      <c r="P548" s="364" t="s">
        <v>198</v>
      </c>
      <c r="Q548" s="364" t="s">
        <v>652</v>
      </c>
      <c r="R548" s="364" t="s">
        <v>88</v>
      </c>
      <c r="S548" s="364" t="s">
        <v>88</v>
      </c>
      <c r="T548" s="364" t="s">
        <v>88</v>
      </c>
      <c r="U548" s="364" t="s">
        <v>88</v>
      </c>
      <c r="V548" s="364" t="s">
        <v>88</v>
      </c>
      <c r="W548" s="364" t="s">
        <v>88</v>
      </c>
      <c r="X548" s="364" t="s">
        <v>88</v>
      </c>
      <c r="Y548" s="364" t="s">
        <v>88</v>
      </c>
      <c r="Z548" s="364" t="s">
        <v>702</v>
      </c>
      <c r="AA548" s="364" t="s">
        <v>701</v>
      </c>
      <c r="AB548" s="364" t="s">
        <v>2130</v>
      </c>
      <c r="AC548" s="364" t="s">
        <v>2130</v>
      </c>
      <c r="AD548" s="364" t="s">
        <v>2130</v>
      </c>
      <c r="AE548" s="364" t="s">
        <v>88</v>
      </c>
      <c r="AF548" s="364" t="s">
        <v>1416</v>
      </c>
      <c r="AG548" s="364" t="s">
        <v>1415</v>
      </c>
      <c r="AH548" s="364" t="s">
        <v>1456</v>
      </c>
      <c r="AI548" s="364" t="s">
        <v>2126</v>
      </c>
      <c r="AJ548" s="364" t="s">
        <v>1446</v>
      </c>
      <c r="AK548" s="364" t="s">
        <v>669</v>
      </c>
      <c r="AL548" s="364" t="s">
        <v>1412</v>
      </c>
      <c r="AM548" s="364" t="s">
        <v>668</v>
      </c>
      <c r="AN548" s="364" t="s">
        <v>1411</v>
      </c>
    </row>
    <row r="549" spans="1:40" x14ac:dyDescent="0.3">
      <c r="A549" s="364" t="s">
        <v>2129</v>
      </c>
      <c r="B549" s="364" t="s">
        <v>661</v>
      </c>
      <c r="C549" s="364" t="s">
        <v>1420</v>
      </c>
      <c r="D549" s="364" t="s">
        <v>87</v>
      </c>
      <c r="E549" s="364" t="s">
        <v>1994</v>
      </c>
      <c r="F549" s="364" t="s">
        <v>1971</v>
      </c>
      <c r="G549" s="364" t="s">
        <v>658</v>
      </c>
      <c r="H549" s="364" t="s">
        <v>1998</v>
      </c>
      <c r="I549" s="364" t="s">
        <v>2128</v>
      </c>
      <c r="J549" s="364" t="s">
        <v>673</v>
      </c>
      <c r="K549" s="364" t="s">
        <v>668</v>
      </c>
      <c r="L549" s="364" t="s">
        <v>190</v>
      </c>
      <c r="M549" s="364" t="s">
        <v>59</v>
      </c>
      <c r="N549" s="364" t="s">
        <v>654</v>
      </c>
      <c r="O549" s="364" t="s">
        <v>653</v>
      </c>
      <c r="P549" s="364" t="s">
        <v>198</v>
      </c>
      <c r="Q549" s="364" t="s">
        <v>652</v>
      </c>
      <c r="R549" s="364" t="s">
        <v>88</v>
      </c>
      <c r="S549" s="364" t="s">
        <v>88</v>
      </c>
      <c r="T549" s="364" t="s">
        <v>88</v>
      </c>
      <c r="U549" s="364" t="s">
        <v>88</v>
      </c>
      <c r="V549" s="364" t="s">
        <v>88</v>
      </c>
      <c r="W549" s="364" t="s">
        <v>88</v>
      </c>
      <c r="X549" s="364" t="s">
        <v>88</v>
      </c>
      <c r="Y549" s="364" t="s">
        <v>88</v>
      </c>
      <c r="Z549" s="364" t="s">
        <v>672</v>
      </c>
      <c r="AA549" s="364" t="s">
        <v>671</v>
      </c>
      <c r="AB549" s="364" t="s">
        <v>2127</v>
      </c>
      <c r="AC549" s="364" t="s">
        <v>2127</v>
      </c>
      <c r="AD549" s="364" t="s">
        <v>2127</v>
      </c>
      <c r="AE549" s="364" t="s">
        <v>88</v>
      </c>
      <c r="AF549" s="364" t="s">
        <v>1416</v>
      </c>
      <c r="AG549" s="364" t="s">
        <v>1415</v>
      </c>
      <c r="AH549" s="364" t="s">
        <v>1456</v>
      </c>
      <c r="AI549" s="364" t="s">
        <v>2126</v>
      </c>
      <c r="AJ549" s="364" t="s">
        <v>1446</v>
      </c>
      <c r="AK549" s="364" t="s">
        <v>669</v>
      </c>
      <c r="AL549" s="364" t="s">
        <v>1412</v>
      </c>
      <c r="AM549" s="364" t="s">
        <v>668</v>
      </c>
      <c r="AN549" s="364" t="s">
        <v>1411</v>
      </c>
    </row>
    <row r="550" spans="1:40" x14ac:dyDescent="0.3">
      <c r="A550" s="364" t="s">
        <v>2113</v>
      </c>
      <c r="B550" s="364" t="s">
        <v>661</v>
      </c>
      <c r="C550" s="364" t="s">
        <v>1420</v>
      </c>
      <c r="D550" s="364" t="s">
        <v>90</v>
      </c>
      <c r="E550" s="364" t="s">
        <v>1994</v>
      </c>
      <c r="F550" s="364" t="s">
        <v>1971</v>
      </c>
      <c r="G550" s="364" t="s">
        <v>658</v>
      </c>
      <c r="H550" s="364" t="s">
        <v>2025</v>
      </c>
      <c r="I550" s="364" t="s">
        <v>1744</v>
      </c>
      <c r="J550" s="364" t="s">
        <v>673</v>
      </c>
      <c r="K550" s="364" t="s">
        <v>668</v>
      </c>
      <c r="L550" s="364" t="s">
        <v>190</v>
      </c>
      <c r="M550" s="364" t="s">
        <v>242</v>
      </c>
      <c r="N550" s="364" t="s">
        <v>654</v>
      </c>
      <c r="O550" s="364" t="s">
        <v>653</v>
      </c>
      <c r="P550" s="364" t="s">
        <v>198</v>
      </c>
      <c r="Q550" s="364" t="s">
        <v>652</v>
      </c>
      <c r="R550" s="364" t="s">
        <v>88</v>
      </c>
      <c r="S550" s="364" t="s">
        <v>88</v>
      </c>
      <c r="T550" s="364" t="s">
        <v>88</v>
      </c>
      <c r="U550" s="364" t="s">
        <v>88</v>
      </c>
      <c r="V550" s="364" t="s">
        <v>88</v>
      </c>
      <c r="W550" s="364" t="s">
        <v>88</v>
      </c>
      <c r="X550" s="364" t="s">
        <v>88</v>
      </c>
      <c r="Y550" s="364" t="s">
        <v>88</v>
      </c>
      <c r="Z550" s="364" t="s">
        <v>1157</v>
      </c>
      <c r="AA550" s="364" t="s">
        <v>1156</v>
      </c>
      <c r="AB550" s="364" t="s">
        <v>2125</v>
      </c>
      <c r="AC550" s="364" t="s">
        <v>2125</v>
      </c>
      <c r="AD550" s="364" t="s">
        <v>2125</v>
      </c>
      <c r="AE550" s="364" t="s">
        <v>88</v>
      </c>
      <c r="AF550" s="364" t="s">
        <v>1416</v>
      </c>
      <c r="AG550" s="364" t="s">
        <v>1415</v>
      </c>
      <c r="AH550" s="364" t="s">
        <v>1414</v>
      </c>
      <c r="AI550" s="364" t="s">
        <v>2112</v>
      </c>
      <c r="AJ550" s="364" t="s">
        <v>995</v>
      </c>
      <c r="AK550" s="364" t="s">
        <v>647</v>
      </c>
      <c r="AL550" s="364" t="s">
        <v>1412</v>
      </c>
      <c r="AM550" s="364" t="s">
        <v>668</v>
      </c>
      <c r="AN550" s="364" t="s">
        <v>1411</v>
      </c>
    </row>
    <row r="551" spans="1:40" x14ac:dyDescent="0.3">
      <c r="A551" s="364" t="s">
        <v>2113</v>
      </c>
      <c r="B551" s="364" t="s">
        <v>661</v>
      </c>
      <c r="C551" s="364" t="s">
        <v>1420</v>
      </c>
      <c r="D551" s="364" t="s">
        <v>90</v>
      </c>
      <c r="E551" s="364" t="s">
        <v>1994</v>
      </c>
      <c r="F551" s="364" t="s">
        <v>1971</v>
      </c>
      <c r="G551" s="364" t="s">
        <v>658</v>
      </c>
      <c r="H551" s="364" t="s">
        <v>2025</v>
      </c>
      <c r="I551" s="364" t="s">
        <v>1744</v>
      </c>
      <c r="J551" s="364" t="s">
        <v>673</v>
      </c>
      <c r="K551" s="364" t="s">
        <v>668</v>
      </c>
      <c r="L551" s="364" t="s">
        <v>190</v>
      </c>
      <c r="M551" s="364" t="s">
        <v>725</v>
      </c>
      <c r="N551" s="364" t="s">
        <v>654</v>
      </c>
      <c r="O551" s="364" t="s">
        <v>653</v>
      </c>
      <c r="P551" s="364" t="s">
        <v>198</v>
      </c>
      <c r="Q551" s="364" t="s">
        <v>652</v>
      </c>
      <c r="R551" s="364" t="s">
        <v>88</v>
      </c>
      <c r="S551" s="364" t="s">
        <v>88</v>
      </c>
      <c r="T551" s="364" t="s">
        <v>88</v>
      </c>
      <c r="U551" s="364" t="s">
        <v>88</v>
      </c>
      <c r="V551" s="364" t="s">
        <v>88</v>
      </c>
      <c r="W551" s="364" t="s">
        <v>88</v>
      </c>
      <c r="X551" s="364" t="s">
        <v>88</v>
      </c>
      <c r="Y551" s="364" t="s">
        <v>88</v>
      </c>
      <c r="Z551" s="364" t="s">
        <v>724</v>
      </c>
      <c r="AA551" s="364" t="s">
        <v>649</v>
      </c>
      <c r="AB551" s="364" t="s">
        <v>2124</v>
      </c>
      <c r="AC551" s="364" t="s">
        <v>2124</v>
      </c>
      <c r="AD551" s="364" t="s">
        <v>2124</v>
      </c>
      <c r="AE551" s="364" t="s">
        <v>88</v>
      </c>
      <c r="AF551" s="364" t="s">
        <v>1416</v>
      </c>
      <c r="AG551" s="364" t="s">
        <v>1415</v>
      </c>
      <c r="AH551" s="364" t="s">
        <v>2118</v>
      </c>
      <c r="AI551" s="364" t="s">
        <v>2112</v>
      </c>
      <c r="AJ551" s="364" t="s">
        <v>995</v>
      </c>
      <c r="AK551" s="364" t="s">
        <v>647</v>
      </c>
      <c r="AL551" s="364" t="s">
        <v>1412</v>
      </c>
      <c r="AM551" s="364" t="s">
        <v>668</v>
      </c>
      <c r="AN551" s="364" t="s">
        <v>1411</v>
      </c>
    </row>
    <row r="552" spans="1:40" x14ac:dyDescent="0.3">
      <c r="A552" s="364" t="s">
        <v>2113</v>
      </c>
      <c r="B552" s="364" t="s">
        <v>661</v>
      </c>
      <c r="C552" s="364" t="s">
        <v>1420</v>
      </c>
      <c r="D552" s="364" t="s">
        <v>90</v>
      </c>
      <c r="E552" s="364" t="s">
        <v>1994</v>
      </c>
      <c r="F552" s="364" t="s">
        <v>1971</v>
      </c>
      <c r="G552" s="364" t="s">
        <v>658</v>
      </c>
      <c r="H552" s="364" t="s">
        <v>2025</v>
      </c>
      <c r="I552" s="364" t="s">
        <v>1744</v>
      </c>
      <c r="J552" s="364" t="s">
        <v>198</v>
      </c>
      <c r="K552" s="364" t="s">
        <v>645</v>
      </c>
      <c r="L552" s="364" t="s">
        <v>188</v>
      </c>
      <c r="M552" s="364" t="s">
        <v>655</v>
      </c>
      <c r="N552" s="364" t="s">
        <v>654</v>
      </c>
      <c r="O552" s="364" t="s">
        <v>653</v>
      </c>
      <c r="P552" s="364" t="s">
        <v>198</v>
      </c>
      <c r="Q552" s="364" t="s">
        <v>652</v>
      </c>
      <c r="R552" s="364" t="s">
        <v>88</v>
      </c>
      <c r="S552" s="364" t="s">
        <v>88</v>
      </c>
      <c r="T552" s="364" t="s">
        <v>88</v>
      </c>
      <c r="U552" s="364" t="s">
        <v>88</v>
      </c>
      <c r="V552" s="364" t="s">
        <v>88</v>
      </c>
      <c r="W552" s="364" t="s">
        <v>88</v>
      </c>
      <c r="X552" s="364" t="s">
        <v>88</v>
      </c>
      <c r="Y552" s="364" t="s">
        <v>88</v>
      </c>
      <c r="Z552" s="364" t="s">
        <v>651</v>
      </c>
      <c r="AA552" s="364" t="s">
        <v>650</v>
      </c>
      <c r="AB552" s="364" t="s">
        <v>1424</v>
      </c>
      <c r="AC552" s="364" t="s">
        <v>1424</v>
      </c>
      <c r="AD552" s="364" t="s">
        <v>1424</v>
      </c>
      <c r="AE552" s="364" t="s">
        <v>88</v>
      </c>
      <c r="AF552" s="364" t="s">
        <v>2022</v>
      </c>
      <c r="AG552" s="364" t="s">
        <v>1415</v>
      </c>
      <c r="AH552" s="364" t="s">
        <v>2123</v>
      </c>
      <c r="AI552" s="364" t="s">
        <v>2112</v>
      </c>
      <c r="AJ552" s="364" t="s">
        <v>995</v>
      </c>
      <c r="AK552" s="364" t="s">
        <v>647</v>
      </c>
      <c r="AL552" s="364" t="s">
        <v>1412</v>
      </c>
      <c r="AM552" s="364" t="s">
        <v>645</v>
      </c>
      <c r="AN552" s="364" t="s">
        <v>1411</v>
      </c>
    </row>
    <row r="553" spans="1:40" x14ac:dyDescent="0.3">
      <c r="A553" s="364" t="s">
        <v>2113</v>
      </c>
      <c r="B553" s="364" t="s">
        <v>661</v>
      </c>
      <c r="C553" s="364" t="s">
        <v>1420</v>
      </c>
      <c r="D553" s="364" t="s">
        <v>90</v>
      </c>
      <c r="E553" s="364" t="s">
        <v>1994</v>
      </c>
      <c r="F553" s="364" t="s">
        <v>1971</v>
      </c>
      <c r="G553" s="364" t="s">
        <v>658</v>
      </c>
      <c r="H553" s="364" t="s">
        <v>2025</v>
      </c>
      <c r="I553" s="364" t="s">
        <v>1744</v>
      </c>
      <c r="J553" s="364" t="s">
        <v>198</v>
      </c>
      <c r="K553" s="364" t="s">
        <v>645</v>
      </c>
      <c r="L553" s="364" t="s">
        <v>188</v>
      </c>
      <c r="M553" s="364" t="s">
        <v>655</v>
      </c>
      <c r="N553" s="364" t="s">
        <v>654</v>
      </c>
      <c r="O553" s="364" t="s">
        <v>653</v>
      </c>
      <c r="P553" s="364" t="s">
        <v>198</v>
      </c>
      <c r="Q553" s="364" t="s">
        <v>652</v>
      </c>
      <c r="R553" s="364" t="s">
        <v>88</v>
      </c>
      <c r="S553" s="364" t="s">
        <v>88</v>
      </c>
      <c r="T553" s="364" t="s">
        <v>88</v>
      </c>
      <c r="U553" s="364" t="s">
        <v>88</v>
      </c>
      <c r="V553" s="364" t="s">
        <v>88</v>
      </c>
      <c r="W553" s="364" t="s">
        <v>88</v>
      </c>
      <c r="X553" s="364" t="s">
        <v>88</v>
      </c>
      <c r="Y553" s="364" t="s">
        <v>88</v>
      </c>
      <c r="Z553" s="364" t="s">
        <v>651</v>
      </c>
      <c r="AA553" s="364" t="s">
        <v>650</v>
      </c>
      <c r="AB553" s="364" t="s">
        <v>1424</v>
      </c>
      <c r="AC553" s="364" t="s">
        <v>1424</v>
      </c>
      <c r="AD553" s="364" t="s">
        <v>1424</v>
      </c>
      <c r="AE553" s="364" t="s">
        <v>88</v>
      </c>
      <c r="AF553" s="364" t="s">
        <v>2122</v>
      </c>
      <c r="AG553" s="364" t="s">
        <v>1415</v>
      </c>
      <c r="AH553" s="364" t="s">
        <v>2118</v>
      </c>
      <c r="AI553" s="364" t="s">
        <v>2112</v>
      </c>
      <c r="AJ553" s="364" t="s">
        <v>995</v>
      </c>
      <c r="AK553" s="364" t="s">
        <v>647</v>
      </c>
      <c r="AL553" s="364" t="s">
        <v>1412</v>
      </c>
      <c r="AM553" s="364" t="s">
        <v>645</v>
      </c>
      <c r="AN553" s="364" t="s">
        <v>1411</v>
      </c>
    </row>
    <row r="554" spans="1:40" x14ac:dyDescent="0.3">
      <c r="A554" s="364" t="s">
        <v>2113</v>
      </c>
      <c r="B554" s="364" t="s">
        <v>661</v>
      </c>
      <c r="C554" s="364" t="s">
        <v>1420</v>
      </c>
      <c r="D554" s="364" t="s">
        <v>90</v>
      </c>
      <c r="E554" s="364" t="s">
        <v>1994</v>
      </c>
      <c r="F554" s="364" t="s">
        <v>1971</v>
      </c>
      <c r="G554" s="364" t="s">
        <v>658</v>
      </c>
      <c r="H554" s="364" t="s">
        <v>2025</v>
      </c>
      <c r="I554" s="364" t="s">
        <v>1744</v>
      </c>
      <c r="J554" s="364" t="s">
        <v>673</v>
      </c>
      <c r="K554" s="364" t="s">
        <v>668</v>
      </c>
      <c r="L554" s="364" t="s">
        <v>190</v>
      </c>
      <c r="M554" s="364" t="s">
        <v>54</v>
      </c>
      <c r="N554" s="364" t="s">
        <v>654</v>
      </c>
      <c r="O554" s="364" t="s">
        <v>653</v>
      </c>
      <c r="P554" s="364" t="s">
        <v>198</v>
      </c>
      <c r="Q554" s="364" t="s">
        <v>652</v>
      </c>
      <c r="R554" s="364" t="s">
        <v>88</v>
      </c>
      <c r="S554" s="364" t="s">
        <v>88</v>
      </c>
      <c r="T554" s="364" t="s">
        <v>88</v>
      </c>
      <c r="U554" s="364" t="s">
        <v>88</v>
      </c>
      <c r="V554" s="364" t="s">
        <v>88</v>
      </c>
      <c r="W554" s="364" t="s">
        <v>88</v>
      </c>
      <c r="X554" s="364" t="s">
        <v>88</v>
      </c>
      <c r="Y554" s="364" t="s">
        <v>88</v>
      </c>
      <c r="Z554" s="364" t="s">
        <v>1265</v>
      </c>
      <c r="AA554" s="364" t="s">
        <v>649</v>
      </c>
      <c r="AB554" s="364" t="s">
        <v>2121</v>
      </c>
      <c r="AC554" s="364" t="s">
        <v>2121</v>
      </c>
      <c r="AD554" s="364" t="s">
        <v>2121</v>
      </c>
      <c r="AE554" s="364" t="s">
        <v>88</v>
      </c>
      <c r="AF554" s="364" t="s">
        <v>1416</v>
      </c>
      <c r="AG554" s="364" t="s">
        <v>1415</v>
      </c>
      <c r="AH554" s="364" t="s">
        <v>1751</v>
      </c>
      <c r="AI554" s="364" t="s">
        <v>2112</v>
      </c>
      <c r="AJ554" s="364" t="s">
        <v>995</v>
      </c>
      <c r="AK554" s="364" t="s">
        <v>647</v>
      </c>
      <c r="AL554" s="364" t="s">
        <v>1412</v>
      </c>
      <c r="AM554" s="364" t="s">
        <v>668</v>
      </c>
      <c r="AN554" s="364" t="s">
        <v>1411</v>
      </c>
    </row>
    <row r="555" spans="1:40" x14ac:dyDescent="0.3">
      <c r="A555" s="364" t="s">
        <v>2113</v>
      </c>
      <c r="B555" s="364" t="s">
        <v>661</v>
      </c>
      <c r="C555" s="364" t="s">
        <v>1420</v>
      </c>
      <c r="D555" s="364" t="s">
        <v>90</v>
      </c>
      <c r="E555" s="364" t="s">
        <v>1994</v>
      </c>
      <c r="F555" s="364" t="s">
        <v>1971</v>
      </c>
      <c r="G555" s="364" t="s">
        <v>658</v>
      </c>
      <c r="H555" s="364" t="s">
        <v>2025</v>
      </c>
      <c r="I555" s="364" t="s">
        <v>1744</v>
      </c>
      <c r="J555" s="364" t="s">
        <v>673</v>
      </c>
      <c r="K555" s="364" t="s">
        <v>668</v>
      </c>
      <c r="L555" s="364" t="s">
        <v>190</v>
      </c>
      <c r="M555" s="364" t="s">
        <v>723</v>
      </c>
      <c r="N555" s="364" t="s">
        <v>654</v>
      </c>
      <c r="O555" s="364" t="s">
        <v>653</v>
      </c>
      <c r="P555" s="364" t="s">
        <v>198</v>
      </c>
      <c r="Q555" s="364" t="s">
        <v>652</v>
      </c>
      <c r="R555" s="364" t="s">
        <v>88</v>
      </c>
      <c r="S555" s="364" t="s">
        <v>88</v>
      </c>
      <c r="T555" s="364" t="s">
        <v>88</v>
      </c>
      <c r="U555" s="364" t="s">
        <v>88</v>
      </c>
      <c r="V555" s="364" t="s">
        <v>88</v>
      </c>
      <c r="W555" s="364" t="s">
        <v>88</v>
      </c>
      <c r="X555" s="364" t="s">
        <v>88</v>
      </c>
      <c r="Y555" s="364" t="s">
        <v>88</v>
      </c>
      <c r="Z555" s="364" t="s">
        <v>722</v>
      </c>
      <c r="AA555" s="364" t="s">
        <v>649</v>
      </c>
      <c r="AB555" s="364" t="s">
        <v>2120</v>
      </c>
      <c r="AC555" s="364" t="s">
        <v>2120</v>
      </c>
      <c r="AD555" s="364" t="s">
        <v>2120</v>
      </c>
      <c r="AE555" s="364" t="s">
        <v>88</v>
      </c>
      <c r="AF555" s="364" t="s">
        <v>1416</v>
      </c>
      <c r="AG555" s="364" t="s">
        <v>1415</v>
      </c>
      <c r="AH555" s="364" t="s">
        <v>2019</v>
      </c>
      <c r="AI555" s="364" t="s">
        <v>2112</v>
      </c>
      <c r="AJ555" s="364" t="s">
        <v>995</v>
      </c>
      <c r="AK555" s="364" t="s">
        <v>647</v>
      </c>
      <c r="AL555" s="364" t="s">
        <v>1412</v>
      </c>
      <c r="AM555" s="364" t="s">
        <v>668</v>
      </c>
      <c r="AN555" s="364" t="s">
        <v>1411</v>
      </c>
    </row>
    <row r="556" spans="1:40" x14ac:dyDescent="0.3">
      <c r="A556" s="364" t="s">
        <v>2113</v>
      </c>
      <c r="B556" s="364" t="s">
        <v>661</v>
      </c>
      <c r="C556" s="364" t="s">
        <v>1420</v>
      </c>
      <c r="D556" s="364" t="s">
        <v>90</v>
      </c>
      <c r="E556" s="364" t="s">
        <v>1994</v>
      </c>
      <c r="F556" s="364" t="s">
        <v>1971</v>
      </c>
      <c r="G556" s="364" t="s">
        <v>658</v>
      </c>
      <c r="H556" s="364" t="s">
        <v>2025</v>
      </c>
      <c r="I556" s="364" t="s">
        <v>1744</v>
      </c>
      <c r="J556" s="364" t="s">
        <v>673</v>
      </c>
      <c r="K556" s="364" t="s">
        <v>668</v>
      </c>
      <c r="L556" s="364" t="s">
        <v>190</v>
      </c>
      <c r="M556" s="364" t="s">
        <v>713</v>
      </c>
      <c r="N556" s="364" t="s">
        <v>654</v>
      </c>
      <c r="O556" s="364" t="s">
        <v>653</v>
      </c>
      <c r="P556" s="364" t="s">
        <v>198</v>
      </c>
      <c r="Q556" s="364" t="s">
        <v>652</v>
      </c>
      <c r="R556" s="364" t="s">
        <v>88</v>
      </c>
      <c r="S556" s="364" t="s">
        <v>88</v>
      </c>
      <c r="T556" s="364" t="s">
        <v>88</v>
      </c>
      <c r="U556" s="364" t="s">
        <v>88</v>
      </c>
      <c r="V556" s="364" t="s">
        <v>88</v>
      </c>
      <c r="W556" s="364" t="s">
        <v>88</v>
      </c>
      <c r="X556" s="364" t="s">
        <v>88</v>
      </c>
      <c r="Y556" s="364" t="s">
        <v>88</v>
      </c>
      <c r="Z556" s="364" t="s">
        <v>712</v>
      </c>
      <c r="AA556" s="364" t="s">
        <v>711</v>
      </c>
      <c r="AB556" s="364" t="s">
        <v>2018</v>
      </c>
      <c r="AC556" s="364" t="s">
        <v>2018</v>
      </c>
      <c r="AD556" s="364" t="s">
        <v>2018</v>
      </c>
      <c r="AE556" s="364" t="s">
        <v>88</v>
      </c>
      <c r="AF556" s="364" t="s">
        <v>1416</v>
      </c>
      <c r="AG556" s="364" t="s">
        <v>1415</v>
      </c>
      <c r="AH556" s="364" t="s">
        <v>1427</v>
      </c>
      <c r="AI556" s="364" t="s">
        <v>2112</v>
      </c>
      <c r="AJ556" s="364" t="s">
        <v>995</v>
      </c>
      <c r="AK556" s="364" t="s">
        <v>647</v>
      </c>
      <c r="AL556" s="364" t="s">
        <v>1412</v>
      </c>
      <c r="AM556" s="364" t="s">
        <v>668</v>
      </c>
      <c r="AN556" s="364" t="s">
        <v>1411</v>
      </c>
    </row>
    <row r="557" spans="1:40" x14ac:dyDescent="0.3">
      <c r="A557" s="364" t="s">
        <v>2113</v>
      </c>
      <c r="B557" s="364" t="s">
        <v>661</v>
      </c>
      <c r="C557" s="364" t="s">
        <v>1420</v>
      </c>
      <c r="D557" s="364" t="s">
        <v>90</v>
      </c>
      <c r="E557" s="364" t="s">
        <v>1994</v>
      </c>
      <c r="F557" s="364" t="s">
        <v>1971</v>
      </c>
      <c r="G557" s="364" t="s">
        <v>658</v>
      </c>
      <c r="H557" s="364" t="s">
        <v>2025</v>
      </c>
      <c r="I557" s="364" t="s">
        <v>1744</v>
      </c>
      <c r="J557" s="364" t="s">
        <v>673</v>
      </c>
      <c r="K557" s="364" t="s">
        <v>668</v>
      </c>
      <c r="L557" s="364" t="s">
        <v>190</v>
      </c>
      <c r="M557" s="364" t="s">
        <v>61</v>
      </c>
      <c r="N557" s="364" t="s">
        <v>654</v>
      </c>
      <c r="O557" s="364" t="s">
        <v>653</v>
      </c>
      <c r="P557" s="364" t="s">
        <v>198</v>
      </c>
      <c r="Q557" s="364" t="s">
        <v>652</v>
      </c>
      <c r="R557" s="364" t="s">
        <v>88</v>
      </c>
      <c r="S557" s="364" t="s">
        <v>88</v>
      </c>
      <c r="T557" s="364" t="s">
        <v>88</v>
      </c>
      <c r="U557" s="364" t="s">
        <v>88</v>
      </c>
      <c r="V557" s="364" t="s">
        <v>88</v>
      </c>
      <c r="W557" s="364" t="s">
        <v>88</v>
      </c>
      <c r="X557" s="364" t="s">
        <v>88</v>
      </c>
      <c r="Y557" s="364" t="s">
        <v>88</v>
      </c>
      <c r="Z557" s="364" t="s">
        <v>1021</v>
      </c>
      <c r="AA557" s="364" t="s">
        <v>671</v>
      </c>
      <c r="AB557" s="364" t="s">
        <v>649</v>
      </c>
      <c r="AC557" s="364" t="s">
        <v>649</v>
      </c>
      <c r="AD557" s="364" t="s">
        <v>649</v>
      </c>
      <c r="AE557" s="364" t="s">
        <v>88</v>
      </c>
      <c r="AF557" s="364" t="s">
        <v>88</v>
      </c>
      <c r="AG557" s="364" t="s">
        <v>88</v>
      </c>
      <c r="AH557" s="364" t="s">
        <v>88</v>
      </c>
      <c r="AI557" s="364" t="s">
        <v>2112</v>
      </c>
      <c r="AJ557" s="364" t="s">
        <v>995</v>
      </c>
      <c r="AK557" s="364" t="s">
        <v>647</v>
      </c>
      <c r="AL557" s="364" t="s">
        <v>1412</v>
      </c>
      <c r="AM557" s="364" t="s">
        <v>668</v>
      </c>
      <c r="AN557" s="364" t="s">
        <v>1411</v>
      </c>
    </row>
    <row r="558" spans="1:40" x14ac:dyDescent="0.3">
      <c r="A558" s="364" t="s">
        <v>2113</v>
      </c>
      <c r="B558" s="364" t="s">
        <v>661</v>
      </c>
      <c r="C558" s="364" t="s">
        <v>1420</v>
      </c>
      <c r="D558" s="364" t="s">
        <v>90</v>
      </c>
      <c r="E558" s="364" t="s">
        <v>1994</v>
      </c>
      <c r="F558" s="364" t="s">
        <v>1971</v>
      </c>
      <c r="G558" s="364" t="s">
        <v>658</v>
      </c>
      <c r="H558" s="364" t="s">
        <v>2025</v>
      </c>
      <c r="I558" s="364" t="s">
        <v>1744</v>
      </c>
      <c r="J558" s="364" t="s">
        <v>673</v>
      </c>
      <c r="K558" s="364" t="s">
        <v>668</v>
      </c>
      <c r="L558" s="364" t="s">
        <v>190</v>
      </c>
      <c r="M558" s="364" t="s">
        <v>63</v>
      </c>
      <c r="N558" s="364" t="s">
        <v>654</v>
      </c>
      <c r="O558" s="364" t="s">
        <v>653</v>
      </c>
      <c r="P558" s="364" t="s">
        <v>198</v>
      </c>
      <c r="Q558" s="364" t="s">
        <v>652</v>
      </c>
      <c r="R558" s="364" t="s">
        <v>88</v>
      </c>
      <c r="S558" s="364" t="s">
        <v>88</v>
      </c>
      <c r="T558" s="364" t="s">
        <v>88</v>
      </c>
      <c r="U558" s="364" t="s">
        <v>88</v>
      </c>
      <c r="V558" s="364" t="s">
        <v>88</v>
      </c>
      <c r="W558" s="364" t="s">
        <v>88</v>
      </c>
      <c r="X558" s="364" t="s">
        <v>88</v>
      </c>
      <c r="Y558" s="364" t="s">
        <v>88</v>
      </c>
      <c r="Z558" s="364" t="s">
        <v>1750</v>
      </c>
      <c r="AA558" s="364" t="s">
        <v>671</v>
      </c>
      <c r="AB558" s="364" t="s">
        <v>1749</v>
      </c>
      <c r="AC558" s="364" t="s">
        <v>1749</v>
      </c>
      <c r="AD558" s="364" t="s">
        <v>1749</v>
      </c>
      <c r="AE558" s="364" t="s">
        <v>88</v>
      </c>
      <c r="AF558" s="364" t="s">
        <v>1416</v>
      </c>
      <c r="AG558" s="364" t="s">
        <v>1415</v>
      </c>
      <c r="AH558" s="364" t="s">
        <v>1748</v>
      </c>
      <c r="AI558" s="364" t="s">
        <v>2112</v>
      </c>
      <c r="AJ558" s="364" t="s">
        <v>995</v>
      </c>
      <c r="AK558" s="364" t="s">
        <v>647</v>
      </c>
      <c r="AL558" s="364" t="s">
        <v>1412</v>
      </c>
      <c r="AM558" s="364" t="s">
        <v>668</v>
      </c>
      <c r="AN558" s="364" t="s">
        <v>1411</v>
      </c>
    </row>
    <row r="559" spans="1:40" x14ac:dyDescent="0.3">
      <c r="A559" s="364" t="s">
        <v>2113</v>
      </c>
      <c r="B559" s="364" t="s">
        <v>661</v>
      </c>
      <c r="C559" s="364" t="s">
        <v>1420</v>
      </c>
      <c r="D559" s="364" t="s">
        <v>90</v>
      </c>
      <c r="E559" s="364" t="s">
        <v>1994</v>
      </c>
      <c r="F559" s="364" t="s">
        <v>1971</v>
      </c>
      <c r="G559" s="364" t="s">
        <v>658</v>
      </c>
      <c r="H559" s="364" t="s">
        <v>2025</v>
      </c>
      <c r="I559" s="364" t="s">
        <v>1744</v>
      </c>
      <c r="J559" s="364" t="s">
        <v>673</v>
      </c>
      <c r="K559" s="364" t="s">
        <v>668</v>
      </c>
      <c r="L559" s="364" t="s">
        <v>190</v>
      </c>
      <c r="M559" s="364" t="s">
        <v>1168</v>
      </c>
      <c r="N559" s="364" t="s">
        <v>654</v>
      </c>
      <c r="O559" s="364" t="s">
        <v>653</v>
      </c>
      <c r="P559" s="364" t="s">
        <v>198</v>
      </c>
      <c r="Q559" s="364" t="s">
        <v>652</v>
      </c>
      <c r="R559" s="364" t="s">
        <v>88</v>
      </c>
      <c r="S559" s="364" t="s">
        <v>88</v>
      </c>
      <c r="T559" s="364" t="s">
        <v>88</v>
      </c>
      <c r="U559" s="364" t="s">
        <v>88</v>
      </c>
      <c r="V559" s="364" t="s">
        <v>88</v>
      </c>
      <c r="W559" s="364" t="s">
        <v>88</v>
      </c>
      <c r="X559" s="364" t="s">
        <v>88</v>
      </c>
      <c r="Y559" s="364" t="s">
        <v>88</v>
      </c>
      <c r="Z559" s="364" t="s">
        <v>1167</v>
      </c>
      <c r="AA559" s="364" t="s">
        <v>1166</v>
      </c>
      <c r="AB559" s="364" t="s">
        <v>649</v>
      </c>
      <c r="AC559" s="364" t="s">
        <v>649</v>
      </c>
      <c r="AD559" s="364" t="s">
        <v>649</v>
      </c>
      <c r="AE559" s="364" t="s">
        <v>88</v>
      </c>
      <c r="AF559" s="364" t="s">
        <v>88</v>
      </c>
      <c r="AG559" s="364" t="s">
        <v>88</v>
      </c>
      <c r="AH559" s="364" t="s">
        <v>88</v>
      </c>
      <c r="AI559" s="364" t="s">
        <v>2112</v>
      </c>
      <c r="AJ559" s="364" t="s">
        <v>995</v>
      </c>
      <c r="AK559" s="364" t="s">
        <v>647</v>
      </c>
      <c r="AL559" s="364" t="s">
        <v>1412</v>
      </c>
      <c r="AM559" s="364" t="s">
        <v>668</v>
      </c>
      <c r="AN559" s="364" t="s">
        <v>1411</v>
      </c>
    </row>
    <row r="560" spans="1:40" x14ac:dyDescent="0.3">
      <c r="A560" s="364" t="s">
        <v>2113</v>
      </c>
      <c r="B560" s="364" t="s">
        <v>661</v>
      </c>
      <c r="C560" s="364" t="s">
        <v>1420</v>
      </c>
      <c r="D560" s="364" t="s">
        <v>90</v>
      </c>
      <c r="E560" s="364" t="s">
        <v>1994</v>
      </c>
      <c r="F560" s="364" t="s">
        <v>1971</v>
      </c>
      <c r="G560" s="364" t="s">
        <v>658</v>
      </c>
      <c r="H560" s="364" t="s">
        <v>2025</v>
      </c>
      <c r="I560" s="364" t="s">
        <v>1744</v>
      </c>
      <c r="J560" s="364" t="s">
        <v>673</v>
      </c>
      <c r="K560" s="364" t="s">
        <v>668</v>
      </c>
      <c r="L560" s="364" t="s">
        <v>190</v>
      </c>
      <c r="M560" s="364" t="s">
        <v>165</v>
      </c>
      <c r="N560" s="364" t="s">
        <v>654</v>
      </c>
      <c r="O560" s="364" t="s">
        <v>653</v>
      </c>
      <c r="P560" s="364" t="s">
        <v>198</v>
      </c>
      <c r="Q560" s="364" t="s">
        <v>652</v>
      </c>
      <c r="R560" s="364" t="s">
        <v>88</v>
      </c>
      <c r="S560" s="364" t="s">
        <v>88</v>
      </c>
      <c r="T560" s="364" t="s">
        <v>88</v>
      </c>
      <c r="U560" s="364" t="s">
        <v>88</v>
      </c>
      <c r="V560" s="364" t="s">
        <v>88</v>
      </c>
      <c r="W560" s="364" t="s">
        <v>88</v>
      </c>
      <c r="X560" s="364" t="s">
        <v>88</v>
      </c>
      <c r="Y560" s="364" t="s">
        <v>88</v>
      </c>
      <c r="Z560" s="364" t="s">
        <v>2027</v>
      </c>
      <c r="AA560" s="364" t="s">
        <v>688</v>
      </c>
      <c r="AB560" s="364" t="s">
        <v>2119</v>
      </c>
      <c r="AC560" s="364" t="s">
        <v>2119</v>
      </c>
      <c r="AD560" s="364" t="s">
        <v>2119</v>
      </c>
      <c r="AE560" s="364" t="s">
        <v>88</v>
      </c>
      <c r="AF560" s="364" t="s">
        <v>1416</v>
      </c>
      <c r="AG560" s="364" t="s">
        <v>1415</v>
      </c>
      <c r="AH560" s="364" t="s">
        <v>2118</v>
      </c>
      <c r="AI560" s="364" t="s">
        <v>2112</v>
      </c>
      <c r="AJ560" s="364" t="s">
        <v>995</v>
      </c>
      <c r="AK560" s="364" t="s">
        <v>647</v>
      </c>
      <c r="AL560" s="364" t="s">
        <v>1412</v>
      </c>
      <c r="AM560" s="364" t="s">
        <v>668</v>
      </c>
      <c r="AN560" s="364" t="s">
        <v>1411</v>
      </c>
    </row>
    <row r="561" spans="1:40" x14ac:dyDescent="0.3">
      <c r="A561" s="364" t="s">
        <v>2113</v>
      </c>
      <c r="B561" s="364" t="s">
        <v>661</v>
      </c>
      <c r="C561" s="364" t="s">
        <v>1420</v>
      </c>
      <c r="D561" s="364" t="s">
        <v>90</v>
      </c>
      <c r="E561" s="364" t="s">
        <v>1994</v>
      </c>
      <c r="F561" s="364" t="s">
        <v>1971</v>
      </c>
      <c r="G561" s="364" t="s">
        <v>658</v>
      </c>
      <c r="H561" s="364" t="s">
        <v>2025</v>
      </c>
      <c r="I561" s="364" t="s">
        <v>1744</v>
      </c>
      <c r="J561" s="364" t="s">
        <v>673</v>
      </c>
      <c r="K561" s="364" t="s">
        <v>668</v>
      </c>
      <c r="L561" s="364" t="s">
        <v>190</v>
      </c>
      <c r="M561" s="364" t="s">
        <v>240</v>
      </c>
      <c r="N561" s="364" t="s">
        <v>654</v>
      </c>
      <c r="O561" s="364" t="s">
        <v>653</v>
      </c>
      <c r="P561" s="364" t="s">
        <v>198</v>
      </c>
      <c r="Q561" s="364" t="s">
        <v>652</v>
      </c>
      <c r="R561" s="364" t="s">
        <v>88</v>
      </c>
      <c r="S561" s="364" t="s">
        <v>88</v>
      </c>
      <c r="T561" s="364" t="s">
        <v>88</v>
      </c>
      <c r="U561" s="364" t="s">
        <v>88</v>
      </c>
      <c r="V561" s="364" t="s">
        <v>88</v>
      </c>
      <c r="W561" s="364" t="s">
        <v>88</v>
      </c>
      <c r="X561" s="364" t="s">
        <v>88</v>
      </c>
      <c r="Y561" s="364" t="s">
        <v>88</v>
      </c>
      <c r="Z561" s="364" t="s">
        <v>1163</v>
      </c>
      <c r="AA561" s="364" t="s">
        <v>1162</v>
      </c>
      <c r="AB561" s="364" t="s">
        <v>2117</v>
      </c>
      <c r="AC561" s="364" t="s">
        <v>2117</v>
      </c>
      <c r="AD561" s="364" t="s">
        <v>2117</v>
      </c>
      <c r="AE561" s="364" t="s">
        <v>88</v>
      </c>
      <c r="AF561" s="364" t="s">
        <v>1416</v>
      </c>
      <c r="AG561" s="364" t="s">
        <v>1415</v>
      </c>
      <c r="AH561" s="364" t="s">
        <v>1426</v>
      </c>
      <c r="AI561" s="364" t="s">
        <v>2112</v>
      </c>
      <c r="AJ561" s="364" t="s">
        <v>995</v>
      </c>
      <c r="AK561" s="364" t="s">
        <v>647</v>
      </c>
      <c r="AL561" s="364" t="s">
        <v>1412</v>
      </c>
      <c r="AM561" s="364" t="s">
        <v>668</v>
      </c>
      <c r="AN561" s="364" t="s">
        <v>1411</v>
      </c>
    </row>
    <row r="562" spans="1:40" x14ac:dyDescent="0.3">
      <c r="A562" s="364" t="s">
        <v>2113</v>
      </c>
      <c r="B562" s="364" t="s">
        <v>661</v>
      </c>
      <c r="C562" s="364" t="s">
        <v>1420</v>
      </c>
      <c r="D562" s="364" t="s">
        <v>90</v>
      </c>
      <c r="E562" s="364" t="s">
        <v>1994</v>
      </c>
      <c r="F562" s="364" t="s">
        <v>1971</v>
      </c>
      <c r="G562" s="364" t="s">
        <v>658</v>
      </c>
      <c r="H562" s="364" t="s">
        <v>2025</v>
      </c>
      <c r="I562" s="364" t="s">
        <v>1744</v>
      </c>
      <c r="J562" s="364" t="s">
        <v>673</v>
      </c>
      <c r="K562" s="364" t="s">
        <v>668</v>
      </c>
      <c r="L562" s="364" t="s">
        <v>190</v>
      </c>
      <c r="M562" s="364" t="s">
        <v>241</v>
      </c>
      <c r="N562" s="364" t="s">
        <v>654</v>
      </c>
      <c r="O562" s="364" t="s">
        <v>653</v>
      </c>
      <c r="P562" s="364" t="s">
        <v>198</v>
      </c>
      <c r="Q562" s="364" t="s">
        <v>652</v>
      </c>
      <c r="R562" s="364" t="s">
        <v>88</v>
      </c>
      <c r="S562" s="364" t="s">
        <v>88</v>
      </c>
      <c r="T562" s="364" t="s">
        <v>88</v>
      </c>
      <c r="U562" s="364" t="s">
        <v>88</v>
      </c>
      <c r="V562" s="364" t="s">
        <v>88</v>
      </c>
      <c r="W562" s="364" t="s">
        <v>88</v>
      </c>
      <c r="X562" s="364" t="s">
        <v>88</v>
      </c>
      <c r="Y562" s="364" t="s">
        <v>88</v>
      </c>
      <c r="Z562" s="364" t="s">
        <v>1170</v>
      </c>
      <c r="AA562" s="364" t="s">
        <v>1169</v>
      </c>
      <c r="AB562" s="364" t="s">
        <v>2116</v>
      </c>
      <c r="AC562" s="364" t="s">
        <v>2116</v>
      </c>
      <c r="AD562" s="364" t="s">
        <v>2116</v>
      </c>
      <c r="AE562" s="364" t="s">
        <v>88</v>
      </c>
      <c r="AF562" s="364" t="s">
        <v>1416</v>
      </c>
      <c r="AG562" s="364" t="s">
        <v>1415</v>
      </c>
      <c r="AH562" s="364" t="s">
        <v>1425</v>
      </c>
      <c r="AI562" s="364" t="s">
        <v>2112</v>
      </c>
      <c r="AJ562" s="364" t="s">
        <v>995</v>
      </c>
      <c r="AK562" s="364" t="s">
        <v>647</v>
      </c>
      <c r="AL562" s="364" t="s">
        <v>1412</v>
      </c>
      <c r="AM562" s="364" t="s">
        <v>668</v>
      </c>
      <c r="AN562" s="364" t="s">
        <v>1411</v>
      </c>
    </row>
    <row r="563" spans="1:40" x14ac:dyDescent="0.3">
      <c r="A563" s="364" t="s">
        <v>2113</v>
      </c>
      <c r="B563" s="364" t="s">
        <v>661</v>
      </c>
      <c r="C563" s="364" t="s">
        <v>1420</v>
      </c>
      <c r="D563" s="364" t="s">
        <v>90</v>
      </c>
      <c r="E563" s="364" t="s">
        <v>1994</v>
      </c>
      <c r="F563" s="364" t="s">
        <v>1971</v>
      </c>
      <c r="G563" s="364" t="s">
        <v>658</v>
      </c>
      <c r="H563" s="364" t="s">
        <v>2025</v>
      </c>
      <c r="I563" s="364" t="s">
        <v>1744</v>
      </c>
      <c r="J563" s="364" t="s">
        <v>673</v>
      </c>
      <c r="K563" s="364" t="s">
        <v>668</v>
      </c>
      <c r="L563" s="364" t="s">
        <v>190</v>
      </c>
      <c r="M563" s="364" t="s">
        <v>721</v>
      </c>
      <c r="N563" s="364" t="s">
        <v>654</v>
      </c>
      <c r="O563" s="364" t="s">
        <v>653</v>
      </c>
      <c r="P563" s="364" t="s">
        <v>198</v>
      </c>
      <c r="Q563" s="364" t="s">
        <v>652</v>
      </c>
      <c r="R563" s="364" t="s">
        <v>88</v>
      </c>
      <c r="S563" s="364" t="s">
        <v>88</v>
      </c>
      <c r="T563" s="364" t="s">
        <v>88</v>
      </c>
      <c r="U563" s="364" t="s">
        <v>88</v>
      </c>
      <c r="V563" s="364" t="s">
        <v>88</v>
      </c>
      <c r="W563" s="364" t="s">
        <v>88</v>
      </c>
      <c r="X563" s="364" t="s">
        <v>88</v>
      </c>
      <c r="Y563" s="364" t="s">
        <v>88</v>
      </c>
      <c r="Z563" s="364" t="s">
        <v>720</v>
      </c>
      <c r="AA563" s="364" t="s">
        <v>649</v>
      </c>
      <c r="AB563" s="364" t="s">
        <v>2115</v>
      </c>
      <c r="AC563" s="364" t="s">
        <v>2115</v>
      </c>
      <c r="AD563" s="364" t="s">
        <v>2115</v>
      </c>
      <c r="AE563" s="364" t="s">
        <v>88</v>
      </c>
      <c r="AF563" s="364" t="s">
        <v>1416</v>
      </c>
      <c r="AG563" s="364" t="s">
        <v>1415</v>
      </c>
      <c r="AH563" s="364" t="s">
        <v>2014</v>
      </c>
      <c r="AI563" s="364" t="s">
        <v>2112</v>
      </c>
      <c r="AJ563" s="364" t="s">
        <v>995</v>
      </c>
      <c r="AK563" s="364" t="s">
        <v>647</v>
      </c>
      <c r="AL563" s="364" t="s">
        <v>1412</v>
      </c>
      <c r="AM563" s="364" t="s">
        <v>668</v>
      </c>
      <c r="AN563" s="364" t="s">
        <v>1411</v>
      </c>
    </row>
    <row r="564" spans="1:40" x14ac:dyDescent="0.3">
      <c r="A564" s="364" t="s">
        <v>2113</v>
      </c>
      <c r="B564" s="364" t="s">
        <v>661</v>
      </c>
      <c r="C564" s="364" t="s">
        <v>1420</v>
      </c>
      <c r="D564" s="364" t="s">
        <v>90</v>
      </c>
      <c r="E564" s="364" t="s">
        <v>1994</v>
      </c>
      <c r="F564" s="364" t="s">
        <v>1971</v>
      </c>
      <c r="G564" s="364" t="s">
        <v>658</v>
      </c>
      <c r="H564" s="364" t="s">
        <v>2025</v>
      </c>
      <c r="I564" s="364" t="s">
        <v>1744</v>
      </c>
      <c r="J564" s="364" t="s">
        <v>673</v>
      </c>
      <c r="K564" s="364" t="s">
        <v>668</v>
      </c>
      <c r="L564" s="364" t="s">
        <v>190</v>
      </c>
      <c r="M564" s="364" t="s">
        <v>243</v>
      </c>
      <c r="N564" s="364" t="s">
        <v>654</v>
      </c>
      <c r="O564" s="364" t="s">
        <v>653</v>
      </c>
      <c r="P564" s="364" t="s">
        <v>198</v>
      </c>
      <c r="Q564" s="364" t="s">
        <v>652</v>
      </c>
      <c r="R564" s="364" t="s">
        <v>88</v>
      </c>
      <c r="S564" s="364" t="s">
        <v>88</v>
      </c>
      <c r="T564" s="364" t="s">
        <v>88</v>
      </c>
      <c r="U564" s="364" t="s">
        <v>88</v>
      </c>
      <c r="V564" s="364" t="s">
        <v>88</v>
      </c>
      <c r="W564" s="364" t="s">
        <v>88</v>
      </c>
      <c r="X564" s="364" t="s">
        <v>88</v>
      </c>
      <c r="Y564" s="364" t="s">
        <v>88</v>
      </c>
      <c r="Z564" s="364" t="s">
        <v>1175</v>
      </c>
      <c r="AA564" s="364" t="s">
        <v>1174</v>
      </c>
      <c r="AB564" s="364" t="s">
        <v>2114</v>
      </c>
      <c r="AC564" s="364" t="s">
        <v>2114</v>
      </c>
      <c r="AD564" s="364" t="s">
        <v>2114</v>
      </c>
      <c r="AE564" s="364" t="s">
        <v>88</v>
      </c>
      <c r="AF564" s="364" t="s">
        <v>1416</v>
      </c>
      <c r="AG564" s="364" t="s">
        <v>1415</v>
      </c>
      <c r="AH564" s="364" t="s">
        <v>2012</v>
      </c>
      <c r="AI564" s="364" t="s">
        <v>2112</v>
      </c>
      <c r="AJ564" s="364" t="s">
        <v>995</v>
      </c>
      <c r="AK564" s="364" t="s">
        <v>647</v>
      </c>
      <c r="AL564" s="364" t="s">
        <v>1412</v>
      </c>
      <c r="AM564" s="364" t="s">
        <v>668</v>
      </c>
      <c r="AN564" s="364" t="s">
        <v>1411</v>
      </c>
    </row>
    <row r="565" spans="1:40" x14ac:dyDescent="0.3">
      <c r="A565" s="364" t="s">
        <v>2113</v>
      </c>
      <c r="B565" s="364" t="s">
        <v>661</v>
      </c>
      <c r="C565" s="364" t="s">
        <v>1420</v>
      </c>
      <c r="D565" s="364" t="s">
        <v>90</v>
      </c>
      <c r="E565" s="364" t="s">
        <v>1994</v>
      </c>
      <c r="F565" s="364" t="s">
        <v>1971</v>
      </c>
      <c r="G565" s="364" t="s">
        <v>658</v>
      </c>
      <c r="H565" s="364" t="s">
        <v>2025</v>
      </c>
      <c r="I565" s="364" t="s">
        <v>1744</v>
      </c>
      <c r="J565" s="364" t="s">
        <v>673</v>
      </c>
      <c r="K565" s="364" t="s">
        <v>668</v>
      </c>
      <c r="L565" s="364" t="s">
        <v>190</v>
      </c>
      <c r="M565" s="364" t="s">
        <v>250</v>
      </c>
      <c r="N565" s="364" t="s">
        <v>654</v>
      </c>
      <c r="O565" s="364" t="s">
        <v>653</v>
      </c>
      <c r="P565" s="364" t="s">
        <v>198</v>
      </c>
      <c r="Q565" s="364" t="s">
        <v>652</v>
      </c>
      <c r="R565" s="364" t="s">
        <v>88</v>
      </c>
      <c r="S565" s="364" t="s">
        <v>88</v>
      </c>
      <c r="T565" s="364" t="s">
        <v>88</v>
      </c>
      <c r="U565" s="364" t="s">
        <v>88</v>
      </c>
      <c r="V565" s="364" t="s">
        <v>88</v>
      </c>
      <c r="W565" s="364" t="s">
        <v>88</v>
      </c>
      <c r="X565" s="364" t="s">
        <v>88</v>
      </c>
      <c r="Y565" s="364" t="s">
        <v>88</v>
      </c>
      <c r="Z565" s="364" t="s">
        <v>1821</v>
      </c>
      <c r="AA565" s="364" t="s">
        <v>649</v>
      </c>
      <c r="AB565" s="364" t="s">
        <v>1821</v>
      </c>
      <c r="AC565" s="364" t="s">
        <v>1821</v>
      </c>
      <c r="AD565" s="364" t="s">
        <v>1821</v>
      </c>
      <c r="AE565" s="364" t="s">
        <v>88</v>
      </c>
      <c r="AF565" s="364" t="s">
        <v>1416</v>
      </c>
      <c r="AG565" s="364" t="s">
        <v>1415</v>
      </c>
      <c r="AH565" s="364" t="s">
        <v>1748</v>
      </c>
      <c r="AI565" s="364" t="s">
        <v>2112</v>
      </c>
      <c r="AJ565" s="364" t="s">
        <v>995</v>
      </c>
      <c r="AK565" s="364" t="s">
        <v>647</v>
      </c>
      <c r="AL565" s="364" t="s">
        <v>1412</v>
      </c>
      <c r="AM565" s="364" t="s">
        <v>668</v>
      </c>
      <c r="AN565" s="364" t="s">
        <v>1411</v>
      </c>
    </row>
    <row r="566" spans="1:40" x14ac:dyDescent="0.3">
      <c r="A566" s="364" t="s">
        <v>2111</v>
      </c>
      <c r="B566" s="364" t="s">
        <v>661</v>
      </c>
      <c r="C566" s="364" t="s">
        <v>1160</v>
      </c>
      <c r="D566" s="364" t="s">
        <v>87</v>
      </c>
      <c r="E566" s="364" t="s">
        <v>2086</v>
      </c>
      <c r="F566" s="364" t="s">
        <v>2086</v>
      </c>
      <c r="G566" s="364" t="s">
        <v>658</v>
      </c>
      <c r="H566" s="364" t="s">
        <v>2110</v>
      </c>
      <c r="I566" s="364" t="s">
        <v>88</v>
      </c>
      <c r="J566" s="364" t="s">
        <v>88</v>
      </c>
      <c r="K566" s="364" t="s">
        <v>88</v>
      </c>
      <c r="L566" s="364" t="s">
        <v>88</v>
      </c>
      <c r="M566" s="364" t="s">
        <v>138</v>
      </c>
      <c r="N566" s="364" t="s">
        <v>654</v>
      </c>
      <c r="O566" s="364" t="s">
        <v>653</v>
      </c>
      <c r="P566" s="364" t="s">
        <v>88</v>
      </c>
      <c r="Q566" s="364" t="s">
        <v>88</v>
      </c>
      <c r="R566" s="364" t="s">
        <v>88</v>
      </c>
      <c r="S566" s="364" t="s">
        <v>88</v>
      </c>
      <c r="T566" s="364" t="s">
        <v>88</v>
      </c>
      <c r="U566" s="364" t="s">
        <v>88</v>
      </c>
      <c r="V566" s="364" t="s">
        <v>88</v>
      </c>
      <c r="W566" s="364" t="s">
        <v>88</v>
      </c>
      <c r="X566" s="364" t="s">
        <v>88</v>
      </c>
      <c r="Y566" s="364" t="s">
        <v>88</v>
      </c>
      <c r="Z566" s="364" t="s">
        <v>88</v>
      </c>
      <c r="AA566" s="364" t="s">
        <v>649</v>
      </c>
      <c r="AB566" s="364" t="s">
        <v>88</v>
      </c>
      <c r="AC566" s="364" t="s">
        <v>88</v>
      </c>
      <c r="AD566" s="364" t="s">
        <v>88</v>
      </c>
      <c r="AE566" s="364" t="s">
        <v>88</v>
      </c>
      <c r="AF566" s="364" t="s">
        <v>88</v>
      </c>
      <c r="AG566" s="364" t="s">
        <v>88</v>
      </c>
      <c r="AH566" s="364" t="s">
        <v>88</v>
      </c>
      <c r="AI566" s="364" t="s">
        <v>2109</v>
      </c>
      <c r="AJ566" s="364" t="s">
        <v>793</v>
      </c>
      <c r="AK566" s="364" t="s">
        <v>88</v>
      </c>
      <c r="AL566" s="364" t="s">
        <v>88</v>
      </c>
      <c r="AM566" s="364" t="s">
        <v>88</v>
      </c>
      <c r="AN566" s="364" t="s">
        <v>792</v>
      </c>
    </row>
    <row r="567" spans="1:40" x14ac:dyDescent="0.3">
      <c r="A567" s="364" t="s">
        <v>2108</v>
      </c>
      <c r="B567" s="364" t="s">
        <v>661</v>
      </c>
      <c r="C567" s="364" t="s">
        <v>1160</v>
      </c>
      <c r="D567" s="364" t="s">
        <v>87</v>
      </c>
      <c r="E567" s="364" t="s">
        <v>2086</v>
      </c>
      <c r="F567" s="364" t="s">
        <v>2086</v>
      </c>
      <c r="G567" s="364" t="s">
        <v>658</v>
      </c>
      <c r="H567" s="364" t="s">
        <v>2107</v>
      </c>
      <c r="I567" s="364" t="s">
        <v>88</v>
      </c>
      <c r="J567" s="364" t="s">
        <v>88</v>
      </c>
      <c r="K567" s="364" t="s">
        <v>88</v>
      </c>
      <c r="L567" s="364" t="s">
        <v>88</v>
      </c>
      <c r="M567" s="364" t="s">
        <v>138</v>
      </c>
      <c r="N567" s="364" t="s">
        <v>654</v>
      </c>
      <c r="O567" s="364" t="s">
        <v>653</v>
      </c>
      <c r="P567" s="364" t="s">
        <v>88</v>
      </c>
      <c r="Q567" s="364" t="s">
        <v>88</v>
      </c>
      <c r="R567" s="364" t="s">
        <v>88</v>
      </c>
      <c r="S567" s="364" t="s">
        <v>88</v>
      </c>
      <c r="T567" s="364" t="s">
        <v>88</v>
      </c>
      <c r="U567" s="364" t="s">
        <v>88</v>
      </c>
      <c r="V567" s="364" t="s">
        <v>88</v>
      </c>
      <c r="W567" s="364" t="s">
        <v>88</v>
      </c>
      <c r="X567" s="364" t="s">
        <v>88</v>
      </c>
      <c r="Y567" s="364" t="s">
        <v>88</v>
      </c>
      <c r="Z567" s="364" t="s">
        <v>88</v>
      </c>
      <c r="AA567" s="364" t="s">
        <v>649</v>
      </c>
      <c r="AB567" s="364" t="s">
        <v>88</v>
      </c>
      <c r="AC567" s="364" t="s">
        <v>88</v>
      </c>
      <c r="AD567" s="364" t="s">
        <v>88</v>
      </c>
      <c r="AE567" s="364" t="s">
        <v>88</v>
      </c>
      <c r="AF567" s="364" t="s">
        <v>88</v>
      </c>
      <c r="AG567" s="364" t="s">
        <v>88</v>
      </c>
      <c r="AH567" s="364" t="s">
        <v>88</v>
      </c>
      <c r="AI567" s="364" t="s">
        <v>2106</v>
      </c>
      <c r="AJ567" s="364" t="s">
        <v>793</v>
      </c>
      <c r="AK567" s="364" t="s">
        <v>88</v>
      </c>
      <c r="AL567" s="364" t="s">
        <v>88</v>
      </c>
      <c r="AM567" s="364" t="s">
        <v>88</v>
      </c>
      <c r="AN567" s="364" t="s">
        <v>792</v>
      </c>
    </row>
    <row r="568" spans="1:40" x14ac:dyDescent="0.3">
      <c r="A568" s="364" t="s">
        <v>2105</v>
      </c>
      <c r="B568" s="364" t="s">
        <v>661</v>
      </c>
      <c r="C568" s="364" t="s">
        <v>677</v>
      </c>
      <c r="D568" s="364" t="s">
        <v>90</v>
      </c>
      <c r="E568" s="364" t="s">
        <v>2104</v>
      </c>
      <c r="F568" s="364" t="s">
        <v>2104</v>
      </c>
      <c r="G568" s="364" t="s">
        <v>658</v>
      </c>
      <c r="H568" s="364" t="s">
        <v>2103</v>
      </c>
      <c r="I568" s="364" t="s">
        <v>2102</v>
      </c>
      <c r="J568" s="364" t="s">
        <v>673</v>
      </c>
      <c r="K568" s="364" t="s">
        <v>668</v>
      </c>
      <c r="L568" s="364" t="s">
        <v>190</v>
      </c>
      <c r="M568" s="364" t="s">
        <v>713</v>
      </c>
      <c r="N568" s="364" t="s">
        <v>654</v>
      </c>
      <c r="O568" s="364" t="s">
        <v>653</v>
      </c>
      <c r="P568" s="364" t="s">
        <v>198</v>
      </c>
      <c r="Q568" s="364" t="s">
        <v>652</v>
      </c>
      <c r="R568" s="364" t="s">
        <v>88</v>
      </c>
      <c r="S568" s="364" t="s">
        <v>88</v>
      </c>
      <c r="T568" s="364" t="s">
        <v>88</v>
      </c>
      <c r="U568" s="364" t="s">
        <v>88</v>
      </c>
      <c r="V568" s="364" t="s">
        <v>88</v>
      </c>
      <c r="W568" s="364" t="s">
        <v>88</v>
      </c>
      <c r="X568" s="364" t="s">
        <v>88</v>
      </c>
      <c r="Y568" s="364" t="s">
        <v>88</v>
      </c>
      <c r="Z568" s="364" t="s">
        <v>712</v>
      </c>
      <c r="AA568" s="364" t="s">
        <v>711</v>
      </c>
      <c r="AB568" s="364" t="s">
        <v>649</v>
      </c>
      <c r="AC568" s="364" t="s">
        <v>649</v>
      </c>
      <c r="AD568" s="364" t="s">
        <v>88</v>
      </c>
      <c r="AE568" s="364" t="s">
        <v>88</v>
      </c>
      <c r="AF568" s="364" t="s">
        <v>88</v>
      </c>
      <c r="AG568" s="364" t="s">
        <v>88</v>
      </c>
      <c r="AH568" s="364" t="s">
        <v>88</v>
      </c>
      <c r="AI568" s="364" t="s">
        <v>1155</v>
      </c>
      <c r="AJ568" s="364" t="s">
        <v>710</v>
      </c>
      <c r="AK568" s="364" t="s">
        <v>647</v>
      </c>
      <c r="AL568" s="364" t="s">
        <v>88</v>
      </c>
      <c r="AM568" s="364" t="s">
        <v>668</v>
      </c>
      <c r="AN568" s="364" t="s">
        <v>644</v>
      </c>
    </row>
    <row r="569" spans="1:40" x14ac:dyDescent="0.3">
      <c r="A569" s="364" t="s">
        <v>2105</v>
      </c>
      <c r="B569" s="364" t="s">
        <v>661</v>
      </c>
      <c r="C569" s="364" t="s">
        <v>677</v>
      </c>
      <c r="D569" s="364" t="s">
        <v>90</v>
      </c>
      <c r="E569" s="364" t="s">
        <v>2104</v>
      </c>
      <c r="F569" s="364" t="s">
        <v>2104</v>
      </c>
      <c r="G569" s="364" t="s">
        <v>658</v>
      </c>
      <c r="H569" s="364" t="s">
        <v>2103</v>
      </c>
      <c r="I569" s="364" t="s">
        <v>2102</v>
      </c>
      <c r="J569" s="364" t="s">
        <v>673</v>
      </c>
      <c r="K569" s="364" t="s">
        <v>668</v>
      </c>
      <c r="L569" s="364" t="s">
        <v>190</v>
      </c>
      <c r="M569" s="364" t="s">
        <v>718</v>
      </c>
      <c r="N569" s="364" t="s">
        <v>654</v>
      </c>
      <c r="O569" s="364" t="s">
        <v>653</v>
      </c>
      <c r="P569" s="364" t="s">
        <v>198</v>
      </c>
      <c r="Q569" s="364" t="s">
        <v>652</v>
      </c>
      <c r="R569" s="364" t="s">
        <v>88</v>
      </c>
      <c r="S569" s="364" t="s">
        <v>88</v>
      </c>
      <c r="T569" s="364" t="s">
        <v>88</v>
      </c>
      <c r="U569" s="364" t="s">
        <v>88</v>
      </c>
      <c r="V569" s="364" t="s">
        <v>88</v>
      </c>
      <c r="W569" s="364" t="s">
        <v>88</v>
      </c>
      <c r="X569" s="364" t="s">
        <v>88</v>
      </c>
      <c r="Y569" s="364" t="s">
        <v>88</v>
      </c>
      <c r="Z569" s="364" t="s">
        <v>717</v>
      </c>
      <c r="AA569" s="364" t="s">
        <v>649</v>
      </c>
      <c r="AB569" s="364" t="s">
        <v>649</v>
      </c>
      <c r="AC569" s="364" t="s">
        <v>649</v>
      </c>
      <c r="AD569" s="364" t="s">
        <v>88</v>
      </c>
      <c r="AE569" s="364" t="s">
        <v>88</v>
      </c>
      <c r="AF569" s="364" t="s">
        <v>88</v>
      </c>
      <c r="AG569" s="364" t="s">
        <v>88</v>
      </c>
      <c r="AH569" s="364" t="s">
        <v>88</v>
      </c>
      <c r="AI569" s="364" t="s">
        <v>1155</v>
      </c>
      <c r="AJ569" s="364" t="s">
        <v>710</v>
      </c>
      <c r="AK569" s="364" t="s">
        <v>647</v>
      </c>
      <c r="AL569" s="364" t="s">
        <v>88</v>
      </c>
      <c r="AM569" s="364" t="s">
        <v>668</v>
      </c>
      <c r="AN569" s="364" t="s">
        <v>644</v>
      </c>
    </row>
    <row r="570" spans="1:40" x14ac:dyDescent="0.3">
      <c r="A570" s="364" t="s">
        <v>2105</v>
      </c>
      <c r="B570" s="364" t="s">
        <v>661</v>
      </c>
      <c r="C570" s="364" t="s">
        <v>677</v>
      </c>
      <c r="D570" s="364" t="s">
        <v>90</v>
      </c>
      <c r="E570" s="364" t="s">
        <v>2104</v>
      </c>
      <c r="F570" s="364" t="s">
        <v>2104</v>
      </c>
      <c r="G570" s="364" t="s">
        <v>658</v>
      </c>
      <c r="H570" s="364" t="s">
        <v>2103</v>
      </c>
      <c r="I570" s="364" t="s">
        <v>2102</v>
      </c>
      <c r="J570" s="364" t="s">
        <v>673</v>
      </c>
      <c r="K570" s="364" t="s">
        <v>668</v>
      </c>
      <c r="L570" s="364" t="s">
        <v>190</v>
      </c>
      <c r="M570" s="364" t="s">
        <v>54</v>
      </c>
      <c r="N570" s="364" t="s">
        <v>654</v>
      </c>
      <c r="O570" s="364" t="s">
        <v>653</v>
      </c>
      <c r="P570" s="364" t="s">
        <v>198</v>
      </c>
      <c r="Q570" s="364" t="s">
        <v>652</v>
      </c>
      <c r="R570" s="364" t="s">
        <v>88</v>
      </c>
      <c r="S570" s="364" t="s">
        <v>88</v>
      </c>
      <c r="T570" s="364" t="s">
        <v>88</v>
      </c>
      <c r="U570" s="364" t="s">
        <v>88</v>
      </c>
      <c r="V570" s="364" t="s">
        <v>88</v>
      </c>
      <c r="W570" s="364" t="s">
        <v>88</v>
      </c>
      <c r="X570" s="364" t="s">
        <v>88</v>
      </c>
      <c r="Y570" s="364" t="s">
        <v>88</v>
      </c>
      <c r="Z570" s="364" t="s">
        <v>1265</v>
      </c>
      <c r="AA570" s="364" t="s">
        <v>649</v>
      </c>
      <c r="AB570" s="364" t="s">
        <v>649</v>
      </c>
      <c r="AC570" s="364" t="s">
        <v>649</v>
      </c>
      <c r="AD570" s="364" t="s">
        <v>88</v>
      </c>
      <c r="AE570" s="364" t="s">
        <v>88</v>
      </c>
      <c r="AF570" s="364" t="s">
        <v>88</v>
      </c>
      <c r="AG570" s="364" t="s">
        <v>88</v>
      </c>
      <c r="AH570" s="364" t="s">
        <v>88</v>
      </c>
      <c r="AI570" s="364" t="s">
        <v>1155</v>
      </c>
      <c r="AJ570" s="364" t="s">
        <v>710</v>
      </c>
      <c r="AK570" s="364" t="s">
        <v>647</v>
      </c>
      <c r="AL570" s="364" t="s">
        <v>88</v>
      </c>
      <c r="AM570" s="364" t="s">
        <v>668</v>
      </c>
      <c r="AN570" s="364" t="s">
        <v>644</v>
      </c>
    </row>
    <row r="571" spans="1:40" x14ac:dyDescent="0.3">
      <c r="A571" s="364" t="s">
        <v>2105</v>
      </c>
      <c r="B571" s="364" t="s">
        <v>661</v>
      </c>
      <c r="C571" s="364" t="s">
        <v>677</v>
      </c>
      <c r="D571" s="364" t="s">
        <v>90</v>
      </c>
      <c r="E571" s="364" t="s">
        <v>2104</v>
      </c>
      <c r="F571" s="364" t="s">
        <v>2104</v>
      </c>
      <c r="G571" s="364" t="s">
        <v>658</v>
      </c>
      <c r="H571" s="364" t="s">
        <v>2103</v>
      </c>
      <c r="I571" s="364" t="s">
        <v>2102</v>
      </c>
      <c r="J571" s="364" t="s">
        <v>673</v>
      </c>
      <c r="K571" s="364" t="s">
        <v>668</v>
      </c>
      <c r="L571" s="364" t="s">
        <v>190</v>
      </c>
      <c r="M571" s="364" t="s">
        <v>61</v>
      </c>
      <c r="N571" s="364" t="s">
        <v>654</v>
      </c>
      <c r="O571" s="364" t="s">
        <v>653</v>
      </c>
      <c r="P571" s="364" t="s">
        <v>198</v>
      </c>
      <c r="Q571" s="364" t="s">
        <v>652</v>
      </c>
      <c r="R571" s="364" t="s">
        <v>88</v>
      </c>
      <c r="S571" s="364" t="s">
        <v>88</v>
      </c>
      <c r="T571" s="364" t="s">
        <v>88</v>
      </c>
      <c r="U571" s="364" t="s">
        <v>88</v>
      </c>
      <c r="V571" s="364" t="s">
        <v>88</v>
      </c>
      <c r="W571" s="364" t="s">
        <v>88</v>
      </c>
      <c r="X571" s="364" t="s">
        <v>88</v>
      </c>
      <c r="Y571" s="364" t="s">
        <v>88</v>
      </c>
      <c r="Z571" s="364" t="s">
        <v>1021</v>
      </c>
      <c r="AA571" s="364" t="s">
        <v>671</v>
      </c>
      <c r="AB571" s="364" t="s">
        <v>649</v>
      </c>
      <c r="AC571" s="364" t="s">
        <v>649</v>
      </c>
      <c r="AD571" s="364" t="s">
        <v>88</v>
      </c>
      <c r="AE571" s="364" t="s">
        <v>88</v>
      </c>
      <c r="AF571" s="364" t="s">
        <v>88</v>
      </c>
      <c r="AG571" s="364" t="s">
        <v>88</v>
      </c>
      <c r="AH571" s="364" t="s">
        <v>88</v>
      </c>
      <c r="AI571" s="364" t="s">
        <v>1155</v>
      </c>
      <c r="AJ571" s="364" t="s">
        <v>710</v>
      </c>
      <c r="AK571" s="364" t="s">
        <v>647</v>
      </c>
      <c r="AL571" s="364" t="s">
        <v>88</v>
      </c>
      <c r="AM571" s="364" t="s">
        <v>668</v>
      </c>
      <c r="AN571" s="364" t="s">
        <v>644</v>
      </c>
    </row>
    <row r="572" spans="1:40" x14ac:dyDescent="0.3">
      <c r="A572" s="364" t="s">
        <v>2105</v>
      </c>
      <c r="B572" s="364" t="s">
        <v>661</v>
      </c>
      <c r="C572" s="364" t="s">
        <v>677</v>
      </c>
      <c r="D572" s="364" t="s">
        <v>90</v>
      </c>
      <c r="E572" s="364" t="s">
        <v>2104</v>
      </c>
      <c r="F572" s="364" t="s">
        <v>2104</v>
      </c>
      <c r="G572" s="364" t="s">
        <v>658</v>
      </c>
      <c r="H572" s="364" t="s">
        <v>2103</v>
      </c>
      <c r="I572" s="364" t="s">
        <v>2102</v>
      </c>
      <c r="J572" s="364" t="s">
        <v>673</v>
      </c>
      <c r="K572" s="364" t="s">
        <v>668</v>
      </c>
      <c r="L572" s="364" t="s">
        <v>190</v>
      </c>
      <c r="M572" s="364" t="s">
        <v>725</v>
      </c>
      <c r="N572" s="364" t="s">
        <v>654</v>
      </c>
      <c r="O572" s="364" t="s">
        <v>653</v>
      </c>
      <c r="P572" s="364" t="s">
        <v>198</v>
      </c>
      <c r="Q572" s="364" t="s">
        <v>652</v>
      </c>
      <c r="R572" s="364" t="s">
        <v>88</v>
      </c>
      <c r="S572" s="364" t="s">
        <v>88</v>
      </c>
      <c r="T572" s="364" t="s">
        <v>88</v>
      </c>
      <c r="U572" s="364" t="s">
        <v>88</v>
      </c>
      <c r="V572" s="364" t="s">
        <v>88</v>
      </c>
      <c r="W572" s="364" t="s">
        <v>88</v>
      </c>
      <c r="X572" s="364" t="s">
        <v>88</v>
      </c>
      <c r="Y572" s="364" t="s">
        <v>88</v>
      </c>
      <c r="Z572" s="364" t="s">
        <v>724</v>
      </c>
      <c r="AA572" s="364" t="s">
        <v>649</v>
      </c>
      <c r="AB572" s="364" t="s">
        <v>649</v>
      </c>
      <c r="AC572" s="364" t="s">
        <v>649</v>
      </c>
      <c r="AD572" s="364" t="s">
        <v>88</v>
      </c>
      <c r="AE572" s="364" t="s">
        <v>88</v>
      </c>
      <c r="AF572" s="364" t="s">
        <v>88</v>
      </c>
      <c r="AG572" s="364" t="s">
        <v>88</v>
      </c>
      <c r="AH572" s="364" t="s">
        <v>88</v>
      </c>
      <c r="AI572" s="364" t="s">
        <v>1155</v>
      </c>
      <c r="AJ572" s="364" t="s">
        <v>710</v>
      </c>
      <c r="AK572" s="364" t="s">
        <v>647</v>
      </c>
      <c r="AL572" s="364" t="s">
        <v>88</v>
      </c>
      <c r="AM572" s="364" t="s">
        <v>668</v>
      </c>
      <c r="AN572" s="364" t="s">
        <v>644</v>
      </c>
    </row>
    <row r="573" spans="1:40" x14ac:dyDescent="0.3">
      <c r="A573" s="364" t="s">
        <v>2105</v>
      </c>
      <c r="B573" s="364" t="s">
        <v>661</v>
      </c>
      <c r="C573" s="364" t="s">
        <v>677</v>
      </c>
      <c r="D573" s="364" t="s">
        <v>90</v>
      </c>
      <c r="E573" s="364" t="s">
        <v>2104</v>
      </c>
      <c r="F573" s="364" t="s">
        <v>2104</v>
      </c>
      <c r="G573" s="364" t="s">
        <v>658</v>
      </c>
      <c r="H573" s="364" t="s">
        <v>2103</v>
      </c>
      <c r="I573" s="364" t="s">
        <v>2102</v>
      </c>
      <c r="J573" s="364" t="s">
        <v>673</v>
      </c>
      <c r="K573" s="364" t="s">
        <v>668</v>
      </c>
      <c r="L573" s="364" t="s">
        <v>190</v>
      </c>
      <c r="M573" s="364" t="s">
        <v>723</v>
      </c>
      <c r="N573" s="364" t="s">
        <v>654</v>
      </c>
      <c r="O573" s="364" t="s">
        <v>653</v>
      </c>
      <c r="P573" s="364" t="s">
        <v>198</v>
      </c>
      <c r="Q573" s="364" t="s">
        <v>652</v>
      </c>
      <c r="R573" s="364" t="s">
        <v>88</v>
      </c>
      <c r="S573" s="364" t="s">
        <v>88</v>
      </c>
      <c r="T573" s="364" t="s">
        <v>88</v>
      </c>
      <c r="U573" s="364" t="s">
        <v>88</v>
      </c>
      <c r="V573" s="364" t="s">
        <v>88</v>
      </c>
      <c r="W573" s="364" t="s">
        <v>88</v>
      </c>
      <c r="X573" s="364" t="s">
        <v>88</v>
      </c>
      <c r="Y573" s="364" t="s">
        <v>88</v>
      </c>
      <c r="Z573" s="364" t="s">
        <v>722</v>
      </c>
      <c r="AA573" s="364" t="s">
        <v>649</v>
      </c>
      <c r="AB573" s="364" t="s">
        <v>649</v>
      </c>
      <c r="AC573" s="364" t="s">
        <v>649</v>
      </c>
      <c r="AD573" s="364" t="s">
        <v>88</v>
      </c>
      <c r="AE573" s="364" t="s">
        <v>88</v>
      </c>
      <c r="AF573" s="364" t="s">
        <v>88</v>
      </c>
      <c r="AG573" s="364" t="s">
        <v>88</v>
      </c>
      <c r="AH573" s="364" t="s">
        <v>88</v>
      </c>
      <c r="AI573" s="364" t="s">
        <v>1155</v>
      </c>
      <c r="AJ573" s="364" t="s">
        <v>710</v>
      </c>
      <c r="AK573" s="364" t="s">
        <v>647</v>
      </c>
      <c r="AL573" s="364" t="s">
        <v>88</v>
      </c>
      <c r="AM573" s="364" t="s">
        <v>668</v>
      </c>
      <c r="AN573" s="364" t="s">
        <v>644</v>
      </c>
    </row>
    <row r="574" spans="1:40" x14ac:dyDescent="0.3">
      <c r="A574" s="364" t="s">
        <v>2105</v>
      </c>
      <c r="B574" s="364" t="s">
        <v>661</v>
      </c>
      <c r="C574" s="364" t="s">
        <v>677</v>
      </c>
      <c r="D574" s="364" t="s">
        <v>90</v>
      </c>
      <c r="E574" s="364" t="s">
        <v>2104</v>
      </c>
      <c r="F574" s="364" t="s">
        <v>2104</v>
      </c>
      <c r="G574" s="364" t="s">
        <v>658</v>
      </c>
      <c r="H574" s="364" t="s">
        <v>2103</v>
      </c>
      <c r="I574" s="364" t="s">
        <v>2102</v>
      </c>
      <c r="J574" s="364" t="s">
        <v>673</v>
      </c>
      <c r="K574" s="364" t="s">
        <v>668</v>
      </c>
      <c r="L574" s="364" t="s">
        <v>190</v>
      </c>
      <c r="M574" s="364" t="s">
        <v>721</v>
      </c>
      <c r="N574" s="364" t="s">
        <v>654</v>
      </c>
      <c r="O574" s="364" t="s">
        <v>653</v>
      </c>
      <c r="P574" s="364" t="s">
        <v>198</v>
      </c>
      <c r="Q574" s="364" t="s">
        <v>652</v>
      </c>
      <c r="R574" s="364" t="s">
        <v>88</v>
      </c>
      <c r="S574" s="364" t="s">
        <v>88</v>
      </c>
      <c r="T574" s="364" t="s">
        <v>88</v>
      </c>
      <c r="U574" s="364" t="s">
        <v>88</v>
      </c>
      <c r="V574" s="364" t="s">
        <v>88</v>
      </c>
      <c r="W574" s="364" t="s">
        <v>88</v>
      </c>
      <c r="X574" s="364" t="s">
        <v>88</v>
      </c>
      <c r="Y574" s="364" t="s">
        <v>88</v>
      </c>
      <c r="Z574" s="364" t="s">
        <v>720</v>
      </c>
      <c r="AA574" s="364" t="s">
        <v>649</v>
      </c>
      <c r="AB574" s="364" t="s">
        <v>649</v>
      </c>
      <c r="AC574" s="364" t="s">
        <v>649</v>
      </c>
      <c r="AD574" s="364" t="s">
        <v>88</v>
      </c>
      <c r="AE574" s="364" t="s">
        <v>88</v>
      </c>
      <c r="AF574" s="364" t="s">
        <v>88</v>
      </c>
      <c r="AG574" s="364" t="s">
        <v>88</v>
      </c>
      <c r="AH574" s="364" t="s">
        <v>88</v>
      </c>
      <c r="AI574" s="364" t="s">
        <v>1155</v>
      </c>
      <c r="AJ574" s="364" t="s">
        <v>710</v>
      </c>
      <c r="AK574" s="364" t="s">
        <v>647</v>
      </c>
      <c r="AL574" s="364" t="s">
        <v>88</v>
      </c>
      <c r="AM574" s="364" t="s">
        <v>668</v>
      </c>
      <c r="AN574" s="364" t="s">
        <v>644</v>
      </c>
    </row>
    <row r="575" spans="1:40" x14ac:dyDescent="0.3">
      <c r="A575" s="364" t="s">
        <v>2101</v>
      </c>
      <c r="B575" s="364" t="s">
        <v>661</v>
      </c>
      <c r="C575" s="364" t="s">
        <v>677</v>
      </c>
      <c r="D575" s="364" t="s">
        <v>90</v>
      </c>
      <c r="E575" s="364" t="s">
        <v>2100</v>
      </c>
      <c r="F575" s="364" t="s">
        <v>2100</v>
      </c>
      <c r="G575" s="364" t="s">
        <v>658</v>
      </c>
      <c r="H575" s="364" t="s">
        <v>2099</v>
      </c>
      <c r="I575" s="364" t="s">
        <v>2098</v>
      </c>
      <c r="J575" s="364" t="s">
        <v>673</v>
      </c>
      <c r="K575" s="364" t="s">
        <v>668</v>
      </c>
      <c r="L575" s="364" t="s">
        <v>190</v>
      </c>
      <c r="M575" s="364" t="s">
        <v>713</v>
      </c>
      <c r="N575" s="364" t="s">
        <v>654</v>
      </c>
      <c r="O575" s="364" t="s">
        <v>653</v>
      </c>
      <c r="P575" s="364" t="s">
        <v>198</v>
      </c>
      <c r="Q575" s="364" t="s">
        <v>652</v>
      </c>
      <c r="R575" s="364" t="s">
        <v>88</v>
      </c>
      <c r="S575" s="364" t="s">
        <v>88</v>
      </c>
      <c r="T575" s="364" t="s">
        <v>88</v>
      </c>
      <c r="U575" s="364" t="s">
        <v>88</v>
      </c>
      <c r="V575" s="364" t="s">
        <v>88</v>
      </c>
      <c r="W575" s="364" t="s">
        <v>88</v>
      </c>
      <c r="X575" s="364" t="s">
        <v>88</v>
      </c>
      <c r="Y575" s="364" t="s">
        <v>88</v>
      </c>
      <c r="Z575" s="364" t="s">
        <v>712</v>
      </c>
      <c r="AA575" s="364" t="s">
        <v>711</v>
      </c>
      <c r="AB575" s="364" t="s">
        <v>649</v>
      </c>
      <c r="AC575" s="364" t="s">
        <v>649</v>
      </c>
      <c r="AD575" s="364" t="s">
        <v>88</v>
      </c>
      <c r="AE575" s="364" t="s">
        <v>88</v>
      </c>
      <c r="AF575" s="364" t="s">
        <v>88</v>
      </c>
      <c r="AG575" s="364" t="s">
        <v>88</v>
      </c>
      <c r="AH575" s="364" t="s">
        <v>88</v>
      </c>
      <c r="AI575" s="364" t="s">
        <v>1155</v>
      </c>
      <c r="AJ575" s="364" t="s">
        <v>710</v>
      </c>
      <c r="AK575" s="364" t="s">
        <v>647</v>
      </c>
      <c r="AL575" s="364" t="s">
        <v>88</v>
      </c>
      <c r="AM575" s="364" t="s">
        <v>668</v>
      </c>
      <c r="AN575" s="364" t="s">
        <v>644</v>
      </c>
    </row>
    <row r="576" spans="1:40" x14ac:dyDescent="0.3">
      <c r="A576" s="364" t="s">
        <v>2101</v>
      </c>
      <c r="B576" s="364" t="s">
        <v>661</v>
      </c>
      <c r="C576" s="364" t="s">
        <v>677</v>
      </c>
      <c r="D576" s="364" t="s">
        <v>90</v>
      </c>
      <c r="E576" s="364" t="s">
        <v>2100</v>
      </c>
      <c r="F576" s="364" t="s">
        <v>2100</v>
      </c>
      <c r="G576" s="364" t="s">
        <v>658</v>
      </c>
      <c r="H576" s="364" t="s">
        <v>2099</v>
      </c>
      <c r="I576" s="364" t="s">
        <v>2098</v>
      </c>
      <c r="J576" s="364" t="s">
        <v>673</v>
      </c>
      <c r="K576" s="364" t="s">
        <v>668</v>
      </c>
      <c r="L576" s="364" t="s">
        <v>190</v>
      </c>
      <c r="M576" s="364" t="s">
        <v>718</v>
      </c>
      <c r="N576" s="364" t="s">
        <v>654</v>
      </c>
      <c r="O576" s="364" t="s">
        <v>653</v>
      </c>
      <c r="P576" s="364" t="s">
        <v>198</v>
      </c>
      <c r="Q576" s="364" t="s">
        <v>652</v>
      </c>
      <c r="R576" s="364" t="s">
        <v>88</v>
      </c>
      <c r="S576" s="364" t="s">
        <v>88</v>
      </c>
      <c r="T576" s="364" t="s">
        <v>88</v>
      </c>
      <c r="U576" s="364" t="s">
        <v>88</v>
      </c>
      <c r="V576" s="364" t="s">
        <v>88</v>
      </c>
      <c r="W576" s="364" t="s">
        <v>88</v>
      </c>
      <c r="X576" s="364" t="s">
        <v>88</v>
      </c>
      <c r="Y576" s="364" t="s">
        <v>88</v>
      </c>
      <c r="Z576" s="364" t="s">
        <v>717</v>
      </c>
      <c r="AA576" s="364" t="s">
        <v>649</v>
      </c>
      <c r="AB576" s="364" t="s">
        <v>649</v>
      </c>
      <c r="AC576" s="364" t="s">
        <v>649</v>
      </c>
      <c r="AD576" s="364" t="s">
        <v>88</v>
      </c>
      <c r="AE576" s="364" t="s">
        <v>88</v>
      </c>
      <c r="AF576" s="364" t="s">
        <v>88</v>
      </c>
      <c r="AG576" s="364" t="s">
        <v>88</v>
      </c>
      <c r="AH576" s="364" t="s">
        <v>88</v>
      </c>
      <c r="AI576" s="364" t="s">
        <v>1155</v>
      </c>
      <c r="AJ576" s="364" t="s">
        <v>710</v>
      </c>
      <c r="AK576" s="364" t="s">
        <v>647</v>
      </c>
      <c r="AL576" s="364" t="s">
        <v>88</v>
      </c>
      <c r="AM576" s="364" t="s">
        <v>668</v>
      </c>
      <c r="AN576" s="364" t="s">
        <v>644</v>
      </c>
    </row>
    <row r="577" spans="1:40" x14ac:dyDescent="0.3">
      <c r="A577" s="364" t="s">
        <v>2101</v>
      </c>
      <c r="B577" s="364" t="s">
        <v>661</v>
      </c>
      <c r="C577" s="364" t="s">
        <v>677</v>
      </c>
      <c r="D577" s="364" t="s">
        <v>90</v>
      </c>
      <c r="E577" s="364" t="s">
        <v>2100</v>
      </c>
      <c r="F577" s="364" t="s">
        <v>2100</v>
      </c>
      <c r="G577" s="364" t="s">
        <v>658</v>
      </c>
      <c r="H577" s="364" t="s">
        <v>2099</v>
      </c>
      <c r="I577" s="364" t="s">
        <v>2098</v>
      </c>
      <c r="J577" s="364" t="s">
        <v>673</v>
      </c>
      <c r="K577" s="364" t="s">
        <v>668</v>
      </c>
      <c r="L577" s="364" t="s">
        <v>190</v>
      </c>
      <c r="M577" s="364" t="s">
        <v>54</v>
      </c>
      <c r="N577" s="364" t="s">
        <v>654</v>
      </c>
      <c r="O577" s="364" t="s">
        <v>653</v>
      </c>
      <c r="P577" s="364" t="s">
        <v>198</v>
      </c>
      <c r="Q577" s="364" t="s">
        <v>652</v>
      </c>
      <c r="R577" s="364" t="s">
        <v>88</v>
      </c>
      <c r="S577" s="364" t="s">
        <v>88</v>
      </c>
      <c r="T577" s="364" t="s">
        <v>88</v>
      </c>
      <c r="U577" s="364" t="s">
        <v>88</v>
      </c>
      <c r="V577" s="364" t="s">
        <v>88</v>
      </c>
      <c r="W577" s="364" t="s">
        <v>88</v>
      </c>
      <c r="X577" s="364" t="s">
        <v>88</v>
      </c>
      <c r="Y577" s="364" t="s">
        <v>88</v>
      </c>
      <c r="Z577" s="364" t="s">
        <v>1265</v>
      </c>
      <c r="AA577" s="364" t="s">
        <v>649</v>
      </c>
      <c r="AB577" s="364" t="s">
        <v>649</v>
      </c>
      <c r="AC577" s="364" t="s">
        <v>649</v>
      </c>
      <c r="AD577" s="364" t="s">
        <v>88</v>
      </c>
      <c r="AE577" s="364" t="s">
        <v>88</v>
      </c>
      <c r="AF577" s="364" t="s">
        <v>88</v>
      </c>
      <c r="AG577" s="364" t="s">
        <v>88</v>
      </c>
      <c r="AH577" s="364" t="s">
        <v>88</v>
      </c>
      <c r="AI577" s="364" t="s">
        <v>1155</v>
      </c>
      <c r="AJ577" s="364" t="s">
        <v>710</v>
      </c>
      <c r="AK577" s="364" t="s">
        <v>647</v>
      </c>
      <c r="AL577" s="364" t="s">
        <v>88</v>
      </c>
      <c r="AM577" s="364" t="s">
        <v>668</v>
      </c>
      <c r="AN577" s="364" t="s">
        <v>644</v>
      </c>
    </row>
    <row r="578" spans="1:40" x14ac:dyDescent="0.3">
      <c r="A578" s="364" t="s">
        <v>2101</v>
      </c>
      <c r="B578" s="364" t="s">
        <v>661</v>
      </c>
      <c r="C578" s="364" t="s">
        <v>677</v>
      </c>
      <c r="D578" s="364" t="s">
        <v>90</v>
      </c>
      <c r="E578" s="364" t="s">
        <v>2100</v>
      </c>
      <c r="F578" s="364" t="s">
        <v>2100</v>
      </c>
      <c r="G578" s="364" t="s">
        <v>658</v>
      </c>
      <c r="H578" s="364" t="s">
        <v>2099</v>
      </c>
      <c r="I578" s="364" t="s">
        <v>2098</v>
      </c>
      <c r="J578" s="364" t="s">
        <v>673</v>
      </c>
      <c r="K578" s="364" t="s">
        <v>668</v>
      </c>
      <c r="L578" s="364" t="s">
        <v>190</v>
      </c>
      <c r="M578" s="364" t="s">
        <v>61</v>
      </c>
      <c r="N578" s="364" t="s">
        <v>654</v>
      </c>
      <c r="O578" s="364" t="s">
        <v>653</v>
      </c>
      <c r="P578" s="364" t="s">
        <v>198</v>
      </c>
      <c r="Q578" s="364" t="s">
        <v>652</v>
      </c>
      <c r="R578" s="364" t="s">
        <v>88</v>
      </c>
      <c r="S578" s="364" t="s">
        <v>88</v>
      </c>
      <c r="T578" s="364" t="s">
        <v>88</v>
      </c>
      <c r="U578" s="364" t="s">
        <v>88</v>
      </c>
      <c r="V578" s="364" t="s">
        <v>88</v>
      </c>
      <c r="W578" s="364" t="s">
        <v>88</v>
      </c>
      <c r="X578" s="364" t="s">
        <v>88</v>
      </c>
      <c r="Y578" s="364" t="s">
        <v>88</v>
      </c>
      <c r="Z578" s="364" t="s">
        <v>1021</v>
      </c>
      <c r="AA578" s="364" t="s">
        <v>671</v>
      </c>
      <c r="AB578" s="364" t="s">
        <v>649</v>
      </c>
      <c r="AC578" s="364" t="s">
        <v>649</v>
      </c>
      <c r="AD578" s="364" t="s">
        <v>88</v>
      </c>
      <c r="AE578" s="364" t="s">
        <v>88</v>
      </c>
      <c r="AF578" s="364" t="s">
        <v>88</v>
      </c>
      <c r="AG578" s="364" t="s">
        <v>88</v>
      </c>
      <c r="AH578" s="364" t="s">
        <v>88</v>
      </c>
      <c r="AI578" s="364" t="s">
        <v>1155</v>
      </c>
      <c r="AJ578" s="364" t="s">
        <v>710</v>
      </c>
      <c r="AK578" s="364" t="s">
        <v>647</v>
      </c>
      <c r="AL578" s="364" t="s">
        <v>88</v>
      </c>
      <c r="AM578" s="364" t="s">
        <v>668</v>
      </c>
      <c r="AN578" s="364" t="s">
        <v>644</v>
      </c>
    </row>
    <row r="579" spans="1:40" x14ac:dyDescent="0.3">
      <c r="A579" s="364" t="s">
        <v>2101</v>
      </c>
      <c r="B579" s="364" t="s">
        <v>661</v>
      </c>
      <c r="C579" s="364" t="s">
        <v>677</v>
      </c>
      <c r="D579" s="364" t="s">
        <v>90</v>
      </c>
      <c r="E579" s="364" t="s">
        <v>2100</v>
      </c>
      <c r="F579" s="364" t="s">
        <v>2100</v>
      </c>
      <c r="G579" s="364" t="s">
        <v>658</v>
      </c>
      <c r="H579" s="364" t="s">
        <v>2099</v>
      </c>
      <c r="I579" s="364" t="s">
        <v>2098</v>
      </c>
      <c r="J579" s="364" t="s">
        <v>673</v>
      </c>
      <c r="K579" s="364" t="s">
        <v>668</v>
      </c>
      <c r="L579" s="364" t="s">
        <v>190</v>
      </c>
      <c r="M579" s="364" t="s">
        <v>725</v>
      </c>
      <c r="N579" s="364" t="s">
        <v>654</v>
      </c>
      <c r="O579" s="364" t="s">
        <v>653</v>
      </c>
      <c r="P579" s="364" t="s">
        <v>198</v>
      </c>
      <c r="Q579" s="364" t="s">
        <v>652</v>
      </c>
      <c r="R579" s="364" t="s">
        <v>88</v>
      </c>
      <c r="S579" s="364" t="s">
        <v>88</v>
      </c>
      <c r="T579" s="364" t="s">
        <v>88</v>
      </c>
      <c r="U579" s="364" t="s">
        <v>88</v>
      </c>
      <c r="V579" s="364" t="s">
        <v>88</v>
      </c>
      <c r="W579" s="364" t="s">
        <v>88</v>
      </c>
      <c r="X579" s="364" t="s">
        <v>88</v>
      </c>
      <c r="Y579" s="364" t="s">
        <v>88</v>
      </c>
      <c r="Z579" s="364" t="s">
        <v>724</v>
      </c>
      <c r="AA579" s="364" t="s">
        <v>649</v>
      </c>
      <c r="AB579" s="364" t="s">
        <v>649</v>
      </c>
      <c r="AC579" s="364" t="s">
        <v>649</v>
      </c>
      <c r="AD579" s="364" t="s">
        <v>88</v>
      </c>
      <c r="AE579" s="364" t="s">
        <v>88</v>
      </c>
      <c r="AF579" s="364" t="s">
        <v>88</v>
      </c>
      <c r="AG579" s="364" t="s">
        <v>88</v>
      </c>
      <c r="AH579" s="364" t="s">
        <v>88</v>
      </c>
      <c r="AI579" s="364" t="s">
        <v>1155</v>
      </c>
      <c r="AJ579" s="364" t="s">
        <v>710</v>
      </c>
      <c r="AK579" s="364" t="s">
        <v>647</v>
      </c>
      <c r="AL579" s="364" t="s">
        <v>88</v>
      </c>
      <c r="AM579" s="364" t="s">
        <v>668</v>
      </c>
      <c r="AN579" s="364" t="s">
        <v>644</v>
      </c>
    </row>
    <row r="580" spans="1:40" x14ac:dyDescent="0.3">
      <c r="A580" s="364" t="s">
        <v>2101</v>
      </c>
      <c r="B580" s="364" t="s">
        <v>661</v>
      </c>
      <c r="C580" s="364" t="s">
        <v>677</v>
      </c>
      <c r="D580" s="364" t="s">
        <v>90</v>
      </c>
      <c r="E580" s="364" t="s">
        <v>2100</v>
      </c>
      <c r="F580" s="364" t="s">
        <v>2100</v>
      </c>
      <c r="G580" s="364" t="s">
        <v>658</v>
      </c>
      <c r="H580" s="364" t="s">
        <v>2099</v>
      </c>
      <c r="I580" s="364" t="s">
        <v>2098</v>
      </c>
      <c r="J580" s="364" t="s">
        <v>673</v>
      </c>
      <c r="K580" s="364" t="s">
        <v>668</v>
      </c>
      <c r="L580" s="364" t="s">
        <v>190</v>
      </c>
      <c r="M580" s="364" t="s">
        <v>723</v>
      </c>
      <c r="N580" s="364" t="s">
        <v>654</v>
      </c>
      <c r="O580" s="364" t="s">
        <v>653</v>
      </c>
      <c r="P580" s="364" t="s">
        <v>198</v>
      </c>
      <c r="Q580" s="364" t="s">
        <v>652</v>
      </c>
      <c r="R580" s="364" t="s">
        <v>88</v>
      </c>
      <c r="S580" s="364" t="s">
        <v>88</v>
      </c>
      <c r="T580" s="364" t="s">
        <v>88</v>
      </c>
      <c r="U580" s="364" t="s">
        <v>88</v>
      </c>
      <c r="V580" s="364" t="s">
        <v>88</v>
      </c>
      <c r="W580" s="364" t="s">
        <v>88</v>
      </c>
      <c r="X580" s="364" t="s">
        <v>88</v>
      </c>
      <c r="Y580" s="364" t="s">
        <v>88</v>
      </c>
      <c r="Z580" s="364" t="s">
        <v>722</v>
      </c>
      <c r="AA580" s="364" t="s">
        <v>649</v>
      </c>
      <c r="AB580" s="364" t="s">
        <v>649</v>
      </c>
      <c r="AC580" s="364" t="s">
        <v>649</v>
      </c>
      <c r="AD580" s="364" t="s">
        <v>88</v>
      </c>
      <c r="AE580" s="364" t="s">
        <v>88</v>
      </c>
      <c r="AF580" s="364" t="s">
        <v>88</v>
      </c>
      <c r="AG580" s="364" t="s">
        <v>88</v>
      </c>
      <c r="AH580" s="364" t="s">
        <v>88</v>
      </c>
      <c r="AI580" s="364" t="s">
        <v>1155</v>
      </c>
      <c r="AJ580" s="364" t="s">
        <v>710</v>
      </c>
      <c r="AK580" s="364" t="s">
        <v>647</v>
      </c>
      <c r="AL580" s="364" t="s">
        <v>88</v>
      </c>
      <c r="AM580" s="364" t="s">
        <v>668</v>
      </c>
      <c r="AN580" s="364" t="s">
        <v>644</v>
      </c>
    </row>
    <row r="581" spans="1:40" x14ac:dyDescent="0.3">
      <c r="A581" s="364" t="s">
        <v>2101</v>
      </c>
      <c r="B581" s="364" t="s">
        <v>661</v>
      </c>
      <c r="C581" s="364" t="s">
        <v>677</v>
      </c>
      <c r="D581" s="364" t="s">
        <v>90</v>
      </c>
      <c r="E581" s="364" t="s">
        <v>2100</v>
      </c>
      <c r="F581" s="364" t="s">
        <v>2100</v>
      </c>
      <c r="G581" s="364" t="s">
        <v>658</v>
      </c>
      <c r="H581" s="364" t="s">
        <v>2099</v>
      </c>
      <c r="I581" s="364" t="s">
        <v>2098</v>
      </c>
      <c r="J581" s="364" t="s">
        <v>673</v>
      </c>
      <c r="K581" s="364" t="s">
        <v>668</v>
      </c>
      <c r="L581" s="364" t="s">
        <v>190</v>
      </c>
      <c r="M581" s="364" t="s">
        <v>721</v>
      </c>
      <c r="N581" s="364" t="s">
        <v>654</v>
      </c>
      <c r="O581" s="364" t="s">
        <v>653</v>
      </c>
      <c r="P581" s="364" t="s">
        <v>198</v>
      </c>
      <c r="Q581" s="364" t="s">
        <v>652</v>
      </c>
      <c r="R581" s="364" t="s">
        <v>88</v>
      </c>
      <c r="S581" s="364" t="s">
        <v>88</v>
      </c>
      <c r="T581" s="364" t="s">
        <v>88</v>
      </c>
      <c r="U581" s="364" t="s">
        <v>88</v>
      </c>
      <c r="V581" s="364" t="s">
        <v>88</v>
      </c>
      <c r="W581" s="364" t="s">
        <v>88</v>
      </c>
      <c r="X581" s="364" t="s">
        <v>88</v>
      </c>
      <c r="Y581" s="364" t="s">
        <v>88</v>
      </c>
      <c r="Z581" s="364" t="s">
        <v>720</v>
      </c>
      <c r="AA581" s="364" t="s">
        <v>649</v>
      </c>
      <c r="AB581" s="364" t="s">
        <v>649</v>
      </c>
      <c r="AC581" s="364" t="s">
        <v>649</v>
      </c>
      <c r="AD581" s="364" t="s">
        <v>88</v>
      </c>
      <c r="AE581" s="364" t="s">
        <v>88</v>
      </c>
      <c r="AF581" s="364" t="s">
        <v>88</v>
      </c>
      <c r="AG581" s="364" t="s">
        <v>88</v>
      </c>
      <c r="AH581" s="364" t="s">
        <v>88</v>
      </c>
      <c r="AI581" s="364" t="s">
        <v>1155</v>
      </c>
      <c r="AJ581" s="364" t="s">
        <v>710</v>
      </c>
      <c r="AK581" s="364" t="s">
        <v>647</v>
      </c>
      <c r="AL581" s="364" t="s">
        <v>88</v>
      </c>
      <c r="AM581" s="364" t="s">
        <v>668</v>
      </c>
      <c r="AN581" s="364" t="s">
        <v>644</v>
      </c>
    </row>
    <row r="582" spans="1:40" x14ac:dyDescent="0.3">
      <c r="A582" s="364" t="s">
        <v>2097</v>
      </c>
      <c r="B582" s="364" t="s">
        <v>661</v>
      </c>
      <c r="C582" s="364" t="s">
        <v>677</v>
      </c>
      <c r="D582" s="364" t="s">
        <v>90</v>
      </c>
      <c r="E582" s="364" t="s">
        <v>2096</v>
      </c>
      <c r="F582" s="364" t="s">
        <v>2096</v>
      </c>
      <c r="G582" s="364" t="s">
        <v>658</v>
      </c>
      <c r="H582" s="364" t="s">
        <v>2095</v>
      </c>
      <c r="I582" s="364" t="s">
        <v>2094</v>
      </c>
      <c r="J582" s="364" t="s">
        <v>673</v>
      </c>
      <c r="K582" s="364" t="s">
        <v>668</v>
      </c>
      <c r="L582" s="364" t="s">
        <v>190</v>
      </c>
      <c r="M582" s="364" t="s">
        <v>713</v>
      </c>
      <c r="N582" s="364" t="s">
        <v>654</v>
      </c>
      <c r="O582" s="364" t="s">
        <v>653</v>
      </c>
      <c r="P582" s="364" t="s">
        <v>198</v>
      </c>
      <c r="Q582" s="364" t="s">
        <v>652</v>
      </c>
      <c r="R582" s="364" t="s">
        <v>88</v>
      </c>
      <c r="S582" s="364" t="s">
        <v>88</v>
      </c>
      <c r="T582" s="364" t="s">
        <v>88</v>
      </c>
      <c r="U582" s="364" t="s">
        <v>88</v>
      </c>
      <c r="V582" s="364" t="s">
        <v>88</v>
      </c>
      <c r="W582" s="364" t="s">
        <v>88</v>
      </c>
      <c r="X582" s="364" t="s">
        <v>88</v>
      </c>
      <c r="Y582" s="364" t="s">
        <v>88</v>
      </c>
      <c r="Z582" s="364" t="s">
        <v>712</v>
      </c>
      <c r="AA582" s="364" t="s">
        <v>711</v>
      </c>
      <c r="AB582" s="364" t="s">
        <v>649</v>
      </c>
      <c r="AC582" s="364" t="s">
        <v>649</v>
      </c>
      <c r="AD582" s="364" t="s">
        <v>88</v>
      </c>
      <c r="AE582" s="364" t="s">
        <v>88</v>
      </c>
      <c r="AF582" s="364" t="s">
        <v>88</v>
      </c>
      <c r="AG582" s="364" t="s">
        <v>88</v>
      </c>
      <c r="AH582" s="364" t="s">
        <v>88</v>
      </c>
      <c r="AI582" s="364" t="s">
        <v>1155</v>
      </c>
      <c r="AJ582" s="364" t="s">
        <v>710</v>
      </c>
      <c r="AK582" s="364" t="s">
        <v>647</v>
      </c>
      <c r="AL582" s="364" t="s">
        <v>88</v>
      </c>
      <c r="AM582" s="364" t="s">
        <v>668</v>
      </c>
      <c r="AN582" s="364" t="s">
        <v>644</v>
      </c>
    </row>
    <row r="583" spans="1:40" x14ac:dyDescent="0.3">
      <c r="A583" s="364" t="s">
        <v>2097</v>
      </c>
      <c r="B583" s="364" t="s">
        <v>661</v>
      </c>
      <c r="C583" s="364" t="s">
        <v>677</v>
      </c>
      <c r="D583" s="364" t="s">
        <v>90</v>
      </c>
      <c r="E583" s="364" t="s">
        <v>2096</v>
      </c>
      <c r="F583" s="364" t="s">
        <v>2096</v>
      </c>
      <c r="G583" s="364" t="s">
        <v>658</v>
      </c>
      <c r="H583" s="364" t="s">
        <v>2095</v>
      </c>
      <c r="I583" s="364" t="s">
        <v>2094</v>
      </c>
      <c r="J583" s="364" t="s">
        <v>673</v>
      </c>
      <c r="K583" s="364" t="s">
        <v>668</v>
      </c>
      <c r="L583" s="364" t="s">
        <v>190</v>
      </c>
      <c r="M583" s="364" t="s">
        <v>718</v>
      </c>
      <c r="N583" s="364" t="s">
        <v>654</v>
      </c>
      <c r="O583" s="364" t="s">
        <v>653</v>
      </c>
      <c r="P583" s="364" t="s">
        <v>198</v>
      </c>
      <c r="Q583" s="364" t="s">
        <v>652</v>
      </c>
      <c r="R583" s="364" t="s">
        <v>88</v>
      </c>
      <c r="S583" s="364" t="s">
        <v>88</v>
      </c>
      <c r="T583" s="364" t="s">
        <v>88</v>
      </c>
      <c r="U583" s="364" t="s">
        <v>88</v>
      </c>
      <c r="V583" s="364" t="s">
        <v>88</v>
      </c>
      <c r="W583" s="364" t="s">
        <v>88</v>
      </c>
      <c r="X583" s="364" t="s">
        <v>88</v>
      </c>
      <c r="Y583" s="364" t="s">
        <v>88</v>
      </c>
      <c r="Z583" s="364" t="s">
        <v>717</v>
      </c>
      <c r="AA583" s="364" t="s">
        <v>649</v>
      </c>
      <c r="AB583" s="364" t="s">
        <v>649</v>
      </c>
      <c r="AC583" s="364" t="s">
        <v>649</v>
      </c>
      <c r="AD583" s="364" t="s">
        <v>88</v>
      </c>
      <c r="AE583" s="364" t="s">
        <v>88</v>
      </c>
      <c r="AF583" s="364" t="s">
        <v>88</v>
      </c>
      <c r="AG583" s="364" t="s">
        <v>88</v>
      </c>
      <c r="AH583" s="364" t="s">
        <v>88</v>
      </c>
      <c r="AI583" s="364" t="s">
        <v>1155</v>
      </c>
      <c r="AJ583" s="364" t="s">
        <v>710</v>
      </c>
      <c r="AK583" s="364" t="s">
        <v>647</v>
      </c>
      <c r="AL583" s="364" t="s">
        <v>88</v>
      </c>
      <c r="AM583" s="364" t="s">
        <v>668</v>
      </c>
      <c r="AN583" s="364" t="s">
        <v>644</v>
      </c>
    </row>
    <row r="584" spans="1:40" x14ac:dyDescent="0.3">
      <c r="A584" s="364" t="s">
        <v>2097</v>
      </c>
      <c r="B584" s="364" t="s">
        <v>661</v>
      </c>
      <c r="C584" s="364" t="s">
        <v>677</v>
      </c>
      <c r="D584" s="364" t="s">
        <v>90</v>
      </c>
      <c r="E584" s="364" t="s">
        <v>2096</v>
      </c>
      <c r="F584" s="364" t="s">
        <v>2096</v>
      </c>
      <c r="G584" s="364" t="s">
        <v>658</v>
      </c>
      <c r="H584" s="364" t="s">
        <v>2095</v>
      </c>
      <c r="I584" s="364" t="s">
        <v>2094</v>
      </c>
      <c r="J584" s="364" t="s">
        <v>673</v>
      </c>
      <c r="K584" s="364" t="s">
        <v>668</v>
      </c>
      <c r="L584" s="364" t="s">
        <v>190</v>
      </c>
      <c r="M584" s="364" t="s">
        <v>54</v>
      </c>
      <c r="N584" s="364" t="s">
        <v>654</v>
      </c>
      <c r="O584" s="364" t="s">
        <v>653</v>
      </c>
      <c r="P584" s="364" t="s">
        <v>198</v>
      </c>
      <c r="Q584" s="364" t="s">
        <v>652</v>
      </c>
      <c r="R584" s="364" t="s">
        <v>88</v>
      </c>
      <c r="S584" s="364" t="s">
        <v>88</v>
      </c>
      <c r="T584" s="364" t="s">
        <v>88</v>
      </c>
      <c r="U584" s="364" t="s">
        <v>88</v>
      </c>
      <c r="V584" s="364" t="s">
        <v>88</v>
      </c>
      <c r="W584" s="364" t="s">
        <v>88</v>
      </c>
      <c r="X584" s="364" t="s">
        <v>88</v>
      </c>
      <c r="Y584" s="364" t="s">
        <v>88</v>
      </c>
      <c r="Z584" s="364" t="s">
        <v>1265</v>
      </c>
      <c r="AA584" s="364" t="s">
        <v>649</v>
      </c>
      <c r="AB584" s="364" t="s">
        <v>649</v>
      </c>
      <c r="AC584" s="364" t="s">
        <v>649</v>
      </c>
      <c r="AD584" s="364" t="s">
        <v>88</v>
      </c>
      <c r="AE584" s="364" t="s">
        <v>88</v>
      </c>
      <c r="AF584" s="364" t="s">
        <v>88</v>
      </c>
      <c r="AG584" s="364" t="s">
        <v>88</v>
      </c>
      <c r="AH584" s="364" t="s">
        <v>88</v>
      </c>
      <c r="AI584" s="364" t="s">
        <v>1155</v>
      </c>
      <c r="AJ584" s="364" t="s">
        <v>710</v>
      </c>
      <c r="AK584" s="364" t="s">
        <v>647</v>
      </c>
      <c r="AL584" s="364" t="s">
        <v>88</v>
      </c>
      <c r="AM584" s="364" t="s">
        <v>668</v>
      </c>
      <c r="AN584" s="364" t="s">
        <v>644</v>
      </c>
    </row>
    <row r="585" spans="1:40" x14ac:dyDescent="0.3">
      <c r="A585" s="364" t="s">
        <v>2097</v>
      </c>
      <c r="B585" s="364" t="s">
        <v>661</v>
      </c>
      <c r="C585" s="364" t="s">
        <v>677</v>
      </c>
      <c r="D585" s="364" t="s">
        <v>90</v>
      </c>
      <c r="E585" s="364" t="s">
        <v>2096</v>
      </c>
      <c r="F585" s="364" t="s">
        <v>2096</v>
      </c>
      <c r="G585" s="364" t="s">
        <v>658</v>
      </c>
      <c r="H585" s="364" t="s">
        <v>2095</v>
      </c>
      <c r="I585" s="364" t="s">
        <v>2094</v>
      </c>
      <c r="J585" s="364" t="s">
        <v>673</v>
      </c>
      <c r="K585" s="364" t="s">
        <v>668</v>
      </c>
      <c r="L585" s="364" t="s">
        <v>190</v>
      </c>
      <c r="M585" s="364" t="s">
        <v>61</v>
      </c>
      <c r="N585" s="364" t="s">
        <v>654</v>
      </c>
      <c r="O585" s="364" t="s">
        <v>653</v>
      </c>
      <c r="P585" s="364" t="s">
        <v>198</v>
      </c>
      <c r="Q585" s="364" t="s">
        <v>652</v>
      </c>
      <c r="R585" s="364" t="s">
        <v>88</v>
      </c>
      <c r="S585" s="364" t="s">
        <v>88</v>
      </c>
      <c r="T585" s="364" t="s">
        <v>88</v>
      </c>
      <c r="U585" s="364" t="s">
        <v>88</v>
      </c>
      <c r="V585" s="364" t="s">
        <v>88</v>
      </c>
      <c r="W585" s="364" t="s">
        <v>88</v>
      </c>
      <c r="X585" s="364" t="s">
        <v>88</v>
      </c>
      <c r="Y585" s="364" t="s">
        <v>88</v>
      </c>
      <c r="Z585" s="364" t="s">
        <v>1021</v>
      </c>
      <c r="AA585" s="364" t="s">
        <v>671</v>
      </c>
      <c r="AB585" s="364" t="s">
        <v>649</v>
      </c>
      <c r="AC585" s="364" t="s">
        <v>649</v>
      </c>
      <c r="AD585" s="364" t="s">
        <v>88</v>
      </c>
      <c r="AE585" s="364" t="s">
        <v>88</v>
      </c>
      <c r="AF585" s="364" t="s">
        <v>88</v>
      </c>
      <c r="AG585" s="364" t="s">
        <v>88</v>
      </c>
      <c r="AH585" s="364" t="s">
        <v>88</v>
      </c>
      <c r="AI585" s="364" t="s">
        <v>1155</v>
      </c>
      <c r="AJ585" s="364" t="s">
        <v>710</v>
      </c>
      <c r="AK585" s="364" t="s">
        <v>647</v>
      </c>
      <c r="AL585" s="364" t="s">
        <v>88</v>
      </c>
      <c r="AM585" s="364" t="s">
        <v>668</v>
      </c>
      <c r="AN585" s="364" t="s">
        <v>644</v>
      </c>
    </row>
    <row r="586" spans="1:40" x14ac:dyDescent="0.3">
      <c r="A586" s="364" t="s">
        <v>2097</v>
      </c>
      <c r="B586" s="364" t="s">
        <v>661</v>
      </c>
      <c r="C586" s="364" t="s">
        <v>677</v>
      </c>
      <c r="D586" s="364" t="s">
        <v>90</v>
      </c>
      <c r="E586" s="364" t="s">
        <v>2096</v>
      </c>
      <c r="F586" s="364" t="s">
        <v>2096</v>
      </c>
      <c r="G586" s="364" t="s">
        <v>658</v>
      </c>
      <c r="H586" s="364" t="s">
        <v>2095</v>
      </c>
      <c r="I586" s="364" t="s">
        <v>2094</v>
      </c>
      <c r="J586" s="364" t="s">
        <v>673</v>
      </c>
      <c r="K586" s="364" t="s">
        <v>668</v>
      </c>
      <c r="L586" s="364" t="s">
        <v>190</v>
      </c>
      <c r="M586" s="364" t="s">
        <v>723</v>
      </c>
      <c r="N586" s="364" t="s">
        <v>654</v>
      </c>
      <c r="O586" s="364" t="s">
        <v>653</v>
      </c>
      <c r="P586" s="364" t="s">
        <v>198</v>
      </c>
      <c r="Q586" s="364" t="s">
        <v>652</v>
      </c>
      <c r="R586" s="364" t="s">
        <v>88</v>
      </c>
      <c r="S586" s="364" t="s">
        <v>88</v>
      </c>
      <c r="T586" s="364" t="s">
        <v>88</v>
      </c>
      <c r="U586" s="364" t="s">
        <v>88</v>
      </c>
      <c r="V586" s="364" t="s">
        <v>88</v>
      </c>
      <c r="W586" s="364" t="s">
        <v>88</v>
      </c>
      <c r="X586" s="364" t="s">
        <v>88</v>
      </c>
      <c r="Y586" s="364" t="s">
        <v>88</v>
      </c>
      <c r="Z586" s="364" t="s">
        <v>722</v>
      </c>
      <c r="AA586" s="364" t="s">
        <v>649</v>
      </c>
      <c r="AB586" s="364" t="s">
        <v>649</v>
      </c>
      <c r="AC586" s="364" t="s">
        <v>649</v>
      </c>
      <c r="AD586" s="364" t="s">
        <v>88</v>
      </c>
      <c r="AE586" s="364" t="s">
        <v>88</v>
      </c>
      <c r="AF586" s="364" t="s">
        <v>88</v>
      </c>
      <c r="AG586" s="364" t="s">
        <v>88</v>
      </c>
      <c r="AH586" s="364" t="s">
        <v>88</v>
      </c>
      <c r="AI586" s="364" t="s">
        <v>1155</v>
      </c>
      <c r="AJ586" s="364" t="s">
        <v>710</v>
      </c>
      <c r="AK586" s="364" t="s">
        <v>647</v>
      </c>
      <c r="AL586" s="364" t="s">
        <v>88</v>
      </c>
      <c r="AM586" s="364" t="s">
        <v>668</v>
      </c>
      <c r="AN586" s="364" t="s">
        <v>644</v>
      </c>
    </row>
    <row r="587" spans="1:40" x14ac:dyDescent="0.3">
      <c r="A587" s="364" t="s">
        <v>2097</v>
      </c>
      <c r="B587" s="364" t="s">
        <v>661</v>
      </c>
      <c r="C587" s="364" t="s">
        <v>677</v>
      </c>
      <c r="D587" s="364" t="s">
        <v>90</v>
      </c>
      <c r="E587" s="364" t="s">
        <v>2096</v>
      </c>
      <c r="F587" s="364" t="s">
        <v>2096</v>
      </c>
      <c r="G587" s="364" t="s">
        <v>658</v>
      </c>
      <c r="H587" s="364" t="s">
        <v>2095</v>
      </c>
      <c r="I587" s="364" t="s">
        <v>2094</v>
      </c>
      <c r="J587" s="364" t="s">
        <v>673</v>
      </c>
      <c r="K587" s="364" t="s">
        <v>668</v>
      </c>
      <c r="L587" s="364" t="s">
        <v>190</v>
      </c>
      <c r="M587" s="364" t="s">
        <v>721</v>
      </c>
      <c r="N587" s="364" t="s">
        <v>654</v>
      </c>
      <c r="O587" s="364" t="s">
        <v>653</v>
      </c>
      <c r="P587" s="364" t="s">
        <v>198</v>
      </c>
      <c r="Q587" s="364" t="s">
        <v>652</v>
      </c>
      <c r="R587" s="364" t="s">
        <v>88</v>
      </c>
      <c r="S587" s="364" t="s">
        <v>88</v>
      </c>
      <c r="T587" s="364" t="s">
        <v>88</v>
      </c>
      <c r="U587" s="364" t="s">
        <v>88</v>
      </c>
      <c r="V587" s="364" t="s">
        <v>88</v>
      </c>
      <c r="W587" s="364" t="s">
        <v>88</v>
      </c>
      <c r="X587" s="364" t="s">
        <v>88</v>
      </c>
      <c r="Y587" s="364" t="s">
        <v>88</v>
      </c>
      <c r="Z587" s="364" t="s">
        <v>720</v>
      </c>
      <c r="AA587" s="364" t="s">
        <v>649</v>
      </c>
      <c r="AB587" s="364" t="s">
        <v>649</v>
      </c>
      <c r="AC587" s="364" t="s">
        <v>649</v>
      </c>
      <c r="AD587" s="364" t="s">
        <v>88</v>
      </c>
      <c r="AE587" s="364" t="s">
        <v>88</v>
      </c>
      <c r="AF587" s="364" t="s">
        <v>88</v>
      </c>
      <c r="AG587" s="364" t="s">
        <v>88</v>
      </c>
      <c r="AH587" s="364" t="s">
        <v>88</v>
      </c>
      <c r="AI587" s="364" t="s">
        <v>1155</v>
      </c>
      <c r="AJ587" s="364" t="s">
        <v>710</v>
      </c>
      <c r="AK587" s="364" t="s">
        <v>647</v>
      </c>
      <c r="AL587" s="364" t="s">
        <v>88</v>
      </c>
      <c r="AM587" s="364" t="s">
        <v>668</v>
      </c>
      <c r="AN587" s="364" t="s">
        <v>644</v>
      </c>
    </row>
    <row r="588" spans="1:40" x14ac:dyDescent="0.3">
      <c r="A588" s="364" t="s">
        <v>2097</v>
      </c>
      <c r="B588" s="364" t="s">
        <v>661</v>
      </c>
      <c r="C588" s="364" t="s">
        <v>677</v>
      </c>
      <c r="D588" s="364" t="s">
        <v>90</v>
      </c>
      <c r="E588" s="364" t="s">
        <v>2096</v>
      </c>
      <c r="F588" s="364" t="s">
        <v>2096</v>
      </c>
      <c r="G588" s="364" t="s">
        <v>658</v>
      </c>
      <c r="H588" s="364" t="s">
        <v>2095</v>
      </c>
      <c r="I588" s="364" t="s">
        <v>2094</v>
      </c>
      <c r="J588" s="364" t="s">
        <v>673</v>
      </c>
      <c r="K588" s="364" t="s">
        <v>668</v>
      </c>
      <c r="L588" s="364" t="s">
        <v>190</v>
      </c>
      <c r="M588" s="364" t="s">
        <v>250</v>
      </c>
      <c r="N588" s="364" t="s">
        <v>654</v>
      </c>
      <c r="O588" s="364" t="s">
        <v>653</v>
      </c>
      <c r="P588" s="364" t="s">
        <v>198</v>
      </c>
      <c r="Q588" s="364" t="s">
        <v>652</v>
      </c>
      <c r="R588" s="364" t="s">
        <v>88</v>
      </c>
      <c r="S588" s="364" t="s">
        <v>88</v>
      </c>
      <c r="T588" s="364" t="s">
        <v>88</v>
      </c>
      <c r="U588" s="364" t="s">
        <v>88</v>
      </c>
      <c r="V588" s="364" t="s">
        <v>88</v>
      </c>
      <c r="W588" s="364" t="s">
        <v>88</v>
      </c>
      <c r="X588" s="364" t="s">
        <v>88</v>
      </c>
      <c r="Y588" s="364" t="s">
        <v>88</v>
      </c>
      <c r="Z588" s="364" t="s">
        <v>1821</v>
      </c>
      <c r="AA588" s="364" t="s">
        <v>649</v>
      </c>
      <c r="AB588" s="364" t="s">
        <v>649</v>
      </c>
      <c r="AC588" s="364" t="s">
        <v>649</v>
      </c>
      <c r="AD588" s="364" t="s">
        <v>88</v>
      </c>
      <c r="AE588" s="364" t="s">
        <v>88</v>
      </c>
      <c r="AF588" s="364" t="s">
        <v>88</v>
      </c>
      <c r="AG588" s="364" t="s">
        <v>88</v>
      </c>
      <c r="AH588" s="364" t="s">
        <v>88</v>
      </c>
      <c r="AI588" s="364" t="s">
        <v>1155</v>
      </c>
      <c r="AJ588" s="364" t="s">
        <v>710</v>
      </c>
      <c r="AK588" s="364" t="s">
        <v>647</v>
      </c>
      <c r="AL588" s="364" t="s">
        <v>88</v>
      </c>
      <c r="AM588" s="364" t="s">
        <v>668</v>
      </c>
      <c r="AN588" s="364" t="s">
        <v>644</v>
      </c>
    </row>
    <row r="589" spans="1:40" x14ac:dyDescent="0.3">
      <c r="A589" s="364" t="s">
        <v>2093</v>
      </c>
      <c r="B589" s="364" t="s">
        <v>661</v>
      </c>
      <c r="C589" s="364" t="s">
        <v>677</v>
      </c>
      <c r="D589" s="364" t="s">
        <v>87</v>
      </c>
      <c r="E589" s="364" t="s">
        <v>2068</v>
      </c>
      <c r="F589" s="364" t="s">
        <v>2068</v>
      </c>
      <c r="G589" s="364" t="s">
        <v>658</v>
      </c>
      <c r="H589" s="364" t="s">
        <v>2092</v>
      </c>
      <c r="I589" s="364" t="s">
        <v>2091</v>
      </c>
      <c r="J589" s="364" t="s">
        <v>673</v>
      </c>
      <c r="K589" s="364" t="s">
        <v>668</v>
      </c>
      <c r="L589" s="364" t="s">
        <v>190</v>
      </c>
      <c r="M589" s="364" t="s">
        <v>58</v>
      </c>
      <c r="N589" s="364" t="s">
        <v>654</v>
      </c>
      <c r="O589" s="364" t="s">
        <v>653</v>
      </c>
      <c r="P589" s="364" t="s">
        <v>198</v>
      </c>
      <c r="Q589" s="364" t="s">
        <v>652</v>
      </c>
      <c r="R589" s="364" t="s">
        <v>88</v>
      </c>
      <c r="S589" s="364" t="s">
        <v>88</v>
      </c>
      <c r="T589" s="364" t="s">
        <v>88</v>
      </c>
      <c r="U589" s="364" t="s">
        <v>88</v>
      </c>
      <c r="V589" s="364" t="s">
        <v>88</v>
      </c>
      <c r="W589" s="364" t="s">
        <v>88</v>
      </c>
      <c r="X589" s="364" t="s">
        <v>88</v>
      </c>
      <c r="Y589" s="364" t="s">
        <v>88</v>
      </c>
      <c r="Z589" s="364" t="s">
        <v>702</v>
      </c>
      <c r="AA589" s="364" t="s">
        <v>701</v>
      </c>
      <c r="AB589" s="364" t="s">
        <v>649</v>
      </c>
      <c r="AC589" s="364" t="s">
        <v>649</v>
      </c>
      <c r="AD589" s="364" t="s">
        <v>88</v>
      </c>
      <c r="AE589" s="364" t="s">
        <v>88</v>
      </c>
      <c r="AF589" s="364" t="s">
        <v>88</v>
      </c>
      <c r="AG589" s="364" t="s">
        <v>88</v>
      </c>
      <c r="AH589" s="364" t="s">
        <v>88</v>
      </c>
      <c r="AI589" s="364" t="s">
        <v>1199</v>
      </c>
      <c r="AJ589" s="364" t="s">
        <v>670</v>
      </c>
      <c r="AK589" s="364" t="s">
        <v>669</v>
      </c>
      <c r="AL589" s="364" t="s">
        <v>88</v>
      </c>
      <c r="AM589" s="364" t="s">
        <v>668</v>
      </c>
      <c r="AN589" s="364" t="s">
        <v>644</v>
      </c>
    </row>
    <row r="590" spans="1:40" x14ac:dyDescent="0.3">
      <c r="A590" s="364" t="s">
        <v>2090</v>
      </c>
      <c r="B590" s="364" t="s">
        <v>661</v>
      </c>
      <c r="C590" s="364" t="s">
        <v>660</v>
      </c>
      <c r="D590" s="364" t="s">
        <v>87</v>
      </c>
      <c r="E590" s="364" t="s">
        <v>2043</v>
      </c>
      <c r="F590" s="364" t="s">
        <v>2043</v>
      </c>
      <c r="G590" s="364" t="s">
        <v>658</v>
      </c>
      <c r="H590" s="364" t="s">
        <v>2089</v>
      </c>
      <c r="I590" s="364" t="s">
        <v>2088</v>
      </c>
      <c r="J590" s="364" t="s">
        <v>673</v>
      </c>
      <c r="K590" s="364" t="s">
        <v>668</v>
      </c>
      <c r="L590" s="364" t="s">
        <v>190</v>
      </c>
      <c r="M590" s="364" t="s">
        <v>58</v>
      </c>
      <c r="N590" s="364" t="s">
        <v>654</v>
      </c>
      <c r="O590" s="364" t="s">
        <v>653</v>
      </c>
      <c r="P590" s="364" t="s">
        <v>198</v>
      </c>
      <c r="Q590" s="364" t="s">
        <v>652</v>
      </c>
      <c r="R590" s="364" t="s">
        <v>88</v>
      </c>
      <c r="S590" s="364" t="s">
        <v>88</v>
      </c>
      <c r="T590" s="364" t="s">
        <v>88</v>
      </c>
      <c r="U590" s="364" t="s">
        <v>88</v>
      </c>
      <c r="V590" s="364" t="s">
        <v>88</v>
      </c>
      <c r="W590" s="364" t="s">
        <v>88</v>
      </c>
      <c r="X590" s="364" t="s">
        <v>88</v>
      </c>
      <c r="Y590" s="364" t="s">
        <v>88</v>
      </c>
      <c r="Z590" s="364" t="s">
        <v>702</v>
      </c>
      <c r="AA590" s="364" t="s">
        <v>701</v>
      </c>
      <c r="AB590" s="364" t="s">
        <v>649</v>
      </c>
      <c r="AC590" s="364" t="s">
        <v>649</v>
      </c>
      <c r="AD590" s="364" t="s">
        <v>649</v>
      </c>
      <c r="AE590" s="364" t="s">
        <v>88</v>
      </c>
      <c r="AF590" s="364" t="s">
        <v>88</v>
      </c>
      <c r="AG590" s="364" t="s">
        <v>88</v>
      </c>
      <c r="AH590" s="364" t="s">
        <v>88</v>
      </c>
      <c r="AI590" s="364" t="s">
        <v>1199</v>
      </c>
      <c r="AJ590" s="364" t="s">
        <v>670</v>
      </c>
      <c r="AK590" s="364" t="s">
        <v>687</v>
      </c>
      <c r="AL590" s="364" t="s">
        <v>646</v>
      </c>
      <c r="AM590" s="364" t="s">
        <v>668</v>
      </c>
      <c r="AN590" s="364" t="s">
        <v>644</v>
      </c>
    </row>
    <row r="591" spans="1:40" x14ac:dyDescent="0.3">
      <c r="A591" s="364" t="s">
        <v>2087</v>
      </c>
      <c r="B591" s="364" t="s">
        <v>661</v>
      </c>
      <c r="C591" s="364" t="s">
        <v>677</v>
      </c>
      <c r="D591" s="364" t="s">
        <v>90</v>
      </c>
      <c r="E591" s="364" t="s">
        <v>2086</v>
      </c>
      <c r="F591" s="364" t="s">
        <v>2086</v>
      </c>
      <c r="G591" s="364" t="s">
        <v>658</v>
      </c>
      <c r="H591" s="364" t="s">
        <v>2085</v>
      </c>
      <c r="I591" s="364" t="s">
        <v>2084</v>
      </c>
      <c r="J591" s="364" t="s">
        <v>673</v>
      </c>
      <c r="K591" s="364" t="s">
        <v>668</v>
      </c>
      <c r="L591" s="364" t="s">
        <v>190</v>
      </c>
      <c r="M591" s="364" t="s">
        <v>713</v>
      </c>
      <c r="N591" s="364" t="s">
        <v>654</v>
      </c>
      <c r="O591" s="364" t="s">
        <v>653</v>
      </c>
      <c r="P591" s="364" t="s">
        <v>198</v>
      </c>
      <c r="Q591" s="364" t="s">
        <v>652</v>
      </c>
      <c r="R591" s="364" t="s">
        <v>88</v>
      </c>
      <c r="S591" s="364" t="s">
        <v>88</v>
      </c>
      <c r="T591" s="364" t="s">
        <v>88</v>
      </c>
      <c r="U591" s="364" t="s">
        <v>88</v>
      </c>
      <c r="V591" s="364" t="s">
        <v>88</v>
      </c>
      <c r="W591" s="364" t="s">
        <v>88</v>
      </c>
      <c r="X591" s="364" t="s">
        <v>88</v>
      </c>
      <c r="Y591" s="364" t="s">
        <v>88</v>
      </c>
      <c r="Z591" s="364" t="s">
        <v>712</v>
      </c>
      <c r="AA591" s="364" t="s">
        <v>711</v>
      </c>
      <c r="AB591" s="364" t="s">
        <v>649</v>
      </c>
      <c r="AC591" s="364" t="s">
        <v>649</v>
      </c>
      <c r="AD591" s="364" t="s">
        <v>88</v>
      </c>
      <c r="AE591" s="364" t="s">
        <v>88</v>
      </c>
      <c r="AF591" s="364" t="s">
        <v>88</v>
      </c>
      <c r="AG591" s="364" t="s">
        <v>88</v>
      </c>
      <c r="AH591" s="364" t="s">
        <v>88</v>
      </c>
      <c r="AI591" s="364" t="s">
        <v>1155</v>
      </c>
      <c r="AJ591" s="364" t="s">
        <v>710</v>
      </c>
      <c r="AK591" s="364" t="s">
        <v>647</v>
      </c>
      <c r="AL591" s="364" t="s">
        <v>88</v>
      </c>
      <c r="AM591" s="364" t="s">
        <v>668</v>
      </c>
      <c r="AN591" s="364" t="s">
        <v>644</v>
      </c>
    </row>
    <row r="592" spans="1:40" x14ac:dyDescent="0.3">
      <c r="A592" s="364" t="s">
        <v>2087</v>
      </c>
      <c r="B592" s="364" t="s">
        <v>661</v>
      </c>
      <c r="C592" s="364" t="s">
        <v>677</v>
      </c>
      <c r="D592" s="364" t="s">
        <v>90</v>
      </c>
      <c r="E592" s="364" t="s">
        <v>2086</v>
      </c>
      <c r="F592" s="364" t="s">
        <v>2086</v>
      </c>
      <c r="G592" s="364" t="s">
        <v>658</v>
      </c>
      <c r="H592" s="364" t="s">
        <v>2085</v>
      </c>
      <c r="I592" s="364" t="s">
        <v>2084</v>
      </c>
      <c r="J592" s="364" t="s">
        <v>673</v>
      </c>
      <c r="K592" s="364" t="s">
        <v>668</v>
      </c>
      <c r="L592" s="364" t="s">
        <v>190</v>
      </c>
      <c r="M592" s="364" t="s">
        <v>718</v>
      </c>
      <c r="N592" s="364" t="s">
        <v>654</v>
      </c>
      <c r="O592" s="364" t="s">
        <v>653</v>
      </c>
      <c r="P592" s="364" t="s">
        <v>198</v>
      </c>
      <c r="Q592" s="364" t="s">
        <v>652</v>
      </c>
      <c r="R592" s="364" t="s">
        <v>88</v>
      </c>
      <c r="S592" s="364" t="s">
        <v>88</v>
      </c>
      <c r="T592" s="364" t="s">
        <v>88</v>
      </c>
      <c r="U592" s="364" t="s">
        <v>88</v>
      </c>
      <c r="V592" s="364" t="s">
        <v>88</v>
      </c>
      <c r="W592" s="364" t="s">
        <v>88</v>
      </c>
      <c r="X592" s="364" t="s">
        <v>88</v>
      </c>
      <c r="Y592" s="364" t="s">
        <v>88</v>
      </c>
      <c r="Z592" s="364" t="s">
        <v>717</v>
      </c>
      <c r="AA592" s="364" t="s">
        <v>649</v>
      </c>
      <c r="AB592" s="364" t="s">
        <v>649</v>
      </c>
      <c r="AC592" s="364" t="s">
        <v>649</v>
      </c>
      <c r="AD592" s="364" t="s">
        <v>88</v>
      </c>
      <c r="AE592" s="364" t="s">
        <v>88</v>
      </c>
      <c r="AF592" s="364" t="s">
        <v>88</v>
      </c>
      <c r="AG592" s="364" t="s">
        <v>88</v>
      </c>
      <c r="AH592" s="364" t="s">
        <v>88</v>
      </c>
      <c r="AI592" s="364" t="s">
        <v>1155</v>
      </c>
      <c r="AJ592" s="364" t="s">
        <v>710</v>
      </c>
      <c r="AK592" s="364" t="s">
        <v>647</v>
      </c>
      <c r="AL592" s="364" t="s">
        <v>88</v>
      </c>
      <c r="AM592" s="364" t="s">
        <v>668</v>
      </c>
      <c r="AN592" s="364" t="s">
        <v>644</v>
      </c>
    </row>
    <row r="593" spans="1:40" x14ac:dyDescent="0.3">
      <c r="A593" s="364" t="s">
        <v>2087</v>
      </c>
      <c r="B593" s="364" t="s">
        <v>661</v>
      </c>
      <c r="C593" s="364" t="s">
        <v>677</v>
      </c>
      <c r="D593" s="364" t="s">
        <v>90</v>
      </c>
      <c r="E593" s="364" t="s">
        <v>2086</v>
      </c>
      <c r="F593" s="364" t="s">
        <v>2086</v>
      </c>
      <c r="G593" s="364" t="s">
        <v>658</v>
      </c>
      <c r="H593" s="364" t="s">
        <v>2085</v>
      </c>
      <c r="I593" s="364" t="s">
        <v>2084</v>
      </c>
      <c r="J593" s="364" t="s">
        <v>673</v>
      </c>
      <c r="K593" s="364" t="s">
        <v>668</v>
      </c>
      <c r="L593" s="364" t="s">
        <v>190</v>
      </c>
      <c r="M593" s="364" t="s">
        <v>54</v>
      </c>
      <c r="N593" s="364" t="s">
        <v>654</v>
      </c>
      <c r="O593" s="364" t="s">
        <v>653</v>
      </c>
      <c r="P593" s="364" t="s">
        <v>198</v>
      </c>
      <c r="Q593" s="364" t="s">
        <v>652</v>
      </c>
      <c r="R593" s="364" t="s">
        <v>88</v>
      </c>
      <c r="S593" s="364" t="s">
        <v>88</v>
      </c>
      <c r="T593" s="364" t="s">
        <v>88</v>
      </c>
      <c r="U593" s="364" t="s">
        <v>88</v>
      </c>
      <c r="V593" s="364" t="s">
        <v>88</v>
      </c>
      <c r="W593" s="364" t="s">
        <v>88</v>
      </c>
      <c r="X593" s="364" t="s">
        <v>88</v>
      </c>
      <c r="Y593" s="364" t="s">
        <v>88</v>
      </c>
      <c r="Z593" s="364" t="s">
        <v>1265</v>
      </c>
      <c r="AA593" s="364" t="s">
        <v>649</v>
      </c>
      <c r="AB593" s="364" t="s">
        <v>649</v>
      </c>
      <c r="AC593" s="364" t="s">
        <v>649</v>
      </c>
      <c r="AD593" s="364" t="s">
        <v>88</v>
      </c>
      <c r="AE593" s="364" t="s">
        <v>88</v>
      </c>
      <c r="AF593" s="364" t="s">
        <v>88</v>
      </c>
      <c r="AG593" s="364" t="s">
        <v>88</v>
      </c>
      <c r="AH593" s="364" t="s">
        <v>88</v>
      </c>
      <c r="AI593" s="364" t="s">
        <v>1155</v>
      </c>
      <c r="AJ593" s="364" t="s">
        <v>710</v>
      </c>
      <c r="AK593" s="364" t="s">
        <v>647</v>
      </c>
      <c r="AL593" s="364" t="s">
        <v>88</v>
      </c>
      <c r="AM593" s="364" t="s">
        <v>668</v>
      </c>
      <c r="AN593" s="364" t="s">
        <v>644</v>
      </c>
    </row>
    <row r="594" spans="1:40" x14ac:dyDescent="0.3">
      <c r="A594" s="364" t="s">
        <v>2087</v>
      </c>
      <c r="B594" s="364" t="s">
        <v>661</v>
      </c>
      <c r="C594" s="364" t="s">
        <v>677</v>
      </c>
      <c r="D594" s="364" t="s">
        <v>90</v>
      </c>
      <c r="E594" s="364" t="s">
        <v>2086</v>
      </c>
      <c r="F594" s="364" t="s">
        <v>2086</v>
      </c>
      <c r="G594" s="364" t="s">
        <v>658</v>
      </c>
      <c r="H594" s="364" t="s">
        <v>2085</v>
      </c>
      <c r="I594" s="364" t="s">
        <v>2084</v>
      </c>
      <c r="J594" s="364" t="s">
        <v>673</v>
      </c>
      <c r="K594" s="364" t="s">
        <v>668</v>
      </c>
      <c r="L594" s="364" t="s">
        <v>190</v>
      </c>
      <c r="M594" s="364" t="s">
        <v>61</v>
      </c>
      <c r="N594" s="364" t="s">
        <v>654</v>
      </c>
      <c r="O594" s="364" t="s">
        <v>653</v>
      </c>
      <c r="P594" s="364" t="s">
        <v>198</v>
      </c>
      <c r="Q594" s="364" t="s">
        <v>652</v>
      </c>
      <c r="R594" s="364" t="s">
        <v>88</v>
      </c>
      <c r="S594" s="364" t="s">
        <v>88</v>
      </c>
      <c r="T594" s="364" t="s">
        <v>88</v>
      </c>
      <c r="U594" s="364" t="s">
        <v>88</v>
      </c>
      <c r="V594" s="364" t="s">
        <v>88</v>
      </c>
      <c r="W594" s="364" t="s">
        <v>88</v>
      </c>
      <c r="X594" s="364" t="s">
        <v>88</v>
      </c>
      <c r="Y594" s="364" t="s">
        <v>88</v>
      </c>
      <c r="Z594" s="364" t="s">
        <v>1021</v>
      </c>
      <c r="AA594" s="364" t="s">
        <v>671</v>
      </c>
      <c r="AB594" s="364" t="s">
        <v>649</v>
      </c>
      <c r="AC594" s="364" t="s">
        <v>649</v>
      </c>
      <c r="AD594" s="364" t="s">
        <v>88</v>
      </c>
      <c r="AE594" s="364" t="s">
        <v>88</v>
      </c>
      <c r="AF594" s="364" t="s">
        <v>88</v>
      </c>
      <c r="AG594" s="364" t="s">
        <v>88</v>
      </c>
      <c r="AH594" s="364" t="s">
        <v>88</v>
      </c>
      <c r="AI594" s="364" t="s">
        <v>1155</v>
      </c>
      <c r="AJ594" s="364" t="s">
        <v>710</v>
      </c>
      <c r="AK594" s="364" t="s">
        <v>647</v>
      </c>
      <c r="AL594" s="364" t="s">
        <v>88</v>
      </c>
      <c r="AM594" s="364" t="s">
        <v>668</v>
      </c>
      <c r="AN594" s="364" t="s">
        <v>644</v>
      </c>
    </row>
    <row r="595" spans="1:40" x14ac:dyDescent="0.3">
      <c r="A595" s="364" t="s">
        <v>2087</v>
      </c>
      <c r="B595" s="364" t="s">
        <v>661</v>
      </c>
      <c r="C595" s="364" t="s">
        <v>677</v>
      </c>
      <c r="D595" s="364" t="s">
        <v>90</v>
      </c>
      <c r="E595" s="364" t="s">
        <v>2086</v>
      </c>
      <c r="F595" s="364" t="s">
        <v>2086</v>
      </c>
      <c r="G595" s="364" t="s">
        <v>658</v>
      </c>
      <c r="H595" s="364" t="s">
        <v>2085</v>
      </c>
      <c r="I595" s="364" t="s">
        <v>2084</v>
      </c>
      <c r="J595" s="364" t="s">
        <v>673</v>
      </c>
      <c r="K595" s="364" t="s">
        <v>668</v>
      </c>
      <c r="L595" s="364" t="s">
        <v>190</v>
      </c>
      <c r="M595" s="364" t="s">
        <v>723</v>
      </c>
      <c r="N595" s="364" t="s">
        <v>654</v>
      </c>
      <c r="O595" s="364" t="s">
        <v>653</v>
      </c>
      <c r="P595" s="364" t="s">
        <v>198</v>
      </c>
      <c r="Q595" s="364" t="s">
        <v>652</v>
      </c>
      <c r="R595" s="364" t="s">
        <v>88</v>
      </c>
      <c r="S595" s="364" t="s">
        <v>88</v>
      </c>
      <c r="T595" s="364" t="s">
        <v>88</v>
      </c>
      <c r="U595" s="364" t="s">
        <v>88</v>
      </c>
      <c r="V595" s="364" t="s">
        <v>88</v>
      </c>
      <c r="W595" s="364" t="s">
        <v>88</v>
      </c>
      <c r="X595" s="364" t="s">
        <v>88</v>
      </c>
      <c r="Y595" s="364" t="s">
        <v>88</v>
      </c>
      <c r="Z595" s="364" t="s">
        <v>722</v>
      </c>
      <c r="AA595" s="364" t="s">
        <v>649</v>
      </c>
      <c r="AB595" s="364" t="s">
        <v>649</v>
      </c>
      <c r="AC595" s="364" t="s">
        <v>649</v>
      </c>
      <c r="AD595" s="364" t="s">
        <v>88</v>
      </c>
      <c r="AE595" s="364" t="s">
        <v>88</v>
      </c>
      <c r="AF595" s="364" t="s">
        <v>88</v>
      </c>
      <c r="AG595" s="364" t="s">
        <v>88</v>
      </c>
      <c r="AH595" s="364" t="s">
        <v>88</v>
      </c>
      <c r="AI595" s="364" t="s">
        <v>1155</v>
      </c>
      <c r="AJ595" s="364" t="s">
        <v>710</v>
      </c>
      <c r="AK595" s="364" t="s">
        <v>647</v>
      </c>
      <c r="AL595" s="364" t="s">
        <v>88</v>
      </c>
      <c r="AM595" s="364" t="s">
        <v>668</v>
      </c>
      <c r="AN595" s="364" t="s">
        <v>644</v>
      </c>
    </row>
    <row r="596" spans="1:40" x14ac:dyDescent="0.3">
      <c r="A596" s="364" t="s">
        <v>2087</v>
      </c>
      <c r="B596" s="364" t="s">
        <v>661</v>
      </c>
      <c r="C596" s="364" t="s">
        <v>677</v>
      </c>
      <c r="D596" s="364" t="s">
        <v>90</v>
      </c>
      <c r="E596" s="364" t="s">
        <v>2086</v>
      </c>
      <c r="F596" s="364" t="s">
        <v>2086</v>
      </c>
      <c r="G596" s="364" t="s">
        <v>658</v>
      </c>
      <c r="H596" s="364" t="s">
        <v>2085</v>
      </c>
      <c r="I596" s="364" t="s">
        <v>2084</v>
      </c>
      <c r="J596" s="364" t="s">
        <v>673</v>
      </c>
      <c r="K596" s="364" t="s">
        <v>668</v>
      </c>
      <c r="L596" s="364" t="s">
        <v>190</v>
      </c>
      <c r="M596" s="364" t="s">
        <v>721</v>
      </c>
      <c r="N596" s="364" t="s">
        <v>654</v>
      </c>
      <c r="O596" s="364" t="s">
        <v>653</v>
      </c>
      <c r="P596" s="364" t="s">
        <v>198</v>
      </c>
      <c r="Q596" s="364" t="s">
        <v>652</v>
      </c>
      <c r="R596" s="364" t="s">
        <v>88</v>
      </c>
      <c r="S596" s="364" t="s">
        <v>88</v>
      </c>
      <c r="T596" s="364" t="s">
        <v>88</v>
      </c>
      <c r="U596" s="364" t="s">
        <v>88</v>
      </c>
      <c r="V596" s="364" t="s">
        <v>88</v>
      </c>
      <c r="W596" s="364" t="s">
        <v>88</v>
      </c>
      <c r="X596" s="364" t="s">
        <v>88</v>
      </c>
      <c r="Y596" s="364" t="s">
        <v>88</v>
      </c>
      <c r="Z596" s="364" t="s">
        <v>720</v>
      </c>
      <c r="AA596" s="364" t="s">
        <v>649</v>
      </c>
      <c r="AB596" s="364" t="s">
        <v>649</v>
      </c>
      <c r="AC596" s="364" t="s">
        <v>649</v>
      </c>
      <c r="AD596" s="364" t="s">
        <v>88</v>
      </c>
      <c r="AE596" s="364" t="s">
        <v>88</v>
      </c>
      <c r="AF596" s="364" t="s">
        <v>88</v>
      </c>
      <c r="AG596" s="364" t="s">
        <v>88</v>
      </c>
      <c r="AH596" s="364" t="s">
        <v>88</v>
      </c>
      <c r="AI596" s="364" t="s">
        <v>1155</v>
      </c>
      <c r="AJ596" s="364" t="s">
        <v>710</v>
      </c>
      <c r="AK596" s="364" t="s">
        <v>647</v>
      </c>
      <c r="AL596" s="364" t="s">
        <v>88</v>
      </c>
      <c r="AM596" s="364" t="s">
        <v>668</v>
      </c>
      <c r="AN596" s="364" t="s">
        <v>644</v>
      </c>
    </row>
    <row r="597" spans="1:40" x14ac:dyDescent="0.3">
      <c r="A597" s="364" t="s">
        <v>2083</v>
      </c>
      <c r="B597" s="364" t="s">
        <v>661</v>
      </c>
      <c r="C597" s="364" t="s">
        <v>677</v>
      </c>
      <c r="D597" s="364" t="s">
        <v>90</v>
      </c>
      <c r="E597" s="364" t="s">
        <v>2068</v>
      </c>
      <c r="F597" s="364" t="s">
        <v>2068</v>
      </c>
      <c r="G597" s="364" t="s">
        <v>658</v>
      </c>
      <c r="H597" s="364" t="s">
        <v>2082</v>
      </c>
      <c r="I597" s="364" t="s">
        <v>2081</v>
      </c>
      <c r="J597" s="364" t="s">
        <v>673</v>
      </c>
      <c r="K597" s="364" t="s">
        <v>668</v>
      </c>
      <c r="L597" s="364" t="s">
        <v>190</v>
      </c>
      <c r="M597" s="364" t="s">
        <v>250</v>
      </c>
      <c r="N597" s="364" t="s">
        <v>654</v>
      </c>
      <c r="O597" s="364" t="s">
        <v>653</v>
      </c>
      <c r="P597" s="364" t="s">
        <v>198</v>
      </c>
      <c r="Q597" s="364" t="s">
        <v>652</v>
      </c>
      <c r="R597" s="364" t="s">
        <v>88</v>
      </c>
      <c r="S597" s="364" t="s">
        <v>88</v>
      </c>
      <c r="T597" s="364" t="s">
        <v>88</v>
      </c>
      <c r="U597" s="364" t="s">
        <v>88</v>
      </c>
      <c r="V597" s="364" t="s">
        <v>88</v>
      </c>
      <c r="W597" s="364" t="s">
        <v>88</v>
      </c>
      <c r="X597" s="364" t="s">
        <v>88</v>
      </c>
      <c r="Y597" s="364" t="s">
        <v>88</v>
      </c>
      <c r="Z597" s="364" t="s">
        <v>1821</v>
      </c>
      <c r="AA597" s="364" t="s">
        <v>649</v>
      </c>
      <c r="AB597" s="364" t="s">
        <v>649</v>
      </c>
      <c r="AC597" s="364" t="s">
        <v>649</v>
      </c>
      <c r="AD597" s="364" t="s">
        <v>88</v>
      </c>
      <c r="AE597" s="364" t="s">
        <v>88</v>
      </c>
      <c r="AF597" s="364" t="s">
        <v>88</v>
      </c>
      <c r="AG597" s="364" t="s">
        <v>88</v>
      </c>
      <c r="AH597" s="364" t="s">
        <v>88</v>
      </c>
      <c r="AI597" s="364" t="s">
        <v>1155</v>
      </c>
      <c r="AJ597" s="364" t="s">
        <v>710</v>
      </c>
      <c r="AK597" s="364" t="s">
        <v>647</v>
      </c>
      <c r="AL597" s="364" t="s">
        <v>88</v>
      </c>
      <c r="AM597" s="364" t="s">
        <v>668</v>
      </c>
      <c r="AN597" s="364" t="s">
        <v>644</v>
      </c>
    </row>
    <row r="598" spans="1:40" x14ac:dyDescent="0.3">
      <c r="A598" s="364" t="s">
        <v>2083</v>
      </c>
      <c r="B598" s="364" t="s">
        <v>661</v>
      </c>
      <c r="C598" s="364" t="s">
        <v>677</v>
      </c>
      <c r="D598" s="364" t="s">
        <v>90</v>
      </c>
      <c r="E598" s="364" t="s">
        <v>2068</v>
      </c>
      <c r="F598" s="364" t="s">
        <v>2068</v>
      </c>
      <c r="G598" s="364" t="s">
        <v>658</v>
      </c>
      <c r="H598" s="364" t="s">
        <v>2082</v>
      </c>
      <c r="I598" s="364" t="s">
        <v>2081</v>
      </c>
      <c r="J598" s="364" t="s">
        <v>673</v>
      </c>
      <c r="K598" s="364" t="s">
        <v>668</v>
      </c>
      <c r="L598" s="364" t="s">
        <v>190</v>
      </c>
      <c r="M598" s="364" t="s">
        <v>713</v>
      </c>
      <c r="N598" s="364" t="s">
        <v>654</v>
      </c>
      <c r="O598" s="364" t="s">
        <v>653</v>
      </c>
      <c r="P598" s="364" t="s">
        <v>198</v>
      </c>
      <c r="Q598" s="364" t="s">
        <v>652</v>
      </c>
      <c r="R598" s="364" t="s">
        <v>88</v>
      </c>
      <c r="S598" s="364" t="s">
        <v>88</v>
      </c>
      <c r="T598" s="364" t="s">
        <v>88</v>
      </c>
      <c r="U598" s="364" t="s">
        <v>88</v>
      </c>
      <c r="V598" s="364" t="s">
        <v>88</v>
      </c>
      <c r="W598" s="364" t="s">
        <v>88</v>
      </c>
      <c r="X598" s="364" t="s">
        <v>88</v>
      </c>
      <c r="Y598" s="364" t="s">
        <v>88</v>
      </c>
      <c r="Z598" s="364" t="s">
        <v>712</v>
      </c>
      <c r="AA598" s="364" t="s">
        <v>711</v>
      </c>
      <c r="AB598" s="364" t="s">
        <v>649</v>
      </c>
      <c r="AC598" s="364" t="s">
        <v>649</v>
      </c>
      <c r="AD598" s="364" t="s">
        <v>88</v>
      </c>
      <c r="AE598" s="364" t="s">
        <v>88</v>
      </c>
      <c r="AF598" s="364" t="s">
        <v>88</v>
      </c>
      <c r="AG598" s="364" t="s">
        <v>88</v>
      </c>
      <c r="AH598" s="364" t="s">
        <v>88</v>
      </c>
      <c r="AI598" s="364" t="s">
        <v>1155</v>
      </c>
      <c r="AJ598" s="364" t="s">
        <v>710</v>
      </c>
      <c r="AK598" s="364" t="s">
        <v>647</v>
      </c>
      <c r="AL598" s="364" t="s">
        <v>88</v>
      </c>
      <c r="AM598" s="364" t="s">
        <v>668</v>
      </c>
      <c r="AN598" s="364" t="s">
        <v>644</v>
      </c>
    </row>
    <row r="599" spans="1:40" x14ac:dyDescent="0.3">
      <c r="A599" s="364" t="s">
        <v>2083</v>
      </c>
      <c r="B599" s="364" t="s">
        <v>661</v>
      </c>
      <c r="C599" s="364" t="s">
        <v>677</v>
      </c>
      <c r="D599" s="364" t="s">
        <v>90</v>
      </c>
      <c r="E599" s="364" t="s">
        <v>2068</v>
      </c>
      <c r="F599" s="364" t="s">
        <v>2068</v>
      </c>
      <c r="G599" s="364" t="s">
        <v>658</v>
      </c>
      <c r="H599" s="364" t="s">
        <v>2082</v>
      </c>
      <c r="I599" s="364" t="s">
        <v>2081</v>
      </c>
      <c r="J599" s="364" t="s">
        <v>673</v>
      </c>
      <c r="K599" s="364" t="s">
        <v>668</v>
      </c>
      <c r="L599" s="364" t="s">
        <v>190</v>
      </c>
      <c r="M599" s="364" t="s">
        <v>718</v>
      </c>
      <c r="N599" s="364" t="s">
        <v>654</v>
      </c>
      <c r="O599" s="364" t="s">
        <v>653</v>
      </c>
      <c r="P599" s="364" t="s">
        <v>198</v>
      </c>
      <c r="Q599" s="364" t="s">
        <v>652</v>
      </c>
      <c r="R599" s="364" t="s">
        <v>88</v>
      </c>
      <c r="S599" s="364" t="s">
        <v>88</v>
      </c>
      <c r="T599" s="364" t="s">
        <v>88</v>
      </c>
      <c r="U599" s="364" t="s">
        <v>88</v>
      </c>
      <c r="V599" s="364" t="s">
        <v>88</v>
      </c>
      <c r="W599" s="364" t="s">
        <v>88</v>
      </c>
      <c r="X599" s="364" t="s">
        <v>88</v>
      </c>
      <c r="Y599" s="364" t="s">
        <v>88</v>
      </c>
      <c r="Z599" s="364" t="s">
        <v>717</v>
      </c>
      <c r="AA599" s="364" t="s">
        <v>649</v>
      </c>
      <c r="AB599" s="364" t="s">
        <v>649</v>
      </c>
      <c r="AC599" s="364" t="s">
        <v>649</v>
      </c>
      <c r="AD599" s="364" t="s">
        <v>88</v>
      </c>
      <c r="AE599" s="364" t="s">
        <v>88</v>
      </c>
      <c r="AF599" s="364" t="s">
        <v>88</v>
      </c>
      <c r="AG599" s="364" t="s">
        <v>88</v>
      </c>
      <c r="AH599" s="364" t="s">
        <v>88</v>
      </c>
      <c r="AI599" s="364" t="s">
        <v>1155</v>
      </c>
      <c r="AJ599" s="364" t="s">
        <v>710</v>
      </c>
      <c r="AK599" s="364" t="s">
        <v>647</v>
      </c>
      <c r="AL599" s="364" t="s">
        <v>88</v>
      </c>
      <c r="AM599" s="364" t="s">
        <v>668</v>
      </c>
      <c r="AN599" s="364" t="s">
        <v>644</v>
      </c>
    </row>
    <row r="600" spans="1:40" x14ac:dyDescent="0.3">
      <c r="A600" s="364" t="s">
        <v>2083</v>
      </c>
      <c r="B600" s="364" t="s">
        <v>661</v>
      </c>
      <c r="C600" s="364" t="s">
        <v>677</v>
      </c>
      <c r="D600" s="364" t="s">
        <v>90</v>
      </c>
      <c r="E600" s="364" t="s">
        <v>2068</v>
      </c>
      <c r="F600" s="364" t="s">
        <v>2068</v>
      </c>
      <c r="G600" s="364" t="s">
        <v>658</v>
      </c>
      <c r="H600" s="364" t="s">
        <v>2082</v>
      </c>
      <c r="I600" s="364" t="s">
        <v>2081</v>
      </c>
      <c r="J600" s="364" t="s">
        <v>673</v>
      </c>
      <c r="K600" s="364" t="s">
        <v>668</v>
      </c>
      <c r="L600" s="364" t="s">
        <v>190</v>
      </c>
      <c r="M600" s="364" t="s">
        <v>54</v>
      </c>
      <c r="N600" s="364" t="s">
        <v>654</v>
      </c>
      <c r="O600" s="364" t="s">
        <v>653</v>
      </c>
      <c r="P600" s="364" t="s">
        <v>198</v>
      </c>
      <c r="Q600" s="364" t="s">
        <v>652</v>
      </c>
      <c r="R600" s="364" t="s">
        <v>88</v>
      </c>
      <c r="S600" s="364" t="s">
        <v>88</v>
      </c>
      <c r="T600" s="364" t="s">
        <v>88</v>
      </c>
      <c r="U600" s="364" t="s">
        <v>88</v>
      </c>
      <c r="V600" s="364" t="s">
        <v>88</v>
      </c>
      <c r="W600" s="364" t="s">
        <v>88</v>
      </c>
      <c r="X600" s="364" t="s">
        <v>88</v>
      </c>
      <c r="Y600" s="364" t="s">
        <v>88</v>
      </c>
      <c r="Z600" s="364" t="s">
        <v>1265</v>
      </c>
      <c r="AA600" s="364" t="s">
        <v>649</v>
      </c>
      <c r="AB600" s="364" t="s">
        <v>649</v>
      </c>
      <c r="AC600" s="364" t="s">
        <v>649</v>
      </c>
      <c r="AD600" s="364" t="s">
        <v>88</v>
      </c>
      <c r="AE600" s="364" t="s">
        <v>88</v>
      </c>
      <c r="AF600" s="364" t="s">
        <v>88</v>
      </c>
      <c r="AG600" s="364" t="s">
        <v>88</v>
      </c>
      <c r="AH600" s="364" t="s">
        <v>88</v>
      </c>
      <c r="AI600" s="364" t="s">
        <v>1155</v>
      </c>
      <c r="AJ600" s="364" t="s">
        <v>710</v>
      </c>
      <c r="AK600" s="364" t="s">
        <v>647</v>
      </c>
      <c r="AL600" s="364" t="s">
        <v>88</v>
      </c>
      <c r="AM600" s="364" t="s">
        <v>668</v>
      </c>
      <c r="AN600" s="364" t="s">
        <v>644</v>
      </c>
    </row>
    <row r="601" spans="1:40" x14ac:dyDescent="0.3">
      <c r="A601" s="364" t="s">
        <v>2083</v>
      </c>
      <c r="B601" s="364" t="s">
        <v>661</v>
      </c>
      <c r="C601" s="364" t="s">
        <v>677</v>
      </c>
      <c r="D601" s="364" t="s">
        <v>90</v>
      </c>
      <c r="E601" s="364" t="s">
        <v>2068</v>
      </c>
      <c r="F601" s="364" t="s">
        <v>2068</v>
      </c>
      <c r="G601" s="364" t="s">
        <v>658</v>
      </c>
      <c r="H601" s="364" t="s">
        <v>2082</v>
      </c>
      <c r="I601" s="364" t="s">
        <v>2081</v>
      </c>
      <c r="J601" s="364" t="s">
        <v>673</v>
      </c>
      <c r="K601" s="364" t="s">
        <v>668</v>
      </c>
      <c r="L601" s="364" t="s">
        <v>190</v>
      </c>
      <c r="M601" s="364" t="s">
        <v>61</v>
      </c>
      <c r="N601" s="364" t="s">
        <v>654</v>
      </c>
      <c r="O601" s="364" t="s">
        <v>653</v>
      </c>
      <c r="P601" s="364" t="s">
        <v>198</v>
      </c>
      <c r="Q601" s="364" t="s">
        <v>652</v>
      </c>
      <c r="R601" s="364" t="s">
        <v>88</v>
      </c>
      <c r="S601" s="364" t="s">
        <v>88</v>
      </c>
      <c r="T601" s="364" t="s">
        <v>88</v>
      </c>
      <c r="U601" s="364" t="s">
        <v>88</v>
      </c>
      <c r="V601" s="364" t="s">
        <v>88</v>
      </c>
      <c r="W601" s="364" t="s">
        <v>88</v>
      </c>
      <c r="X601" s="364" t="s">
        <v>88</v>
      </c>
      <c r="Y601" s="364" t="s">
        <v>88</v>
      </c>
      <c r="Z601" s="364" t="s">
        <v>1021</v>
      </c>
      <c r="AA601" s="364" t="s">
        <v>671</v>
      </c>
      <c r="AB601" s="364" t="s">
        <v>649</v>
      </c>
      <c r="AC601" s="364" t="s">
        <v>649</v>
      </c>
      <c r="AD601" s="364" t="s">
        <v>88</v>
      </c>
      <c r="AE601" s="364" t="s">
        <v>88</v>
      </c>
      <c r="AF601" s="364" t="s">
        <v>88</v>
      </c>
      <c r="AG601" s="364" t="s">
        <v>88</v>
      </c>
      <c r="AH601" s="364" t="s">
        <v>88</v>
      </c>
      <c r="AI601" s="364" t="s">
        <v>1155</v>
      </c>
      <c r="AJ601" s="364" t="s">
        <v>710</v>
      </c>
      <c r="AK601" s="364" t="s">
        <v>647</v>
      </c>
      <c r="AL601" s="364" t="s">
        <v>88</v>
      </c>
      <c r="AM601" s="364" t="s">
        <v>668</v>
      </c>
      <c r="AN601" s="364" t="s">
        <v>644</v>
      </c>
    </row>
    <row r="602" spans="1:40" x14ac:dyDescent="0.3">
      <c r="A602" s="364" t="s">
        <v>2083</v>
      </c>
      <c r="B602" s="364" t="s">
        <v>661</v>
      </c>
      <c r="C602" s="364" t="s">
        <v>677</v>
      </c>
      <c r="D602" s="364" t="s">
        <v>90</v>
      </c>
      <c r="E602" s="364" t="s">
        <v>2068</v>
      </c>
      <c r="F602" s="364" t="s">
        <v>2068</v>
      </c>
      <c r="G602" s="364" t="s">
        <v>658</v>
      </c>
      <c r="H602" s="364" t="s">
        <v>2082</v>
      </c>
      <c r="I602" s="364" t="s">
        <v>2081</v>
      </c>
      <c r="J602" s="364" t="s">
        <v>673</v>
      </c>
      <c r="K602" s="364" t="s">
        <v>668</v>
      </c>
      <c r="L602" s="364" t="s">
        <v>190</v>
      </c>
      <c r="M602" s="364" t="s">
        <v>723</v>
      </c>
      <c r="N602" s="364" t="s">
        <v>654</v>
      </c>
      <c r="O602" s="364" t="s">
        <v>653</v>
      </c>
      <c r="P602" s="364" t="s">
        <v>198</v>
      </c>
      <c r="Q602" s="364" t="s">
        <v>652</v>
      </c>
      <c r="R602" s="364" t="s">
        <v>88</v>
      </c>
      <c r="S602" s="364" t="s">
        <v>88</v>
      </c>
      <c r="T602" s="364" t="s">
        <v>88</v>
      </c>
      <c r="U602" s="364" t="s">
        <v>88</v>
      </c>
      <c r="V602" s="364" t="s">
        <v>88</v>
      </c>
      <c r="W602" s="364" t="s">
        <v>88</v>
      </c>
      <c r="X602" s="364" t="s">
        <v>88</v>
      </c>
      <c r="Y602" s="364" t="s">
        <v>88</v>
      </c>
      <c r="Z602" s="364" t="s">
        <v>722</v>
      </c>
      <c r="AA602" s="364" t="s">
        <v>649</v>
      </c>
      <c r="AB602" s="364" t="s">
        <v>649</v>
      </c>
      <c r="AC602" s="364" t="s">
        <v>649</v>
      </c>
      <c r="AD602" s="364" t="s">
        <v>88</v>
      </c>
      <c r="AE602" s="364" t="s">
        <v>88</v>
      </c>
      <c r="AF602" s="364" t="s">
        <v>88</v>
      </c>
      <c r="AG602" s="364" t="s">
        <v>88</v>
      </c>
      <c r="AH602" s="364" t="s">
        <v>88</v>
      </c>
      <c r="AI602" s="364" t="s">
        <v>1155</v>
      </c>
      <c r="AJ602" s="364" t="s">
        <v>710</v>
      </c>
      <c r="AK602" s="364" t="s">
        <v>647</v>
      </c>
      <c r="AL602" s="364" t="s">
        <v>88</v>
      </c>
      <c r="AM602" s="364" t="s">
        <v>668</v>
      </c>
      <c r="AN602" s="364" t="s">
        <v>644</v>
      </c>
    </row>
    <row r="603" spans="1:40" x14ac:dyDescent="0.3">
      <c r="A603" s="364" t="s">
        <v>2083</v>
      </c>
      <c r="B603" s="364" t="s">
        <v>661</v>
      </c>
      <c r="C603" s="364" t="s">
        <v>677</v>
      </c>
      <c r="D603" s="364" t="s">
        <v>90</v>
      </c>
      <c r="E603" s="364" t="s">
        <v>2068</v>
      </c>
      <c r="F603" s="364" t="s">
        <v>2068</v>
      </c>
      <c r="G603" s="364" t="s">
        <v>658</v>
      </c>
      <c r="H603" s="364" t="s">
        <v>2082</v>
      </c>
      <c r="I603" s="364" t="s">
        <v>2081</v>
      </c>
      <c r="J603" s="364" t="s">
        <v>673</v>
      </c>
      <c r="K603" s="364" t="s">
        <v>668</v>
      </c>
      <c r="L603" s="364" t="s">
        <v>190</v>
      </c>
      <c r="M603" s="364" t="s">
        <v>721</v>
      </c>
      <c r="N603" s="364" t="s">
        <v>654</v>
      </c>
      <c r="O603" s="364" t="s">
        <v>653</v>
      </c>
      <c r="P603" s="364" t="s">
        <v>198</v>
      </c>
      <c r="Q603" s="364" t="s">
        <v>652</v>
      </c>
      <c r="R603" s="364" t="s">
        <v>88</v>
      </c>
      <c r="S603" s="364" t="s">
        <v>88</v>
      </c>
      <c r="T603" s="364" t="s">
        <v>88</v>
      </c>
      <c r="U603" s="364" t="s">
        <v>88</v>
      </c>
      <c r="V603" s="364" t="s">
        <v>88</v>
      </c>
      <c r="W603" s="364" t="s">
        <v>88</v>
      </c>
      <c r="X603" s="364" t="s">
        <v>88</v>
      </c>
      <c r="Y603" s="364" t="s">
        <v>88</v>
      </c>
      <c r="Z603" s="364" t="s">
        <v>720</v>
      </c>
      <c r="AA603" s="364" t="s">
        <v>649</v>
      </c>
      <c r="AB603" s="364" t="s">
        <v>649</v>
      </c>
      <c r="AC603" s="364" t="s">
        <v>649</v>
      </c>
      <c r="AD603" s="364" t="s">
        <v>88</v>
      </c>
      <c r="AE603" s="364" t="s">
        <v>88</v>
      </c>
      <c r="AF603" s="364" t="s">
        <v>88</v>
      </c>
      <c r="AG603" s="364" t="s">
        <v>88</v>
      </c>
      <c r="AH603" s="364" t="s">
        <v>88</v>
      </c>
      <c r="AI603" s="364" t="s">
        <v>1155</v>
      </c>
      <c r="AJ603" s="364" t="s">
        <v>710</v>
      </c>
      <c r="AK603" s="364" t="s">
        <v>647</v>
      </c>
      <c r="AL603" s="364" t="s">
        <v>88</v>
      </c>
      <c r="AM603" s="364" t="s">
        <v>668</v>
      </c>
      <c r="AN603" s="364" t="s">
        <v>644</v>
      </c>
    </row>
    <row r="604" spans="1:40" x14ac:dyDescent="0.3">
      <c r="A604" s="364" t="s">
        <v>2080</v>
      </c>
      <c r="B604" s="364" t="s">
        <v>661</v>
      </c>
      <c r="C604" s="364" t="s">
        <v>677</v>
      </c>
      <c r="D604" s="364" t="s">
        <v>87</v>
      </c>
      <c r="E604" s="364" t="s">
        <v>2068</v>
      </c>
      <c r="F604" s="364" t="s">
        <v>2068</v>
      </c>
      <c r="G604" s="364" t="s">
        <v>658</v>
      </c>
      <c r="H604" s="364" t="s">
        <v>2079</v>
      </c>
      <c r="I604" s="364" t="s">
        <v>2058</v>
      </c>
      <c r="J604" s="364" t="s">
        <v>673</v>
      </c>
      <c r="K604" s="364" t="s">
        <v>668</v>
      </c>
      <c r="L604" s="364" t="s">
        <v>190</v>
      </c>
      <c r="M604" s="364" t="s">
        <v>60</v>
      </c>
      <c r="N604" s="364" t="s">
        <v>654</v>
      </c>
      <c r="O604" s="364" t="s">
        <v>653</v>
      </c>
      <c r="P604" s="364" t="s">
        <v>198</v>
      </c>
      <c r="Q604" s="364" t="s">
        <v>652</v>
      </c>
      <c r="R604" s="364" t="s">
        <v>88</v>
      </c>
      <c r="S604" s="364" t="s">
        <v>88</v>
      </c>
      <c r="T604" s="364" t="s">
        <v>88</v>
      </c>
      <c r="U604" s="364" t="s">
        <v>88</v>
      </c>
      <c r="V604" s="364" t="s">
        <v>88</v>
      </c>
      <c r="W604" s="364" t="s">
        <v>88</v>
      </c>
      <c r="X604" s="364" t="s">
        <v>88</v>
      </c>
      <c r="Y604" s="364" t="s">
        <v>88</v>
      </c>
      <c r="Z604" s="364" t="s">
        <v>709</v>
      </c>
      <c r="AA604" s="364" t="s">
        <v>708</v>
      </c>
      <c r="AB604" s="364" t="s">
        <v>649</v>
      </c>
      <c r="AC604" s="364" t="s">
        <v>649</v>
      </c>
      <c r="AD604" s="364" t="s">
        <v>88</v>
      </c>
      <c r="AE604" s="364" t="s">
        <v>88</v>
      </c>
      <c r="AF604" s="364" t="s">
        <v>88</v>
      </c>
      <c r="AG604" s="364" t="s">
        <v>88</v>
      </c>
      <c r="AH604" s="364" t="s">
        <v>88</v>
      </c>
      <c r="AI604" s="364" t="s">
        <v>1199</v>
      </c>
      <c r="AJ604" s="364" t="s">
        <v>670</v>
      </c>
      <c r="AK604" s="364" t="s">
        <v>687</v>
      </c>
      <c r="AL604" s="364" t="s">
        <v>88</v>
      </c>
      <c r="AM604" s="364" t="s">
        <v>668</v>
      </c>
      <c r="AN604" s="364" t="s">
        <v>644</v>
      </c>
    </row>
    <row r="605" spans="1:40" x14ac:dyDescent="0.3">
      <c r="A605" s="364" t="s">
        <v>2078</v>
      </c>
      <c r="B605" s="364" t="s">
        <v>661</v>
      </c>
      <c r="C605" s="364" t="s">
        <v>677</v>
      </c>
      <c r="D605" s="364" t="s">
        <v>87</v>
      </c>
      <c r="E605" s="364" t="s">
        <v>2043</v>
      </c>
      <c r="F605" s="364" t="s">
        <v>2043</v>
      </c>
      <c r="G605" s="364" t="s">
        <v>658</v>
      </c>
      <c r="H605" s="364" t="s">
        <v>2077</v>
      </c>
      <c r="I605" s="364" t="s">
        <v>2076</v>
      </c>
      <c r="J605" s="364" t="s">
        <v>673</v>
      </c>
      <c r="K605" s="364" t="s">
        <v>668</v>
      </c>
      <c r="L605" s="364" t="s">
        <v>190</v>
      </c>
      <c r="M605" s="364" t="s">
        <v>60</v>
      </c>
      <c r="N605" s="364" t="s">
        <v>654</v>
      </c>
      <c r="O605" s="364" t="s">
        <v>653</v>
      </c>
      <c r="P605" s="364" t="s">
        <v>198</v>
      </c>
      <c r="Q605" s="364" t="s">
        <v>652</v>
      </c>
      <c r="R605" s="364" t="s">
        <v>88</v>
      </c>
      <c r="S605" s="364" t="s">
        <v>88</v>
      </c>
      <c r="T605" s="364" t="s">
        <v>88</v>
      </c>
      <c r="U605" s="364" t="s">
        <v>88</v>
      </c>
      <c r="V605" s="364" t="s">
        <v>88</v>
      </c>
      <c r="W605" s="364" t="s">
        <v>88</v>
      </c>
      <c r="X605" s="364" t="s">
        <v>88</v>
      </c>
      <c r="Y605" s="364" t="s">
        <v>88</v>
      </c>
      <c r="Z605" s="364" t="s">
        <v>709</v>
      </c>
      <c r="AA605" s="364" t="s">
        <v>708</v>
      </c>
      <c r="AB605" s="364" t="s">
        <v>649</v>
      </c>
      <c r="AC605" s="364" t="s">
        <v>649</v>
      </c>
      <c r="AD605" s="364" t="s">
        <v>88</v>
      </c>
      <c r="AE605" s="364" t="s">
        <v>88</v>
      </c>
      <c r="AF605" s="364" t="s">
        <v>88</v>
      </c>
      <c r="AG605" s="364" t="s">
        <v>88</v>
      </c>
      <c r="AH605" s="364" t="s">
        <v>88</v>
      </c>
      <c r="AI605" s="364" t="s">
        <v>1199</v>
      </c>
      <c r="AJ605" s="364" t="s">
        <v>670</v>
      </c>
      <c r="AK605" s="364" t="s">
        <v>669</v>
      </c>
      <c r="AL605" s="364" t="s">
        <v>88</v>
      </c>
      <c r="AM605" s="364" t="s">
        <v>668</v>
      </c>
      <c r="AN605" s="364" t="s">
        <v>644</v>
      </c>
    </row>
    <row r="606" spans="1:40" x14ac:dyDescent="0.3">
      <c r="A606" s="364" t="s">
        <v>2075</v>
      </c>
      <c r="B606" s="364" t="s">
        <v>661</v>
      </c>
      <c r="C606" s="364" t="s">
        <v>677</v>
      </c>
      <c r="D606" s="364" t="s">
        <v>87</v>
      </c>
      <c r="E606" s="364" t="s">
        <v>2068</v>
      </c>
      <c r="F606" s="364" t="s">
        <v>2068</v>
      </c>
      <c r="G606" s="364" t="s">
        <v>658</v>
      </c>
      <c r="H606" s="364" t="s">
        <v>2074</v>
      </c>
      <c r="I606" s="364" t="s">
        <v>2073</v>
      </c>
      <c r="J606" s="364" t="s">
        <v>673</v>
      </c>
      <c r="K606" s="364" t="s">
        <v>668</v>
      </c>
      <c r="L606" s="364" t="s">
        <v>190</v>
      </c>
      <c r="M606" s="364" t="s">
        <v>59</v>
      </c>
      <c r="N606" s="364" t="s">
        <v>654</v>
      </c>
      <c r="O606" s="364" t="s">
        <v>653</v>
      </c>
      <c r="P606" s="364" t="s">
        <v>198</v>
      </c>
      <c r="Q606" s="364" t="s">
        <v>652</v>
      </c>
      <c r="R606" s="364" t="s">
        <v>88</v>
      </c>
      <c r="S606" s="364" t="s">
        <v>88</v>
      </c>
      <c r="T606" s="364" t="s">
        <v>88</v>
      </c>
      <c r="U606" s="364" t="s">
        <v>88</v>
      </c>
      <c r="V606" s="364" t="s">
        <v>88</v>
      </c>
      <c r="W606" s="364" t="s">
        <v>88</v>
      </c>
      <c r="X606" s="364" t="s">
        <v>88</v>
      </c>
      <c r="Y606" s="364" t="s">
        <v>88</v>
      </c>
      <c r="Z606" s="364" t="s">
        <v>672</v>
      </c>
      <c r="AA606" s="364" t="s">
        <v>671</v>
      </c>
      <c r="AB606" s="364" t="s">
        <v>649</v>
      </c>
      <c r="AC606" s="364" t="s">
        <v>649</v>
      </c>
      <c r="AD606" s="364" t="s">
        <v>88</v>
      </c>
      <c r="AE606" s="364" t="s">
        <v>88</v>
      </c>
      <c r="AF606" s="364" t="s">
        <v>88</v>
      </c>
      <c r="AG606" s="364" t="s">
        <v>88</v>
      </c>
      <c r="AH606" s="364" t="s">
        <v>88</v>
      </c>
      <c r="AI606" s="364" t="s">
        <v>1199</v>
      </c>
      <c r="AJ606" s="364" t="s">
        <v>670</v>
      </c>
      <c r="AK606" s="364" t="s">
        <v>669</v>
      </c>
      <c r="AL606" s="364" t="s">
        <v>88</v>
      </c>
      <c r="AM606" s="364" t="s">
        <v>668</v>
      </c>
      <c r="AN606" s="364" t="s">
        <v>644</v>
      </c>
    </row>
    <row r="607" spans="1:40" x14ac:dyDescent="0.3">
      <c r="A607" s="364" t="s">
        <v>2072</v>
      </c>
      <c r="B607" s="364" t="s">
        <v>661</v>
      </c>
      <c r="C607" s="364" t="s">
        <v>677</v>
      </c>
      <c r="D607" s="364" t="s">
        <v>87</v>
      </c>
      <c r="E607" s="364" t="s">
        <v>2043</v>
      </c>
      <c r="F607" s="364" t="s">
        <v>2043</v>
      </c>
      <c r="G607" s="364" t="s">
        <v>658</v>
      </c>
      <c r="H607" s="364" t="s">
        <v>2071</v>
      </c>
      <c r="I607" s="364" t="s">
        <v>2070</v>
      </c>
      <c r="J607" s="364" t="s">
        <v>673</v>
      </c>
      <c r="K607" s="364" t="s">
        <v>668</v>
      </c>
      <c r="L607" s="364" t="s">
        <v>190</v>
      </c>
      <c r="M607" s="364" t="s">
        <v>59</v>
      </c>
      <c r="N607" s="364" t="s">
        <v>654</v>
      </c>
      <c r="O607" s="364" t="s">
        <v>653</v>
      </c>
      <c r="P607" s="364" t="s">
        <v>198</v>
      </c>
      <c r="Q607" s="364" t="s">
        <v>652</v>
      </c>
      <c r="R607" s="364" t="s">
        <v>88</v>
      </c>
      <c r="S607" s="364" t="s">
        <v>88</v>
      </c>
      <c r="T607" s="364" t="s">
        <v>88</v>
      </c>
      <c r="U607" s="364" t="s">
        <v>88</v>
      </c>
      <c r="V607" s="364" t="s">
        <v>88</v>
      </c>
      <c r="W607" s="364" t="s">
        <v>88</v>
      </c>
      <c r="X607" s="364" t="s">
        <v>88</v>
      </c>
      <c r="Y607" s="364" t="s">
        <v>88</v>
      </c>
      <c r="Z607" s="364" t="s">
        <v>672</v>
      </c>
      <c r="AA607" s="364" t="s">
        <v>671</v>
      </c>
      <c r="AB607" s="364" t="s">
        <v>649</v>
      </c>
      <c r="AC607" s="364" t="s">
        <v>649</v>
      </c>
      <c r="AD607" s="364" t="s">
        <v>88</v>
      </c>
      <c r="AE607" s="364" t="s">
        <v>88</v>
      </c>
      <c r="AF607" s="364" t="s">
        <v>88</v>
      </c>
      <c r="AG607" s="364" t="s">
        <v>88</v>
      </c>
      <c r="AH607" s="364" t="s">
        <v>88</v>
      </c>
      <c r="AI607" s="364" t="s">
        <v>1199</v>
      </c>
      <c r="AJ607" s="364" t="s">
        <v>670</v>
      </c>
      <c r="AK607" s="364" t="s">
        <v>669</v>
      </c>
      <c r="AL607" s="364" t="s">
        <v>88</v>
      </c>
      <c r="AM607" s="364" t="s">
        <v>668</v>
      </c>
      <c r="AN607" s="364" t="s">
        <v>644</v>
      </c>
    </row>
    <row r="608" spans="1:40" x14ac:dyDescent="0.3">
      <c r="A608" s="364" t="s">
        <v>2069</v>
      </c>
      <c r="B608" s="364" t="s">
        <v>661</v>
      </c>
      <c r="C608" s="364" t="s">
        <v>677</v>
      </c>
      <c r="D608" s="364" t="s">
        <v>170</v>
      </c>
      <c r="E608" s="364" t="s">
        <v>2068</v>
      </c>
      <c r="F608" s="364" t="s">
        <v>2068</v>
      </c>
      <c r="G608" s="364" t="s">
        <v>658</v>
      </c>
      <c r="H608" s="364" t="s">
        <v>2067</v>
      </c>
      <c r="I608" s="364" t="s">
        <v>765</v>
      </c>
      <c r="J608" s="364" t="s">
        <v>673</v>
      </c>
      <c r="K608" s="364" t="s">
        <v>668</v>
      </c>
      <c r="L608" s="364" t="s">
        <v>190</v>
      </c>
      <c r="M608" s="364" t="s">
        <v>164</v>
      </c>
      <c r="N608" s="364" t="s">
        <v>654</v>
      </c>
      <c r="O608" s="364" t="s">
        <v>653</v>
      </c>
      <c r="P608" s="364" t="s">
        <v>198</v>
      </c>
      <c r="Q608" s="364" t="s">
        <v>652</v>
      </c>
      <c r="R608" s="364" t="s">
        <v>88</v>
      </c>
      <c r="S608" s="364" t="s">
        <v>88</v>
      </c>
      <c r="T608" s="364" t="s">
        <v>88</v>
      </c>
      <c r="U608" s="364" t="s">
        <v>88</v>
      </c>
      <c r="V608" s="364" t="s">
        <v>88</v>
      </c>
      <c r="W608" s="364" t="s">
        <v>88</v>
      </c>
      <c r="X608" s="364" t="s">
        <v>88</v>
      </c>
      <c r="Y608" s="364" t="s">
        <v>88</v>
      </c>
      <c r="Z608" s="364" t="s">
        <v>825</v>
      </c>
      <c r="AA608" s="364" t="s">
        <v>649</v>
      </c>
      <c r="AB608" s="364" t="s">
        <v>649</v>
      </c>
      <c r="AC608" s="364" t="s">
        <v>649</v>
      </c>
      <c r="AD608" s="364" t="s">
        <v>88</v>
      </c>
      <c r="AE608" s="364" t="s">
        <v>88</v>
      </c>
      <c r="AF608" s="364" t="s">
        <v>88</v>
      </c>
      <c r="AG608" s="364" t="s">
        <v>88</v>
      </c>
      <c r="AH608" s="364" t="s">
        <v>88</v>
      </c>
      <c r="AI608" s="364" t="s">
        <v>1199</v>
      </c>
      <c r="AJ608" s="364" t="s">
        <v>670</v>
      </c>
      <c r="AK608" s="364" t="s">
        <v>687</v>
      </c>
      <c r="AL608" s="364" t="s">
        <v>88</v>
      </c>
      <c r="AM608" s="364" t="s">
        <v>668</v>
      </c>
      <c r="AN608" s="364" t="s">
        <v>644</v>
      </c>
    </row>
    <row r="609" spans="1:40" x14ac:dyDescent="0.3">
      <c r="A609" s="364" t="s">
        <v>2066</v>
      </c>
      <c r="B609" s="364" t="s">
        <v>661</v>
      </c>
      <c r="C609" s="364" t="s">
        <v>677</v>
      </c>
      <c r="D609" s="364" t="s">
        <v>170</v>
      </c>
      <c r="E609" s="364" t="s">
        <v>2043</v>
      </c>
      <c r="F609" s="364" t="s">
        <v>2043</v>
      </c>
      <c r="G609" s="364" t="s">
        <v>658</v>
      </c>
      <c r="H609" s="364" t="s">
        <v>2065</v>
      </c>
      <c r="I609" s="364" t="s">
        <v>765</v>
      </c>
      <c r="J609" s="364" t="s">
        <v>673</v>
      </c>
      <c r="K609" s="364" t="s">
        <v>668</v>
      </c>
      <c r="L609" s="364" t="s">
        <v>190</v>
      </c>
      <c r="M609" s="364" t="s">
        <v>164</v>
      </c>
      <c r="N609" s="364" t="s">
        <v>654</v>
      </c>
      <c r="O609" s="364" t="s">
        <v>653</v>
      </c>
      <c r="P609" s="364" t="s">
        <v>198</v>
      </c>
      <c r="Q609" s="364" t="s">
        <v>652</v>
      </c>
      <c r="R609" s="364" t="s">
        <v>88</v>
      </c>
      <c r="S609" s="364" t="s">
        <v>88</v>
      </c>
      <c r="T609" s="364" t="s">
        <v>88</v>
      </c>
      <c r="U609" s="364" t="s">
        <v>88</v>
      </c>
      <c r="V609" s="364" t="s">
        <v>88</v>
      </c>
      <c r="W609" s="364" t="s">
        <v>88</v>
      </c>
      <c r="X609" s="364" t="s">
        <v>88</v>
      </c>
      <c r="Y609" s="364" t="s">
        <v>88</v>
      </c>
      <c r="Z609" s="364" t="s">
        <v>825</v>
      </c>
      <c r="AA609" s="364" t="s">
        <v>649</v>
      </c>
      <c r="AB609" s="364" t="s">
        <v>649</v>
      </c>
      <c r="AC609" s="364" t="s">
        <v>649</v>
      </c>
      <c r="AD609" s="364" t="s">
        <v>88</v>
      </c>
      <c r="AE609" s="364" t="s">
        <v>88</v>
      </c>
      <c r="AF609" s="364" t="s">
        <v>88</v>
      </c>
      <c r="AG609" s="364" t="s">
        <v>88</v>
      </c>
      <c r="AH609" s="364" t="s">
        <v>88</v>
      </c>
      <c r="AI609" s="364" t="s">
        <v>1199</v>
      </c>
      <c r="AJ609" s="364" t="s">
        <v>670</v>
      </c>
      <c r="AK609" s="364" t="s">
        <v>687</v>
      </c>
      <c r="AL609" s="364" t="s">
        <v>88</v>
      </c>
      <c r="AM609" s="364" t="s">
        <v>668</v>
      </c>
      <c r="AN609" s="364" t="s">
        <v>644</v>
      </c>
    </row>
    <row r="610" spans="1:40" x14ac:dyDescent="0.3">
      <c r="A610" s="364" t="s">
        <v>2064</v>
      </c>
      <c r="B610" s="364" t="s">
        <v>661</v>
      </c>
      <c r="C610" s="364" t="s">
        <v>677</v>
      </c>
      <c r="D610" s="364" t="s">
        <v>170</v>
      </c>
      <c r="E610" s="364" t="s">
        <v>2039</v>
      </c>
      <c r="F610" s="364" t="s">
        <v>2039</v>
      </c>
      <c r="G610" s="364" t="s">
        <v>658</v>
      </c>
      <c r="H610" s="364" t="s">
        <v>2063</v>
      </c>
      <c r="I610" s="364" t="s">
        <v>765</v>
      </c>
      <c r="J610" s="364" t="s">
        <v>673</v>
      </c>
      <c r="K610" s="364" t="s">
        <v>668</v>
      </c>
      <c r="L610" s="364" t="s">
        <v>190</v>
      </c>
      <c r="M610" s="364" t="s">
        <v>164</v>
      </c>
      <c r="N610" s="364" t="s">
        <v>654</v>
      </c>
      <c r="O610" s="364" t="s">
        <v>653</v>
      </c>
      <c r="P610" s="364" t="s">
        <v>198</v>
      </c>
      <c r="Q610" s="364" t="s">
        <v>652</v>
      </c>
      <c r="R610" s="364" t="s">
        <v>88</v>
      </c>
      <c r="S610" s="364" t="s">
        <v>88</v>
      </c>
      <c r="T610" s="364" t="s">
        <v>88</v>
      </c>
      <c r="U610" s="364" t="s">
        <v>88</v>
      </c>
      <c r="V610" s="364" t="s">
        <v>88</v>
      </c>
      <c r="W610" s="364" t="s">
        <v>88</v>
      </c>
      <c r="X610" s="364" t="s">
        <v>88</v>
      </c>
      <c r="Y610" s="364" t="s">
        <v>88</v>
      </c>
      <c r="Z610" s="364" t="s">
        <v>825</v>
      </c>
      <c r="AA610" s="364" t="s">
        <v>649</v>
      </c>
      <c r="AB610" s="364" t="s">
        <v>649</v>
      </c>
      <c r="AC610" s="364" t="s">
        <v>649</v>
      </c>
      <c r="AD610" s="364" t="s">
        <v>88</v>
      </c>
      <c r="AE610" s="364" t="s">
        <v>88</v>
      </c>
      <c r="AF610" s="364" t="s">
        <v>88</v>
      </c>
      <c r="AG610" s="364" t="s">
        <v>88</v>
      </c>
      <c r="AH610" s="364" t="s">
        <v>88</v>
      </c>
      <c r="AI610" s="364" t="s">
        <v>1199</v>
      </c>
      <c r="AJ610" s="364" t="s">
        <v>670</v>
      </c>
      <c r="AK610" s="364" t="s">
        <v>687</v>
      </c>
      <c r="AL610" s="364" t="s">
        <v>88</v>
      </c>
      <c r="AM610" s="364" t="s">
        <v>668</v>
      </c>
      <c r="AN610" s="364" t="s">
        <v>644</v>
      </c>
    </row>
    <row r="611" spans="1:40" x14ac:dyDescent="0.3">
      <c r="A611" s="364" t="s">
        <v>2062</v>
      </c>
      <c r="B611" s="364" t="s">
        <v>661</v>
      </c>
      <c r="C611" s="364" t="s">
        <v>677</v>
      </c>
      <c r="D611" s="364" t="s">
        <v>87</v>
      </c>
      <c r="E611" s="364" t="s">
        <v>2039</v>
      </c>
      <c r="F611" s="364" t="s">
        <v>2039</v>
      </c>
      <c r="G611" s="364" t="s">
        <v>658</v>
      </c>
      <c r="H611" s="364" t="s">
        <v>2061</v>
      </c>
      <c r="I611" s="364" t="s">
        <v>1891</v>
      </c>
      <c r="J611" s="364" t="s">
        <v>673</v>
      </c>
      <c r="K611" s="364" t="s">
        <v>668</v>
      </c>
      <c r="L611" s="364" t="s">
        <v>190</v>
      </c>
      <c r="M611" s="364" t="s">
        <v>59</v>
      </c>
      <c r="N611" s="364" t="s">
        <v>654</v>
      </c>
      <c r="O611" s="364" t="s">
        <v>653</v>
      </c>
      <c r="P611" s="364" t="s">
        <v>198</v>
      </c>
      <c r="Q611" s="364" t="s">
        <v>652</v>
      </c>
      <c r="R611" s="364" t="s">
        <v>88</v>
      </c>
      <c r="S611" s="364" t="s">
        <v>88</v>
      </c>
      <c r="T611" s="364" t="s">
        <v>88</v>
      </c>
      <c r="U611" s="364" t="s">
        <v>88</v>
      </c>
      <c r="V611" s="364" t="s">
        <v>88</v>
      </c>
      <c r="W611" s="364" t="s">
        <v>88</v>
      </c>
      <c r="X611" s="364" t="s">
        <v>88</v>
      </c>
      <c r="Y611" s="364" t="s">
        <v>88</v>
      </c>
      <c r="Z611" s="364" t="s">
        <v>672</v>
      </c>
      <c r="AA611" s="364" t="s">
        <v>671</v>
      </c>
      <c r="AB611" s="364" t="s">
        <v>649</v>
      </c>
      <c r="AC611" s="364" t="s">
        <v>649</v>
      </c>
      <c r="AD611" s="364" t="s">
        <v>88</v>
      </c>
      <c r="AE611" s="364" t="s">
        <v>88</v>
      </c>
      <c r="AF611" s="364" t="s">
        <v>88</v>
      </c>
      <c r="AG611" s="364" t="s">
        <v>88</v>
      </c>
      <c r="AH611" s="364" t="s">
        <v>88</v>
      </c>
      <c r="AI611" s="364" t="s">
        <v>1199</v>
      </c>
      <c r="AJ611" s="364" t="s">
        <v>670</v>
      </c>
      <c r="AK611" s="364" t="s">
        <v>669</v>
      </c>
      <c r="AL611" s="364" t="s">
        <v>88</v>
      </c>
      <c r="AM611" s="364" t="s">
        <v>668</v>
      </c>
      <c r="AN611" s="364" t="s">
        <v>644</v>
      </c>
    </row>
    <row r="612" spans="1:40" x14ac:dyDescent="0.3">
      <c r="A612" s="364" t="s">
        <v>2060</v>
      </c>
      <c r="B612" s="364" t="s">
        <v>661</v>
      </c>
      <c r="C612" s="364" t="s">
        <v>677</v>
      </c>
      <c r="D612" s="364" t="s">
        <v>87</v>
      </c>
      <c r="E612" s="364" t="s">
        <v>2039</v>
      </c>
      <c r="F612" s="364" t="s">
        <v>2039</v>
      </c>
      <c r="G612" s="364" t="s">
        <v>658</v>
      </c>
      <c r="H612" s="364" t="s">
        <v>2059</v>
      </c>
      <c r="I612" s="364" t="s">
        <v>2058</v>
      </c>
      <c r="J612" s="364" t="s">
        <v>673</v>
      </c>
      <c r="K612" s="364" t="s">
        <v>668</v>
      </c>
      <c r="L612" s="364" t="s">
        <v>190</v>
      </c>
      <c r="M612" s="364" t="s">
        <v>60</v>
      </c>
      <c r="N612" s="364" t="s">
        <v>654</v>
      </c>
      <c r="O612" s="364" t="s">
        <v>653</v>
      </c>
      <c r="P612" s="364" t="s">
        <v>198</v>
      </c>
      <c r="Q612" s="364" t="s">
        <v>652</v>
      </c>
      <c r="R612" s="364" t="s">
        <v>88</v>
      </c>
      <c r="S612" s="364" t="s">
        <v>88</v>
      </c>
      <c r="T612" s="364" t="s">
        <v>88</v>
      </c>
      <c r="U612" s="364" t="s">
        <v>88</v>
      </c>
      <c r="V612" s="364" t="s">
        <v>88</v>
      </c>
      <c r="W612" s="364" t="s">
        <v>88</v>
      </c>
      <c r="X612" s="364" t="s">
        <v>88</v>
      </c>
      <c r="Y612" s="364" t="s">
        <v>88</v>
      </c>
      <c r="Z612" s="364" t="s">
        <v>709</v>
      </c>
      <c r="AA612" s="364" t="s">
        <v>708</v>
      </c>
      <c r="AB612" s="364" t="s">
        <v>649</v>
      </c>
      <c r="AC612" s="364" t="s">
        <v>649</v>
      </c>
      <c r="AD612" s="364" t="s">
        <v>88</v>
      </c>
      <c r="AE612" s="364" t="s">
        <v>88</v>
      </c>
      <c r="AF612" s="364" t="s">
        <v>88</v>
      </c>
      <c r="AG612" s="364" t="s">
        <v>88</v>
      </c>
      <c r="AH612" s="364" t="s">
        <v>88</v>
      </c>
      <c r="AI612" s="364" t="s">
        <v>1199</v>
      </c>
      <c r="AJ612" s="364" t="s">
        <v>670</v>
      </c>
      <c r="AK612" s="364" t="s">
        <v>687</v>
      </c>
      <c r="AL612" s="364" t="s">
        <v>88</v>
      </c>
      <c r="AM612" s="364" t="s">
        <v>668</v>
      </c>
      <c r="AN612" s="364" t="s">
        <v>644</v>
      </c>
    </row>
    <row r="613" spans="1:40" x14ac:dyDescent="0.3">
      <c r="A613" s="364" t="s">
        <v>2057</v>
      </c>
      <c r="B613" s="364" t="s">
        <v>661</v>
      </c>
      <c r="C613" s="364" t="s">
        <v>677</v>
      </c>
      <c r="D613" s="364" t="s">
        <v>87</v>
      </c>
      <c r="E613" s="364" t="s">
        <v>2039</v>
      </c>
      <c r="F613" s="364" t="s">
        <v>2039</v>
      </c>
      <c r="G613" s="364" t="s">
        <v>658</v>
      </c>
      <c r="H613" s="364" t="s">
        <v>2056</v>
      </c>
      <c r="I613" s="364" t="s">
        <v>2055</v>
      </c>
      <c r="J613" s="364" t="s">
        <v>673</v>
      </c>
      <c r="K613" s="364" t="s">
        <v>668</v>
      </c>
      <c r="L613" s="364" t="s">
        <v>190</v>
      </c>
      <c r="M613" s="364" t="s">
        <v>58</v>
      </c>
      <c r="N613" s="364" t="s">
        <v>654</v>
      </c>
      <c r="O613" s="364" t="s">
        <v>653</v>
      </c>
      <c r="P613" s="364" t="s">
        <v>198</v>
      </c>
      <c r="Q613" s="364" t="s">
        <v>652</v>
      </c>
      <c r="R613" s="364" t="s">
        <v>88</v>
      </c>
      <c r="S613" s="364" t="s">
        <v>88</v>
      </c>
      <c r="T613" s="364" t="s">
        <v>88</v>
      </c>
      <c r="U613" s="364" t="s">
        <v>88</v>
      </c>
      <c r="V613" s="364" t="s">
        <v>88</v>
      </c>
      <c r="W613" s="364" t="s">
        <v>88</v>
      </c>
      <c r="X613" s="364" t="s">
        <v>88</v>
      </c>
      <c r="Y613" s="364" t="s">
        <v>88</v>
      </c>
      <c r="Z613" s="364" t="s">
        <v>702</v>
      </c>
      <c r="AA613" s="364" t="s">
        <v>701</v>
      </c>
      <c r="AB613" s="364" t="s">
        <v>649</v>
      </c>
      <c r="AC613" s="364" t="s">
        <v>649</v>
      </c>
      <c r="AD613" s="364" t="s">
        <v>88</v>
      </c>
      <c r="AE613" s="364" t="s">
        <v>88</v>
      </c>
      <c r="AF613" s="364" t="s">
        <v>88</v>
      </c>
      <c r="AG613" s="364" t="s">
        <v>88</v>
      </c>
      <c r="AH613" s="364" t="s">
        <v>88</v>
      </c>
      <c r="AI613" s="364" t="s">
        <v>1199</v>
      </c>
      <c r="AJ613" s="364" t="s">
        <v>670</v>
      </c>
      <c r="AK613" s="364" t="s">
        <v>669</v>
      </c>
      <c r="AL613" s="364" t="s">
        <v>88</v>
      </c>
      <c r="AM613" s="364" t="s">
        <v>668</v>
      </c>
      <c r="AN613" s="364" t="s">
        <v>644</v>
      </c>
    </row>
    <row r="614" spans="1:40" x14ac:dyDescent="0.3">
      <c r="A614" s="364" t="s">
        <v>2054</v>
      </c>
      <c r="B614" s="364" t="s">
        <v>661</v>
      </c>
      <c r="C614" s="364" t="s">
        <v>677</v>
      </c>
      <c r="D614" s="364" t="s">
        <v>87</v>
      </c>
      <c r="E614" s="364" t="s">
        <v>1978</v>
      </c>
      <c r="F614" s="364" t="s">
        <v>1978</v>
      </c>
      <c r="G614" s="364" t="s">
        <v>658</v>
      </c>
      <c r="H614" s="364" t="s">
        <v>2053</v>
      </c>
      <c r="I614" s="364" t="s">
        <v>2052</v>
      </c>
      <c r="J614" s="364" t="s">
        <v>673</v>
      </c>
      <c r="K614" s="364" t="s">
        <v>668</v>
      </c>
      <c r="L614" s="364" t="s">
        <v>190</v>
      </c>
      <c r="M614" s="364" t="s">
        <v>58</v>
      </c>
      <c r="N614" s="364" t="s">
        <v>654</v>
      </c>
      <c r="O614" s="364" t="s">
        <v>653</v>
      </c>
      <c r="P614" s="364" t="s">
        <v>198</v>
      </c>
      <c r="Q614" s="364" t="s">
        <v>652</v>
      </c>
      <c r="R614" s="364" t="s">
        <v>88</v>
      </c>
      <c r="S614" s="364" t="s">
        <v>88</v>
      </c>
      <c r="T614" s="364" t="s">
        <v>88</v>
      </c>
      <c r="U614" s="364" t="s">
        <v>88</v>
      </c>
      <c r="V614" s="364" t="s">
        <v>88</v>
      </c>
      <c r="W614" s="364" t="s">
        <v>88</v>
      </c>
      <c r="X614" s="364" t="s">
        <v>88</v>
      </c>
      <c r="Y614" s="364" t="s">
        <v>88</v>
      </c>
      <c r="Z614" s="364" t="s">
        <v>702</v>
      </c>
      <c r="AA614" s="364" t="s">
        <v>701</v>
      </c>
      <c r="AB614" s="364" t="s">
        <v>649</v>
      </c>
      <c r="AC614" s="364" t="s">
        <v>649</v>
      </c>
      <c r="AD614" s="364" t="s">
        <v>88</v>
      </c>
      <c r="AE614" s="364" t="s">
        <v>88</v>
      </c>
      <c r="AF614" s="364" t="s">
        <v>88</v>
      </c>
      <c r="AG614" s="364" t="s">
        <v>88</v>
      </c>
      <c r="AH614" s="364" t="s">
        <v>88</v>
      </c>
      <c r="AI614" s="364" t="s">
        <v>1199</v>
      </c>
      <c r="AJ614" s="364" t="s">
        <v>670</v>
      </c>
      <c r="AK614" s="364" t="s">
        <v>669</v>
      </c>
      <c r="AL614" s="364" t="s">
        <v>88</v>
      </c>
      <c r="AM614" s="364" t="s">
        <v>668</v>
      </c>
      <c r="AN614" s="364" t="s">
        <v>644</v>
      </c>
    </row>
    <row r="615" spans="1:40" x14ac:dyDescent="0.3">
      <c r="A615" s="364" t="s">
        <v>2051</v>
      </c>
      <c r="B615" s="364" t="s">
        <v>661</v>
      </c>
      <c r="C615" s="364" t="s">
        <v>677</v>
      </c>
      <c r="D615" s="364" t="s">
        <v>87</v>
      </c>
      <c r="E615" s="364" t="s">
        <v>1978</v>
      </c>
      <c r="F615" s="364" t="s">
        <v>1978</v>
      </c>
      <c r="G615" s="364" t="s">
        <v>658</v>
      </c>
      <c r="H615" s="364" t="s">
        <v>2050</v>
      </c>
      <c r="I615" s="364" t="s">
        <v>2049</v>
      </c>
      <c r="J615" s="364" t="s">
        <v>673</v>
      </c>
      <c r="K615" s="364" t="s">
        <v>668</v>
      </c>
      <c r="L615" s="364" t="s">
        <v>190</v>
      </c>
      <c r="M615" s="364" t="s">
        <v>60</v>
      </c>
      <c r="N615" s="364" t="s">
        <v>654</v>
      </c>
      <c r="O615" s="364" t="s">
        <v>653</v>
      </c>
      <c r="P615" s="364" t="s">
        <v>198</v>
      </c>
      <c r="Q615" s="364" t="s">
        <v>652</v>
      </c>
      <c r="R615" s="364" t="s">
        <v>88</v>
      </c>
      <c r="S615" s="364" t="s">
        <v>88</v>
      </c>
      <c r="T615" s="364" t="s">
        <v>88</v>
      </c>
      <c r="U615" s="364" t="s">
        <v>88</v>
      </c>
      <c r="V615" s="364" t="s">
        <v>88</v>
      </c>
      <c r="W615" s="364" t="s">
        <v>88</v>
      </c>
      <c r="X615" s="364" t="s">
        <v>88</v>
      </c>
      <c r="Y615" s="364" t="s">
        <v>88</v>
      </c>
      <c r="Z615" s="364" t="s">
        <v>709</v>
      </c>
      <c r="AA615" s="364" t="s">
        <v>708</v>
      </c>
      <c r="AB615" s="364" t="s">
        <v>649</v>
      </c>
      <c r="AC615" s="364" t="s">
        <v>649</v>
      </c>
      <c r="AD615" s="364" t="s">
        <v>88</v>
      </c>
      <c r="AE615" s="364" t="s">
        <v>88</v>
      </c>
      <c r="AF615" s="364" t="s">
        <v>88</v>
      </c>
      <c r="AG615" s="364" t="s">
        <v>88</v>
      </c>
      <c r="AH615" s="364" t="s">
        <v>88</v>
      </c>
      <c r="AI615" s="364" t="s">
        <v>1199</v>
      </c>
      <c r="AJ615" s="364" t="s">
        <v>670</v>
      </c>
      <c r="AK615" s="364" t="s">
        <v>687</v>
      </c>
      <c r="AL615" s="364" t="s">
        <v>88</v>
      </c>
      <c r="AM615" s="364" t="s">
        <v>668</v>
      </c>
      <c r="AN615" s="364" t="s">
        <v>644</v>
      </c>
    </row>
    <row r="616" spans="1:40" x14ac:dyDescent="0.3">
      <c r="A616" s="364" t="s">
        <v>2048</v>
      </c>
      <c r="B616" s="364" t="s">
        <v>661</v>
      </c>
      <c r="C616" s="364" t="s">
        <v>677</v>
      </c>
      <c r="D616" s="364" t="s">
        <v>87</v>
      </c>
      <c r="E616" s="364" t="s">
        <v>1978</v>
      </c>
      <c r="F616" s="364" t="s">
        <v>1978</v>
      </c>
      <c r="G616" s="364" t="s">
        <v>658</v>
      </c>
      <c r="H616" s="364" t="s">
        <v>2047</v>
      </c>
      <c r="I616" s="364" t="s">
        <v>1891</v>
      </c>
      <c r="J616" s="364" t="s">
        <v>673</v>
      </c>
      <c r="K616" s="364" t="s">
        <v>668</v>
      </c>
      <c r="L616" s="364" t="s">
        <v>190</v>
      </c>
      <c r="M616" s="364" t="s">
        <v>59</v>
      </c>
      <c r="N616" s="364" t="s">
        <v>654</v>
      </c>
      <c r="O616" s="364" t="s">
        <v>653</v>
      </c>
      <c r="P616" s="364" t="s">
        <v>198</v>
      </c>
      <c r="Q616" s="364" t="s">
        <v>652</v>
      </c>
      <c r="R616" s="364" t="s">
        <v>88</v>
      </c>
      <c r="S616" s="364" t="s">
        <v>88</v>
      </c>
      <c r="T616" s="364" t="s">
        <v>88</v>
      </c>
      <c r="U616" s="364" t="s">
        <v>88</v>
      </c>
      <c r="V616" s="364" t="s">
        <v>88</v>
      </c>
      <c r="W616" s="364" t="s">
        <v>88</v>
      </c>
      <c r="X616" s="364" t="s">
        <v>88</v>
      </c>
      <c r="Y616" s="364" t="s">
        <v>88</v>
      </c>
      <c r="Z616" s="364" t="s">
        <v>672</v>
      </c>
      <c r="AA616" s="364" t="s">
        <v>671</v>
      </c>
      <c r="AB616" s="364" t="s">
        <v>649</v>
      </c>
      <c r="AC616" s="364" t="s">
        <v>649</v>
      </c>
      <c r="AD616" s="364" t="s">
        <v>88</v>
      </c>
      <c r="AE616" s="364" t="s">
        <v>88</v>
      </c>
      <c r="AF616" s="364" t="s">
        <v>88</v>
      </c>
      <c r="AG616" s="364" t="s">
        <v>88</v>
      </c>
      <c r="AH616" s="364" t="s">
        <v>88</v>
      </c>
      <c r="AI616" s="364" t="s">
        <v>1199</v>
      </c>
      <c r="AJ616" s="364" t="s">
        <v>670</v>
      </c>
      <c r="AK616" s="364" t="s">
        <v>669</v>
      </c>
      <c r="AL616" s="364" t="s">
        <v>88</v>
      </c>
      <c r="AM616" s="364" t="s">
        <v>668</v>
      </c>
      <c r="AN616" s="364" t="s">
        <v>644</v>
      </c>
    </row>
    <row r="617" spans="1:40" x14ac:dyDescent="0.3">
      <c r="A617" s="364" t="s">
        <v>2046</v>
      </c>
      <c r="B617" s="364" t="s">
        <v>661</v>
      </c>
      <c r="C617" s="364" t="s">
        <v>677</v>
      </c>
      <c r="D617" s="364" t="s">
        <v>170</v>
      </c>
      <c r="E617" s="364" t="s">
        <v>1978</v>
      </c>
      <c r="F617" s="364" t="s">
        <v>1978</v>
      </c>
      <c r="G617" s="364" t="s">
        <v>658</v>
      </c>
      <c r="H617" s="364" t="s">
        <v>2045</v>
      </c>
      <c r="I617" s="364" t="s">
        <v>765</v>
      </c>
      <c r="J617" s="364" t="s">
        <v>673</v>
      </c>
      <c r="K617" s="364" t="s">
        <v>668</v>
      </c>
      <c r="L617" s="364" t="s">
        <v>190</v>
      </c>
      <c r="M617" s="364" t="s">
        <v>164</v>
      </c>
      <c r="N617" s="364" t="s">
        <v>654</v>
      </c>
      <c r="O617" s="364" t="s">
        <v>653</v>
      </c>
      <c r="P617" s="364" t="s">
        <v>198</v>
      </c>
      <c r="Q617" s="364" t="s">
        <v>652</v>
      </c>
      <c r="R617" s="364" t="s">
        <v>88</v>
      </c>
      <c r="S617" s="364" t="s">
        <v>88</v>
      </c>
      <c r="T617" s="364" t="s">
        <v>88</v>
      </c>
      <c r="U617" s="364" t="s">
        <v>88</v>
      </c>
      <c r="V617" s="364" t="s">
        <v>88</v>
      </c>
      <c r="W617" s="364" t="s">
        <v>88</v>
      </c>
      <c r="X617" s="364" t="s">
        <v>88</v>
      </c>
      <c r="Y617" s="364" t="s">
        <v>88</v>
      </c>
      <c r="Z617" s="364" t="s">
        <v>825</v>
      </c>
      <c r="AA617" s="364" t="s">
        <v>649</v>
      </c>
      <c r="AB617" s="364" t="s">
        <v>649</v>
      </c>
      <c r="AC617" s="364" t="s">
        <v>649</v>
      </c>
      <c r="AD617" s="364" t="s">
        <v>88</v>
      </c>
      <c r="AE617" s="364" t="s">
        <v>88</v>
      </c>
      <c r="AF617" s="364" t="s">
        <v>88</v>
      </c>
      <c r="AG617" s="364" t="s">
        <v>88</v>
      </c>
      <c r="AH617" s="364" t="s">
        <v>88</v>
      </c>
      <c r="AI617" s="364" t="s">
        <v>1199</v>
      </c>
      <c r="AJ617" s="364" t="s">
        <v>670</v>
      </c>
      <c r="AK617" s="364" t="s">
        <v>687</v>
      </c>
      <c r="AL617" s="364" t="s">
        <v>88</v>
      </c>
      <c r="AM617" s="364" t="s">
        <v>668</v>
      </c>
      <c r="AN617" s="364" t="s">
        <v>644</v>
      </c>
    </row>
    <row r="618" spans="1:40" x14ac:dyDescent="0.3">
      <c r="A618" s="364" t="s">
        <v>2044</v>
      </c>
      <c r="B618" s="364" t="s">
        <v>661</v>
      </c>
      <c r="C618" s="364" t="s">
        <v>677</v>
      </c>
      <c r="D618" s="364" t="s">
        <v>90</v>
      </c>
      <c r="E618" s="364" t="s">
        <v>2043</v>
      </c>
      <c r="F618" s="364" t="s">
        <v>2043</v>
      </c>
      <c r="G618" s="364" t="s">
        <v>658</v>
      </c>
      <c r="H618" s="364" t="s">
        <v>2042</v>
      </c>
      <c r="I618" s="364" t="s">
        <v>2041</v>
      </c>
      <c r="J618" s="364" t="s">
        <v>673</v>
      </c>
      <c r="K618" s="364" t="s">
        <v>668</v>
      </c>
      <c r="L618" s="364" t="s">
        <v>190</v>
      </c>
      <c r="M618" s="364" t="s">
        <v>250</v>
      </c>
      <c r="N618" s="364" t="s">
        <v>654</v>
      </c>
      <c r="O618" s="364" t="s">
        <v>653</v>
      </c>
      <c r="P618" s="364" t="s">
        <v>198</v>
      </c>
      <c r="Q618" s="364" t="s">
        <v>652</v>
      </c>
      <c r="R618" s="364" t="s">
        <v>88</v>
      </c>
      <c r="S618" s="364" t="s">
        <v>88</v>
      </c>
      <c r="T618" s="364" t="s">
        <v>88</v>
      </c>
      <c r="U618" s="364" t="s">
        <v>88</v>
      </c>
      <c r="V618" s="364" t="s">
        <v>88</v>
      </c>
      <c r="W618" s="364" t="s">
        <v>88</v>
      </c>
      <c r="X618" s="364" t="s">
        <v>88</v>
      </c>
      <c r="Y618" s="364" t="s">
        <v>88</v>
      </c>
      <c r="Z618" s="364" t="s">
        <v>1821</v>
      </c>
      <c r="AA618" s="364" t="s">
        <v>649</v>
      </c>
      <c r="AB618" s="364" t="s">
        <v>649</v>
      </c>
      <c r="AC618" s="364" t="s">
        <v>649</v>
      </c>
      <c r="AD618" s="364" t="s">
        <v>88</v>
      </c>
      <c r="AE618" s="364" t="s">
        <v>88</v>
      </c>
      <c r="AF618" s="364" t="s">
        <v>88</v>
      </c>
      <c r="AG618" s="364" t="s">
        <v>88</v>
      </c>
      <c r="AH618" s="364" t="s">
        <v>88</v>
      </c>
      <c r="AI618" s="364" t="s">
        <v>1155</v>
      </c>
      <c r="AJ618" s="364" t="s">
        <v>710</v>
      </c>
      <c r="AK618" s="364" t="s">
        <v>647</v>
      </c>
      <c r="AL618" s="364" t="s">
        <v>88</v>
      </c>
      <c r="AM618" s="364" t="s">
        <v>668</v>
      </c>
      <c r="AN618" s="364" t="s">
        <v>644</v>
      </c>
    </row>
    <row r="619" spans="1:40" x14ac:dyDescent="0.3">
      <c r="A619" s="364" t="s">
        <v>2044</v>
      </c>
      <c r="B619" s="364" t="s">
        <v>661</v>
      </c>
      <c r="C619" s="364" t="s">
        <v>677</v>
      </c>
      <c r="D619" s="364" t="s">
        <v>90</v>
      </c>
      <c r="E619" s="364" t="s">
        <v>2043</v>
      </c>
      <c r="F619" s="364" t="s">
        <v>2043</v>
      </c>
      <c r="G619" s="364" t="s">
        <v>658</v>
      </c>
      <c r="H619" s="364" t="s">
        <v>2042</v>
      </c>
      <c r="I619" s="364" t="s">
        <v>2041</v>
      </c>
      <c r="J619" s="364" t="s">
        <v>673</v>
      </c>
      <c r="K619" s="364" t="s">
        <v>668</v>
      </c>
      <c r="L619" s="364" t="s">
        <v>190</v>
      </c>
      <c r="M619" s="364" t="s">
        <v>713</v>
      </c>
      <c r="N619" s="364" t="s">
        <v>654</v>
      </c>
      <c r="O619" s="364" t="s">
        <v>653</v>
      </c>
      <c r="P619" s="364" t="s">
        <v>198</v>
      </c>
      <c r="Q619" s="364" t="s">
        <v>652</v>
      </c>
      <c r="R619" s="364" t="s">
        <v>88</v>
      </c>
      <c r="S619" s="364" t="s">
        <v>88</v>
      </c>
      <c r="T619" s="364" t="s">
        <v>88</v>
      </c>
      <c r="U619" s="364" t="s">
        <v>88</v>
      </c>
      <c r="V619" s="364" t="s">
        <v>88</v>
      </c>
      <c r="W619" s="364" t="s">
        <v>88</v>
      </c>
      <c r="X619" s="364" t="s">
        <v>88</v>
      </c>
      <c r="Y619" s="364" t="s">
        <v>88</v>
      </c>
      <c r="Z619" s="364" t="s">
        <v>712</v>
      </c>
      <c r="AA619" s="364" t="s">
        <v>711</v>
      </c>
      <c r="AB619" s="364" t="s">
        <v>649</v>
      </c>
      <c r="AC619" s="364" t="s">
        <v>649</v>
      </c>
      <c r="AD619" s="364" t="s">
        <v>88</v>
      </c>
      <c r="AE619" s="364" t="s">
        <v>88</v>
      </c>
      <c r="AF619" s="364" t="s">
        <v>88</v>
      </c>
      <c r="AG619" s="364" t="s">
        <v>88</v>
      </c>
      <c r="AH619" s="364" t="s">
        <v>88</v>
      </c>
      <c r="AI619" s="364" t="s">
        <v>1155</v>
      </c>
      <c r="AJ619" s="364" t="s">
        <v>710</v>
      </c>
      <c r="AK619" s="364" t="s">
        <v>647</v>
      </c>
      <c r="AL619" s="364" t="s">
        <v>88</v>
      </c>
      <c r="AM619" s="364" t="s">
        <v>668</v>
      </c>
      <c r="AN619" s="364" t="s">
        <v>644</v>
      </c>
    </row>
    <row r="620" spans="1:40" x14ac:dyDescent="0.3">
      <c r="A620" s="364" t="s">
        <v>2044</v>
      </c>
      <c r="B620" s="364" t="s">
        <v>661</v>
      </c>
      <c r="C620" s="364" t="s">
        <v>677</v>
      </c>
      <c r="D620" s="364" t="s">
        <v>90</v>
      </c>
      <c r="E620" s="364" t="s">
        <v>2043</v>
      </c>
      <c r="F620" s="364" t="s">
        <v>2043</v>
      </c>
      <c r="G620" s="364" t="s">
        <v>658</v>
      </c>
      <c r="H620" s="364" t="s">
        <v>2042</v>
      </c>
      <c r="I620" s="364" t="s">
        <v>2041</v>
      </c>
      <c r="J620" s="364" t="s">
        <v>673</v>
      </c>
      <c r="K620" s="364" t="s">
        <v>668</v>
      </c>
      <c r="L620" s="364" t="s">
        <v>190</v>
      </c>
      <c r="M620" s="364" t="s">
        <v>718</v>
      </c>
      <c r="N620" s="364" t="s">
        <v>654</v>
      </c>
      <c r="O620" s="364" t="s">
        <v>653</v>
      </c>
      <c r="P620" s="364" t="s">
        <v>198</v>
      </c>
      <c r="Q620" s="364" t="s">
        <v>652</v>
      </c>
      <c r="R620" s="364" t="s">
        <v>88</v>
      </c>
      <c r="S620" s="364" t="s">
        <v>88</v>
      </c>
      <c r="T620" s="364" t="s">
        <v>88</v>
      </c>
      <c r="U620" s="364" t="s">
        <v>88</v>
      </c>
      <c r="V620" s="364" t="s">
        <v>88</v>
      </c>
      <c r="W620" s="364" t="s">
        <v>88</v>
      </c>
      <c r="X620" s="364" t="s">
        <v>88</v>
      </c>
      <c r="Y620" s="364" t="s">
        <v>88</v>
      </c>
      <c r="Z620" s="364" t="s">
        <v>717</v>
      </c>
      <c r="AA620" s="364" t="s">
        <v>649</v>
      </c>
      <c r="AB620" s="364" t="s">
        <v>649</v>
      </c>
      <c r="AC620" s="364" t="s">
        <v>649</v>
      </c>
      <c r="AD620" s="364" t="s">
        <v>88</v>
      </c>
      <c r="AE620" s="364" t="s">
        <v>88</v>
      </c>
      <c r="AF620" s="364" t="s">
        <v>88</v>
      </c>
      <c r="AG620" s="364" t="s">
        <v>88</v>
      </c>
      <c r="AH620" s="364" t="s">
        <v>88</v>
      </c>
      <c r="AI620" s="364" t="s">
        <v>1155</v>
      </c>
      <c r="AJ620" s="364" t="s">
        <v>710</v>
      </c>
      <c r="AK620" s="364" t="s">
        <v>647</v>
      </c>
      <c r="AL620" s="364" t="s">
        <v>88</v>
      </c>
      <c r="AM620" s="364" t="s">
        <v>668</v>
      </c>
      <c r="AN620" s="364" t="s">
        <v>644</v>
      </c>
    </row>
    <row r="621" spans="1:40" x14ac:dyDescent="0.3">
      <c r="A621" s="364" t="s">
        <v>2044</v>
      </c>
      <c r="B621" s="364" t="s">
        <v>661</v>
      </c>
      <c r="C621" s="364" t="s">
        <v>677</v>
      </c>
      <c r="D621" s="364" t="s">
        <v>90</v>
      </c>
      <c r="E621" s="364" t="s">
        <v>2043</v>
      </c>
      <c r="F621" s="364" t="s">
        <v>2043</v>
      </c>
      <c r="G621" s="364" t="s">
        <v>658</v>
      </c>
      <c r="H621" s="364" t="s">
        <v>2042</v>
      </c>
      <c r="I621" s="364" t="s">
        <v>2041</v>
      </c>
      <c r="J621" s="364" t="s">
        <v>673</v>
      </c>
      <c r="K621" s="364" t="s">
        <v>668</v>
      </c>
      <c r="L621" s="364" t="s">
        <v>190</v>
      </c>
      <c r="M621" s="364" t="s">
        <v>54</v>
      </c>
      <c r="N621" s="364" t="s">
        <v>654</v>
      </c>
      <c r="O621" s="364" t="s">
        <v>653</v>
      </c>
      <c r="P621" s="364" t="s">
        <v>198</v>
      </c>
      <c r="Q621" s="364" t="s">
        <v>652</v>
      </c>
      <c r="R621" s="364" t="s">
        <v>88</v>
      </c>
      <c r="S621" s="364" t="s">
        <v>88</v>
      </c>
      <c r="T621" s="364" t="s">
        <v>88</v>
      </c>
      <c r="U621" s="364" t="s">
        <v>88</v>
      </c>
      <c r="V621" s="364" t="s">
        <v>88</v>
      </c>
      <c r="W621" s="364" t="s">
        <v>88</v>
      </c>
      <c r="X621" s="364" t="s">
        <v>88</v>
      </c>
      <c r="Y621" s="364" t="s">
        <v>88</v>
      </c>
      <c r="Z621" s="364" t="s">
        <v>1265</v>
      </c>
      <c r="AA621" s="364" t="s">
        <v>649</v>
      </c>
      <c r="AB621" s="364" t="s">
        <v>649</v>
      </c>
      <c r="AC621" s="364" t="s">
        <v>649</v>
      </c>
      <c r="AD621" s="364" t="s">
        <v>88</v>
      </c>
      <c r="AE621" s="364" t="s">
        <v>88</v>
      </c>
      <c r="AF621" s="364" t="s">
        <v>88</v>
      </c>
      <c r="AG621" s="364" t="s">
        <v>88</v>
      </c>
      <c r="AH621" s="364" t="s">
        <v>88</v>
      </c>
      <c r="AI621" s="364" t="s">
        <v>1155</v>
      </c>
      <c r="AJ621" s="364" t="s">
        <v>710</v>
      </c>
      <c r="AK621" s="364" t="s">
        <v>647</v>
      </c>
      <c r="AL621" s="364" t="s">
        <v>88</v>
      </c>
      <c r="AM621" s="364" t="s">
        <v>668</v>
      </c>
      <c r="AN621" s="364" t="s">
        <v>644</v>
      </c>
    </row>
    <row r="622" spans="1:40" x14ac:dyDescent="0.3">
      <c r="A622" s="364" t="s">
        <v>2044</v>
      </c>
      <c r="B622" s="364" t="s">
        <v>661</v>
      </c>
      <c r="C622" s="364" t="s">
        <v>677</v>
      </c>
      <c r="D622" s="364" t="s">
        <v>90</v>
      </c>
      <c r="E622" s="364" t="s">
        <v>2043</v>
      </c>
      <c r="F622" s="364" t="s">
        <v>2043</v>
      </c>
      <c r="G622" s="364" t="s">
        <v>658</v>
      </c>
      <c r="H622" s="364" t="s">
        <v>2042</v>
      </c>
      <c r="I622" s="364" t="s">
        <v>2041</v>
      </c>
      <c r="J622" s="364" t="s">
        <v>673</v>
      </c>
      <c r="K622" s="364" t="s">
        <v>668</v>
      </c>
      <c r="L622" s="364" t="s">
        <v>190</v>
      </c>
      <c r="M622" s="364" t="s">
        <v>61</v>
      </c>
      <c r="N622" s="364" t="s">
        <v>654</v>
      </c>
      <c r="O622" s="364" t="s">
        <v>653</v>
      </c>
      <c r="P622" s="364" t="s">
        <v>198</v>
      </c>
      <c r="Q622" s="364" t="s">
        <v>652</v>
      </c>
      <c r="R622" s="364" t="s">
        <v>88</v>
      </c>
      <c r="S622" s="364" t="s">
        <v>88</v>
      </c>
      <c r="T622" s="364" t="s">
        <v>88</v>
      </c>
      <c r="U622" s="364" t="s">
        <v>88</v>
      </c>
      <c r="V622" s="364" t="s">
        <v>88</v>
      </c>
      <c r="W622" s="364" t="s">
        <v>88</v>
      </c>
      <c r="X622" s="364" t="s">
        <v>88</v>
      </c>
      <c r="Y622" s="364" t="s">
        <v>88</v>
      </c>
      <c r="Z622" s="364" t="s">
        <v>1021</v>
      </c>
      <c r="AA622" s="364" t="s">
        <v>671</v>
      </c>
      <c r="AB622" s="364" t="s">
        <v>649</v>
      </c>
      <c r="AC622" s="364" t="s">
        <v>649</v>
      </c>
      <c r="AD622" s="364" t="s">
        <v>88</v>
      </c>
      <c r="AE622" s="364" t="s">
        <v>88</v>
      </c>
      <c r="AF622" s="364" t="s">
        <v>88</v>
      </c>
      <c r="AG622" s="364" t="s">
        <v>88</v>
      </c>
      <c r="AH622" s="364" t="s">
        <v>88</v>
      </c>
      <c r="AI622" s="364" t="s">
        <v>1155</v>
      </c>
      <c r="AJ622" s="364" t="s">
        <v>710</v>
      </c>
      <c r="AK622" s="364" t="s">
        <v>647</v>
      </c>
      <c r="AL622" s="364" t="s">
        <v>88</v>
      </c>
      <c r="AM622" s="364" t="s">
        <v>668</v>
      </c>
      <c r="AN622" s="364" t="s">
        <v>644</v>
      </c>
    </row>
    <row r="623" spans="1:40" x14ac:dyDescent="0.3">
      <c r="A623" s="364" t="s">
        <v>2044</v>
      </c>
      <c r="B623" s="364" t="s">
        <v>661</v>
      </c>
      <c r="C623" s="364" t="s">
        <v>677</v>
      </c>
      <c r="D623" s="364" t="s">
        <v>90</v>
      </c>
      <c r="E623" s="364" t="s">
        <v>2043</v>
      </c>
      <c r="F623" s="364" t="s">
        <v>2043</v>
      </c>
      <c r="G623" s="364" t="s">
        <v>658</v>
      </c>
      <c r="H623" s="364" t="s">
        <v>2042</v>
      </c>
      <c r="I623" s="364" t="s">
        <v>2041</v>
      </c>
      <c r="J623" s="364" t="s">
        <v>673</v>
      </c>
      <c r="K623" s="364" t="s">
        <v>668</v>
      </c>
      <c r="L623" s="364" t="s">
        <v>190</v>
      </c>
      <c r="M623" s="364" t="s">
        <v>723</v>
      </c>
      <c r="N623" s="364" t="s">
        <v>654</v>
      </c>
      <c r="O623" s="364" t="s">
        <v>653</v>
      </c>
      <c r="P623" s="364" t="s">
        <v>198</v>
      </c>
      <c r="Q623" s="364" t="s">
        <v>652</v>
      </c>
      <c r="R623" s="364" t="s">
        <v>88</v>
      </c>
      <c r="S623" s="364" t="s">
        <v>88</v>
      </c>
      <c r="T623" s="364" t="s">
        <v>88</v>
      </c>
      <c r="U623" s="364" t="s">
        <v>88</v>
      </c>
      <c r="V623" s="364" t="s">
        <v>88</v>
      </c>
      <c r="W623" s="364" t="s">
        <v>88</v>
      </c>
      <c r="X623" s="364" t="s">
        <v>88</v>
      </c>
      <c r="Y623" s="364" t="s">
        <v>88</v>
      </c>
      <c r="Z623" s="364" t="s">
        <v>722</v>
      </c>
      <c r="AA623" s="364" t="s">
        <v>649</v>
      </c>
      <c r="AB623" s="364" t="s">
        <v>649</v>
      </c>
      <c r="AC623" s="364" t="s">
        <v>649</v>
      </c>
      <c r="AD623" s="364" t="s">
        <v>88</v>
      </c>
      <c r="AE623" s="364" t="s">
        <v>88</v>
      </c>
      <c r="AF623" s="364" t="s">
        <v>88</v>
      </c>
      <c r="AG623" s="364" t="s">
        <v>88</v>
      </c>
      <c r="AH623" s="364" t="s">
        <v>88</v>
      </c>
      <c r="AI623" s="364" t="s">
        <v>1155</v>
      </c>
      <c r="AJ623" s="364" t="s">
        <v>710</v>
      </c>
      <c r="AK623" s="364" t="s">
        <v>647</v>
      </c>
      <c r="AL623" s="364" t="s">
        <v>88</v>
      </c>
      <c r="AM623" s="364" t="s">
        <v>668</v>
      </c>
      <c r="AN623" s="364" t="s">
        <v>644</v>
      </c>
    </row>
    <row r="624" spans="1:40" x14ac:dyDescent="0.3">
      <c r="A624" s="364" t="s">
        <v>2044</v>
      </c>
      <c r="B624" s="364" t="s">
        <v>661</v>
      </c>
      <c r="C624" s="364" t="s">
        <v>677</v>
      </c>
      <c r="D624" s="364" t="s">
        <v>90</v>
      </c>
      <c r="E624" s="364" t="s">
        <v>2043</v>
      </c>
      <c r="F624" s="364" t="s">
        <v>2043</v>
      </c>
      <c r="G624" s="364" t="s">
        <v>658</v>
      </c>
      <c r="H624" s="364" t="s">
        <v>2042</v>
      </c>
      <c r="I624" s="364" t="s">
        <v>2041</v>
      </c>
      <c r="J624" s="364" t="s">
        <v>673</v>
      </c>
      <c r="K624" s="364" t="s">
        <v>668</v>
      </c>
      <c r="L624" s="364" t="s">
        <v>190</v>
      </c>
      <c r="M624" s="364" t="s">
        <v>721</v>
      </c>
      <c r="N624" s="364" t="s">
        <v>654</v>
      </c>
      <c r="O624" s="364" t="s">
        <v>653</v>
      </c>
      <c r="P624" s="364" t="s">
        <v>198</v>
      </c>
      <c r="Q624" s="364" t="s">
        <v>652</v>
      </c>
      <c r="R624" s="364" t="s">
        <v>88</v>
      </c>
      <c r="S624" s="364" t="s">
        <v>88</v>
      </c>
      <c r="T624" s="364" t="s">
        <v>88</v>
      </c>
      <c r="U624" s="364" t="s">
        <v>88</v>
      </c>
      <c r="V624" s="364" t="s">
        <v>88</v>
      </c>
      <c r="W624" s="364" t="s">
        <v>88</v>
      </c>
      <c r="X624" s="364" t="s">
        <v>88</v>
      </c>
      <c r="Y624" s="364" t="s">
        <v>88</v>
      </c>
      <c r="Z624" s="364" t="s">
        <v>720</v>
      </c>
      <c r="AA624" s="364" t="s">
        <v>649</v>
      </c>
      <c r="AB624" s="364" t="s">
        <v>649</v>
      </c>
      <c r="AC624" s="364" t="s">
        <v>649</v>
      </c>
      <c r="AD624" s="364" t="s">
        <v>88</v>
      </c>
      <c r="AE624" s="364" t="s">
        <v>88</v>
      </c>
      <c r="AF624" s="364" t="s">
        <v>88</v>
      </c>
      <c r="AG624" s="364" t="s">
        <v>88</v>
      </c>
      <c r="AH624" s="364" t="s">
        <v>88</v>
      </c>
      <c r="AI624" s="364" t="s">
        <v>1155</v>
      </c>
      <c r="AJ624" s="364" t="s">
        <v>710</v>
      </c>
      <c r="AK624" s="364" t="s">
        <v>647</v>
      </c>
      <c r="AL624" s="364" t="s">
        <v>88</v>
      </c>
      <c r="AM624" s="364" t="s">
        <v>668</v>
      </c>
      <c r="AN624" s="364" t="s">
        <v>644</v>
      </c>
    </row>
    <row r="625" spans="1:40" x14ac:dyDescent="0.3">
      <c r="A625" s="364" t="s">
        <v>2040</v>
      </c>
      <c r="B625" s="364" t="s">
        <v>661</v>
      </c>
      <c r="C625" s="364" t="s">
        <v>677</v>
      </c>
      <c r="D625" s="364" t="s">
        <v>90</v>
      </c>
      <c r="E625" s="364" t="s">
        <v>2039</v>
      </c>
      <c r="F625" s="364" t="s">
        <v>2039</v>
      </c>
      <c r="G625" s="364" t="s">
        <v>658</v>
      </c>
      <c r="H625" s="364" t="s">
        <v>2038</v>
      </c>
      <c r="I625" s="364" t="s">
        <v>2037</v>
      </c>
      <c r="J625" s="364" t="s">
        <v>673</v>
      </c>
      <c r="K625" s="364" t="s">
        <v>668</v>
      </c>
      <c r="L625" s="364" t="s">
        <v>190</v>
      </c>
      <c r="M625" s="364" t="s">
        <v>250</v>
      </c>
      <c r="N625" s="364" t="s">
        <v>654</v>
      </c>
      <c r="O625" s="364" t="s">
        <v>653</v>
      </c>
      <c r="P625" s="364" t="s">
        <v>198</v>
      </c>
      <c r="Q625" s="364" t="s">
        <v>652</v>
      </c>
      <c r="R625" s="364" t="s">
        <v>88</v>
      </c>
      <c r="S625" s="364" t="s">
        <v>88</v>
      </c>
      <c r="T625" s="364" t="s">
        <v>88</v>
      </c>
      <c r="U625" s="364" t="s">
        <v>88</v>
      </c>
      <c r="V625" s="364" t="s">
        <v>88</v>
      </c>
      <c r="W625" s="364" t="s">
        <v>88</v>
      </c>
      <c r="X625" s="364" t="s">
        <v>88</v>
      </c>
      <c r="Y625" s="364" t="s">
        <v>88</v>
      </c>
      <c r="Z625" s="364" t="s">
        <v>1821</v>
      </c>
      <c r="AA625" s="364" t="s">
        <v>649</v>
      </c>
      <c r="AB625" s="364" t="s">
        <v>649</v>
      </c>
      <c r="AC625" s="364" t="s">
        <v>649</v>
      </c>
      <c r="AD625" s="364" t="s">
        <v>88</v>
      </c>
      <c r="AE625" s="364" t="s">
        <v>88</v>
      </c>
      <c r="AF625" s="364" t="s">
        <v>88</v>
      </c>
      <c r="AG625" s="364" t="s">
        <v>88</v>
      </c>
      <c r="AH625" s="364" t="s">
        <v>88</v>
      </c>
      <c r="AI625" s="364" t="s">
        <v>1155</v>
      </c>
      <c r="AJ625" s="364" t="s">
        <v>710</v>
      </c>
      <c r="AK625" s="364" t="s">
        <v>647</v>
      </c>
      <c r="AL625" s="364" t="s">
        <v>88</v>
      </c>
      <c r="AM625" s="364" t="s">
        <v>668</v>
      </c>
      <c r="AN625" s="364" t="s">
        <v>644</v>
      </c>
    </row>
    <row r="626" spans="1:40" x14ac:dyDescent="0.3">
      <c r="A626" s="364" t="s">
        <v>2040</v>
      </c>
      <c r="B626" s="364" t="s">
        <v>661</v>
      </c>
      <c r="C626" s="364" t="s">
        <v>677</v>
      </c>
      <c r="D626" s="364" t="s">
        <v>90</v>
      </c>
      <c r="E626" s="364" t="s">
        <v>2039</v>
      </c>
      <c r="F626" s="364" t="s">
        <v>2039</v>
      </c>
      <c r="G626" s="364" t="s">
        <v>658</v>
      </c>
      <c r="H626" s="364" t="s">
        <v>2038</v>
      </c>
      <c r="I626" s="364" t="s">
        <v>2037</v>
      </c>
      <c r="J626" s="364" t="s">
        <v>673</v>
      </c>
      <c r="K626" s="364" t="s">
        <v>668</v>
      </c>
      <c r="L626" s="364" t="s">
        <v>190</v>
      </c>
      <c r="M626" s="364" t="s">
        <v>713</v>
      </c>
      <c r="N626" s="364" t="s">
        <v>654</v>
      </c>
      <c r="O626" s="364" t="s">
        <v>653</v>
      </c>
      <c r="P626" s="364" t="s">
        <v>198</v>
      </c>
      <c r="Q626" s="364" t="s">
        <v>652</v>
      </c>
      <c r="R626" s="364" t="s">
        <v>88</v>
      </c>
      <c r="S626" s="364" t="s">
        <v>88</v>
      </c>
      <c r="T626" s="364" t="s">
        <v>88</v>
      </c>
      <c r="U626" s="364" t="s">
        <v>88</v>
      </c>
      <c r="V626" s="364" t="s">
        <v>88</v>
      </c>
      <c r="W626" s="364" t="s">
        <v>88</v>
      </c>
      <c r="X626" s="364" t="s">
        <v>88</v>
      </c>
      <c r="Y626" s="364" t="s">
        <v>88</v>
      </c>
      <c r="Z626" s="364" t="s">
        <v>712</v>
      </c>
      <c r="AA626" s="364" t="s">
        <v>711</v>
      </c>
      <c r="AB626" s="364" t="s">
        <v>649</v>
      </c>
      <c r="AC626" s="364" t="s">
        <v>649</v>
      </c>
      <c r="AD626" s="364" t="s">
        <v>88</v>
      </c>
      <c r="AE626" s="364" t="s">
        <v>88</v>
      </c>
      <c r="AF626" s="364" t="s">
        <v>88</v>
      </c>
      <c r="AG626" s="364" t="s">
        <v>88</v>
      </c>
      <c r="AH626" s="364" t="s">
        <v>88</v>
      </c>
      <c r="AI626" s="364" t="s">
        <v>1155</v>
      </c>
      <c r="AJ626" s="364" t="s">
        <v>710</v>
      </c>
      <c r="AK626" s="364" t="s">
        <v>647</v>
      </c>
      <c r="AL626" s="364" t="s">
        <v>88</v>
      </c>
      <c r="AM626" s="364" t="s">
        <v>668</v>
      </c>
      <c r="AN626" s="364" t="s">
        <v>644</v>
      </c>
    </row>
    <row r="627" spans="1:40" x14ac:dyDescent="0.3">
      <c r="A627" s="364" t="s">
        <v>2040</v>
      </c>
      <c r="B627" s="364" t="s">
        <v>661</v>
      </c>
      <c r="C627" s="364" t="s">
        <v>677</v>
      </c>
      <c r="D627" s="364" t="s">
        <v>90</v>
      </c>
      <c r="E627" s="364" t="s">
        <v>2039</v>
      </c>
      <c r="F627" s="364" t="s">
        <v>2039</v>
      </c>
      <c r="G627" s="364" t="s">
        <v>658</v>
      </c>
      <c r="H627" s="364" t="s">
        <v>2038</v>
      </c>
      <c r="I627" s="364" t="s">
        <v>2037</v>
      </c>
      <c r="J627" s="364" t="s">
        <v>673</v>
      </c>
      <c r="K627" s="364" t="s">
        <v>668</v>
      </c>
      <c r="L627" s="364" t="s">
        <v>190</v>
      </c>
      <c r="M627" s="364" t="s">
        <v>718</v>
      </c>
      <c r="N627" s="364" t="s">
        <v>654</v>
      </c>
      <c r="O627" s="364" t="s">
        <v>653</v>
      </c>
      <c r="P627" s="364" t="s">
        <v>198</v>
      </c>
      <c r="Q627" s="364" t="s">
        <v>652</v>
      </c>
      <c r="R627" s="364" t="s">
        <v>88</v>
      </c>
      <c r="S627" s="364" t="s">
        <v>88</v>
      </c>
      <c r="T627" s="364" t="s">
        <v>88</v>
      </c>
      <c r="U627" s="364" t="s">
        <v>88</v>
      </c>
      <c r="V627" s="364" t="s">
        <v>88</v>
      </c>
      <c r="W627" s="364" t="s">
        <v>88</v>
      </c>
      <c r="X627" s="364" t="s">
        <v>88</v>
      </c>
      <c r="Y627" s="364" t="s">
        <v>88</v>
      </c>
      <c r="Z627" s="364" t="s">
        <v>717</v>
      </c>
      <c r="AA627" s="364" t="s">
        <v>649</v>
      </c>
      <c r="AB627" s="364" t="s">
        <v>649</v>
      </c>
      <c r="AC627" s="364" t="s">
        <v>649</v>
      </c>
      <c r="AD627" s="364" t="s">
        <v>88</v>
      </c>
      <c r="AE627" s="364" t="s">
        <v>88</v>
      </c>
      <c r="AF627" s="364" t="s">
        <v>88</v>
      </c>
      <c r="AG627" s="364" t="s">
        <v>88</v>
      </c>
      <c r="AH627" s="364" t="s">
        <v>88</v>
      </c>
      <c r="AI627" s="364" t="s">
        <v>1155</v>
      </c>
      <c r="AJ627" s="364" t="s">
        <v>710</v>
      </c>
      <c r="AK627" s="364" t="s">
        <v>647</v>
      </c>
      <c r="AL627" s="364" t="s">
        <v>88</v>
      </c>
      <c r="AM627" s="364" t="s">
        <v>668</v>
      </c>
      <c r="AN627" s="364" t="s">
        <v>644</v>
      </c>
    </row>
    <row r="628" spans="1:40" x14ac:dyDescent="0.3">
      <c r="A628" s="364" t="s">
        <v>2040</v>
      </c>
      <c r="B628" s="364" t="s">
        <v>661</v>
      </c>
      <c r="C628" s="364" t="s">
        <v>677</v>
      </c>
      <c r="D628" s="364" t="s">
        <v>90</v>
      </c>
      <c r="E628" s="364" t="s">
        <v>2039</v>
      </c>
      <c r="F628" s="364" t="s">
        <v>2039</v>
      </c>
      <c r="G628" s="364" t="s">
        <v>658</v>
      </c>
      <c r="H628" s="364" t="s">
        <v>2038</v>
      </c>
      <c r="I628" s="364" t="s">
        <v>2037</v>
      </c>
      <c r="J628" s="364" t="s">
        <v>673</v>
      </c>
      <c r="K628" s="364" t="s">
        <v>668</v>
      </c>
      <c r="L628" s="364" t="s">
        <v>190</v>
      </c>
      <c r="M628" s="364" t="s">
        <v>54</v>
      </c>
      <c r="N628" s="364" t="s">
        <v>654</v>
      </c>
      <c r="O628" s="364" t="s">
        <v>653</v>
      </c>
      <c r="P628" s="364" t="s">
        <v>198</v>
      </c>
      <c r="Q628" s="364" t="s">
        <v>652</v>
      </c>
      <c r="R628" s="364" t="s">
        <v>88</v>
      </c>
      <c r="S628" s="364" t="s">
        <v>88</v>
      </c>
      <c r="T628" s="364" t="s">
        <v>88</v>
      </c>
      <c r="U628" s="364" t="s">
        <v>88</v>
      </c>
      <c r="V628" s="364" t="s">
        <v>88</v>
      </c>
      <c r="W628" s="364" t="s">
        <v>88</v>
      </c>
      <c r="X628" s="364" t="s">
        <v>88</v>
      </c>
      <c r="Y628" s="364" t="s">
        <v>88</v>
      </c>
      <c r="Z628" s="364" t="s">
        <v>1265</v>
      </c>
      <c r="AA628" s="364" t="s">
        <v>649</v>
      </c>
      <c r="AB628" s="364" t="s">
        <v>649</v>
      </c>
      <c r="AC628" s="364" t="s">
        <v>649</v>
      </c>
      <c r="AD628" s="364" t="s">
        <v>88</v>
      </c>
      <c r="AE628" s="364" t="s">
        <v>88</v>
      </c>
      <c r="AF628" s="364" t="s">
        <v>88</v>
      </c>
      <c r="AG628" s="364" t="s">
        <v>88</v>
      </c>
      <c r="AH628" s="364" t="s">
        <v>88</v>
      </c>
      <c r="AI628" s="364" t="s">
        <v>1155</v>
      </c>
      <c r="AJ628" s="364" t="s">
        <v>710</v>
      </c>
      <c r="AK628" s="364" t="s">
        <v>647</v>
      </c>
      <c r="AL628" s="364" t="s">
        <v>88</v>
      </c>
      <c r="AM628" s="364" t="s">
        <v>668</v>
      </c>
      <c r="AN628" s="364" t="s">
        <v>644</v>
      </c>
    </row>
    <row r="629" spans="1:40" x14ac:dyDescent="0.3">
      <c r="A629" s="364" t="s">
        <v>2040</v>
      </c>
      <c r="B629" s="364" t="s">
        <v>661</v>
      </c>
      <c r="C629" s="364" t="s">
        <v>677</v>
      </c>
      <c r="D629" s="364" t="s">
        <v>90</v>
      </c>
      <c r="E629" s="364" t="s">
        <v>2039</v>
      </c>
      <c r="F629" s="364" t="s">
        <v>2039</v>
      </c>
      <c r="G629" s="364" t="s">
        <v>658</v>
      </c>
      <c r="H629" s="364" t="s">
        <v>2038</v>
      </c>
      <c r="I629" s="364" t="s">
        <v>2037</v>
      </c>
      <c r="J629" s="364" t="s">
        <v>673</v>
      </c>
      <c r="K629" s="364" t="s">
        <v>668</v>
      </c>
      <c r="L629" s="364" t="s">
        <v>190</v>
      </c>
      <c r="M629" s="364" t="s">
        <v>61</v>
      </c>
      <c r="N629" s="364" t="s">
        <v>654</v>
      </c>
      <c r="O629" s="364" t="s">
        <v>653</v>
      </c>
      <c r="P629" s="364" t="s">
        <v>198</v>
      </c>
      <c r="Q629" s="364" t="s">
        <v>652</v>
      </c>
      <c r="R629" s="364" t="s">
        <v>88</v>
      </c>
      <c r="S629" s="364" t="s">
        <v>88</v>
      </c>
      <c r="T629" s="364" t="s">
        <v>88</v>
      </c>
      <c r="U629" s="364" t="s">
        <v>88</v>
      </c>
      <c r="V629" s="364" t="s">
        <v>88</v>
      </c>
      <c r="W629" s="364" t="s">
        <v>88</v>
      </c>
      <c r="X629" s="364" t="s">
        <v>88</v>
      </c>
      <c r="Y629" s="364" t="s">
        <v>88</v>
      </c>
      <c r="Z629" s="364" t="s">
        <v>1021</v>
      </c>
      <c r="AA629" s="364" t="s">
        <v>671</v>
      </c>
      <c r="AB629" s="364" t="s">
        <v>649</v>
      </c>
      <c r="AC629" s="364" t="s">
        <v>649</v>
      </c>
      <c r="AD629" s="364" t="s">
        <v>88</v>
      </c>
      <c r="AE629" s="364" t="s">
        <v>88</v>
      </c>
      <c r="AF629" s="364" t="s">
        <v>88</v>
      </c>
      <c r="AG629" s="364" t="s">
        <v>88</v>
      </c>
      <c r="AH629" s="364" t="s">
        <v>88</v>
      </c>
      <c r="AI629" s="364" t="s">
        <v>1155</v>
      </c>
      <c r="AJ629" s="364" t="s">
        <v>710</v>
      </c>
      <c r="AK629" s="364" t="s">
        <v>647</v>
      </c>
      <c r="AL629" s="364" t="s">
        <v>88</v>
      </c>
      <c r="AM629" s="364" t="s">
        <v>668</v>
      </c>
      <c r="AN629" s="364" t="s">
        <v>644</v>
      </c>
    </row>
    <row r="630" spans="1:40" x14ac:dyDescent="0.3">
      <c r="A630" s="364" t="s">
        <v>2040</v>
      </c>
      <c r="B630" s="364" t="s">
        <v>661</v>
      </c>
      <c r="C630" s="364" t="s">
        <v>677</v>
      </c>
      <c r="D630" s="364" t="s">
        <v>90</v>
      </c>
      <c r="E630" s="364" t="s">
        <v>2039</v>
      </c>
      <c r="F630" s="364" t="s">
        <v>2039</v>
      </c>
      <c r="G630" s="364" t="s">
        <v>658</v>
      </c>
      <c r="H630" s="364" t="s">
        <v>2038</v>
      </c>
      <c r="I630" s="364" t="s">
        <v>2037</v>
      </c>
      <c r="J630" s="364" t="s">
        <v>673</v>
      </c>
      <c r="K630" s="364" t="s">
        <v>668</v>
      </c>
      <c r="L630" s="364" t="s">
        <v>190</v>
      </c>
      <c r="M630" s="364" t="s">
        <v>723</v>
      </c>
      <c r="N630" s="364" t="s">
        <v>654</v>
      </c>
      <c r="O630" s="364" t="s">
        <v>653</v>
      </c>
      <c r="P630" s="364" t="s">
        <v>198</v>
      </c>
      <c r="Q630" s="364" t="s">
        <v>652</v>
      </c>
      <c r="R630" s="364" t="s">
        <v>88</v>
      </c>
      <c r="S630" s="364" t="s">
        <v>88</v>
      </c>
      <c r="T630" s="364" t="s">
        <v>88</v>
      </c>
      <c r="U630" s="364" t="s">
        <v>88</v>
      </c>
      <c r="V630" s="364" t="s">
        <v>88</v>
      </c>
      <c r="W630" s="364" t="s">
        <v>88</v>
      </c>
      <c r="X630" s="364" t="s">
        <v>88</v>
      </c>
      <c r="Y630" s="364" t="s">
        <v>88</v>
      </c>
      <c r="Z630" s="364" t="s">
        <v>722</v>
      </c>
      <c r="AA630" s="364" t="s">
        <v>649</v>
      </c>
      <c r="AB630" s="364" t="s">
        <v>649</v>
      </c>
      <c r="AC630" s="364" t="s">
        <v>649</v>
      </c>
      <c r="AD630" s="364" t="s">
        <v>88</v>
      </c>
      <c r="AE630" s="364" t="s">
        <v>88</v>
      </c>
      <c r="AF630" s="364" t="s">
        <v>88</v>
      </c>
      <c r="AG630" s="364" t="s">
        <v>88</v>
      </c>
      <c r="AH630" s="364" t="s">
        <v>88</v>
      </c>
      <c r="AI630" s="364" t="s">
        <v>1155</v>
      </c>
      <c r="AJ630" s="364" t="s">
        <v>710</v>
      </c>
      <c r="AK630" s="364" t="s">
        <v>647</v>
      </c>
      <c r="AL630" s="364" t="s">
        <v>88</v>
      </c>
      <c r="AM630" s="364" t="s">
        <v>668</v>
      </c>
      <c r="AN630" s="364" t="s">
        <v>644</v>
      </c>
    </row>
    <row r="631" spans="1:40" x14ac:dyDescent="0.3">
      <c r="A631" s="364" t="s">
        <v>2040</v>
      </c>
      <c r="B631" s="364" t="s">
        <v>661</v>
      </c>
      <c r="C631" s="364" t="s">
        <v>677</v>
      </c>
      <c r="D631" s="364" t="s">
        <v>90</v>
      </c>
      <c r="E631" s="364" t="s">
        <v>2039</v>
      </c>
      <c r="F631" s="364" t="s">
        <v>2039</v>
      </c>
      <c r="G631" s="364" t="s">
        <v>658</v>
      </c>
      <c r="H631" s="364" t="s">
        <v>2038</v>
      </c>
      <c r="I631" s="364" t="s">
        <v>2037</v>
      </c>
      <c r="J631" s="364" t="s">
        <v>673</v>
      </c>
      <c r="K631" s="364" t="s">
        <v>668</v>
      </c>
      <c r="L631" s="364" t="s">
        <v>190</v>
      </c>
      <c r="M631" s="364" t="s">
        <v>721</v>
      </c>
      <c r="N631" s="364" t="s">
        <v>654</v>
      </c>
      <c r="O631" s="364" t="s">
        <v>653</v>
      </c>
      <c r="P631" s="364" t="s">
        <v>198</v>
      </c>
      <c r="Q631" s="364" t="s">
        <v>652</v>
      </c>
      <c r="R631" s="364" t="s">
        <v>88</v>
      </c>
      <c r="S631" s="364" t="s">
        <v>88</v>
      </c>
      <c r="T631" s="364" t="s">
        <v>88</v>
      </c>
      <c r="U631" s="364" t="s">
        <v>88</v>
      </c>
      <c r="V631" s="364" t="s">
        <v>88</v>
      </c>
      <c r="W631" s="364" t="s">
        <v>88</v>
      </c>
      <c r="X631" s="364" t="s">
        <v>88</v>
      </c>
      <c r="Y631" s="364" t="s">
        <v>88</v>
      </c>
      <c r="Z631" s="364" t="s">
        <v>720</v>
      </c>
      <c r="AA631" s="364" t="s">
        <v>649</v>
      </c>
      <c r="AB631" s="364" t="s">
        <v>649</v>
      </c>
      <c r="AC631" s="364" t="s">
        <v>649</v>
      </c>
      <c r="AD631" s="364" t="s">
        <v>88</v>
      </c>
      <c r="AE631" s="364" t="s">
        <v>88</v>
      </c>
      <c r="AF631" s="364" t="s">
        <v>88</v>
      </c>
      <c r="AG631" s="364" t="s">
        <v>88</v>
      </c>
      <c r="AH631" s="364" t="s">
        <v>88</v>
      </c>
      <c r="AI631" s="364" t="s">
        <v>1155</v>
      </c>
      <c r="AJ631" s="364" t="s">
        <v>710</v>
      </c>
      <c r="AK631" s="364" t="s">
        <v>647</v>
      </c>
      <c r="AL631" s="364" t="s">
        <v>88</v>
      </c>
      <c r="AM631" s="364" t="s">
        <v>668</v>
      </c>
      <c r="AN631" s="364" t="s">
        <v>644</v>
      </c>
    </row>
    <row r="632" spans="1:40" x14ac:dyDescent="0.3">
      <c r="A632" s="364" t="s">
        <v>2036</v>
      </c>
      <c r="B632" s="364" t="s">
        <v>661</v>
      </c>
      <c r="C632" s="364" t="s">
        <v>1160</v>
      </c>
      <c r="D632" s="364" t="s">
        <v>87</v>
      </c>
      <c r="E632" s="364" t="s">
        <v>1746</v>
      </c>
      <c r="F632" s="364" t="s">
        <v>1746</v>
      </c>
      <c r="G632" s="364" t="s">
        <v>658</v>
      </c>
      <c r="H632" s="364" t="s">
        <v>2035</v>
      </c>
      <c r="I632" s="364" t="s">
        <v>88</v>
      </c>
      <c r="J632" s="364" t="s">
        <v>88</v>
      </c>
      <c r="K632" s="364" t="s">
        <v>88</v>
      </c>
      <c r="L632" s="364" t="s">
        <v>88</v>
      </c>
      <c r="M632" s="364" t="s">
        <v>138</v>
      </c>
      <c r="N632" s="364" t="s">
        <v>654</v>
      </c>
      <c r="O632" s="364" t="s">
        <v>653</v>
      </c>
      <c r="P632" s="364" t="s">
        <v>88</v>
      </c>
      <c r="Q632" s="364" t="s">
        <v>88</v>
      </c>
      <c r="R632" s="364" t="s">
        <v>88</v>
      </c>
      <c r="S632" s="364" t="s">
        <v>88</v>
      </c>
      <c r="T632" s="364" t="s">
        <v>88</v>
      </c>
      <c r="U632" s="364" t="s">
        <v>88</v>
      </c>
      <c r="V632" s="364" t="s">
        <v>88</v>
      </c>
      <c r="W632" s="364" t="s">
        <v>88</v>
      </c>
      <c r="X632" s="364" t="s">
        <v>88</v>
      </c>
      <c r="Y632" s="364" t="s">
        <v>88</v>
      </c>
      <c r="Z632" s="364" t="s">
        <v>88</v>
      </c>
      <c r="AA632" s="364" t="s">
        <v>649</v>
      </c>
      <c r="AB632" s="364" t="s">
        <v>88</v>
      </c>
      <c r="AC632" s="364" t="s">
        <v>88</v>
      </c>
      <c r="AD632" s="364" t="s">
        <v>88</v>
      </c>
      <c r="AE632" s="364" t="s">
        <v>88</v>
      </c>
      <c r="AF632" s="364" t="s">
        <v>88</v>
      </c>
      <c r="AG632" s="364" t="s">
        <v>88</v>
      </c>
      <c r="AH632" s="364" t="s">
        <v>88</v>
      </c>
      <c r="AI632" s="364" t="s">
        <v>2034</v>
      </c>
      <c r="AJ632" s="364" t="s">
        <v>793</v>
      </c>
      <c r="AK632" s="364" t="s">
        <v>88</v>
      </c>
      <c r="AL632" s="364" t="s">
        <v>88</v>
      </c>
      <c r="AM632" s="364" t="s">
        <v>88</v>
      </c>
      <c r="AN632" s="364" t="s">
        <v>792</v>
      </c>
    </row>
    <row r="633" spans="1:40" x14ac:dyDescent="0.3">
      <c r="A633" s="364" t="s">
        <v>2033</v>
      </c>
      <c r="B633" s="364" t="s">
        <v>661</v>
      </c>
      <c r="C633" s="364" t="s">
        <v>1160</v>
      </c>
      <c r="D633" s="364" t="s">
        <v>87</v>
      </c>
      <c r="E633" s="364" t="s">
        <v>1746</v>
      </c>
      <c r="F633" s="364" t="s">
        <v>1746</v>
      </c>
      <c r="G633" s="364" t="s">
        <v>658</v>
      </c>
      <c r="H633" s="364" t="s">
        <v>2032</v>
      </c>
      <c r="I633" s="364" t="s">
        <v>88</v>
      </c>
      <c r="J633" s="364" t="s">
        <v>88</v>
      </c>
      <c r="K633" s="364" t="s">
        <v>88</v>
      </c>
      <c r="L633" s="364" t="s">
        <v>88</v>
      </c>
      <c r="M633" s="364" t="s">
        <v>138</v>
      </c>
      <c r="N633" s="364" t="s">
        <v>654</v>
      </c>
      <c r="O633" s="364" t="s">
        <v>653</v>
      </c>
      <c r="P633" s="364" t="s">
        <v>88</v>
      </c>
      <c r="Q633" s="364" t="s">
        <v>88</v>
      </c>
      <c r="R633" s="364" t="s">
        <v>88</v>
      </c>
      <c r="S633" s="364" t="s">
        <v>88</v>
      </c>
      <c r="T633" s="364" t="s">
        <v>88</v>
      </c>
      <c r="U633" s="364" t="s">
        <v>88</v>
      </c>
      <c r="V633" s="364" t="s">
        <v>88</v>
      </c>
      <c r="W633" s="364" t="s">
        <v>88</v>
      </c>
      <c r="X633" s="364" t="s">
        <v>88</v>
      </c>
      <c r="Y633" s="364" t="s">
        <v>88</v>
      </c>
      <c r="Z633" s="364" t="s">
        <v>88</v>
      </c>
      <c r="AA633" s="364" t="s">
        <v>649</v>
      </c>
      <c r="AB633" s="364" t="s">
        <v>88</v>
      </c>
      <c r="AC633" s="364" t="s">
        <v>88</v>
      </c>
      <c r="AD633" s="364" t="s">
        <v>88</v>
      </c>
      <c r="AE633" s="364" t="s">
        <v>88</v>
      </c>
      <c r="AF633" s="364" t="s">
        <v>88</v>
      </c>
      <c r="AG633" s="364" t="s">
        <v>88</v>
      </c>
      <c r="AH633" s="364" t="s">
        <v>88</v>
      </c>
      <c r="AI633" s="364" t="s">
        <v>2031</v>
      </c>
      <c r="AJ633" s="364" t="s">
        <v>793</v>
      </c>
      <c r="AK633" s="364" t="s">
        <v>88</v>
      </c>
      <c r="AL633" s="364" t="s">
        <v>88</v>
      </c>
      <c r="AM633" s="364" t="s">
        <v>88</v>
      </c>
      <c r="AN633" s="364" t="s">
        <v>792</v>
      </c>
    </row>
    <row r="634" spans="1:40" x14ac:dyDescent="0.3">
      <c r="A634" s="364" t="s">
        <v>2030</v>
      </c>
      <c r="B634" s="364" t="s">
        <v>661</v>
      </c>
      <c r="C634" s="364" t="s">
        <v>1160</v>
      </c>
      <c r="D634" s="364" t="s">
        <v>87</v>
      </c>
      <c r="E634" s="364" t="s">
        <v>1746</v>
      </c>
      <c r="F634" s="364" t="s">
        <v>1746</v>
      </c>
      <c r="G634" s="364" t="s">
        <v>658</v>
      </c>
      <c r="H634" s="364" t="s">
        <v>2029</v>
      </c>
      <c r="I634" s="364" t="s">
        <v>88</v>
      </c>
      <c r="J634" s="364" t="s">
        <v>88</v>
      </c>
      <c r="K634" s="364" t="s">
        <v>88</v>
      </c>
      <c r="L634" s="364" t="s">
        <v>88</v>
      </c>
      <c r="M634" s="364" t="s">
        <v>138</v>
      </c>
      <c r="N634" s="364" t="s">
        <v>654</v>
      </c>
      <c r="O634" s="364" t="s">
        <v>653</v>
      </c>
      <c r="P634" s="364" t="s">
        <v>88</v>
      </c>
      <c r="Q634" s="364" t="s">
        <v>88</v>
      </c>
      <c r="R634" s="364" t="s">
        <v>88</v>
      </c>
      <c r="S634" s="364" t="s">
        <v>88</v>
      </c>
      <c r="T634" s="364" t="s">
        <v>88</v>
      </c>
      <c r="U634" s="364" t="s">
        <v>88</v>
      </c>
      <c r="V634" s="364" t="s">
        <v>88</v>
      </c>
      <c r="W634" s="364" t="s">
        <v>88</v>
      </c>
      <c r="X634" s="364" t="s">
        <v>88</v>
      </c>
      <c r="Y634" s="364" t="s">
        <v>88</v>
      </c>
      <c r="Z634" s="364" t="s">
        <v>88</v>
      </c>
      <c r="AA634" s="364" t="s">
        <v>649</v>
      </c>
      <c r="AB634" s="364" t="s">
        <v>88</v>
      </c>
      <c r="AC634" s="364" t="s">
        <v>88</v>
      </c>
      <c r="AD634" s="364" t="s">
        <v>88</v>
      </c>
      <c r="AE634" s="364" t="s">
        <v>88</v>
      </c>
      <c r="AF634" s="364" t="s">
        <v>88</v>
      </c>
      <c r="AG634" s="364" t="s">
        <v>88</v>
      </c>
      <c r="AH634" s="364" t="s">
        <v>88</v>
      </c>
      <c r="AI634" s="364" t="s">
        <v>2028</v>
      </c>
      <c r="AJ634" s="364" t="s">
        <v>793</v>
      </c>
      <c r="AK634" s="364" t="s">
        <v>88</v>
      </c>
      <c r="AL634" s="364" t="s">
        <v>88</v>
      </c>
      <c r="AM634" s="364" t="s">
        <v>88</v>
      </c>
      <c r="AN634" s="364" t="s">
        <v>792</v>
      </c>
    </row>
    <row r="635" spans="1:40" x14ac:dyDescent="0.3">
      <c r="A635" s="364" t="s">
        <v>2026</v>
      </c>
      <c r="B635" s="364" t="s">
        <v>661</v>
      </c>
      <c r="C635" s="364" t="s">
        <v>908</v>
      </c>
      <c r="D635" s="364" t="s">
        <v>90</v>
      </c>
      <c r="E635" s="364" t="s">
        <v>1994</v>
      </c>
      <c r="F635" s="364" t="s">
        <v>1971</v>
      </c>
      <c r="G635" s="364" t="s">
        <v>658</v>
      </c>
      <c r="H635" s="364" t="s">
        <v>2025</v>
      </c>
      <c r="I635" s="364" t="s">
        <v>88</v>
      </c>
      <c r="J635" s="364" t="s">
        <v>673</v>
      </c>
      <c r="K635" s="364" t="s">
        <v>668</v>
      </c>
      <c r="L635" s="364" t="s">
        <v>190</v>
      </c>
      <c r="M635" s="364" t="s">
        <v>725</v>
      </c>
      <c r="N635" s="364" t="s">
        <v>654</v>
      </c>
      <c r="O635" s="364" t="s">
        <v>653</v>
      </c>
      <c r="P635" s="364" t="s">
        <v>198</v>
      </c>
      <c r="Q635" s="364" t="s">
        <v>652</v>
      </c>
      <c r="R635" s="364" t="s">
        <v>88</v>
      </c>
      <c r="S635" s="364" t="s">
        <v>88</v>
      </c>
      <c r="T635" s="364" t="s">
        <v>88</v>
      </c>
      <c r="U635" s="364" t="s">
        <v>88</v>
      </c>
      <c r="V635" s="364" t="s">
        <v>88</v>
      </c>
      <c r="W635" s="364" t="s">
        <v>88</v>
      </c>
      <c r="X635" s="364" t="s">
        <v>88</v>
      </c>
      <c r="Y635" s="364" t="s">
        <v>88</v>
      </c>
      <c r="Z635" s="364" t="s">
        <v>724</v>
      </c>
      <c r="AA635" s="364" t="s">
        <v>649</v>
      </c>
      <c r="AB635" s="364" t="s">
        <v>649</v>
      </c>
      <c r="AC635" s="364" t="s">
        <v>88</v>
      </c>
      <c r="AD635" s="364" t="s">
        <v>88</v>
      </c>
      <c r="AE635" s="364" t="s">
        <v>88</v>
      </c>
      <c r="AF635" s="364" t="s">
        <v>88</v>
      </c>
      <c r="AG635" s="364" t="s">
        <v>88</v>
      </c>
      <c r="AH635" s="364" t="s">
        <v>88</v>
      </c>
      <c r="AI635" s="364" t="s">
        <v>2024</v>
      </c>
      <c r="AJ635" s="364" t="s">
        <v>1989</v>
      </c>
      <c r="AK635" s="364" t="s">
        <v>88</v>
      </c>
      <c r="AL635" s="364" t="s">
        <v>88</v>
      </c>
      <c r="AM635" s="364" t="s">
        <v>668</v>
      </c>
      <c r="AN635" s="364" t="s">
        <v>1411</v>
      </c>
    </row>
    <row r="636" spans="1:40" x14ac:dyDescent="0.3">
      <c r="A636" s="364" t="s">
        <v>2026</v>
      </c>
      <c r="B636" s="364" t="s">
        <v>661</v>
      </c>
      <c r="C636" s="364" t="s">
        <v>908</v>
      </c>
      <c r="D636" s="364" t="s">
        <v>90</v>
      </c>
      <c r="E636" s="364" t="s">
        <v>1994</v>
      </c>
      <c r="F636" s="364" t="s">
        <v>1971</v>
      </c>
      <c r="G636" s="364" t="s">
        <v>658</v>
      </c>
      <c r="H636" s="364" t="s">
        <v>2025</v>
      </c>
      <c r="I636" s="364" t="s">
        <v>88</v>
      </c>
      <c r="J636" s="364" t="s">
        <v>198</v>
      </c>
      <c r="K636" s="364" t="s">
        <v>645</v>
      </c>
      <c r="L636" s="364" t="s">
        <v>188</v>
      </c>
      <c r="M636" s="364" t="s">
        <v>655</v>
      </c>
      <c r="N636" s="364" t="s">
        <v>654</v>
      </c>
      <c r="O636" s="364" t="s">
        <v>653</v>
      </c>
      <c r="P636" s="364" t="s">
        <v>198</v>
      </c>
      <c r="Q636" s="364" t="s">
        <v>652</v>
      </c>
      <c r="R636" s="364" t="s">
        <v>88</v>
      </c>
      <c r="S636" s="364" t="s">
        <v>88</v>
      </c>
      <c r="T636" s="364" t="s">
        <v>88</v>
      </c>
      <c r="U636" s="364" t="s">
        <v>88</v>
      </c>
      <c r="V636" s="364" t="s">
        <v>88</v>
      </c>
      <c r="W636" s="364" t="s">
        <v>88</v>
      </c>
      <c r="X636" s="364" t="s">
        <v>88</v>
      </c>
      <c r="Y636" s="364" t="s">
        <v>88</v>
      </c>
      <c r="Z636" s="364" t="s">
        <v>651</v>
      </c>
      <c r="AA636" s="364" t="s">
        <v>650</v>
      </c>
      <c r="AB636" s="364" t="s">
        <v>649</v>
      </c>
      <c r="AC636" s="364" t="s">
        <v>88</v>
      </c>
      <c r="AD636" s="364" t="s">
        <v>88</v>
      </c>
      <c r="AE636" s="364" t="s">
        <v>88</v>
      </c>
      <c r="AF636" s="364" t="s">
        <v>88</v>
      </c>
      <c r="AG636" s="364" t="s">
        <v>88</v>
      </c>
      <c r="AH636" s="364" t="s">
        <v>88</v>
      </c>
      <c r="AI636" s="364" t="s">
        <v>2024</v>
      </c>
      <c r="AJ636" s="364" t="s">
        <v>1989</v>
      </c>
      <c r="AK636" s="364" t="s">
        <v>88</v>
      </c>
      <c r="AL636" s="364" t="s">
        <v>88</v>
      </c>
      <c r="AM636" s="364" t="s">
        <v>645</v>
      </c>
      <c r="AN636" s="364" t="s">
        <v>1411</v>
      </c>
    </row>
    <row r="637" spans="1:40" x14ac:dyDescent="0.3">
      <c r="A637" s="364" t="s">
        <v>2026</v>
      </c>
      <c r="B637" s="364" t="s">
        <v>661</v>
      </c>
      <c r="C637" s="364" t="s">
        <v>908</v>
      </c>
      <c r="D637" s="364" t="s">
        <v>90</v>
      </c>
      <c r="E637" s="364" t="s">
        <v>1994</v>
      </c>
      <c r="F637" s="364" t="s">
        <v>1971</v>
      </c>
      <c r="G637" s="364" t="s">
        <v>658</v>
      </c>
      <c r="H637" s="364" t="s">
        <v>2025</v>
      </c>
      <c r="I637" s="364" t="s">
        <v>88</v>
      </c>
      <c r="J637" s="364" t="s">
        <v>673</v>
      </c>
      <c r="K637" s="364" t="s">
        <v>668</v>
      </c>
      <c r="L637" s="364" t="s">
        <v>190</v>
      </c>
      <c r="M637" s="364" t="s">
        <v>54</v>
      </c>
      <c r="N637" s="364" t="s">
        <v>654</v>
      </c>
      <c r="O637" s="364" t="s">
        <v>653</v>
      </c>
      <c r="P637" s="364" t="s">
        <v>198</v>
      </c>
      <c r="Q637" s="364" t="s">
        <v>652</v>
      </c>
      <c r="R637" s="364" t="s">
        <v>88</v>
      </c>
      <c r="S637" s="364" t="s">
        <v>88</v>
      </c>
      <c r="T637" s="364" t="s">
        <v>88</v>
      </c>
      <c r="U637" s="364" t="s">
        <v>88</v>
      </c>
      <c r="V637" s="364" t="s">
        <v>88</v>
      </c>
      <c r="W637" s="364" t="s">
        <v>88</v>
      </c>
      <c r="X637" s="364" t="s">
        <v>88</v>
      </c>
      <c r="Y637" s="364" t="s">
        <v>88</v>
      </c>
      <c r="Z637" s="364" t="s">
        <v>1265</v>
      </c>
      <c r="AA637" s="364" t="s">
        <v>649</v>
      </c>
      <c r="AB637" s="364" t="s">
        <v>649</v>
      </c>
      <c r="AC637" s="364" t="s">
        <v>88</v>
      </c>
      <c r="AD637" s="364" t="s">
        <v>88</v>
      </c>
      <c r="AE637" s="364" t="s">
        <v>88</v>
      </c>
      <c r="AF637" s="364" t="s">
        <v>88</v>
      </c>
      <c r="AG637" s="364" t="s">
        <v>88</v>
      </c>
      <c r="AH637" s="364" t="s">
        <v>88</v>
      </c>
      <c r="AI637" s="364" t="s">
        <v>2024</v>
      </c>
      <c r="AJ637" s="364" t="s">
        <v>1989</v>
      </c>
      <c r="AK637" s="364" t="s">
        <v>88</v>
      </c>
      <c r="AL637" s="364" t="s">
        <v>88</v>
      </c>
      <c r="AM637" s="364" t="s">
        <v>668</v>
      </c>
      <c r="AN637" s="364" t="s">
        <v>1411</v>
      </c>
    </row>
    <row r="638" spans="1:40" x14ac:dyDescent="0.3">
      <c r="A638" s="364" t="s">
        <v>2026</v>
      </c>
      <c r="B638" s="364" t="s">
        <v>661</v>
      </c>
      <c r="C638" s="364" t="s">
        <v>908</v>
      </c>
      <c r="D638" s="364" t="s">
        <v>90</v>
      </c>
      <c r="E638" s="364" t="s">
        <v>1994</v>
      </c>
      <c r="F638" s="364" t="s">
        <v>1971</v>
      </c>
      <c r="G638" s="364" t="s">
        <v>658</v>
      </c>
      <c r="H638" s="364" t="s">
        <v>2025</v>
      </c>
      <c r="I638" s="364" t="s">
        <v>88</v>
      </c>
      <c r="J638" s="364" t="s">
        <v>673</v>
      </c>
      <c r="K638" s="364" t="s">
        <v>668</v>
      </c>
      <c r="L638" s="364" t="s">
        <v>190</v>
      </c>
      <c r="M638" s="364" t="s">
        <v>723</v>
      </c>
      <c r="N638" s="364" t="s">
        <v>654</v>
      </c>
      <c r="O638" s="364" t="s">
        <v>653</v>
      </c>
      <c r="P638" s="364" t="s">
        <v>198</v>
      </c>
      <c r="Q638" s="364" t="s">
        <v>652</v>
      </c>
      <c r="R638" s="364" t="s">
        <v>88</v>
      </c>
      <c r="S638" s="364" t="s">
        <v>88</v>
      </c>
      <c r="T638" s="364" t="s">
        <v>88</v>
      </c>
      <c r="U638" s="364" t="s">
        <v>88</v>
      </c>
      <c r="V638" s="364" t="s">
        <v>88</v>
      </c>
      <c r="W638" s="364" t="s">
        <v>88</v>
      </c>
      <c r="X638" s="364" t="s">
        <v>88</v>
      </c>
      <c r="Y638" s="364" t="s">
        <v>88</v>
      </c>
      <c r="Z638" s="364" t="s">
        <v>722</v>
      </c>
      <c r="AA638" s="364" t="s">
        <v>649</v>
      </c>
      <c r="AB638" s="364" t="s">
        <v>649</v>
      </c>
      <c r="AC638" s="364" t="s">
        <v>88</v>
      </c>
      <c r="AD638" s="364" t="s">
        <v>88</v>
      </c>
      <c r="AE638" s="364" t="s">
        <v>88</v>
      </c>
      <c r="AF638" s="364" t="s">
        <v>88</v>
      </c>
      <c r="AG638" s="364" t="s">
        <v>88</v>
      </c>
      <c r="AH638" s="364" t="s">
        <v>88</v>
      </c>
      <c r="AI638" s="364" t="s">
        <v>2024</v>
      </c>
      <c r="AJ638" s="364" t="s">
        <v>1989</v>
      </c>
      <c r="AK638" s="364" t="s">
        <v>88</v>
      </c>
      <c r="AL638" s="364" t="s">
        <v>88</v>
      </c>
      <c r="AM638" s="364" t="s">
        <v>668</v>
      </c>
      <c r="AN638" s="364" t="s">
        <v>1411</v>
      </c>
    </row>
    <row r="639" spans="1:40" x14ac:dyDescent="0.3">
      <c r="A639" s="364" t="s">
        <v>2026</v>
      </c>
      <c r="B639" s="364" t="s">
        <v>661</v>
      </c>
      <c r="C639" s="364" t="s">
        <v>908</v>
      </c>
      <c r="D639" s="364" t="s">
        <v>90</v>
      </c>
      <c r="E639" s="364" t="s">
        <v>1994</v>
      </c>
      <c r="F639" s="364" t="s">
        <v>1971</v>
      </c>
      <c r="G639" s="364" t="s">
        <v>658</v>
      </c>
      <c r="H639" s="364" t="s">
        <v>2025</v>
      </c>
      <c r="I639" s="364" t="s">
        <v>88</v>
      </c>
      <c r="J639" s="364" t="s">
        <v>673</v>
      </c>
      <c r="K639" s="364" t="s">
        <v>668</v>
      </c>
      <c r="L639" s="364" t="s">
        <v>190</v>
      </c>
      <c r="M639" s="364" t="s">
        <v>713</v>
      </c>
      <c r="N639" s="364" t="s">
        <v>654</v>
      </c>
      <c r="O639" s="364" t="s">
        <v>653</v>
      </c>
      <c r="P639" s="364" t="s">
        <v>198</v>
      </c>
      <c r="Q639" s="364" t="s">
        <v>652</v>
      </c>
      <c r="R639" s="364" t="s">
        <v>88</v>
      </c>
      <c r="S639" s="364" t="s">
        <v>88</v>
      </c>
      <c r="T639" s="364" t="s">
        <v>88</v>
      </c>
      <c r="U639" s="364" t="s">
        <v>88</v>
      </c>
      <c r="V639" s="364" t="s">
        <v>88</v>
      </c>
      <c r="W639" s="364" t="s">
        <v>88</v>
      </c>
      <c r="X639" s="364" t="s">
        <v>88</v>
      </c>
      <c r="Y639" s="364" t="s">
        <v>88</v>
      </c>
      <c r="Z639" s="364" t="s">
        <v>712</v>
      </c>
      <c r="AA639" s="364" t="s">
        <v>711</v>
      </c>
      <c r="AB639" s="364" t="s">
        <v>649</v>
      </c>
      <c r="AC639" s="364" t="s">
        <v>88</v>
      </c>
      <c r="AD639" s="364" t="s">
        <v>88</v>
      </c>
      <c r="AE639" s="364" t="s">
        <v>88</v>
      </c>
      <c r="AF639" s="364" t="s">
        <v>88</v>
      </c>
      <c r="AG639" s="364" t="s">
        <v>88</v>
      </c>
      <c r="AH639" s="364" t="s">
        <v>88</v>
      </c>
      <c r="AI639" s="364" t="s">
        <v>2024</v>
      </c>
      <c r="AJ639" s="364" t="s">
        <v>1989</v>
      </c>
      <c r="AK639" s="364" t="s">
        <v>88</v>
      </c>
      <c r="AL639" s="364" t="s">
        <v>88</v>
      </c>
      <c r="AM639" s="364" t="s">
        <v>668</v>
      </c>
      <c r="AN639" s="364" t="s">
        <v>1411</v>
      </c>
    </row>
    <row r="640" spans="1:40" x14ac:dyDescent="0.3">
      <c r="A640" s="364" t="s">
        <v>2026</v>
      </c>
      <c r="B640" s="364" t="s">
        <v>661</v>
      </c>
      <c r="C640" s="364" t="s">
        <v>908</v>
      </c>
      <c r="D640" s="364" t="s">
        <v>90</v>
      </c>
      <c r="E640" s="364" t="s">
        <v>1994</v>
      </c>
      <c r="F640" s="364" t="s">
        <v>1971</v>
      </c>
      <c r="G640" s="364" t="s">
        <v>658</v>
      </c>
      <c r="H640" s="364" t="s">
        <v>2025</v>
      </c>
      <c r="I640" s="364" t="s">
        <v>88</v>
      </c>
      <c r="J640" s="364" t="s">
        <v>673</v>
      </c>
      <c r="K640" s="364" t="s">
        <v>668</v>
      </c>
      <c r="L640" s="364" t="s">
        <v>190</v>
      </c>
      <c r="M640" s="364" t="s">
        <v>61</v>
      </c>
      <c r="N640" s="364" t="s">
        <v>654</v>
      </c>
      <c r="O640" s="364" t="s">
        <v>653</v>
      </c>
      <c r="P640" s="364" t="s">
        <v>198</v>
      </c>
      <c r="Q640" s="364" t="s">
        <v>652</v>
      </c>
      <c r="R640" s="364" t="s">
        <v>88</v>
      </c>
      <c r="S640" s="364" t="s">
        <v>88</v>
      </c>
      <c r="T640" s="364" t="s">
        <v>88</v>
      </c>
      <c r="U640" s="364" t="s">
        <v>88</v>
      </c>
      <c r="V640" s="364" t="s">
        <v>88</v>
      </c>
      <c r="W640" s="364" t="s">
        <v>88</v>
      </c>
      <c r="X640" s="364" t="s">
        <v>88</v>
      </c>
      <c r="Y640" s="364" t="s">
        <v>88</v>
      </c>
      <c r="Z640" s="364" t="s">
        <v>1021</v>
      </c>
      <c r="AA640" s="364" t="s">
        <v>671</v>
      </c>
      <c r="AB640" s="364" t="s">
        <v>649</v>
      </c>
      <c r="AC640" s="364" t="s">
        <v>88</v>
      </c>
      <c r="AD640" s="364" t="s">
        <v>88</v>
      </c>
      <c r="AE640" s="364" t="s">
        <v>88</v>
      </c>
      <c r="AF640" s="364" t="s">
        <v>88</v>
      </c>
      <c r="AG640" s="364" t="s">
        <v>88</v>
      </c>
      <c r="AH640" s="364" t="s">
        <v>88</v>
      </c>
      <c r="AI640" s="364" t="s">
        <v>2024</v>
      </c>
      <c r="AJ640" s="364" t="s">
        <v>1989</v>
      </c>
      <c r="AK640" s="364" t="s">
        <v>88</v>
      </c>
      <c r="AL640" s="364" t="s">
        <v>88</v>
      </c>
      <c r="AM640" s="364" t="s">
        <v>668</v>
      </c>
      <c r="AN640" s="364" t="s">
        <v>1411</v>
      </c>
    </row>
    <row r="641" spans="1:40" x14ac:dyDescent="0.3">
      <c r="A641" s="364" t="s">
        <v>2026</v>
      </c>
      <c r="B641" s="364" t="s">
        <v>661</v>
      </c>
      <c r="C641" s="364" t="s">
        <v>908</v>
      </c>
      <c r="D641" s="364" t="s">
        <v>90</v>
      </c>
      <c r="E641" s="364" t="s">
        <v>1994</v>
      </c>
      <c r="F641" s="364" t="s">
        <v>1971</v>
      </c>
      <c r="G641" s="364" t="s">
        <v>658</v>
      </c>
      <c r="H641" s="364" t="s">
        <v>2025</v>
      </c>
      <c r="I641" s="364" t="s">
        <v>88</v>
      </c>
      <c r="J641" s="364" t="s">
        <v>673</v>
      </c>
      <c r="K641" s="364" t="s">
        <v>668</v>
      </c>
      <c r="L641" s="364" t="s">
        <v>190</v>
      </c>
      <c r="M641" s="364" t="s">
        <v>63</v>
      </c>
      <c r="N641" s="364" t="s">
        <v>654</v>
      </c>
      <c r="O641" s="364" t="s">
        <v>653</v>
      </c>
      <c r="P641" s="364" t="s">
        <v>198</v>
      </c>
      <c r="Q641" s="364" t="s">
        <v>652</v>
      </c>
      <c r="R641" s="364" t="s">
        <v>88</v>
      </c>
      <c r="S641" s="364" t="s">
        <v>88</v>
      </c>
      <c r="T641" s="364" t="s">
        <v>88</v>
      </c>
      <c r="U641" s="364" t="s">
        <v>88</v>
      </c>
      <c r="V641" s="364" t="s">
        <v>88</v>
      </c>
      <c r="W641" s="364" t="s">
        <v>88</v>
      </c>
      <c r="X641" s="364" t="s">
        <v>88</v>
      </c>
      <c r="Y641" s="364" t="s">
        <v>88</v>
      </c>
      <c r="Z641" s="364" t="s">
        <v>1750</v>
      </c>
      <c r="AA641" s="364" t="s">
        <v>671</v>
      </c>
      <c r="AB641" s="364" t="s">
        <v>649</v>
      </c>
      <c r="AC641" s="364" t="s">
        <v>88</v>
      </c>
      <c r="AD641" s="364" t="s">
        <v>88</v>
      </c>
      <c r="AE641" s="364" t="s">
        <v>88</v>
      </c>
      <c r="AF641" s="364" t="s">
        <v>88</v>
      </c>
      <c r="AG641" s="364" t="s">
        <v>88</v>
      </c>
      <c r="AH641" s="364" t="s">
        <v>88</v>
      </c>
      <c r="AI641" s="364" t="s">
        <v>2024</v>
      </c>
      <c r="AJ641" s="364" t="s">
        <v>1989</v>
      </c>
      <c r="AK641" s="364" t="s">
        <v>88</v>
      </c>
      <c r="AL641" s="364" t="s">
        <v>88</v>
      </c>
      <c r="AM641" s="364" t="s">
        <v>668</v>
      </c>
      <c r="AN641" s="364" t="s">
        <v>1411</v>
      </c>
    </row>
    <row r="642" spans="1:40" x14ac:dyDescent="0.3">
      <c r="A642" s="364" t="s">
        <v>2026</v>
      </c>
      <c r="B642" s="364" t="s">
        <v>661</v>
      </c>
      <c r="C642" s="364" t="s">
        <v>908</v>
      </c>
      <c r="D642" s="364" t="s">
        <v>90</v>
      </c>
      <c r="E642" s="364" t="s">
        <v>1994</v>
      </c>
      <c r="F642" s="364" t="s">
        <v>1971</v>
      </c>
      <c r="G642" s="364" t="s">
        <v>658</v>
      </c>
      <c r="H642" s="364" t="s">
        <v>2025</v>
      </c>
      <c r="I642" s="364" t="s">
        <v>88</v>
      </c>
      <c r="J642" s="364" t="s">
        <v>673</v>
      </c>
      <c r="K642" s="364" t="s">
        <v>668</v>
      </c>
      <c r="L642" s="364" t="s">
        <v>190</v>
      </c>
      <c r="M642" s="364" t="s">
        <v>1168</v>
      </c>
      <c r="N642" s="364" t="s">
        <v>654</v>
      </c>
      <c r="O642" s="364" t="s">
        <v>653</v>
      </c>
      <c r="P642" s="364" t="s">
        <v>198</v>
      </c>
      <c r="Q642" s="364" t="s">
        <v>652</v>
      </c>
      <c r="R642" s="364" t="s">
        <v>88</v>
      </c>
      <c r="S642" s="364" t="s">
        <v>88</v>
      </c>
      <c r="T642" s="364" t="s">
        <v>88</v>
      </c>
      <c r="U642" s="364" t="s">
        <v>88</v>
      </c>
      <c r="V642" s="364" t="s">
        <v>88</v>
      </c>
      <c r="W642" s="364" t="s">
        <v>88</v>
      </c>
      <c r="X642" s="364" t="s">
        <v>88</v>
      </c>
      <c r="Y642" s="364" t="s">
        <v>88</v>
      </c>
      <c r="Z642" s="364" t="s">
        <v>1167</v>
      </c>
      <c r="AA642" s="364" t="s">
        <v>1166</v>
      </c>
      <c r="AB642" s="364" t="s">
        <v>649</v>
      </c>
      <c r="AC642" s="364" t="s">
        <v>88</v>
      </c>
      <c r="AD642" s="364" t="s">
        <v>88</v>
      </c>
      <c r="AE642" s="364" t="s">
        <v>88</v>
      </c>
      <c r="AF642" s="364" t="s">
        <v>88</v>
      </c>
      <c r="AG642" s="364" t="s">
        <v>88</v>
      </c>
      <c r="AH642" s="364" t="s">
        <v>88</v>
      </c>
      <c r="AI642" s="364" t="s">
        <v>2024</v>
      </c>
      <c r="AJ642" s="364" t="s">
        <v>1989</v>
      </c>
      <c r="AK642" s="364" t="s">
        <v>88</v>
      </c>
      <c r="AL642" s="364" t="s">
        <v>88</v>
      </c>
      <c r="AM642" s="364" t="s">
        <v>668</v>
      </c>
      <c r="AN642" s="364" t="s">
        <v>1411</v>
      </c>
    </row>
    <row r="643" spans="1:40" x14ac:dyDescent="0.3">
      <c r="A643" s="364" t="s">
        <v>2026</v>
      </c>
      <c r="B643" s="364" t="s">
        <v>661</v>
      </c>
      <c r="C643" s="364" t="s">
        <v>908</v>
      </c>
      <c r="D643" s="364" t="s">
        <v>90</v>
      </c>
      <c r="E643" s="364" t="s">
        <v>1994</v>
      </c>
      <c r="F643" s="364" t="s">
        <v>1971</v>
      </c>
      <c r="G643" s="364" t="s">
        <v>658</v>
      </c>
      <c r="H643" s="364" t="s">
        <v>2025</v>
      </c>
      <c r="I643" s="364" t="s">
        <v>88</v>
      </c>
      <c r="J643" s="364" t="s">
        <v>673</v>
      </c>
      <c r="K643" s="364" t="s">
        <v>668</v>
      </c>
      <c r="L643" s="364" t="s">
        <v>190</v>
      </c>
      <c r="M643" s="364" t="s">
        <v>165</v>
      </c>
      <c r="N643" s="364" t="s">
        <v>654</v>
      </c>
      <c r="O643" s="364" t="s">
        <v>653</v>
      </c>
      <c r="P643" s="364" t="s">
        <v>198</v>
      </c>
      <c r="Q643" s="364" t="s">
        <v>652</v>
      </c>
      <c r="R643" s="364" t="s">
        <v>88</v>
      </c>
      <c r="S643" s="364" t="s">
        <v>88</v>
      </c>
      <c r="T643" s="364" t="s">
        <v>88</v>
      </c>
      <c r="U643" s="364" t="s">
        <v>88</v>
      </c>
      <c r="V643" s="364" t="s">
        <v>88</v>
      </c>
      <c r="W643" s="364" t="s">
        <v>88</v>
      </c>
      <c r="X643" s="364" t="s">
        <v>88</v>
      </c>
      <c r="Y643" s="364" t="s">
        <v>88</v>
      </c>
      <c r="Z643" s="364" t="s">
        <v>2027</v>
      </c>
      <c r="AA643" s="364" t="s">
        <v>688</v>
      </c>
      <c r="AB643" s="364" t="s">
        <v>649</v>
      </c>
      <c r="AC643" s="364" t="s">
        <v>88</v>
      </c>
      <c r="AD643" s="364" t="s">
        <v>88</v>
      </c>
      <c r="AE643" s="364" t="s">
        <v>88</v>
      </c>
      <c r="AF643" s="364" t="s">
        <v>88</v>
      </c>
      <c r="AG643" s="364" t="s">
        <v>88</v>
      </c>
      <c r="AH643" s="364" t="s">
        <v>88</v>
      </c>
      <c r="AI643" s="364" t="s">
        <v>2024</v>
      </c>
      <c r="AJ643" s="364" t="s">
        <v>1989</v>
      </c>
      <c r="AK643" s="364" t="s">
        <v>88</v>
      </c>
      <c r="AL643" s="364" t="s">
        <v>88</v>
      </c>
      <c r="AM643" s="364" t="s">
        <v>668</v>
      </c>
      <c r="AN643" s="364" t="s">
        <v>1411</v>
      </c>
    </row>
    <row r="644" spans="1:40" x14ac:dyDescent="0.3">
      <c r="A644" s="364" t="s">
        <v>2026</v>
      </c>
      <c r="B644" s="364" t="s">
        <v>661</v>
      </c>
      <c r="C644" s="364" t="s">
        <v>908</v>
      </c>
      <c r="D644" s="364" t="s">
        <v>90</v>
      </c>
      <c r="E644" s="364" t="s">
        <v>1994</v>
      </c>
      <c r="F644" s="364" t="s">
        <v>1971</v>
      </c>
      <c r="G644" s="364" t="s">
        <v>658</v>
      </c>
      <c r="H644" s="364" t="s">
        <v>2025</v>
      </c>
      <c r="I644" s="364" t="s">
        <v>88</v>
      </c>
      <c r="J644" s="364" t="s">
        <v>673</v>
      </c>
      <c r="K644" s="364" t="s">
        <v>668</v>
      </c>
      <c r="L644" s="364" t="s">
        <v>190</v>
      </c>
      <c r="M644" s="364" t="s">
        <v>240</v>
      </c>
      <c r="N644" s="364" t="s">
        <v>654</v>
      </c>
      <c r="O644" s="364" t="s">
        <v>653</v>
      </c>
      <c r="P644" s="364" t="s">
        <v>198</v>
      </c>
      <c r="Q644" s="364" t="s">
        <v>652</v>
      </c>
      <c r="R644" s="364" t="s">
        <v>88</v>
      </c>
      <c r="S644" s="364" t="s">
        <v>88</v>
      </c>
      <c r="T644" s="364" t="s">
        <v>88</v>
      </c>
      <c r="U644" s="364" t="s">
        <v>88</v>
      </c>
      <c r="V644" s="364" t="s">
        <v>88</v>
      </c>
      <c r="W644" s="364" t="s">
        <v>88</v>
      </c>
      <c r="X644" s="364" t="s">
        <v>88</v>
      </c>
      <c r="Y644" s="364" t="s">
        <v>88</v>
      </c>
      <c r="Z644" s="364" t="s">
        <v>1163</v>
      </c>
      <c r="AA644" s="364" t="s">
        <v>1162</v>
      </c>
      <c r="AB644" s="364" t="s">
        <v>649</v>
      </c>
      <c r="AC644" s="364" t="s">
        <v>88</v>
      </c>
      <c r="AD644" s="364" t="s">
        <v>88</v>
      </c>
      <c r="AE644" s="364" t="s">
        <v>88</v>
      </c>
      <c r="AF644" s="364" t="s">
        <v>88</v>
      </c>
      <c r="AG644" s="364" t="s">
        <v>88</v>
      </c>
      <c r="AH644" s="364" t="s">
        <v>88</v>
      </c>
      <c r="AI644" s="364" t="s">
        <v>2024</v>
      </c>
      <c r="AJ644" s="364" t="s">
        <v>1989</v>
      </c>
      <c r="AK644" s="364" t="s">
        <v>88</v>
      </c>
      <c r="AL644" s="364" t="s">
        <v>88</v>
      </c>
      <c r="AM644" s="364" t="s">
        <v>668</v>
      </c>
      <c r="AN644" s="364" t="s">
        <v>1411</v>
      </c>
    </row>
    <row r="645" spans="1:40" x14ac:dyDescent="0.3">
      <c r="A645" s="364" t="s">
        <v>2026</v>
      </c>
      <c r="B645" s="364" t="s">
        <v>661</v>
      </c>
      <c r="C645" s="364" t="s">
        <v>908</v>
      </c>
      <c r="D645" s="364" t="s">
        <v>90</v>
      </c>
      <c r="E645" s="364" t="s">
        <v>1994</v>
      </c>
      <c r="F645" s="364" t="s">
        <v>1971</v>
      </c>
      <c r="G645" s="364" t="s">
        <v>658</v>
      </c>
      <c r="H645" s="364" t="s">
        <v>2025</v>
      </c>
      <c r="I645" s="364" t="s">
        <v>88</v>
      </c>
      <c r="J645" s="364" t="s">
        <v>673</v>
      </c>
      <c r="K645" s="364" t="s">
        <v>668</v>
      </c>
      <c r="L645" s="364" t="s">
        <v>190</v>
      </c>
      <c r="M645" s="364" t="s">
        <v>241</v>
      </c>
      <c r="N645" s="364" t="s">
        <v>654</v>
      </c>
      <c r="O645" s="364" t="s">
        <v>653</v>
      </c>
      <c r="P645" s="364" t="s">
        <v>198</v>
      </c>
      <c r="Q645" s="364" t="s">
        <v>652</v>
      </c>
      <c r="R645" s="364" t="s">
        <v>88</v>
      </c>
      <c r="S645" s="364" t="s">
        <v>88</v>
      </c>
      <c r="T645" s="364" t="s">
        <v>88</v>
      </c>
      <c r="U645" s="364" t="s">
        <v>88</v>
      </c>
      <c r="V645" s="364" t="s">
        <v>88</v>
      </c>
      <c r="W645" s="364" t="s">
        <v>88</v>
      </c>
      <c r="X645" s="364" t="s">
        <v>88</v>
      </c>
      <c r="Y645" s="364" t="s">
        <v>88</v>
      </c>
      <c r="Z645" s="364" t="s">
        <v>1170</v>
      </c>
      <c r="AA645" s="364" t="s">
        <v>1169</v>
      </c>
      <c r="AB645" s="364" t="s">
        <v>649</v>
      </c>
      <c r="AC645" s="364" t="s">
        <v>88</v>
      </c>
      <c r="AD645" s="364" t="s">
        <v>88</v>
      </c>
      <c r="AE645" s="364" t="s">
        <v>88</v>
      </c>
      <c r="AF645" s="364" t="s">
        <v>88</v>
      </c>
      <c r="AG645" s="364" t="s">
        <v>88</v>
      </c>
      <c r="AH645" s="364" t="s">
        <v>88</v>
      </c>
      <c r="AI645" s="364" t="s">
        <v>2024</v>
      </c>
      <c r="AJ645" s="364" t="s">
        <v>1989</v>
      </c>
      <c r="AK645" s="364" t="s">
        <v>88</v>
      </c>
      <c r="AL645" s="364" t="s">
        <v>88</v>
      </c>
      <c r="AM645" s="364" t="s">
        <v>668</v>
      </c>
      <c r="AN645" s="364" t="s">
        <v>1411</v>
      </c>
    </row>
    <row r="646" spans="1:40" x14ac:dyDescent="0.3">
      <c r="A646" s="364" t="s">
        <v>2026</v>
      </c>
      <c r="B646" s="364" t="s">
        <v>661</v>
      </c>
      <c r="C646" s="364" t="s">
        <v>908</v>
      </c>
      <c r="D646" s="364" t="s">
        <v>90</v>
      </c>
      <c r="E646" s="364" t="s">
        <v>1994</v>
      </c>
      <c r="F646" s="364" t="s">
        <v>1971</v>
      </c>
      <c r="G646" s="364" t="s">
        <v>658</v>
      </c>
      <c r="H646" s="364" t="s">
        <v>2025</v>
      </c>
      <c r="I646" s="364" t="s">
        <v>88</v>
      </c>
      <c r="J646" s="364" t="s">
        <v>673</v>
      </c>
      <c r="K646" s="364" t="s">
        <v>668</v>
      </c>
      <c r="L646" s="364" t="s">
        <v>190</v>
      </c>
      <c r="M646" s="364" t="s">
        <v>721</v>
      </c>
      <c r="N646" s="364" t="s">
        <v>654</v>
      </c>
      <c r="O646" s="364" t="s">
        <v>653</v>
      </c>
      <c r="P646" s="364" t="s">
        <v>198</v>
      </c>
      <c r="Q646" s="364" t="s">
        <v>652</v>
      </c>
      <c r="R646" s="364" t="s">
        <v>88</v>
      </c>
      <c r="S646" s="364" t="s">
        <v>88</v>
      </c>
      <c r="T646" s="364" t="s">
        <v>88</v>
      </c>
      <c r="U646" s="364" t="s">
        <v>88</v>
      </c>
      <c r="V646" s="364" t="s">
        <v>88</v>
      </c>
      <c r="W646" s="364" t="s">
        <v>88</v>
      </c>
      <c r="X646" s="364" t="s">
        <v>88</v>
      </c>
      <c r="Y646" s="364" t="s">
        <v>88</v>
      </c>
      <c r="Z646" s="364" t="s">
        <v>720</v>
      </c>
      <c r="AA646" s="364" t="s">
        <v>649</v>
      </c>
      <c r="AB646" s="364" t="s">
        <v>649</v>
      </c>
      <c r="AC646" s="364" t="s">
        <v>88</v>
      </c>
      <c r="AD646" s="364" t="s">
        <v>88</v>
      </c>
      <c r="AE646" s="364" t="s">
        <v>88</v>
      </c>
      <c r="AF646" s="364" t="s">
        <v>88</v>
      </c>
      <c r="AG646" s="364" t="s">
        <v>88</v>
      </c>
      <c r="AH646" s="364" t="s">
        <v>88</v>
      </c>
      <c r="AI646" s="364" t="s">
        <v>2024</v>
      </c>
      <c r="AJ646" s="364" t="s">
        <v>1989</v>
      </c>
      <c r="AK646" s="364" t="s">
        <v>88</v>
      </c>
      <c r="AL646" s="364" t="s">
        <v>88</v>
      </c>
      <c r="AM646" s="364" t="s">
        <v>668</v>
      </c>
      <c r="AN646" s="364" t="s">
        <v>1411</v>
      </c>
    </row>
    <row r="647" spans="1:40" x14ac:dyDescent="0.3">
      <c r="A647" s="364" t="s">
        <v>2026</v>
      </c>
      <c r="B647" s="364" t="s">
        <v>661</v>
      </c>
      <c r="C647" s="364" t="s">
        <v>908</v>
      </c>
      <c r="D647" s="364" t="s">
        <v>90</v>
      </c>
      <c r="E647" s="364" t="s">
        <v>1994</v>
      </c>
      <c r="F647" s="364" t="s">
        <v>1971</v>
      </c>
      <c r="G647" s="364" t="s">
        <v>658</v>
      </c>
      <c r="H647" s="364" t="s">
        <v>2025</v>
      </c>
      <c r="I647" s="364" t="s">
        <v>88</v>
      </c>
      <c r="J647" s="364" t="s">
        <v>673</v>
      </c>
      <c r="K647" s="364" t="s">
        <v>668</v>
      </c>
      <c r="L647" s="364" t="s">
        <v>190</v>
      </c>
      <c r="M647" s="364" t="s">
        <v>243</v>
      </c>
      <c r="N647" s="364" t="s">
        <v>654</v>
      </c>
      <c r="O647" s="364" t="s">
        <v>653</v>
      </c>
      <c r="P647" s="364" t="s">
        <v>198</v>
      </c>
      <c r="Q647" s="364" t="s">
        <v>652</v>
      </c>
      <c r="R647" s="364" t="s">
        <v>88</v>
      </c>
      <c r="S647" s="364" t="s">
        <v>88</v>
      </c>
      <c r="T647" s="364" t="s">
        <v>88</v>
      </c>
      <c r="U647" s="364" t="s">
        <v>88</v>
      </c>
      <c r="V647" s="364" t="s">
        <v>88</v>
      </c>
      <c r="W647" s="364" t="s">
        <v>88</v>
      </c>
      <c r="X647" s="364" t="s">
        <v>88</v>
      </c>
      <c r="Y647" s="364" t="s">
        <v>88</v>
      </c>
      <c r="Z647" s="364" t="s">
        <v>1175</v>
      </c>
      <c r="AA647" s="364" t="s">
        <v>1174</v>
      </c>
      <c r="AB647" s="364" t="s">
        <v>649</v>
      </c>
      <c r="AC647" s="364" t="s">
        <v>88</v>
      </c>
      <c r="AD647" s="364" t="s">
        <v>88</v>
      </c>
      <c r="AE647" s="364" t="s">
        <v>88</v>
      </c>
      <c r="AF647" s="364" t="s">
        <v>88</v>
      </c>
      <c r="AG647" s="364" t="s">
        <v>88</v>
      </c>
      <c r="AH647" s="364" t="s">
        <v>88</v>
      </c>
      <c r="AI647" s="364" t="s">
        <v>2024</v>
      </c>
      <c r="AJ647" s="364" t="s">
        <v>1989</v>
      </c>
      <c r="AK647" s="364" t="s">
        <v>88</v>
      </c>
      <c r="AL647" s="364" t="s">
        <v>88</v>
      </c>
      <c r="AM647" s="364" t="s">
        <v>668</v>
      </c>
      <c r="AN647" s="364" t="s">
        <v>1411</v>
      </c>
    </row>
    <row r="648" spans="1:40" x14ac:dyDescent="0.3">
      <c r="A648" s="364" t="s">
        <v>2026</v>
      </c>
      <c r="B648" s="364" t="s">
        <v>661</v>
      </c>
      <c r="C648" s="364" t="s">
        <v>908</v>
      </c>
      <c r="D648" s="364" t="s">
        <v>90</v>
      </c>
      <c r="E648" s="364" t="s">
        <v>1994</v>
      </c>
      <c r="F648" s="364" t="s">
        <v>1971</v>
      </c>
      <c r="G648" s="364" t="s">
        <v>658</v>
      </c>
      <c r="H648" s="364" t="s">
        <v>2025</v>
      </c>
      <c r="I648" s="364" t="s">
        <v>88</v>
      </c>
      <c r="J648" s="364" t="s">
        <v>673</v>
      </c>
      <c r="K648" s="364" t="s">
        <v>668</v>
      </c>
      <c r="L648" s="364" t="s">
        <v>190</v>
      </c>
      <c r="M648" s="364" t="s">
        <v>250</v>
      </c>
      <c r="N648" s="364" t="s">
        <v>654</v>
      </c>
      <c r="O648" s="364" t="s">
        <v>653</v>
      </c>
      <c r="P648" s="364" t="s">
        <v>198</v>
      </c>
      <c r="Q648" s="364" t="s">
        <v>652</v>
      </c>
      <c r="R648" s="364" t="s">
        <v>88</v>
      </c>
      <c r="S648" s="364" t="s">
        <v>88</v>
      </c>
      <c r="T648" s="364" t="s">
        <v>88</v>
      </c>
      <c r="U648" s="364" t="s">
        <v>88</v>
      </c>
      <c r="V648" s="364" t="s">
        <v>88</v>
      </c>
      <c r="W648" s="364" t="s">
        <v>88</v>
      </c>
      <c r="X648" s="364" t="s">
        <v>88</v>
      </c>
      <c r="Y648" s="364" t="s">
        <v>88</v>
      </c>
      <c r="Z648" s="364" t="s">
        <v>1821</v>
      </c>
      <c r="AA648" s="364" t="s">
        <v>649</v>
      </c>
      <c r="AB648" s="364" t="s">
        <v>649</v>
      </c>
      <c r="AC648" s="364" t="s">
        <v>88</v>
      </c>
      <c r="AD648" s="364" t="s">
        <v>88</v>
      </c>
      <c r="AE648" s="364" t="s">
        <v>88</v>
      </c>
      <c r="AF648" s="364" t="s">
        <v>88</v>
      </c>
      <c r="AG648" s="364" t="s">
        <v>88</v>
      </c>
      <c r="AH648" s="364" t="s">
        <v>88</v>
      </c>
      <c r="AI648" s="364" t="s">
        <v>2024</v>
      </c>
      <c r="AJ648" s="364" t="s">
        <v>1989</v>
      </c>
      <c r="AK648" s="364" t="s">
        <v>88</v>
      </c>
      <c r="AL648" s="364" t="s">
        <v>88</v>
      </c>
      <c r="AM648" s="364" t="s">
        <v>668</v>
      </c>
      <c r="AN648" s="364" t="s">
        <v>1411</v>
      </c>
    </row>
    <row r="649" spans="1:40" x14ac:dyDescent="0.3">
      <c r="A649" s="364" t="s">
        <v>2010</v>
      </c>
      <c r="B649" s="364" t="s">
        <v>661</v>
      </c>
      <c r="C649" s="364" t="s">
        <v>1420</v>
      </c>
      <c r="D649" s="364" t="s">
        <v>90</v>
      </c>
      <c r="E649" s="364" t="s">
        <v>1994</v>
      </c>
      <c r="F649" s="364" t="s">
        <v>1971</v>
      </c>
      <c r="G649" s="364" t="s">
        <v>658</v>
      </c>
      <c r="H649" s="364" t="s">
        <v>2009</v>
      </c>
      <c r="I649" s="364" t="s">
        <v>1744</v>
      </c>
      <c r="J649" s="364" t="s">
        <v>673</v>
      </c>
      <c r="K649" s="364" t="s">
        <v>668</v>
      </c>
      <c r="L649" s="364" t="s">
        <v>190</v>
      </c>
      <c r="M649" s="364" t="s">
        <v>725</v>
      </c>
      <c r="N649" s="364" t="s">
        <v>654</v>
      </c>
      <c r="O649" s="364" t="s">
        <v>653</v>
      </c>
      <c r="P649" s="364" t="s">
        <v>198</v>
      </c>
      <c r="Q649" s="364" t="s">
        <v>652</v>
      </c>
      <c r="R649" s="364" t="s">
        <v>88</v>
      </c>
      <c r="S649" s="364" t="s">
        <v>88</v>
      </c>
      <c r="T649" s="364" t="s">
        <v>88</v>
      </c>
      <c r="U649" s="364" t="s">
        <v>88</v>
      </c>
      <c r="V649" s="364" t="s">
        <v>88</v>
      </c>
      <c r="W649" s="364" t="s">
        <v>88</v>
      </c>
      <c r="X649" s="364" t="s">
        <v>88</v>
      </c>
      <c r="Y649" s="364" t="s">
        <v>88</v>
      </c>
      <c r="Z649" s="364" t="s">
        <v>724</v>
      </c>
      <c r="AA649" s="364" t="s">
        <v>649</v>
      </c>
      <c r="AB649" s="364" t="s">
        <v>2023</v>
      </c>
      <c r="AC649" s="364" t="s">
        <v>2023</v>
      </c>
      <c r="AD649" s="364" t="s">
        <v>2023</v>
      </c>
      <c r="AE649" s="364" t="s">
        <v>88</v>
      </c>
      <c r="AF649" s="364" t="s">
        <v>1416</v>
      </c>
      <c r="AG649" s="364" t="s">
        <v>1415</v>
      </c>
      <c r="AH649" s="364" t="s">
        <v>1422</v>
      </c>
      <c r="AI649" s="364" t="s">
        <v>2006</v>
      </c>
      <c r="AJ649" s="364" t="s">
        <v>1989</v>
      </c>
      <c r="AK649" s="364" t="s">
        <v>647</v>
      </c>
      <c r="AL649" s="364" t="s">
        <v>1412</v>
      </c>
      <c r="AM649" s="364" t="s">
        <v>668</v>
      </c>
      <c r="AN649" s="364" t="s">
        <v>1411</v>
      </c>
    </row>
    <row r="650" spans="1:40" x14ac:dyDescent="0.3">
      <c r="A650" s="364" t="s">
        <v>2010</v>
      </c>
      <c r="B650" s="364" t="s">
        <v>661</v>
      </c>
      <c r="C650" s="364" t="s">
        <v>1420</v>
      </c>
      <c r="D650" s="364" t="s">
        <v>90</v>
      </c>
      <c r="E650" s="364" t="s">
        <v>1994</v>
      </c>
      <c r="F650" s="364" t="s">
        <v>1971</v>
      </c>
      <c r="G650" s="364" t="s">
        <v>658</v>
      </c>
      <c r="H650" s="364" t="s">
        <v>2009</v>
      </c>
      <c r="I650" s="364" t="s">
        <v>1744</v>
      </c>
      <c r="J650" s="364" t="s">
        <v>198</v>
      </c>
      <c r="K650" s="364" t="s">
        <v>645</v>
      </c>
      <c r="L650" s="364" t="s">
        <v>188</v>
      </c>
      <c r="M650" s="364" t="s">
        <v>655</v>
      </c>
      <c r="N650" s="364" t="s">
        <v>654</v>
      </c>
      <c r="O650" s="364" t="s">
        <v>653</v>
      </c>
      <c r="P650" s="364" t="s">
        <v>198</v>
      </c>
      <c r="Q650" s="364" t="s">
        <v>652</v>
      </c>
      <c r="R650" s="364" t="s">
        <v>88</v>
      </c>
      <c r="S650" s="364" t="s">
        <v>88</v>
      </c>
      <c r="T650" s="364" t="s">
        <v>88</v>
      </c>
      <c r="U650" s="364" t="s">
        <v>88</v>
      </c>
      <c r="V650" s="364" t="s">
        <v>88</v>
      </c>
      <c r="W650" s="364" t="s">
        <v>88</v>
      </c>
      <c r="X650" s="364" t="s">
        <v>88</v>
      </c>
      <c r="Y650" s="364" t="s">
        <v>88</v>
      </c>
      <c r="Z650" s="364" t="s">
        <v>651</v>
      </c>
      <c r="AA650" s="364" t="s">
        <v>650</v>
      </c>
      <c r="AB650" s="364" t="s">
        <v>1424</v>
      </c>
      <c r="AC650" s="364" t="s">
        <v>1424</v>
      </c>
      <c r="AD650" s="364" t="s">
        <v>1424</v>
      </c>
      <c r="AE650" s="364" t="s">
        <v>88</v>
      </c>
      <c r="AF650" s="364" t="s">
        <v>2022</v>
      </c>
      <c r="AG650" s="364" t="s">
        <v>1415</v>
      </c>
      <c r="AH650" s="364" t="s">
        <v>1427</v>
      </c>
      <c r="AI650" s="364" t="s">
        <v>2006</v>
      </c>
      <c r="AJ650" s="364" t="s">
        <v>1989</v>
      </c>
      <c r="AK650" s="364" t="s">
        <v>647</v>
      </c>
      <c r="AL650" s="364" t="s">
        <v>1412</v>
      </c>
      <c r="AM650" s="364" t="s">
        <v>645</v>
      </c>
      <c r="AN650" s="364" t="s">
        <v>1411</v>
      </c>
    </row>
    <row r="651" spans="1:40" x14ac:dyDescent="0.3">
      <c r="A651" s="364" t="s">
        <v>2010</v>
      </c>
      <c r="B651" s="364" t="s">
        <v>661</v>
      </c>
      <c r="C651" s="364" t="s">
        <v>1420</v>
      </c>
      <c r="D651" s="364" t="s">
        <v>90</v>
      </c>
      <c r="E651" s="364" t="s">
        <v>1994</v>
      </c>
      <c r="F651" s="364" t="s">
        <v>1971</v>
      </c>
      <c r="G651" s="364" t="s">
        <v>658</v>
      </c>
      <c r="H651" s="364" t="s">
        <v>2009</v>
      </c>
      <c r="I651" s="364" t="s">
        <v>1744</v>
      </c>
      <c r="J651" s="364" t="s">
        <v>198</v>
      </c>
      <c r="K651" s="364" t="s">
        <v>645</v>
      </c>
      <c r="L651" s="364" t="s">
        <v>188</v>
      </c>
      <c r="M651" s="364" t="s">
        <v>655</v>
      </c>
      <c r="N651" s="364" t="s">
        <v>654</v>
      </c>
      <c r="O651" s="364" t="s">
        <v>653</v>
      </c>
      <c r="P651" s="364" t="s">
        <v>198</v>
      </c>
      <c r="Q651" s="364" t="s">
        <v>652</v>
      </c>
      <c r="R651" s="364" t="s">
        <v>88</v>
      </c>
      <c r="S651" s="364" t="s">
        <v>88</v>
      </c>
      <c r="T651" s="364" t="s">
        <v>88</v>
      </c>
      <c r="U651" s="364" t="s">
        <v>88</v>
      </c>
      <c r="V651" s="364" t="s">
        <v>88</v>
      </c>
      <c r="W651" s="364" t="s">
        <v>88</v>
      </c>
      <c r="X651" s="364" t="s">
        <v>88</v>
      </c>
      <c r="Y651" s="364" t="s">
        <v>88</v>
      </c>
      <c r="Z651" s="364" t="s">
        <v>651</v>
      </c>
      <c r="AA651" s="364" t="s">
        <v>650</v>
      </c>
      <c r="AB651" s="364" t="s">
        <v>1424</v>
      </c>
      <c r="AC651" s="364" t="s">
        <v>1424</v>
      </c>
      <c r="AD651" s="364" t="s">
        <v>1424</v>
      </c>
      <c r="AE651" s="364" t="s">
        <v>88</v>
      </c>
      <c r="AF651" s="364" t="s">
        <v>2021</v>
      </c>
      <c r="AG651" s="364" t="s">
        <v>1415</v>
      </c>
      <c r="AH651" s="364" t="s">
        <v>2019</v>
      </c>
      <c r="AI651" s="364" t="s">
        <v>2006</v>
      </c>
      <c r="AJ651" s="364" t="s">
        <v>1989</v>
      </c>
      <c r="AK651" s="364" t="s">
        <v>647</v>
      </c>
      <c r="AL651" s="364" t="s">
        <v>1412</v>
      </c>
      <c r="AM651" s="364" t="s">
        <v>645</v>
      </c>
      <c r="AN651" s="364" t="s">
        <v>1411</v>
      </c>
    </row>
    <row r="652" spans="1:40" x14ac:dyDescent="0.3">
      <c r="A652" s="364" t="s">
        <v>2010</v>
      </c>
      <c r="B652" s="364" t="s">
        <v>661</v>
      </c>
      <c r="C652" s="364" t="s">
        <v>1420</v>
      </c>
      <c r="D652" s="364" t="s">
        <v>90</v>
      </c>
      <c r="E652" s="364" t="s">
        <v>1994</v>
      </c>
      <c r="F652" s="364" t="s">
        <v>1971</v>
      </c>
      <c r="G652" s="364" t="s">
        <v>658</v>
      </c>
      <c r="H652" s="364" t="s">
        <v>2009</v>
      </c>
      <c r="I652" s="364" t="s">
        <v>1744</v>
      </c>
      <c r="J652" s="364" t="s">
        <v>198</v>
      </c>
      <c r="K652" s="364" t="s">
        <v>645</v>
      </c>
      <c r="L652" s="364" t="s">
        <v>188</v>
      </c>
      <c r="M652" s="364" t="s">
        <v>655</v>
      </c>
      <c r="N652" s="364" t="s">
        <v>654</v>
      </c>
      <c r="O652" s="364" t="s">
        <v>653</v>
      </c>
      <c r="P652" s="364" t="s">
        <v>198</v>
      </c>
      <c r="Q652" s="364" t="s">
        <v>652</v>
      </c>
      <c r="R652" s="364" t="s">
        <v>88</v>
      </c>
      <c r="S652" s="364" t="s">
        <v>88</v>
      </c>
      <c r="T652" s="364" t="s">
        <v>88</v>
      </c>
      <c r="U652" s="364" t="s">
        <v>88</v>
      </c>
      <c r="V652" s="364" t="s">
        <v>88</v>
      </c>
      <c r="W652" s="364" t="s">
        <v>88</v>
      </c>
      <c r="X652" s="364" t="s">
        <v>88</v>
      </c>
      <c r="Y652" s="364" t="s">
        <v>88</v>
      </c>
      <c r="Z652" s="364" t="s">
        <v>651</v>
      </c>
      <c r="AA652" s="364" t="s">
        <v>650</v>
      </c>
      <c r="AB652" s="364" t="s">
        <v>1424</v>
      </c>
      <c r="AC652" s="364" t="s">
        <v>1424</v>
      </c>
      <c r="AD652" s="364" t="s">
        <v>1424</v>
      </c>
      <c r="AE652" s="364" t="s">
        <v>88</v>
      </c>
      <c r="AF652" s="364" t="s">
        <v>2021</v>
      </c>
      <c r="AG652" s="364" t="s">
        <v>1415</v>
      </c>
      <c r="AH652" s="364" t="s">
        <v>2014</v>
      </c>
      <c r="AI652" s="364" t="s">
        <v>2006</v>
      </c>
      <c r="AJ652" s="364" t="s">
        <v>1989</v>
      </c>
      <c r="AK652" s="364" t="s">
        <v>647</v>
      </c>
      <c r="AL652" s="364" t="s">
        <v>1412</v>
      </c>
      <c r="AM652" s="364" t="s">
        <v>645</v>
      </c>
      <c r="AN652" s="364" t="s">
        <v>1411</v>
      </c>
    </row>
    <row r="653" spans="1:40" x14ac:dyDescent="0.3">
      <c r="A653" s="364" t="s">
        <v>2010</v>
      </c>
      <c r="B653" s="364" t="s">
        <v>661</v>
      </c>
      <c r="C653" s="364" t="s">
        <v>1420</v>
      </c>
      <c r="D653" s="364" t="s">
        <v>90</v>
      </c>
      <c r="E653" s="364" t="s">
        <v>1994</v>
      </c>
      <c r="F653" s="364" t="s">
        <v>1971</v>
      </c>
      <c r="G653" s="364" t="s">
        <v>658</v>
      </c>
      <c r="H653" s="364" t="s">
        <v>2009</v>
      </c>
      <c r="I653" s="364" t="s">
        <v>1744</v>
      </c>
      <c r="J653" s="364" t="s">
        <v>198</v>
      </c>
      <c r="K653" s="364" t="s">
        <v>645</v>
      </c>
      <c r="L653" s="364" t="s">
        <v>188</v>
      </c>
      <c r="M653" s="364" t="s">
        <v>655</v>
      </c>
      <c r="N653" s="364" t="s">
        <v>654</v>
      </c>
      <c r="O653" s="364" t="s">
        <v>653</v>
      </c>
      <c r="P653" s="364" t="s">
        <v>198</v>
      </c>
      <c r="Q653" s="364" t="s">
        <v>652</v>
      </c>
      <c r="R653" s="364" t="s">
        <v>88</v>
      </c>
      <c r="S653" s="364" t="s">
        <v>88</v>
      </c>
      <c r="T653" s="364" t="s">
        <v>88</v>
      </c>
      <c r="U653" s="364" t="s">
        <v>88</v>
      </c>
      <c r="V653" s="364" t="s">
        <v>88</v>
      </c>
      <c r="W653" s="364" t="s">
        <v>88</v>
      </c>
      <c r="X653" s="364" t="s">
        <v>88</v>
      </c>
      <c r="Y653" s="364" t="s">
        <v>88</v>
      </c>
      <c r="Z653" s="364" t="s">
        <v>651</v>
      </c>
      <c r="AA653" s="364" t="s">
        <v>650</v>
      </c>
      <c r="AB653" s="364" t="s">
        <v>1424</v>
      </c>
      <c r="AC653" s="364" t="s">
        <v>1424</v>
      </c>
      <c r="AD653" s="364" t="s">
        <v>1424</v>
      </c>
      <c r="AE653" s="364" t="s">
        <v>88</v>
      </c>
      <c r="AF653" s="364" t="s">
        <v>2021</v>
      </c>
      <c r="AG653" s="364" t="s">
        <v>1415</v>
      </c>
      <c r="AH653" s="364" t="s">
        <v>2007</v>
      </c>
      <c r="AI653" s="364" t="s">
        <v>2006</v>
      </c>
      <c r="AJ653" s="364" t="s">
        <v>1989</v>
      </c>
      <c r="AK653" s="364" t="s">
        <v>647</v>
      </c>
      <c r="AL653" s="364" t="s">
        <v>1412</v>
      </c>
      <c r="AM653" s="364" t="s">
        <v>645</v>
      </c>
      <c r="AN653" s="364" t="s">
        <v>1411</v>
      </c>
    </row>
    <row r="654" spans="1:40" x14ac:dyDescent="0.3">
      <c r="A654" s="364" t="s">
        <v>2010</v>
      </c>
      <c r="B654" s="364" t="s">
        <v>661</v>
      </c>
      <c r="C654" s="364" t="s">
        <v>1420</v>
      </c>
      <c r="D654" s="364" t="s">
        <v>90</v>
      </c>
      <c r="E654" s="364" t="s">
        <v>1994</v>
      </c>
      <c r="F654" s="364" t="s">
        <v>1971</v>
      </c>
      <c r="G654" s="364" t="s">
        <v>658</v>
      </c>
      <c r="H654" s="364" t="s">
        <v>2009</v>
      </c>
      <c r="I654" s="364" t="s">
        <v>1744</v>
      </c>
      <c r="J654" s="364" t="s">
        <v>673</v>
      </c>
      <c r="K654" s="364" t="s">
        <v>668</v>
      </c>
      <c r="L654" s="364" t="s">
        <v>190</v>
      </c>
      <c r="M654" s="364" t="s">
        <v>723</v>
      </c>
      <c r="N654" s="364" t="s">
        <v>654</v>
      </c>
      <c r="O654" s="364" t="s">
        <v>653</v>
      </c>
      <c r="P654" s="364" t="s">
        <v>198</v>
      </c>
      <c r="Q654" s="364" t="s">
        <v>652</v>
      </c>
      <c r="R654" s="364" t="s">
        <v>88</v>
      </c>
      <c r="S654" s="364" t="s">
        <v>88</v>
      </c>
      <c r="T654" s="364" t="s">
        <v>88</v>
      </c>
      <c r="U654" s="364" t="s">
        <v>88</v>
      </c>
      <c r="V654" s="364" t="s">
        <v>88</v>
      </c>
      <c r="W654" s="364" t="s">
        <v>88</v>
      </c>
      <c r="X654" s="364" t="s">
        <v>88</v>
      </c>
      <c r="Y654" s="364" t="s">
        <v>88</v>
      </c>
      <c r="Z654" s="364" t="s">
        <v>722</v>
      </c>
      <c r="AA654" s="364" t="s">
        <v>649</v>
      </c>
      <c r="AB654" s="364" t="s">
        <v>2020</v>
      </c>
      <c r="AC654" s="364" t="s">
        <v>2020</v>
      </c>
      <c r="AD654" s="364" t="s">
        <v>2020</v>
      </c>
      <c r="AE654" s="364" t="s">
        <v>88</v>
      </c>
      <c r="AF654" s="364" t="s">
        <v>1416</v>
      </c>
      <c r="AG654" s="364" t="s">
        <v>1415</v>
      </c>
      <c r="AH654" s="364" t="s">
        <v>2019</v>
      </c>
      <c r="AI654" s="364" t="s">
        <v>2006</v>
      </c>
      <c r="AJ654" s="364" t="s">
        <v>1989</v>
      </c>
      <c r="AK654" s="364" t="s">
        <v>647</v>
      </c>
      <c r="AL654" s="364" t="s">
        <v>1412</v>
      </c>
      <c r="AM654" s="364" t="s">
        <v>668</v>
      </c>
      <c r="AN654" s="364" t="s">
        <v>1411</v>
      </c>
    </row>
    <row r="655" spans="1:40" x14ac:dyDescent="0.3">
      <c r="A655" s="364" t="s">
        <v>2010</v>
      </c>
      <c r="B655" s="364" t="s">
        <v>661</v>
      </c>
      <c r="C655" s="364" t="s">
        <v>1420</v>
      </c>
      <c r="D655" s="364" t="s">
        <v>90</v>
      </c>
      <c r="E655" s="364" t="s">
        <v>1994</v>
      </c>
      <c r="F655" s="364" t="s">
        <v>1971</v>
      </c>
      <c r="G655" s="364" t="s">
        <v>658</v>
      </c>
      <c r="H655" s="364" t="s">
        <v>2009</v>
      </c>
      <c r="I655" s="364" t="s">
        <v>1744</v>
      </c>
      <c r="J655" s="364" t="s">
        <v>673</v>
      </c>
      <c r="K655" s="364" t="s">
        <v>668</v>
      </c>
      <c r="L655" s="364" t="s">
        <v>190</v>
      </c>
      <c r="M655" s="364" t="s">
        <v>713</v>
      </c>
      <c r="N655" s="364" t="s">
        <v>654</v>
      </c>
      <c r="O655" s="364" t="s">
        <v>653</v>
      </c>
      <c r="P655" s="364" t="s">
        <v>198</v>
      </c>
      <c r="Q655" s="364" t="s">
        <v>652</v>
      </c>
      <c r="R655" s="364" t="s">
        <v>88</v>
      </c>
      <c r="S655" s="364" t="s">
        <v>88</v>
      </c>
      <c r="T655" s="364" t="s">
        <v>88</v>
      </c>
      <c r="U655" s="364" t="s">
        <v>88</v>
      </c>
      <c r="V655" s="364" t="s">
        <v>88</v>
      </c>
      <c r="W655" s="364" t="s">
        <v>88</v>
      </c>
      <c r="X655" s="364" t="s">
        <v>88</v>
      </c>
      <c r="Y655" s="364" t="s">
        <v>88</v>
      </c>
      <c r="Z655" s="364" t="s">
        <v>712</v>
      </c>
      <c r="AA655" s="364" t="s">
        <v>711</v>
      </c>
      <c r="AB655" s="364" t="s">
        <v>2018</v>
      </c>
      <c r="AC655" s="364" t="s">
        <v>2018</v>
      </c>
      <c r="AD655" s="364" t="s">
        <v>2018</v>
      </c>
      <c r="AE655" s="364" t="s">
        <v>88</v>
      </c>
      <c r="AF655" s="364" t="s">
        <v>1416</v>
      </c>
      <c r="AG655" s="364" t="s">
        <v>1415</v>
      </c>
      <c r="AH655" s="364" t="s">
        <v>1427</v>
      </c>
      <c r="AI655" s="364" t="s">
        <v>2006</v>
      </c>
      <c r="AJ655" s="364" t="s">
        <v>1989</v>
      </c>
      <c r="AK655" s="364" t="s">
        <v>647</v>
      </c>
      <c r="AL655" s="364" t="s">
        <v>1412</v>
      </c>
      <c r="AM655" s="364" t="s">
        <v>668</v>
      </c>
      <c r="AN655" s="364" t="s">
        <v>1411</v>
      </c>
    </row>
    <row r="656" spans="1:40" x14ac:dyDescent="0.3">
      <c r="A656" s="364" t="s">
        <v>2010</v>
      </c>
      <c r="B656" s="364" t="s">
        <v>661</v>
      </c>
      <c r="C656" s="364" t="s">
        <v>1420</v>
      </c>
      <c r="D656" s="364" t="s">
        <v>90</v>
      </c>
      <c r="E656" s="364" t="s">
        <v>1994</v>
      </c>
      <c r="F656" s="364" t="s">
        <v>1971</v>
      </c>
      <c r="G656" s="364" t="s">
        <v>658</v>
      </c>
      <c r="H656" s="364" t="s">
        <v>2009</v>
      </c>
      <c r="I656" s="364" t="s">
        <v>1744</v>
      </c>
      <c r="J656" s="364" t="s">
        <v>673</v>
      </c>
      <c r="K656" s="364" t="s">
        <v>668</v>
      </c>
      <c r="L656" s="364" t="s">
        <v>190</v>
      </c>
      <c r="M656" s="364" t="s">
        <v>240</v>
      </c>
      <c r="N656" s="364" t="s">
        <v>654</v>
      </c>
      <c r="O656" s="364" t="s">
        <v>653</v>
      </c>
      <c r="P656" s="364" t="s">
        <v>198</v>
      </c>
      <c r="Q656" s="364" t="s">
        <v>652</v>
      </c>
      <c r="R656" s="364" t="s">
        <v>88</v>
      </c>
      <c r="S656" s="364" t="s">
        <v>88</v>
      </c>
      <c r="T656" s="364" t="s">
        <v>88</v>
      </c>
      <c r="U656" s="364" t="s">
        <v>88</v>
      </c>
      <c r="V656" s="364" t="s">
        <v>88</v>
      </c>
      <c r="W656" s="364" t="s">
        <v>88</v>
      </c>
      <c r="X656" s="364" t="s">
        <v>88</v>
      </c>
      <c r="Y656" s="364" t="s">
        <v>88</v>
      </c>
      <c r="Z656" s="364" t="s">
        <v>1163</v>
      </c>
      <c r="AA656" s="364" t="s">
        <v>1162</v>
      </c>
      <c r="AB656" s="364" t="s">
        <v>2017</v>
      </c>
      <c r="AC656" s="364" t="s">
        <v>2017</v>
      </c>
      <c r="AD656" s="364" t="s">
        <v>2017</v>
      </c>
      <c r="AE656" s="364" t="s">
        <v>88</v>
      </c>
      <c r="AF656" s="364" t="s">
        <v>1416</v>
      </c>
      <c r="AG656" s="364" t="s">
        <v>1415</v>
      </c>
      <c r="AH656" s="364" t="s">
        <v>1426</v>
      </c>
      <c r="AI656" s="364" t="s">
        <v>2006</v>
      </c>
      <c r="AJ656" s="364" t="s">
        <v>1989</v>
      </c>
      <c r="AK656" s="364" t="s">
        <v>647</v>
      </c>
      <c r="AL656" s="364" t="s">
        <v>1412</v>
      </c>
      <c r="AM656" s="364" t="s">
        <v>668</v>
      </c>
      <c r="AN656" s="364" t="s">
        <v>1411</v>
      </c>
    </row>
    <row r="657" spans="1:40" x14ac:dyDescent="0.3">
      <c r="A657" s="364" t="s">
        <v>2010</v>
      </c>
      <c r="B657" s="364" t="s">
        <v>661</v>
      </c>
      <c r="C657" s="364" t="s">
        <v>1420</v>
      </c>
      <c r="D657" s="364" t="s">
        <v>90</v>
      </c>
      <c r="E657" s="364" t="s">
        <v>1994</v>
      </c>
      <c r="F657" s="364" t="s">
        <v>1971</v>
      </c>
      <c r="G657" s="364" t="s">
        <v>658</v>
      </c>
      <c r="H657" s="364" t="s">
        <v>2009</v>
      </c>
      <c r="I657" s="364" t="s">
        <v>1744</v>
      </c>
      <c r="J657" s="364" t="s">
        <v>673</v>
      </c>
      <c r="K657" s="364" t="s">
        <v>668</v>
      </c>
      <c r="L657" s="364" t="s">
        <v>190</v>
      </c>
      <c r="M657" s="364" t="s">
        <v>241</v>
      </c>
      <c r="N657" s="364" t="s">
        <v>654</v>
      </c>
      <c r="O657" s="364" t="s">
        <v>653</v>
      </c>
      <c r="P657" s="364" t="s">
        <v>198</v>
      </c>
      <c r="Q657" s="364" t="s">
        <v>652</v>
      </c>
      <c r="R657" s="364" t="s">
        <v>88</v>
      </c>
      <c r="S657" s="364" t="s">
        <v>88</v>
      </c>
      <c r="T657" s="364" t="s">
        <v>88</v>
      </c>
      <c r="U657" s="364" t="s">
        <v>88</v>
      </c>
      <c r="V657" s="364" t="s">
        <v>88</v>
      </c>
      <c r="W657" s="364" t="s">
        <v>88</v>
      </c>
      <c r="X657" s="364" t="s">
        <v>88</v>
      </c>
      <c r="Y657" s="364" t="s">
        <v>88</v>
      </c>
      <c r="Z657" s="364" t="s">
        <v>1170</v>
      </c>
      <c r="AA657" s="364" t="s">
        <v>1169</v>
      </c>
      <c r="AB657" s="364" t="s">
        <v>2016</v>
      </c>
      <c r="AC657" s="364" t="s">
        <v>2016</v>
      </c>
      <c r="AD657" s="364" t="s">
        <v>2016</v>
      </c>
      <c r="AE657" s="364" t="s">
        <v>88</v>
      </c>
      <c r="AF657" s="364" t="s">
        <v>1416</v>
      </c>
      <c r="AG657" s="364" t="s">
        <v>1415</v>
      </c>
      <c r="AH657" s="364" t="s">
        <v>1425</v>
      </c>
      <c r="AI657" s="364" t="s">
        <v>2006</v>
      </c>
      <c r="AJ657" s="364" t="s">
        <v>1989</v>
      </c>
      <c r="AK657" s="364" t="s">
        <v>647</v>
      </c>
      <c r="AL657" s="364" t="s">
        <v>1412</v>
      </c>
      <c r="AM657" s="364" t="s">
        <v>668</v>
      </c>
      <c r="AN657" s="364" t="s">
        <v>1411</v>
      </c>
    </row>
    <row r="658" spans="1:40" x14ac:dyDescent="0.3">
      <c r="A658" s="364" t="s">
        <v>2010</v>
      </c>
      <c r="B658" s="364" t="s">
        <v>661</v>
      </c>
      <c r="C658" s="364" t="s">
        <v>1420</v>
      </c>
      <c r="D658" s="364" t="s">
        <v>90</v>
      </c>
      <c r="E658" s="364" t="s">
        <v>1994</v>
      </c>
      <c r="F658" s="364" t="s">
        <v>1971</v>
      </c>
      <c r="G658" s="364" t="s">
        <v>658</v>
      </c>
      <c r="H658" s="364" t="s">
        <v>2009</v>
      </c>
      <c r="I658" s="364" t="s">
        <v>1744</v>
      </c>
      <c r="J658" s="364" t="s">
        <v>673</v>
      </c>
      <c r="K658" s="364" t="s">
        <v>668</v>
      </c>
      <c r="L658" s="364" t="s">
        <v>190</v>
      </c>
      <c r="M658" s="364" t="s">
        <v>721</v>
      </c>
      <c r="N658" s="364" t="s">
        <v>654</v>
      </c>
      <c r="O658" s="364" t="s">
        <v>653</v>
      </c>
      <c r="P658" s="364" t="s">
        <v>198</v>
      </c>
      <c r="Q658" s="364" t="s">
        <v>652</v>
      </c>
      <c r="R658" s="364" t="s">
        <v>88</v>
      </c>
      <c r="S658" s="364" t="s">
        <v>88</v>
      </c>
      <c r="T658" s="364" t="s">
        <v>88</v>
      </c>
      <c r="U658" s="364" t="s">
        <v>88</v>
      </c>
      <c r="V658" s="364" t="s">
        <v>88</v>
      </c>
      <c r="W658" s="364" t="s">
        <v>88</v>
      </c>
      <c r="X658" s="364" t="s">
        <v>88</v>
      </c>
      <c r="Y658" s="364" t="s">
        <v>88</v>
      </c>
      <c r="Z658" s="364" t="s">
        <v>720</v>
      </c>
      <c r="AA658" s="364" t="s">
        <v>649</v>
      </c>
      <c r="AB658" s="364" t="s">
        <v>2015</v>
      </c>
      <c r="AC658" s="364" t="s">
        <v>2015</v>
      </c>
      <c r="AD658" s="364" t="s">
        <v>2015</v>
      </c>
      <c r="AE658" s="364" t="s">
        <v>88</v>
      </c>
      <c r="AF658" s="364" t="s">
        <v>1416</v>
      </c>
      <c r="AG658" s="364" t="s">
        <v>1415</v>
      </c>
      <c r="AH658" s="364" t="s">
        <v>2014</v>
      </c>
      <c r="AI658" s="364" t="s">
        <v>2006</v>
      </c>
      <c r="AJ658" s="364" t="s">
        <v>1989</v>
      </c>
      <c r="AK658" s="364" t="s">
        <v>647</v>
      </c>
      <c r="AL658" s="364" t="s">
        <v>1412</v>
      </c>
      <c r="AM658" s="364" t="s">
        <v>668</v>
      </c>
      <c r="AN658" s="364" t="s">
        <v>1411</v>
      </c>
    </row>
    <row r="659" spans="1:40" x14ac:dyDescent="0.3">
      <c r="A659" s="364" t="s">
        <v>2010</v>
      </c>
      <c r="B659" s="364" t="s">
        <v>661</v>
      </c>
      <c r="C659" s="364" t="s">
        <v>1420</v>
      </c>
      <c r="D659" s="364" t="s">
        <v>90</v>
      </c>
      <c r="E659" s="364" t="s">
        <v>1994</v>
      </c>
      <c r="F659" s="364" t="s">
        <v>1971</v>
      </c>
      <c r="G659" s="364" t="s">
        <v>658</v>
      </c>
      <c r="H659" s="364" t="s">
        <v>2009</v>
      </c>
      <c r="I659" s="364" t="s">
        <v>1744</v>
      </c>
      <c r="J659" s="364" t="s">
        <v>673</v>
      </c>
      <c r="K659" s="364" t="s">
        <v>668</v>
      </c>
      <c r="L659" s="364" t="s">
        <v>190</v>
      </c>
      <c r="M659" s="364" t="s">
        <v>243</v>
      </c>
      <c r="N659" s="364" t="s">
        <v>654</v>
      </c>
      <c r="O659" s="364" t="s">
        <v>653</v>
      </c>
      <c r="P659" s="364" t="s">
        <v>198</v>
      </c>
      <c r="Q659" s="364" t="s">
        <v>652</v>
      </c>
      <c r="R659" s="364" t="s">
        <v>88</v>
      </c>
      <c r="S659" s="364" t="s">
        <v>88</v>
      </c>
      <c r="T659" s="364" t="s">
        <v>88</v>
      </c>
      <c r="U659" s="364" t="s">
        <v>88</v>
      </c>
      <c r="V659" s="364" t="s">
        <v>88</v>
      </c>
      <c r="W659" s="364" t="s">
        <v>88</v>
      </c>
      <c r="X659" s="364" t="s">
        <v>88</v>
      </c>
      <c r="Y659" s="364" t="s">
        <v>88</v>
      </c>
      <c r="Z659" s="364" t="s">
        <v>1175</v>
      </c>
      <c r="AA659" s="364" t="s">
        <v>1174</v>
      </c>
      <c r="AB659" s="364" t="s">
        <v>2013</v>
      </c>
      <c r="AC659" s="364" t="s">
        <v>2013</v>
      </c>
      <c r="AD659" s="364" t="s">
        <v>2013</v>
      </c>
      <c r="AE659" s="364" t="s">
        <v>88</v>
      </c>
      <c r="AF659" s="364" t="s">
        <v>1416</v>
      </c>
      <c r="AG659" s="364" t="s">
        <v>1415</v>
      </c>
      <c r="AH659" s="364" t="s">
        <v>2012</v>
      </c>
      <c r="AI659" s="364" t="s">
        <v>2006</v>
      </c>
      <c r="AJ659" s="364" t="s">
        <v>1989</v>
      </c>
      <c r="AK659" s="364" t="s">
        <v>647</v>
      </c>
      <c r="AL659" s="364" t="s">
        <v>1412</v>
      </c>
      <c r="AM659" s="364" t="s">
        <v>668</v>
      </c>
      <c r="AN659" s="364" t="s">
        <v>1411</v>
      </c>
    </row>
    <row r="660" spans="1:40" x14ac:dyDescent="0.3">
      <c r="A660" s="364" t="s">
        <v>2010</v>
      </c>
      <c r="B660" s="364" t="s">
        <v>661</v>
      </c>
      <c r="C660" s="364" t="s">
        <v>1420</v>
      </c>
      <c r="D660" s="364" t="s">
        <v>90</v>
      </c>
      <c r="E660" s="364" t="s">
        <v>1994</v>
      </c>
      <c r="F660" s="364" t="s">
        <v>1971</v>
      </c>
      <c r="G660" s="364" t="s">
        <v>658</v>
      </c>
      <c r="H660" s="364" t="s">
        <v>2009</v>
      </c>
      <c r="I660" s="364" t="s">
        <v>1744</v>
      </c>
      <c r="J660" s="364" t="s">
        <v>673</v>
      </c>
      <c r="K660" s="364" t="s">
        <v>668</v>
      </c>
      <c r="L660" s="364" t="s">
        <v>190</v>
      </c>
      <c r="M660" s="364" t="s">
        <v>242</v>
      </c>
      <c r="N660" s="364" t="s">
        <v>654</v>
      </c>
      <c r="O660" s="364" t="s">
        <v>653</v>
      </c>
      <c r="P660" s="364" t="s">
        <v>198</v>
      </c>
      <c r="Q660" s="364" t="s">
        <v>652</v>
      </c>
      <c r="R660" s="364" t="s">
        <v>88</v>
      </c>
      <c r="S660" s="364" t="s">
        <v>88</v>
      </c>
      <c r="T660" s="364" t="s">
        <v>88</v>
      </c>
      <c r="U660" s="364" t="s">
        <v>88</v>
      </c>
      <c r="V660" s="364" t="s">
        <v>88</v>
      </c>
      <c r="W660" s="364" t="s">
        <v>88</v>
      </c>
      <c r="X660" s="364" t="s">
        <v>88</v>
      </c>
      <c r="Y660" s="364" t="s">
        <v>88</v>
      </c>
      <c r="Z660" s="364" t="s">
        <v>1157</v>
      </c>
      <c r="AA660" s="364" t="s">
        <v>1156</v>
      </c>
      <c r="AB660" s="364" t="s">
        <v>2011</v>
      </c>
      <c r="AC660" s="364" t="s">
        <v>2011</v>
      </c>
      <c r="AD660" s="364" t="s">
        <v>2011</v>
      </c>
      <c r="AE660" s="364" t="s">
        <v>88</v>
      </c>
      <c r="AF660" s="364" t="s">
        <v>1416</v>
      </c>
      <c r="AG660" s="364" t="s">
        <v>1415</v>
      </c>
      <c r="AH660" s="364" t="s">
        <v>1414</v>
      </c>
      <c r="AI660" s="364" t="s">
        <v>2006</v>
      </c>
      <c r="AJ660" s="364" t="s">
        <v>1989</v>
      </c>
      <c r="AK660" s="364" t="s">
        <v>647</v>
      </c>
      <c r="AL660" s="364" t="s">
        <v>1412</v>
      </c>
      <c r="AM660" s="364" t="s">
        <v>668</v>
      </c>
      <c r="AN660" s="364" t="s">
        <v>1411</v>
      </c>
    </row>
    <row r="661" spans="1:40" x14ac:dyDescent="0.3">
      <c r="A661" s="364" t="s">
        <v>2010</v>
      </c>
      <c r="B661" s="364" t="s">
        <v>661</v>
      </c>
      <c r="C661" s="364" t="s">
        <v>1420</v>
      </c>
      <c r="D661" s="364" t="s">
        <v>90</v>
      </c>
      <c r="E661" s="364" t="s">
        <v>1994</v>
      </c>
      <c r="F661" s="364" t="s">
        <v>1971</v>
      </c>
      <c r="G661" s="364" t="s">
        <v>658</v>
      </c>
      <c r="H661" s="364" t="s">
        <v>2009</v>
      </c>
      <c r="I661" s="364" t="s">
        <v>1744</v>
      </c>
      <c r="J661" s="364" t="s">
        <v>673</v>
      </c>
      <c r="K661" s="364" t="s">
        <v>668</v>
      </c>
      <c r="L661" s="364" t="s">
        <v>190</v>
      </c>
      <c r="M661" s="364" t="s">
        <v>718</v>
      </c>
      <c r="N661" s="364" t="s">
        <v>654</v>
      </c>
      <c r="O661" s="364" t="s">
        <v>653</v>
      </c>
      <c r="P661" s="364" t="s">
        <v>198</v>
      </c>
      <c r="Q661" s="364" t="s">
        <v>652</v>
      </c>
      <c r="R661" s="364" t="s">
        <v>88</v>
      </c>
      <c r="S661" s="364" t="s">
        <v>88</v>
      </c>
      <c r="T661" s="364" t="s">
        <v>88</v>
      </c>
      <c r="U661" s="364" t="s">
        <v>88</v>
      </c>
      <c r="V661" s="364" t="s">
        <v>88</v>
      </c>
      <c r="W661" s="364" t="s">
        <v>88</v>
      </c>
      <c r="X661" s="364" t="s">
        <v>88</v>
      </c>
      <c r="Y661" s="364" t="s">
        <v>88</v>
      </c>
      <c r="Z661" s="364" t="s">
        <v>717</v>
      </c>
      <c r="AA661" s="364" t="s">
        <v>649</v>
      </c>
      <c r="AB661" s="364" t="s">
        <v>2008</v>
      </c>
      <c r="AC661" s="364" t="s">
        <v>2008</v>
      </c>
      <c r="AD661" s="364" t="s">
        <v>2008</v>
      </c>
      <c r="AE661" s="364" t="s">
        <v>88</v>
      </c>
      <c r="AF661" s="364" t="s">
        <v>1416</v>
      </c>
      <c r="AG661" s="364" t="s">
        <v>1415</v>
      </c>
      <c r="AH661" s="364" t="s">
        <v>2007</v>
      </c>
      <c r="AI661" s="364" t="s">
        <v>2006</v>
      </c>
      <c r="AJ661" s="364" t="s">
        <v>1989</v>
      </c>
      <c r="AK661" s="364" t="s">
        <v>647</v>
      </c>
      <c r="AL661" s="364" t="s">
        <v>1412</v>
      </c>
      <c r="AM661" s="364" t="s">
        <v>668</v>
      </c>
      <c r="AN661" s="364" t="s">
        <v>1411</v>
      </c>
    </row>
    <row r="662" spans="1:40" x14ac:dyDescent="0.3">
      <c r="A662" s="364" t="s">
        <v>2005</v>
      </c>
      <c r="B662" s="364" t="s">
        <v>661</v>
      </c>
      <c r="C662" s="364" t="s">
        <v>1160</v>
      </c>
      <c r="D662" s="364" t="s">
        <v>87</v>
      </c>
      <c r="E662" s="364" t="s">
        <v>1746</v>
      </c>
      <c r="F662" s="364" t="s">
        <v>1746</v>
      </c>
      <c r="G662" s="364" t="s">
        <v>658</v>
      </c>
      <c r="H662" s="364" t="s">
        <v>2004</v>
      </c>
      <c r="I662" s="364" t="s">
        <v>88</v>
      </c>
      <c r="J662" s="364" t="s">
        <v>88</v>
      </c>
      <c r="K662" s="364" t="s">
        <v>88</v>
      </c>
      <c r="L662" s="364" t="s">
        <v>88</v>
      </c>
      <c r="M662" s="364" t="s">
        <v>138</v>
      </c>
      <c r="N662" s="364" t="s">
        <v>654</v>
      </c>
      <c r="O662" s="364" t="s">
        <v>653</v>
      </c>
      <c r="P662" s="364" t="s">
        <v>88</v>
      </c>
      <c r="Q662" s="364" t="s">
        <v>88</v>
      </c>
      <c r="R662" s="364" t="s">
        <v>88</v>
      </c>
      <c r="S662" s="364" t="s">
        <v>88</v>
      </c>
      <c r="T662" s="364" t="s">
        <v>88</v>
      </c>
      <c r="U662" s="364" t="s">
        <v>88</v>
      </c>
      <c r="V662" s="364" t="s">
        <v>88</v>
      </c>
      <c r="W662" s="364" t="s">
        <v>88</v>
      </c>
      <c r="X662" s="364" t="s">
        <v>88</v>
      </c>
      <c r="Y662" s="364" t="s">
        <v>88</v>
      </c>
      <c r="Z662" s="364" t="s">
        <v>88</v>
      </c>
      <c r="AA662" s="364" t="s">
        <v>649</v>
      </c>
      <c r="AB662" s="364" t="s">
        <v>88</v>
      </c>
      <c r="AC662" s="364" t="s">
        <v>88</v>
      </c>
      <c r="AD662" s="364" t="s">
        <v>88</v>
      </c>
      <c r="AE662" s="364" t="s">
        <v>88</v>
      </c>
      <c r="AF662" s="364" t="s">
        <v>88</v>
      </c>
      <c r="AG662" s="364" t="s">
        <v>88</v>
      </c>
      <c r="AH662" s="364" t="s">
        <v>88</v>
      </c>
      <c r="AI662" s="364" t="s">
        <v>2003</v>
      </c>
      <c r="AJ662" s="364" t="s">
        <v>793</v>
      </c>
      <c r="AK662" s="364" t="s">
        <v>88</v>
      </c>
      <c r="AL662" s="364" t="s">
        <v>88</v>
      </c>
      <c r="AM662" s="364" t="s">
        <v>88</v>
      </c>
      <c r="AN662" s="364" t="s">
        <v>792</v>
      </c>
    </row>
    <row r="663" spans="1:40" x14ac:dyDescent="0.3">
      <c r="A663" s="364" t="s">
        <v>1999</v>
      </c>
      <c r="B663" s="364" t="s">
        <v>661</v>
      </c>
      <c r="C663" s="364" t="s">
        <v>1420</v>
      </c>
      <c r="D663" s="364" t="s">
        <v>87</v>
      </c>
      <c r="E663" s="364" t="s">
        <v>1994</v>
      </c>
      <c r="F663" s="364" t="s">
        <v>1971</v>
      </c>
      <c r="G663" s="364" t="s">
        <v>658</v>
      </c>
      <c r="H663" s="364" t="s">
        <v>1998</v>
      </c>
      <c r="I663" s="364" t="s">
        <v>1774</v>
      </c>
      <c r="J663" s="364" t="s">
        <v>673</v>
      </c>
      <c r="K663" s="364" t="s">
        <v>668</v>
      </c>
      <c r="L663" s="364" t="s">
        <v>190</v>
      </c>
      <c r="M663" s="364" t="s">
        <v>166</v>
      </c>
      <c r="N663" s="364" t="s">
        <v>654</v>
      </c>
      <c r="O663" s="364" t="s">
        <v>653</v>
      </c>
      <c r="P663" s="364" t="s">
        <v>198</v>
      </c>
      <c r="Q663" s="364" t="s">
        <v>652</v>
      </c>
      <c r="R663" s="364" t="s">
        <v>88</v>
      </c>
      <c r="S663" s="364" t="s">
        <v>88</v>
      </c>
      <c r="T663" s="364" t="s">
        <v>88</v>
      </c>
      <c r="U663" s="364" t="s">
        <v>88</v>
      </c>
      <c r="V663" s="364" t="s">
        <v>88</v>
      </c>
      <c r="W663" s="364" t="s">
        <v>88</v>
      </c>
      <c r="X663" s="364" t="s">
        <v>88</v>
      </c>
      <c r="Y663" s="364" t="s">
        <v>88</v>
      </c>
      <c r="Z663" s="364" t="s">
        <v>877</v>
      </c>
      <c r="AA663" s="364" t="s">
        <v>876</v>
      </c>
      <c r="AB663" s="364" t="s">
        <v>2002</v>
      </c>
      <c r="AC663" s="364" t="s">
        <v>2002</v>
      </c>
      <c r="AD663" s="364" t="s">
        <v>2002</v>
      </c>
      <c r="AE663" s="364" t="s">
        <v>88</v>
      </c>
      <c r="AF663" s="364" t="s">
        <v>1416</v>
      </c>
      <c r="AG663" s="364" t="s">
        <v>1415</v>
      </c>
      <c r="AH663" s="364" t="s">
        <v>1456</v>
      </c>
      <c r="AI663" s="364" t="s">
        <v>1996</v>
      </c>
      <c r="AJ663" s="364" t="s">
        <v>1989</v>
      </c>
      <c r="AK663" s="364" t="s">
        <v>669</v>
      </c>
      <c r="AL663" s="364" t="s">
        <v>1412</v>
      </c>
      <c r="AM663" s="364" t="s">
        <v>668</v>
      </c>
      <c r="AN663" s="364" t="s">
        <v>1411</v>
      </c>
    </row>
    <row r="664" spans="1:40" x14ac:dyDescent="0.3">
      <c r="A664" s="364" t="s">
        <v>1999</v>
      </c>
      <c r="B664" s="364" t="s">
        <v>661</v>
      </c>
      <c r="C664" s="364" t="s">
        <v>1420</v>
      </c>
      <c r="D664" s="364" t="s">
        <v>87</v>
      </c>
      <c r="E664" s="364" t="s">
        <v>1994</v>
      </c>
      <c r="F664" s="364" t="s">
        <v>1971</v>
      </c>
      <c r="G664" s="364" t="s">
        <v>658</v>
      </c>
      <c r="H664" s="364" t="s">
        <v>1998</v>
      </c>
      <c r="I664" s="364" t="s">
        <v>1774</v>
      </c>
      <c r="J664" s="364" t="s">
        <v>673</v>
      </c>
      <c r="K664" s="364" t="s">
        <v>668</v>
      </c>
      <c r="L664" s="364" t="s">
        <v>190</v>
      </c>
      <c r="M664" s="364" t="s">
        <v>60</v>
      </c>
      <c r="N664" s="364" t="s">
        <v>654</v>
      </c>
      <c r="O664" s="364" t="s">
        <v>653</v>
      </c>
      <c r="P664" s="364" t="s">
        <v>198</v>
      </c>
      <c r="Q664" s="364" t="s">
        <v>652</v>
      </c>
      <c r="R664" s="364" t="s">
        <v>88</v>
      </c>
      <c r="S664" s="364" t="s">
        <v>88</v>
      </c>
      <c r="T664" s="364" t="s">
        <v>88</v>
      </c>
      <c r="U664" s="364" t="s">
        <v>88</v>
      </c>
      <c r="V664" s="364" t="s">
        <v>88</v>
      </c>
      <c r="W664" s="364" t="s">
        <v>88</v>
      </c>
      <c r="X664" s="364" t="s">
        <v>88</v>
      </c>
      <c r="Y664" s="364" t="s">
        <v>88</v>
      </c>
      <c r="Z664" s="364" t="s">
        <v>709</v>
      </c>
      <c r="AA664" s="364" t="s">
        <v>708</v>
      </c>
      <c r="AB664" s="364" t="s">
        <v>1462</v>
      </c>
      <c r="AC664" s="364" t="s">
        <v>1462</v>
      </c>
      <c r="AD664" s="364" t="s">
        <v>1462</v>
      </c>
      <c r="AE664" s="364" t="s">
        <v>88</v>
      </c>
      <c r="AF664" s="364" t="s">
        <v>1416</v>
      </c>
      <c r="AG664" s="364" t="s">
        <v>1415</v>
      </c>
      <c r="AH664" s="364" t="s">
        <v>1461</v>
      </c>
      <c r="AI664" s="364" t="s">
        <v>1996</v>
      </c>
      <c r="AJ664" s="364" t="s">
        <v>1989</v>
      </c>
      <c r="AK664" s="364" t="s">
        <v>669</v>
      </c>
      <c r="AL664" s="364" t="s">
        <v>1412</v>
      </c>
      <c r="AM664" s="364" t="s">
        <v>668</v>
      </c>
      <c r="AN664" s="364" t="s">
        <v>1411</v>
      </c>
    </row>
    <row r="665" spans="1:40" x14ac:dyDescent="0.3">
      <c r="A665" s="364" t="s">
        <v>1999</v>
      </c>
      <c r="B665" s="364" t="s">
        <v>661</v>
      </c>
      <c r="C665" s="364" t="s">
        <v>1420</v>
      </c>
      <c r="D665" s="364" t="s">
        <v>87</v>
      </c>
      <c r="E665" s="364" t="s">
        <v>1994</v>
      </c>
      <c r="F665" s="364" t="s">
        <v>1971</v>
      </c>
      <c r="G665" s="364" t="s">
        <v>658</v>
      </c>
      <c r="H665" s="364" t="s">
        <v>1998</v>
      </c>
      <c r="I665" s="364" t="s">
        <v>1774</v>
      </c>
      <c r="J665" s="364" t="s">
        <v>198</v>
      </c>
      <c r="K665" s="364" t="s">
        <v>645</v>
      </c>
      <c r="L665" s="364" t="s">
        <v>188</v>
      </c>
      <c r="M665" s="364" t="s">
        <v>696</v>
      </c>
      <c r="N665" s="364" t="s">
        <v>654</v>
      </c>
      <c r="O665" s="364" t="s">
        <v>653</v>
      </c>
      <c r="P665" s="364" t="s">
        <v>198</v>
      </c>
      <c r="Q665" s="364" t="s">
        <v>652</v>
      </c>
      <c r="R665" s="364" t="s">
        <v>88</v>
      </c>
      <c r="S665" s="364" t="s">
        <v>88</v>
      </c>
      <c r="T665" s="364" t="s">
        <v>88</v>
      </c>
      <c r="U665" s="364" t="s">
        <v>88</v>
      </c>
      <c r="V665" s="364" t="s">
        <v>88</v>
      </c>
      <c r="W665" s="364" t="s">
        <v>88</v>
      </c>
      <c r="X665" s="364" t="s">
        <v>88</v>
      </c>
      <c r="Y665" s="364" t="s">
        <v>88</v>
      </c>
      <c r="Z665" s="364" t="s">
        <v>695</v>
      </c>
      <c r="AA665" s="364" t="s">
        <v>694</v>
      </c>
      <c r="AB665" s="364" t="s">
        <v>2001</v>
      </c>
      <c r="AC665" s="364" t="s">
        <v>2001</v>
      </c>
      <c r="AD665" s="364" t="s">
        <v>2001</v>
      </c>
      <c r="AE665" s="364" t="s">
        <v>88</v>
      </c>
      <c r="AF665" s="364" t="s">
        <v>1416</v>
      </c>
      <c r="AG665" s="364" t="s">
        <v>1415</v>
      </c>
      <c r="AH665" s="364" t="s">
        <v>1456</v>
      </c>
      <c r="AI665" s="364" t="s">
        <v>1996</v>
      </c>
      <c r="AJ665" s="364" t="s">
        <v>1989</v>
      </c>
      <c r="AK665" s="364" t="s">
        <v>669</v>
      </c>
      <c r="AL665" s="364" t="s">
        <v>1412</v>
      </c>
      <c r="AM665" s="364" t="s">
        <v>645</v>
      </c>
      <c r="AN665" s="364" t="s">
        <v>1411</v>
      </c>
    </row>
    <row r="666" spans="1:40" x14ac:dyDescent="0.3">
      <c r="A666" s="364" t="s">
        <v>1999</v>
      </c>
      <c r="B666" s="364" t="s">
        <v>661</v>
      </c>
      <c r="C666" s="364" t="s">
        <v>1420</v>
      </c>
      <c r="D666" s="364" t="s">
        <v>87</v>
      </c>
      <c r="E666" s="364" t="s">
        <v>1994</v>
      </c>
      <c r="F666" s="364" t="s">
        <v>1971</v>
      </c>
      <c r="G666" s="364" t="s">
        <v>658</v>
      </c>
      <c r="H666" s="364" t="s">
        <v>1998</v>
      </c>
      <c r="I666" s="364" t="s">
        <v>1774</v>
      </c>
      <c r="J666" s="364" t="s">
        <v>673</v>
      </c>
      <c r="K666" s="364" t="s">
        <v>668</v>
      </c>
      <c r="L666" s="364" t="s">
        <v>190</v>
      </c>
      <c r="M666" s="364" t="s">
        <v>58</v>
      </c>
      <c r="N666" s="364" t="s">
        <v>654</v>
      </c>
      <c r="O666" s="364" t="s">
        <v>653</v>
      </c>
      <c r="P666" s="364" t="s">
        <v>198</v>
      </c>
      <c r="Q666" s="364" t="s">
        <v>652</v>
      </c>
      <c r="R666" s="364" t="s">
        <v>88</v>
      </c>
      <c r="S666" s="364" t="s">
        <v>88</v>
      </c>
      <c r="T666" s="364" t="s">
        <v>88</v>
      </c>
      <c r="U666" s="364" t="s">
        <v>88</v>
      </c>
      <c r="V666" s="364" t="s">
        <v>88</v>
      </c>
      <c r="W666" s="364" t="s">
        <v>88</v>
      </c>
      <c r="X666" s="364" t="s">
        <v>88</v>
      </c>
      <c r="Y666" s="364" t="s">
        <v>88</v>
      </c>
      <c r="Z666" s="364" t="s">
        <v>702</v>
      </c>
      <c r="AA666" s="364" t="s">
        <v>701</v>
      </c>
      <c r="AB666" s="364" t="s">
        <v>2000</v>
      </c>
      <c r="AC666" s="364" t="s">
        <v>2000</v>
      </c>
      <c r="AD666" s="364" t="s">
        <v>2000</v>
      </c>
      <c r="AE666" s="364" t="s">
        <v>88</v>
      </c>
      <c r="AF666" s="364" t="s">
        <v>1416</v>
      </c>
      <c r="AG666" s="364" t="s">
        <v>1415</v>
      </c>
      <c r="AH666" s="364" t="s">
        <v>1456</v>
      </c>
      <c r="AI666" s="364" t="s">
        <v>1996</v>
      </c>
      <c r="AJ666" s="364" t="s">
        <v>1989</v>
      </c>
      <c r="AK666" s="364" t="s">
        <v>669</v>
      </c>
      <c r="AL666" s="364" t="s">
        <v>1412</v>
      </c>
      <c r="AM666" s="364" t="s">
        <v>668</v>
      </c>
      <c r="AN666" s="364" t="s">
        <v>1411</v>
      </c>
    </row>
    <row r="667" spans="1:40" x14ac:dyDescent="0.3">
      <c r="A667" s="364" t="s">
        <v>1999</v>
      </c>
      <c r="B667" s="364" t="s">
        <v>661</v>
      </c>
      <c r="C667" s="364" t="s">
        <v>1420</v>
      </c>
      <c r="D667" s="364" t="s">
        <v>87</v>
      </c>
      <c r="E667" s="364" t="s">
        <v>1994</v>
      </c>
      <c r="F667" s="364" t="s">
        <v>1971</v>
      </c>
      <c r="G667" s="364" t="s">
        <v>658</v>
      </c>
      <c r="H667" s="364" t="s">
        <v>1998</v>
      </c>
      <c r="I667" s="364" t="s">
        <v>1774</v>
      </c>
      <c r="J667" s="364" t="s">
        <v>673</v>
      </c>
      <c r="K667" s="364" t="s">
        <v>668</v>
      </c>
      <c r="L667" s="364" t="s">
        <v>190</v>
      </c>
      <c r="M667" s="364" t="s">
        <v>59</v>
      </c>
      <c r="N667" s="364" t="s">
        <v>654</v>
      </c>
      <c r="O667" s="364" t="s">
        <v>653</v>
      </c>
      <c r="P667" s="364" t="s">
        <v>198</v>
      </c>
      <c r="Q667" s="364" t="s">
        <v>652</v>
      </c>
      <c r="R667" s="364" t="s">
        <v>88</v>
      </c>
      <c r="S667" s="364" t="s">
        <v>88</v>
      </c>
      <c r="T667" s="364" t="s">
        <v>88</v>
      </c>
      <c r="U667" s="364" t="s">
        <v>88</v>
      </c>
      <c r="V667" s="364" t="s">
        <v>88</v>
      </c>
      <c r="W667" s="364" t="s">
        <v>88</v>
      </c>
      <c r="X667" s="364" t="s">
        <v>88</v>
      </c>
      <c r="Y667" s="364" t="s">
        <v>88</v>
      </c>
      <c r="Z667" s="364" t="s">
        <v>672</v>
      </c>
      <c r="AA667" s="364" t="s">
        <v>671</v>
      </c>
      <c r="AB667" s="364" t="s">
        <v>1997</v>
      </c>
      <c r="AC667" s="364" t="s">
        <v>1997</v>
      </c>
      <c r="AD667" s="364" t="s">
        <v>1997</v>
      </c>
      <c r="AE667" s="364" t="s">
        <v>88</v>
      </c>
      <c r="AF667" s="364" t="s">
        <v>1416</v>
      </c>
      <c r="AG667" s="364" t="s">
        <v>1415</v>
      </c>
      <c r="AH667" s="364" t="s">
        <v>1456</v>
      </c>
      <c r="AI667" s="364" t="s">
        <v>1996</v>
      </c>
      <c r="AJ667" s="364" t="s">
        <v>1989</v>
      </c>
      <c r="AK667" s="364" t="s">
        <v>669</v>
      </c>
      <c r="AL667" s="364" t="s">
        <v>1412</v>
      </c>
      <c r="AM667" s="364" t="s">
        <v>668</v>
      </c>
      <c r="AN667" s="364" t="s">
        <v>1411</v>
      </c>
    </row>
    <row r="668" spans="1:40" x14ac:dyDescent="0.3">
      <c r="A668" s="364" t="s">
        <v>1995</v>
      </c>
      <c r="B668" s="364" t="s">
        <v>661</v>
      </c>
      <c r="C668" s="364" t="s">
        <v>1420</v>
      </c>
      <c r="D668" s="364" t="s">
        <v>170</v>
      </c>
      <c r="E668" s="364" t="s">
        <v>1994</v>
      </c>
      <c r="F668" s="364" t="s">
        <v>1971</v>
      </c>
      <c r="G668" s="364" t="s">
        <v>658</v>
      </c>
      <c r="H668" s="364" t="s">
        <v>1993</v>
      </c>
      <c r="I668" s="364" t="s">
        <v>1774</v>
      </c>
      <c r="J668" s="364" t="s">
        <v>673</v>
      </c>
      <c r="K668" s="364" t="s">
        <v>668</v>
      </c>
      <c r="L668" s="364" t="s">
        <v>190</v>
      </c>
      <c r="M668" s="364" t="s">
        <v>164</v>
      </c>
      <c r="N668" s="364" t="s">
        <v>654</v>
      </c>
      <c r="O668" s="364" t="s">
        <v>653</v>
      </c>
      <c r="P668" s="364" t="s">
        <v>198</v>
      </c>
      <c r="Q668" s="364" t="s">
        <v>652</v>
      </c>
      <c r="R668" s="364" t="s">
        <v>88</v>
      </c>
      <c r="S668" s="364" t="s">
        <v>88</v>
      </c>
      <c r="T668" s="364" t="s">
        <v>88</v>
      </c>
      <c r="U668" s="364" t="s">
        <v>88</v>
      </c>
      <c r="V668" s="364" t="s">
        <v>88</v>
      </c>
      <c r="W668" s="364" t="s">
        <v>88</v>
      </c>
      <c r="X668" s="364" t="s">
        <v>88</v>
      </c>
      <c r="Y668" s="364" t="s">
        <v>88</v>
      </c>
      <c r="Z668" s="364" t="s">
        <v>825</v>
      </c>
      <c r="AA668" s="364" t="s">
        <v>649</v>
      </c>
      <c r="AB668" s="364" t="s">
        <v>1992</v>
      </c>
      <c r="AC668" s="364" t="s">
        <v>1992</v>
      </c>
      <c r="AD668" s="364" t="s">
        <v>1992</v>
      </c>
      <c r="AE668" s="364" t="s">
        <v>88</v>
      </c>
      <c r="AF668" s="364" t="s">
        <v>1416</v>
      </c>
      <c r="AG668" s="364" t="s">
        <v>1415</v>
      </c>
      <c r="AH668" s="364" t="s">
        <v>1991</v>
      </c>
      <c r="AI668" s="364" t="s">
        <v>1990</v>
      </c>
      <c r="AJ668" s="364" t="s">
        <v>1989</v>
      </c>
      <c r="AK668" s="364" t="s">
        <v>669</v>
      </c>
      <c r="AL668" s="364" t="s">
        <v>1412</v>
      </c>
      <c r="AM668" s="364" t="s">
        <v>668</v>
      </c>
      <c r="AN668" s="364" t="s">
        <v>1411</v>
      </c>
    </row>
    <row r="669" spans="1:40" x14ac:dyDescent="0.3">
      <c r="A669" s="364" t="s">
        <v>1988</v>
      </c>
      <c r="B669" s="364" t="s">
        <v>661</v>
      </c>
      <c r="C669" s="364" t="s">
        <v>1160</v>
      </c>
      <c r="D669" s="364" t="s">
        <v>87</v>
      </c>
      <c r="E669" s="364" t="s">
        <v>1746</v>
      </c>
      <c r="F669" s="364" t="s">
        <v>1746</v>
      </c>
      <c r="G669" s="364" t="s">
        <v>658</v>
      </c>
      <c r="H669" s="364" t="s">
        <v>1987</v>
      </c>
      <c r="I669" s="364" t="s">
        <v>88</v>
      </c>
      <c r="J669" s="364" t="s">
        <v>88</v>
      </c>
      <c r="K669" s="364" t="s">
        <v>88</v>
      </c>
      <c r="L669" s="364" t="s">
        <v>88</v>
      </c>
      <c r="M669" s="364" t="s">
        <v>138</v>
      </c>
      <c r="N669" s="364" t="s">
        <v>654</v>
      </c>
      <c r="O669" s="364" t="s">
        <v>653</v>
      </c>
      <c r="P669" s="364" t="s">
        <v>88</v>
      </c>
      <c r="Q669" s="364" t="s">
        <v>88</v>
      </c>
      <c r="R669" s="364" t="s">
        <v>88</v>
      </c>
      <c r="S669" s="364" t="s">
        <v>88</v>
      </c>
      <c r="T669" s="364" t="s">
        <v>88</v>
      </c>
      <c r="U669" s="364" t="s">
        <v>88</v>
      </c>
      <c r="V669" s="364" t="s">
        <v>88</v>
      </c>
      <c r="W669" s="364" t="s">
        <v>88</v>
      </c>
      <c r="X669" s="364" t="s">
        <v>88</v>
      </c>
      <c r="Y669" s="364" t="s">
        <v>88</v>
      </c>
      <c r="Z669" s="364" t="s">
        <v>88</v>
      </c>
      <c r="AA669" s="364" t="s">
        <v>649</v>
      </c>
      <c r="AB669" s="364" t="s">
        <v>88</v>
      </c>
      <c r="AC669" s="364" t="s">
        <v>88</v>
      </c>
      <c r="AD669" s="364" t="s">
        <v>88</v>
      </c>
      <c r="AE669" s="364" t="s">
        <v>88</v>
      </c>
      <c r="AF669" s="364" t="s">
        <v>88</v>
      </c>
      <c r="AG669" s="364" t="s">
        <v>88</v>
      </c>
      <c r="AH669" s="364" t="s">
        <v>88</v>
      </c>
      <c r="AI669" s="364" t="s">
        <v>1986</v>
      </c>
      <c r="AJ669" s="364" t="s">
        <v>793</v>
      </c>
      <c r="AK669" s="364" t="s">
        <v>88</v>
      </c>
      <c r="AL669" s="364" t="s">
        <v>88</v>
      </c>
      <c r="AM669" s="364" t="s">
        <v>88</v>
      </c>
      <c r="AN669" s="364" t="s">
        <v>792</v>
      </c>
    </row>
    <row r="670" spans="1:40" x14ac:dyDescent="0.3">
      <c r="A670" s="364" t="s">
        <v>1985</v>
      </c>
      <c r="B670" s="364" t="s">
        <v>661</v>
      </c>
      <c r="C670" s="364" t="s">
        <v>1160</v>
      </c>
      <c r="D670" s="364" t="s">
        <v>87</v>
      </c>
      <c r="E670" s="364" t="s">
        <v>1746</v>
      </c>
      <c r="F670" s="364" t="s">
        <v>1746</v>
      </c>
      <c r="G670" s="364" t="s">
        <v>658</v>
      </c>
      <c r="H670" s="364" t="s">
        <v>1984</v>
      </c>
      <c r="I670" s="364" t="s">
        <v>88</v>
      </c>
      <c r="J670" s="364" t="s">
        <v>88</v>
      </c>
      <c r="K670" s="364" t="s">
        <v>88</v>
      </c>
      <c r="L670" s="364" t="s">
        <v>88</v>
      </c>
      <c r="M670" s="364" t="s">
        <v>138</v>
      </c>
      <c r="N670" s="364" t="s">
        <v>654</v>
      </c>
      <c r="O670" s="364" t="s">
        <v>653</v>
      </c>
      <c r="P670" s="364" t="s">
        <v>88</v>
      </c>
      <c r="Q670" s="364" t="s">
        <v>88</v>
      </c>
      <c r="R670" s="364" t="s">
        <v>88</v>
      </c>
      <c r="S670" s="364" t="s">
        <v>88</v>
      </c>
      <c r="T670" s="364" t="s">
        <v>88</v>
      </c>
      <c r="U670" s="364" t="s">
        <v>88</v>
      </c>
      <c r="V670" s="364" t="s">
        <v>88</v>
      </c>
      <c r="W670" s="364" t="s">
        <v>88</v>
      </c>
      <c r="X670" s="364" t="s">
        <v>88</v>
      </c>
      <c r="Y670" s="364" t="s">
        <v>88</v>
      </c>
      <c r="Z670" s="364" t="s">
        <v>88</v>
      </c>
      <c r="AA670" s="364" t="s">
        <v>649</v>
      </c>
      <c r="AB670" s="364" t="s">
        <v>88</v>
      </c>
      <c r="AC670" s="364" t="s">
        <v>88</v>
      </c>
      <c r="AD670" s="364" t="s">
        <v>88</v>
      </c>
      <c r="AE670" s="364" t="s">
        <v>88</v>
      </c>
      <c r="AF670" s="364" t="s">
        <v>88</v>
      </c>
      <c r="AG670" s="364" t="s">
        <v>88</v>
      </c>
      <c r="AH670" s="364" t="s">
        <v>88</v>
      </c>
      <c r="AI670" s="364" t="s">
        <v>1983</v>
      </c>
      <c r="AJ670" s="364" t="s">
        <v>793</v>
      </c>
      <c r="AK670" s="364" t="s">
        <v>88</v>
      </c>
      <c r="AL670" s="364" t="s">
        <v>88</v>
      </c>
      <c r="AM670" s="364" t="s">
        <v>88</v>
      </c>
      <c r="AN670" s="364" t="s">
        <v>792</v>
      </c>
    </row>
    <row r="671" spans="1:40" x14ac:dyDescent="0.3">
      <c r="A671" s="364" t="s">
        <v>1982</v>
      </c>
      <c r="B671" s="364" t="s">
        <v>661</v>
      </c>
      <c r="C671" s="364" t="s">
        <v>1160</v>
      </c>
      <c r="D671" s="364" t="s">
        <v>87</v>
      </c>
      <c r="E671" s="364" t="s">
        <v>1746</v>
      </c>
      <c r="F671" s="364" t="s">
        <v>1746</v>
      </c>
      <c r="G671" s="364" t="s">
        <v>658</v>
      </c>
      <c r="H671" s="364" t="s">
        <v>1981</v>
      </c>
      <c r="I671" s="364" t="s">
        <v>88</v>
      </c>
      <c r="J671" s="364" t="s">
        <v>88</v>
      </c>
      <c r="K671" s="364" t="s">
        <v>88</v>
      </c>
      <c r="L671" s="364" t="s">
        <v>88</v>
      </c>
      <c r="M671" s="364" t="s">
        <v>138</v>
      </c>
      <c r="N671" s="364" t="s">
        <v>654</v>
      </c>
      <c r="O671" s="364" t="s">
        <v>653</v>
      </c>
      <c r="P671" s="364" t="s">
        <v>88</v>
      </c>
      <c r="Q671" s="364" t="s">
        <v>88</v>
      </c>
      <c r="R671" s="364" t="s">
        <v>88</v>
      </c>
      <c r="S671" s="364" t="s">
        <v>88</v>
      </c>
      <c r="T671" s="364" t="s">
        <v>88</v>
      </c>
      <c r="U671" s="364" t="s">
        <v>88</v>
      </c>
      <c r="V671" s="364" t="s">
        <v>88</v>
      </c>
      <c r="W671" s="364" t="s">
        <v>88</v>
      </c>
      <c r="X671" s="364" t="s">
        <v>88</v>
      </c>
      <c r="Y671" s="364" t="s">
        <v>88</v>
      </c>
      <c r="Z671" s="364" t="s">
        <v>88</v>
      </c>
      <c r="AA671" s="364" t="s">
        <v>649</v>
      </c>
      <c r="AB671" s="364" t="s">
        <v>88</v>
      </c>
      <c r="AC671" s="364" t="s">
        <v>88</v>
      </c>
      <c r="AD671" s="364" t="s">
        <v>88</v>
      </c>
      <c r="AE671" s="364" t="s">
        <v>88</v>
      </c>
      <c r="AF671" s="364" t="s">
        <v>88</v>
      </c>
      <c r="AG671" s="364" t="s">
        <v>88</v>
      </c>
      <c r="AH671" s="364" t="s">
        <v>88</v>
      </c>
      <c r="AI671" s="364" t="s">
        <v>1980</v>
      </c>
      <c r="AJ671" s="364" t="s">
        <v>793</v>
      </c>
      <c r="AK671" s="364" t="s">
        <v>88</v>
      </c>
      <c r="AL671" s="364" t="s">
        <v>88</v>
      </c>
      <c r="AM671" s="364" t="s">
        <v>88</v>
      </c>
      <c r="AN671" s="364" t="s">
        <v>792</v>
      </c>
    </row>
    <row r="672" spans="1:40" x14ac:dyDescent="0.3">
      <c r="A672" s="364" t="s">
        <v>1979</v>
      </c>
      <c r="B672" s="364" t="s">
        <v>661</v>
      </c>
      <c r="C672" s="364" t="s">
        <v>677</v>
      </c>
      <c r="D672" s="364" t="s">
        <v>90</v>
      </c>
      <c r="E672" s="364" t="s">
        <v>1978</v>
      </c>
      <c r="F672" s="364" t="s">
        <v>1978</v>
      </c>
      <c r="G672" s="364" t="s">
        <v>658</v>
      </c>
      <c r="H672" s="364" t="s">
        <v>1977</v>
      </c>
      <c r="I672" s="364" t="s">
        <v>1976</v>
      </c>
      <c r="J672" s="364" t="s">
        <v>673</v>
      </c>
      <c r="K672" s="364" t="s">
        <v>668</v>
      </c>
      <c r="L672" s="364" t="s">
        <v>190</v>
      </c>
      <c r="M672" s="364" t="s">
        <v>250</v>
      </c>
      <c r="N672" s="364" t="s">
        <v>654</v>
      </c>
      <c r="O672" s="364" t="s">
        <v>653</v>
      </c>
      <c r="P672" s="364" t="s">
        <v>198</v>
      </c>
      <c r="Q672" s="364" t="s">
        <v>652</v>
      </c>
      <c r="R672" s="364" t="s">
        <v>88</v>
      </c>
      <c r="S672" s="364" t="s">
        <v>88</v>
      </c>
      <c r="T672" s="364" t="s">
        <v>88</v>
      </c>
      <c r="U672" s="364" t="s">
        <v>88</v>
      </c>
      <c r="V672" s="364" t="s">
        <v>88</v>
      </c>
      <c r="W672" s="364" t="s">
        <v>88</v>
      </c>
      <c r="X672" s="364" t="s">
        <v>88</v>
      </c>
      <c r="Y672" s="364" t="s">
        <v>88</v>
      </c>
      <c r="Z672" s="364" t="s">
        <v>1821</v>
      </c>
      <c r="AA672" s="364" t="s">
        <v>649</v>
      </c>
      <c r="AB672" s="364" t="s">
        <v>649</v>
      </c>
      <c r="AC672" s="364" t="s">
        <v>649</v>
      </c>
      <c r="AD672" s="364" t="s">
        <v>88</v>
      </c>
      <c r="AE672" s="364" t="s">
        <v>88</v>
      </c>
      <c r="AF672" s="364" t="s">
        <v>88</v>
      </c>
      <c r="AG672" s="364" t="s">
        <v>88</v>
      </c>
      <c r="AH672" s="364" t="s">
        <v>88</v>
      </c>
      <c r="AI672" s="364" t="s">
        <v>1155</v>
      </c>
      <c r="AJ672" s="364" t="s">
        <v>710</v>
      </c>
      <c r="AK672" s="364" t="s">
        <v>647</v>
      </c>
      <c r="AL672" s="364" t="s">
        <v>88</v>
      </c>
      <c r="AM672" s="364" t="s">
        <v>668</v>
      </c>
      <c r="AN672" s="364" t="s">
        <v>644</v>
      </c>
    </row>
    <row r="673" spans="1:40" x14ac:dyDescent="0.3">
      <c r="A673" s="364" t="s">
        <v>1979</v>
      </c>
      <c r="B673" s="364" t="s">
        <v>661</v>
      </c>
      <c r="C673" s="364" t="s">
        <v>677</v>
      </c>
      <c r="D673" s="364" t="s">
        <v>90</v>
      </c>
      <c r="E673" s="364" t="s">
        <v>1978</v>
      </c>
      <c r="F673" s="364" t="s">
        <v>1978</v>
      </c>
      <c r="G673" s="364" t="s">
        <v>658</v>
      </c>
      <c r="H673" s="364" t="s">
        <v>1977</v>
      </c>
      <c r="I673" s="364" t="s">
        <v>1976</v>
      </c>
      <c r="J673" s="364" t="s">
        <v>673</v>
      </c>
      <c r="K673" s="364" t="s">
        <v>668</v>
      </c>
      <c r="L673" s="364" t="s">
        <v>190</v>
      </c>
      <c r="M673" s="364" t="s">
        <v>713</v>
      </c>
      <c r="N673" s="364" t="s">
        <v>654</v>
      </c>
      <c r="O673" s="364" t="s">
        <v>653</v>
      </c>
      <c r="P673" s="364" t="s">
        <v>198</v>
      </c>
      <c r="Q673" s="364" t="s">
        <v>652</v>
      </c>
      <c r="R673" s="364" t="s">
        <v>88</v>
      </c>
      <c r="S673" s="364" t="s">
        <v>88</v>
      </c>
      <c r="T673" s="364" t="s">
        <v>88</v>
      </c>
      <c r="U673" s="364" t="s">
        <v>88</v>
      </c>
      <c r="V673" s="364" t="s">
        <v>88</v>
      </c>
      <c r="W673" s="364" t="s">
        <v>88</v>
      </c>
      <c r="X673" s="364" t="s">
        <v>88</v>
      </c>
      <c r="Y673" s="364" t="s">
        <v>88</v>
      </c>
      <c r="Z673" s="364" t="s">
        <v>712</v>
      </c>
      <c r="AA673" s="364" t="s">
        <v>711</v>
      </c>
      <c r="AB673" s="364" t="s">
        <v>649</v>
      </c>
      <c r="AC673" s="364" t="s">
        <v>649</v>
      </c>
      <c r="AD673" s="364" t="s">
        <v>88</v>
      </c>
      <c r="AE673" s="364" t="s">
        <v>88</v>
      </c>
      <c r="AF673" s="364" t="s">
        <v>88</v>
      </c>
      <c r="AG673" s="364" t="s">
        <v>88</v>
      </c>
      <c r="AH673" s="364" t="s">
        <v>88</v>
      </c>
      <c r="AI673" s="364" t="s">
        <v>1155</v>
      </c>
      <c r="AJ673" s="364" t="s">
        <v>710</v>
      </c>
      <c r="AK673" s="364" t="s">
        <v>647</v>
      </c>
      <c r="AL673" s="364" t="s">
        <v>88</v>
      </c>
      <c r="AM673" s="364" t="s">
        <v>668</v>
      </c>
      <c r="AN673" s="364" t="s">
        <v>644</v>
      </c>
    </row>
    <row r="674" spans="1:40" x14ac:dyDescent="0.3">
      <c r="A674" s="364" t="s">
        <v>1979</v>
      </c>
      <c r="B674" s="364" t="s">
        <v>661</v>
      </c>
      <c r="C674" s="364" t="s">
        <v>677</v>
      </c>
      <c r="D674" s="364" t="s">
        <v>90</v>
      </c>
      <c r="E674" s="364" t="s">
        <v>1978</v>
      </c>
      <c r="F674" s="364" t="s">
        <v>1978</v>
      </c>
      <c r="G674" s="364" t="s">
        <v>658</v>
      </c>
      <c r="H674" s="364" t="s">
        <v>1977</v>
      </c>
      <c r="I674" s="364" t="s">
        <v>1976</v>
      </c>
      <c r="J674" s="364" t="s">
        <v>673</v>
      </c>
      <c r="K674" s="364" t="s">
        <v>668</v>
      </c>
      <c r="L674" s="364" t="s">
        <v>190</v>
      </c>
      <c r="M674" s="364" t="s">
        <v>718</v>
      </c>
      <c r="N674" s="364" t="s">
        <v>654</v>
      </c>
      <c r="O674" s="364" t="s">
        <v>653</v>
      </c>
      <c r="P674" s="364" t="s">
        <v>198</v>
      </c>
      <c r="Q674" s="364" t="s">
        <v>652</v>
      </c>
      <c r="R674" s="364" t="s">
        <v>88</v>
      </c>
      <c r="S674" s="364" t="s">
        <v>88</v>
      </c>
      <c r="T674" s="364" t="s">
        <v>88</v>
      </c>
      <c r="U674" s="364" t="s">
        <v>88</v>
      </c>
      <c r="V674" s="364" t="s">
        <v>88</v>
      </c>
      <c r="W674" s="364" t="s">
        <v>88</v>
      </c>
      <c r="X674" s="364" t="s">
        <v>88</v>
      </c>
      <c r="Y674" s="364" t="s">
        <v>88</v>
      </c>
      <c r="Z674" s="364" t="s">
        <v>717</v>
      </c>
      <c r="AA674" s="364" t="s">
        <v>649</v>
      </c>
      <c r="AB674" s="364" t="s">
        <v>649</v>
      </c>
      <c r="AC674" s="364" t="s">
        <v>649</v>
      </c>
      <c r="AD674" s="364" t="s">
        <v>88</v>
      </c>
      <c r="AE674" s="364" t="s">
        <v>88</v>
      </c>
      <c r="AF674" s="364" t="s">
        <v>88</v>
      </c>
      <c r="AG674" s="364" t="s">
        <v>88</v>
      </c>
      <c r="AH674" s="364" t="s">
        <v>88</v>
      </c>
      <c r="AI674" s="364" t="s">
        <v>1155</v>
      </c>
      <c r="AJ674" s="364" t="s">
        <v>710</v>
      </c>
      <c r="AK674" s="364" t="s">
        <v>647</v>
      </c>
      <c r="AL674" s="364" t="s">
        <v>88</v>
      </c>
      <c r="AM674" s="364" t="s">
        <v>668</v>
      </c>
      <c r="AN674" s="364" t="s">
        <v>644</v>
      </c>
    </row>
    <row r="675" spans="1:40" x14ac:dyDescent="0.3">
      <c r="A675" s="364" t="s">
        <v>1979</v>
      </c>
      <c r="B675" s="364" t="s">
        <v>661</v>
      </c>
      <c r="C675" s="364" t="s">
        <v>677</v>
      </c>
      <c r="D675" s="364" t="s">
        <v>90</v>
      </c>
      <c r="E675" s="364" t="s">
        <v>1978</v>
      </c>
      <c r="F675" s="364" t="s">
        <v>1978</v>
      </c>
      <c r="G675" s="364" t="s">
        <v>658</v>
      </c>
      <c r="H675" s="364" t="s">
        <v>1977</v>
      </c>
      <c r="I675" s="364" t="s">
        <v>1976</v>
      </c>
      <c r="J675" s="364" t="s">
        <v>673</v>
      </c>
      <c r="K675" s="364" t="s">
        <v>668</v>
      </c>
      <c r="L675" s="364" t="s">
        <v>190</v>
      </c>
      <c r="M675" s="364" t="s">
        <v>54</v>
      </c>
      <c r="N675" s="364" t="s">
        <v>654</v>
      </c>
      <c r="O675" s="364" t="s">
        <v>653</v>
      </c>
      <c r="P675" s="364" t="s">
        <v>198</v>
      </c>
      <c r="Q675" s="364" t="s">
        <v>652</v>
      </c>
      <c r="R675" s="364" t="s">
        <v>88</v>
      </c>
      <c r="S675" s="364" t="s">
        <v>88</v>
      </c>
      <c r="T675" s="364" t="s">
        <v>88</v>
      </c>
      <c r="U675" s="364" t="s">
        <v>88</v>
      </c>
      <c r="V675" s="364" t="s">
        <v>88</v>
      </c>
      <c r="W675" s="364" t="s">
        <v>88</v>
      </c>
      <c r="X675" s="364" t="s">
        <v>88</v>
      </c>
      <c r="Y675" s="364" t="s">
        <v>88</v>
      </c>
      <c r="Z675" s="364" t="s">
        <v>1265</v>
      </c>
      <c r="AA675" s="364" t="s">
        <v>649</v>
      </c>
      <c r="AB675" s="364" t="s">
        <v>649</v>
      </c>
      <c r="AC675" s="364" t="s">
        <v>649</v>
      </c>
      <c r="AD675" s="364" t="s">
        <v>88</v>
      </c>
      <c r="AE675" s="364" t="s">
        <v>88</v>
      </c>
      <c r="AF675" s="364" t="s">
        <v>88</v>
      </c>
      <c r="AG675" s="364" t="s">
        <v>88</v>
      </c>
      <c r="AH675" s="364" t="s">
        <v>88</v>
      </c>
      <c r="AI675" s="364" t="s">
        <v>1155</v>
      </c>
      <c r="AJ675" s="364" t="s">
        <v>710</v>
      </c>
      <c r="AK675" s="364" t="s">
        <v>647</v>
      </c>
      <c r="AL675" s="364" t="s">
        <v>88</v>
      </c>
      <c r="AM675" s="364" t="s">
        <v>668</v>
      </c>
      <c r="AN675" s="364" t="s">
        <v>644</v>
      </c>
    </row>
    <row r="676" spans="1:40" x14ac:dyDescent="0.3">
      <c r="A676" s="364" t="s">
        <v>1979</v>
      </c>
      <c r="B676" s="364" t="s">
        <v>661</v>
      </c>
      <c r="C676" s="364" t="s">
        <v>677</v>
      </c>
      <c r="D676" s="364" t="s">
        <v>90</v>
      </c>
      <c r="E676" s="364" t="s">
        <v>1978</v>
      </c>
      <c r="F676" s="364" t="s">
        <v>1978</v>
      </c>
      <c r="G676" s="364" t="s">
        <v>658</v>
      </c>
      <c r="H676" s="364" t="s">
        <v>1977</v>
      </c>
      <c r="I676" s="364" t="s">
        <v>1976</v>
      </c>
      <c r="J676" s="364" t="s">
        <v>673</v>
      </c>
      <c r="K676" s="364" t="s">
        <v>668</v>
      </c>
      <c r="L676" s="364" t="s">
        <v>190</v>
      </c>
      <c r="M676" s="364" t="s">
        <v>61</v>
      </c>
      <c r="N676" s="364" t="s">
        <v>654</v>
      </c>
      <c r="O676" s="364" t="s">
        <v>653</v>
      </c>
      <c r="P676" s="364" t="s">
        <v>198</v>
      </c>
      <c r="Q676" s="364" t="s">
        <v>652</v>
      </c>
      <c r="R676" s="364" t="s">
        <v>88</v>
      </c>
      <c r="S676" s="364" t="s">
        <v>88</v>
      </c>
      <c r="T676" s="364" t="s">
        <v>88</v>
      </c>
      <c r="U676" s="364" t="s">
        <v>88</v>
      </c>
      <c r="V676" s="364" t="s">
        <v>88</v>
      </c>
      <c r="W676" s="364" t="s">
        <v>88</v>
      </c>
      <c r="X676" s="364" t="s">
        <v>88</v>
      </c>
      <c r="Y676" s="364" t="s">
        <v>88</v>
      </c>
      <c r="Z676" s="364" t="s">
        <v>1021</v>
      </c>
      <c r="AA676" s="364" t="s">
        <v>671</v>
      </c>
      <c r="AB676" s="364" t="s">
        <v>649</v>
      </c>
      <c r="AC676" s="364" t="s">
        <v>649</v>
      </c>
      <c r="AD676" s="364" t="s">
        <v>88</v>
      </c>
      <c r="AE676" s="364" t="s">
        <v>88</v>
      </c>
      <c r="AF676" s="364" t="s">
        <v>88</v>
      </c>
      <c r="AG676" s="364" t="s">
        <v>88</v>
      </c>
      <c r="AH676" s="364" t="s">
        <v>88</v>
      </c>
      <c r="AI676" s="364" t="s">
        <v>1155</v>
      </c>
      <c r="AJ676" s="364" t="s">
        <v>710</v>
      </c>
      <c r="AK676" s="364" t="s">
        <v>647</v>
      </c>
      <c r="AL676" s="364" t="s">
        <v>88</v>
      </c>
      <c r="AM676" s="364" t="s">
        <v>668</v>
      </c>
      <c r="AN676" s="364" t="s">
        <v>644</v>
      </c>
    </row>
    <row r="677" spans="1:40" x14ac:dyDescent="0.3">
      <c r="A677" s="364" t="s">
        <v>1979</v>
      </c>
      <c r="B677" s="364" t="s">
        <v>661</v>
      </c>
      <c r="C677" s="364" t="s">
        <v>677</v>
      </c>
      <c r="D677" s="364" t="s">
        <v>90</v>
      </c>
      <c r="E677" s="364" t="s">
        <v>1978</v>
      </c>
      <c r="F677" s="364" t="s">
        <v>1978</v>
      </c>
      <c r="G677" s="364" t="s">
        <v>658</v>
      </c>
      <c r="H677" s="364" t="s">
        <v>1977</v>
      </c>
      <c r="I677" s="364" t="s">
        <v>1976</v>
      </c>
      <c r="J677" s="364" t="s">
        <v>673</v>
      </c>
      <c r="K677" s="364" t="s">
        <v>668</v>
      </c>
      <c r="L677" s="364" t="s">
        <v>190</v>
      </c>
      <c r="M677" s="364" t="s">
        <v>723</v>
      </c>
      <c r="N677" s="364" t="s">
        <v>654</v>
      </c>
      <c r="O677" s="364" t="s">
        <v>653</v>
      </c>
      <c r="P677" s="364" t="s">
        <v>198</v>
      </c>
      <c r="Q677" s="364" t="s">
        <v>652</v>
      </c>
      <c r="R677" s="364" t="s">
        <v>88</v>
      </c>
      <c r="S677" s="364" t="s">
        <v>88</v>
      </c>
      <c r="T677" s="364" t="s">
        <v>88</v>
      </c>
      <c r="U677" s="364" t="s">
        <v>88</v>
      </c>
      <c r="V677" s="364" t="s">
        <v>88</v>
      </c>
      <c r="W677" s="364" t="s">
        <v>88</v>
      </c>
      <c r="X677" s="364" t="s">
        <v>88</v>
      </c>
      <c r="Y677" s="364" t="s">
        <v>88</v>
      </c>
      <c r="Z677" s="364" t="s">
        <v>722</v>
      </c>
      <c r="AA677" s="364" t="s">
        <v>649</v>
      </c>
      <c r="AB677" s="364" t="s">
        <v>649</v>
      </c>
      <c r="AC677" s="364" t="s">
        <v>649</v>
      </c>
      <c r="AD677" s="364" t="s">
        <v>88</v>
      </c>
      <c r="AE677" s="364" t="s">
        <v>88</v>
      </c>
      <c r="AF677" s="364" t="s">
        <v>88</v>
      </c>
      <c r="AG677" s="364" t="s">
        <v>88</v>
      </c>
      <c r="AH677" s="364" t="s">
        <v>88</v>
      </c>
      <c r="AI677" s="364" t="s">
        <v>1155</v>
      </c>
      <c r="AJ677" s="364" t="s">
        <v>710</v>
      </c>
      <c r="AK677" s="364" t="s">
        <v>647</v>
      </c>
      <c r="AL677" s="364" t="s">
        <v>88</v>
      </c>
      <c r="AM677" s="364" t="s">
        <v>668</v>
      </c>
      <c r="AN677" s="364" t="s">
        <v>644</v>
      </c>
    </row>
    <row r="678" spans="1:40" x14ac:dyDescent="0.3">
      <c r="A678" s="364" t="s">
        <v>1979</v>
      </c>
      <c r="B678" s="364" t="s">
        <v>661</v>
      </c>
      <c r="C678" s="364" t="s">
        <v>677</v>
      </c>
      <c r="D678" s="364" t="s">
        <v>90</v>
      </c>
      <c r="E678" s="364" t="s">
        <v>1978</v>
      </c>
      <c r="F678" s="364" t="s">
        <v>1978</v>
      </c>
      <c r="G678" s="364" t="s">
        <v>658</v>
      </c>
      <c r="H678" s="364" t="s">
        <v>1977</v>
      </c>
      <c r="I678" s="364" t="s">
        <v>1976</v>
      </c>
      <c r="J678" s="364" t="s">
        <v>673</v>
      </c>
      <c r="K678" s="364" t="s">
        <v>668</v>
      </c>
      <c r="L678" s="364" t="s">
        <v>190</v>
      </c>
      <c r="M678" s="364" t="s">
        <v>721</v>
      </c>
      <c r="N678" s="364" t="s">
        <v>654</v>
      </c>
      <c r="O678" s="364" t="s">
        <v>653</v>
      </c>
      <c r="P678" s="364" t="s">
        <v>198</v>
      </c>
      <c r="Q678" s="364" t="s">
        <v>652</v>
      </c>
      <c r="R678" s="364" t="s">
        <v>88</v>
      </c>
      <c r="S678" s="364" t="s">
        <v>88</v>
      </c>
      <c r="T678" s="364" t="s">
        <v>88</v>
      </c>
      <c r="U678" s="364" t="s">
        <v>88</v>
      </c>
      <c r="V678" s="364" t="s">
        <v>88</v>
      </c>
      <c r="W678" s="364" t="s">
        <v>88</v>
      </c>
      <c r="X678" s="364" t="s">
        <v>88</v>
      </c>
      <c r="Y678" s="364" t="s">
        <v>88</v>
      </c>
      <c r="Z678" s="364" t="s">
        <v>720</v>
      </c>
      <c r="AA678" s="364" t="s">
        <v>649</v>
      </c>
      <c r="AB678" s="364" t="s">
        <v>649</v>
      </c>
      <c r="AC678" s="364" t="s">
        <v>649</v>
      </c>
      <c r="AD678" s="364" t="s">
        <v>88</v>
      </c>
      <c r="AE678" s="364" t="s">
        <v>88</v>
      </c>
      <c r="AF678" s="364" t="s">
        <v>88</v>
      </c>
      <c r="AG678" s="364" t="s">
        <v>88</v>
      </c>
      <c r="AH678" s="364" t="s">
        <v>88</v>
      </c>
      <c r="AI678" s="364" t="s">
        <v>1155</v>
      </c>
      <c r="AJ678" s="364" t="s">
        <v>710</v>
      </c>
      <c r="AK678" s="364" t="s">
        <v>647</v>
      </c>
      <c r="AL678" s="364" t="s">
        <v>88</v>
      </c>
      <c r="AM678" s="364" t="s">
        <v>668</v>
      </c>
      <c r="AN678" s="364" t="s">
        <v>644</v>
      </c>
    </row>
    <row r="679" spans="1:40" x14ac:dyDescent="0.3">
      <c r="A679" s="364" t="s">
        <v>1975</v>
      </c>
      <c r="B679" s="364" t="s">
        <v>661</v>
      </c>
      <c r="C679" s="364" t="s">
        <v>677</v>
      </c>
      <c r="D679" s="364" t="s">
        <v>90</v>
      </c>
      <c r="E679" s="364" t="s">
        <v>706</v>
      </c>
      <c r="F679" s="364" t="s">
        <v>706</v>
      </c>
      <c r="G679" s="364" t="s">
        <v>658</v>
      </c>
      <c r="H679" s="364" t="s">
        <v>1974</v>
      </c>
      <c r="I679" s="364" t="s">
        <v>1973</v>
      </c>
      <c r="J679" s="364" t="s">
        <v>673</v>
      </c>
      <c r="K679" s="364" t="s">
        <v>668</v>
      </c>
      <c r="L679" s="364" t="s">
        <v>190</v>
      </c>
      <c r="M679" s="364" t="s">
        <v>713</v>
      </c>
      <c r="N679" s="364" t="s">
        <v>654</v>
      </c>
      <c r="O679" s="364" t="s">
        <v>653</v>
      </c>
      <c r="P679" s="364" t="s">
        <v>198</v>
      </c>
      <c r="Q679" s="364" t="s">
        <v>652</v>
      </c>
      <c r="R679" s="364" t="s">
        <v>88</v>
      </c>
      <c r="S679" s="364" t="s">
        <v>88</v>
      </c>
      <c r="T679" s="364" t="s">
        <v>88</v>
      </c>
      <c r="U679" s="364" t="s">
        <v>88</v>
      </c>
      <c r="V679" s="364" t="s">
        <v>88</v>
      </c>
      <c r="W679" s="364" t="s">
        <v>88</v>
      </c>
      <c r="X679" s="364" t="s">
        <v>88</v>
      </c>
      <c r="Y679" s="364" t="s">
        <v>88</v>
      </c>
      <c r="Z679" s="364" t="s">
        <v>712</v>
      </c>
      <c r="AA679" s="364" t="s">
        <v>711</v>
      </c>
      <c r="AB679" s="364" t="s">
        <v>649</v>
      </c>
      <c r="AC679" s="364" t="s">
        <v>649</v>
      </c>
      <c r="AD679" s="364" t="s">
        <v>88</v>
      </c>
      <c r="AE679" s="364" t="s">
        <v>88</v>
      </c>
      <c r="AF679" s="364" t="s">
        <v>88</v>
      </c>
      <c r="AG679" s="364" t="s">
        <v>88</v>
      </c>
      <c r="AH679" s="364" t="s">
        <v>88</v>
      </c>
      <c r="AI679" s="364" t="s">
        <v>1155</v>
      </c>
      <c r="AJ679" s="364" t="s">
        <v>710</v>
      </c>
      <c r="AK679" s="364" t="s">
        <v>647</v>
      </c>
      <c r="AL679" s="364" t="s">
        <v>88</v>
      </c>
      <c r="AM679" s="364" t="s">
        <v>668</v>
      </c>
      <c r="AN679" s="364" t="s">
        <v>644</v>
      </c>
    </row>
    <row r="680" spans="1:40" x14ac:dyDescent="0.3">
      <c r="A680" s="364" t="s">
        <v>1975</v>
      </c>
      <c r="B680" s="364" t="s">
        <v>661</v>
      </c>
      <c r="C680" s="364" t="s">
        <v>677</v>
      </c>
      <c r="D680" s="364" t="s">
        <v>90</v>
      </c>
      <c r="E680" s="364" t="s">
        <v>706</v>
      </c>
      <c r="F680" s="364" t="s">
        <v>706</v>
      </c>
      <c r="G680" s="364" t="s">
        <v>658</v>
      </c>
      <c r="H680" s="364" t="s">
        <v>1974</v>
      </c>
      <c r="I680" s="364" t="s">
        <v>1973</v>
      </c>
      <c r="J680" s="364" t="s">
        <v>673</v>
      </c>
      <c r="K680" s="364" t="s">
        <v>668</v>
      </c>
      <c r="L680" s="364" t="s">
        <v>190</v>
      </c>
      <c r="M680" s="364" t="s">
        <v>718</v>
      </c>
      <c r="N680" s="364" t="s">
        <v>654</v>
      </c>
      <c r="O680" s="364" t="s">
        <v>653</v>
      </c>
      <c r="P680" s="364" t="s">
        <v>198</v>
      </c>
      <c r="Q680" s="364" t="s">
        <v>652</v>
      </c>
      <c r="R680" s="364" t="s">
        <v>88</v>
      </c>
      <c r="S680" s="364" t="s">
        <v>88</v>
      </c>
      <c r="T680" s="364" t="s">
        <v>88</v>
      </c>
      <c r="U680" s="364" t="s">
        <v>88</v>
      </c>
      <c r="V680" s="364" t="s">
        <v>88</v>
      </c>
      <c r="W680" s="364" t="s">
        <v>88</v>
      </c>
      <c r="X680" s="364" t="s">
        <v>88</v>
      </c>
      <c r="Y680" s="364" t="s">
        <v>88</v>
      </c>
      <c r="Z680" s="364" t="s">
        <v>717</v>
      </c>
      <c r="AA680" s="364" t="s">
        <v>649</v>
      </c>
      <c r="AB680" s="364" t="s">
        <v>649</v>
      </c>
      <c r="AC680" s="364" t="s">
        <v>649</v>
      </c>
      <c r="AD680" s="364" t="s">
        <v>88</v>
      </c>
      <c r="AE680" s="364" t="s">
        <v>88</v>
      </c>
      <c r="AF680" s="364" t="s">
        <v>88</v>
      </c>
      <c r="AG680" s="364" t="s">
        <v>88</v>
      </c>
      <c r="AH680" s="364" t="s">
        <v>88</v>
      </c>
      <c r="AI680" s="364" t="s">
        <v>1155</v>
      </c>
      <c r="AJ680" s="364" t="s">
        <v>710</v>
      </c>
      <c r="AK680" s="364" t="s">
        <v>647</v>
      </c>
      <c r="AL680" s="364" t="s">
        <v>88</v>
      </c>
      <c r="AM680" s="364" t="s">
        <v>668</v>
      </c>
      <c r="AN680" s="364" t="s">
        <v>644</v>
      </c>
    </row>
    <row r="681" spans="1:40" x14ac:dyDescent="0.3">
      <c r="A681" s="364" t="s">
        <v>1975</v>
      </c>
      <c r="B681" s="364" t="s">
        <v>661</v>
      </c>
      <c r="C681" s="364" t="s">
        <v>677</v>
      </c>
      <c r="D681" s="364" t="s">
        <v>90</v>
      </c>
      <c r="E681" s="364" t="s">
        <v>706</v>
      </c>
      <c r="F681" s="364" t="s">
        <v>706</v>
      </c>
      <c r="G681" s="364" t="s">
        <v>658</v>
      </c>
      <c r="H681" s="364" t="s">
        <v>1974</v>
      </c>
      <c r="I681" s="364" t="s">
        <v>1973</v>
      </c>
      <c r="J681" s="364" t="s">
        <v>673</v>
      </c>
      <c r="K681" s="364" t="s">
        <v>668</v>
      </c>
      <c r="L681" s="364" t="s">
        <v>190</v>
      </c>
      <c r="M681" s="364" t="s">
        <v>54</v>
      </c>
      <c r="N681" s="364" t="s">
        <v>654</v>
      </c>
      <c r="O681" s="364" t="s">
        <v>653</v>
      </c>
      <c r="P681" s="364" t="s">
        <v>198</v>
      </c>
      <c r="Q681" s="364" t="s">
        <v>652</v>
      </c>
      <c r="R681" s="364" t="s">
        <v>88</v>
      </c>
      <c r="S681" s="364" t="s">
        <v>88</v>
      </c>
      <c r="T681" s="364" t="s">
        <v>88</v>
      </c>
      <c r="U681" s="364" t="s">
        <v>88</v>
      </c>
      <c r="V681" s="364" t="s">
        <v>88</v>
      </c>
      <c r="W681" s="364" t="s">
        <v>88</v>
      </c>
      <c r="X681" s="364" t="s">
        <v>88</v>
      </c>
      <c r="Y681" s="364" t="s">
        <v>88</v>
      </c>
      <c r="Z681" s="364" t="s">
        <v>1265</v>
      </c>
      <c r="AA681" s="364" t="s">
        <v>649</v>
      </c>
      <c r="AB681" s="364" t="s">
        <v>649</v>
      </c>
      <c r="AC681" s="364" t="s">
        <v>649</v>
      </c>
      <c r="AD681" s="364" t="s">
        <v>88</v>
      </c>
      <c r="AE681" s="364" t="s">
        <v>88</v>
      </c>
      <c r="AF681" s="364" t="s">
        <v>88</v>
      </c>
      <c r="AG681" s="364" t="s">
        <v>88</v>
      </c>
      <c r="AH681" s="364" t="s">
        <v>88</v>
      </c>
      <c r="AI681" s="364" t="s">
        <v>1155</v>
      </c>
      <c r="AJ681" s="364" t="s">
        <v>710</v>
      </c>
      <c r="AK681" s="364" t="s">
        <v>647</v>
      </c>
      <c r="AL681" s="364" t="s">
        <v>88</v>
      </c>
      <c r="AM681" s="364" t="s">
        <v>668</v>
      </c>
      <c r="AN681" s="364" t="s">
        <v>644</v>
      </c>
    </row>
    <row r="682" spans="1:40" x14ac:dyDescent="0.3">
      <c r="A682" s="364" t="s">
        <v>1975</v>
      </c>
      <c r="B682" s="364" t="s">
        <v>661</v>
      </c>
      <c r="C682" s="364" t="s">
        <v>677</v>
      </c>
      <c r="D682" s="364" t="s">
        <v>90</v>
      </c>
      <c r="E682" s="364" t="s">
        <v>706</v>
      </c>
      <c r="F682" s="364" t="s">
        <v>706</v>
      </c>
      <c r="G682" s="364" t="s">
        <v>658</v>
      </c>
      <c r="H682" s="364" t="s">
        <v>1974</v>
      </c>
      <c r="I682" s="364" t="s">
        <v>1973</v>
      </c>
      <c r="J682" s="364" t="s">
        <v>673</v>
      </c>
      <c r="K682" s="364" t="s">
        <v>668</v>
      </c>
      <c r="L682" s="364" t="s">
        <v>190</v>
      </c>
      <c r="M682" s="364" t="s">
        <v>61</v>
      </c>
      <c r="N682" s="364" t="s">
        <v>654</v>
      </c>
      <c r="O682" s="364" t="s">
        <v>653</v>
      </c>
      <c r="P682" s="364" t="s">
        <v>198</v>
      </c>
      <c r="Q682" s="364" t="s">
        <v>652</v>
      </c>
      <c r="R682" s="364" t="s">
        <v>88</v>
      </c>
      <c r="S682" s="364" t="s">
        <v>88</v>
      </c>
      <c r="T682" s="364" t="s">
        <v>88</v>
      </c>
      <c r="U682" s="364" t="s">
        <v>88</v>
      </c>
      <c r="V682" s="364" t="s">
        <v>88</v>
      </c>
      <c r="W682" s="364" t="s">
        <v>88</v>
      </c>
      <c r="X682" s="364" t="s">
        <v>88</v>
      </c>
      <c r="Y682" s="364" t="s">
        <v>88</v>
      </c>
      <c r="Z682" s="364" t="s">
        <v>1021</v>
      </c>
      <c r="AA682" s="364" t="s">
        <v>671</v>
      </c>
      <c r="AB682" s="364" t="s">
        <v>649</v>
      </c>
      <c r="AC682" s="364" t="s">
        <v>649</v>
      </c>
      <c r="AD682" s="364" t="s">
        <v>88</v>
      </c>
      <c r="AE682" s="364" t="s">
        <v>88</v>
      </c>
      <c r="AF682" s="364" t="s">
        <v>88</v>
      </c>
      <c r="AG682" s="364" t="s">
        <v>88</v>
      </c>
      <c r="AH682" s="364" t="s">
        <v>88</v>
      </c>
      <c r="AI682" s="364" t="s">
        <v>1155</v>
      </c>
      <c r="AJ682" s="364" t="s">
        <v>710</v>
      </c>
      <c r="AK682" s="364" t="s">
        <v>647</v>
      </c>
      <c r="AL682" s="364" t="s">
        <v>88</v>
      </c>
      <c r="AM682" s="364" t="s">
        <v>668</v>
      </c>
      <c r="AN682" s="364" t="s">
        <v>644</v>
      </c>
    </row>
    <row r="683" spans="1:40" x14ac:dyDescent="0.3">
      <c r="A683" s="364" t="s">
        <v>1975</v>
      </c>
      <c r="B683" s="364" t="s">
        <v>661</v>
      </c>
      <c r="C683" s="364" t="s">
        <v>677</v>
      </c>
      <c r="D683" s="364" t="s">
        <v>90</v>
      </c>
      <c r="E683" s="364" t="s">
        <v>706</v>
      </c>
      <c r="F683" s="364" t="s">
        <v>706</v>
      </c>
      <c r="G683" s="364" t="s">
        <v>658</v>
      </c>
      <c r="H683" s="364" t="s">
        <v>1974</v>
      </c>
      <c r="I683" s="364" t="s">
        <v>1973</v>
      </c>
      <c r="J683" s="364" t="s">
        <v>673</v>
      </c>
      <c r="K683" s="364" t="s">
        <v>668</v>
      </c>
      <c r="L683" s="364" t="s">
        <v>190</v>
      </c>
      <c r="M683" s="364" t="s">
        <v>725</v>
      </c>
      <c r="N683" s="364" t="s">
        <v>654</v>
      </c>
      <c r="O683" s="364" t="s">
        <v>653</v>
      </c>
      <c r="P683" s="364" t="s">
        <v>198</v>
      </c>
      <c r="Q683" s="364" t="s">
        <v>652</v>
      </c>
      <c r="R683" s="364" t="s">
        <v>88</v>
      </c>
      <c r="S683" s="364" t="s">
        <v>88</v>
      </c>
      <c r="T683" s="364" t="s">
        <v>88</v>
      </c>
      <c r="U683" s="364" t="s">
        <v>88</v>
      </c>
      <c r="V683" s="364" t="s">
        <v>88</v>
      </c>
      <c r="W683" s="364" t="s">
        <v>88</v>
      </c>
      <c r="X683" s="364" t="s">
        <v>88</v>
      </c>
      <c r="Y683" s="364" t="s">
        <v>88</v>
      </c>
      <c r="Z683" s="364" t="s">
        <v>724</v>
      </c>
      <c r="AA683" s="364" t="s">
        <v>649</v>
      </c>
      <c r="AB683" s="364" t="s">
        <v>649</v>
      </c>
      <c r="AC683" s="364" t="s">
        <v>649</v>
      </c>
      <c r="AD683" s="364" t="s">
        <v>88</v>
      </c>
      <c r="AE683" s="364" t="s">
        <v>88</v>
      </c>
      <c r="AF683" s="364" t="s">
        <v>88</v>
      </c>
      <c r="AG683" s="364" t="s">
        <v>88</v>
      </c>
      <c r="AH683" s="364" t="s">
        <v>88</v>
      </c>
      <c r="AI683" s="364" t="s">
        <v>1155</v>
      </c>
      <c r="AJ683" s="364" t="s">
        <v>710</v>
      </c>
      <c r="AK683" s="364" t="s">
        <v>647</v>
      </c>
      <c r="AL683" s="364" t="s">
        <v>88</v>
      </c>
      <c r="AM683" s="364" t="s">
        <v>668</v>
      </c>
      <c r="AN683" s="364" t="s">
        <v>644</v>
      </c>
    </row>
    <row r="684" spans="1:40" x14ac:dyDescent="0.3">
      <c r="A684" s="364" t="s">
        <v>1975</v>
      </c>
      <c r="B684" s="364" t="s">
        <v>661</v>
      </c>
      <c r="C684" s="364" t="s">
        <v>677</v>
      </c>
      <c r="D684" s="364" t="s">
        <v>90</v>
      </c>
      <c r="E684" s="364" t="s">
        <v>706</v>
      </c>
      <c r="F684" s="364" t="s">
        <v>706</v>
      </c>
      <c r="G684" s="364" t="s">
        <v>658</v>
      </c>
      <c r="H684" s="364" t="s">
        <v>1974</v>
      </c>
      <c r="I684" s="364" t="s">
        <v>1973</v>
      </c>
      <c r="J684" s="364" t="s">
        <v>673</v>
      </c>
      <c r="K684" s="364" t="s">
        <v>668</v>
      </c>
      <c r="L684" s="364" t="s">
        <v>190</v>
      </c>
      <c r="M684" s="364" t="s">
        <v>723</v>
      </c>
      <c r="N684" s="364" t="s">
        <v>654</v>
      </c>
      <c r="O684" s="364" t="s">
        <v>653</v>
      </c>
      <c r="P684" s="364" t="s">
        <v>198</v>
      </c>
      <c r="Q684" s="364" t="s">
        <v>652</v>
      </c>
      <c r="R684" s="364" t="s">
        <v>88</v>
      </c>
      <c r="S684" s="364" t="s">
        <v>88</v>
      </c>
      <c r="T684" s="364" t="s">
        <v>88</v>
      </c>
      <c r="U684" s="364" t="s">
        <v>88</v>
      </c>
      <c r="V684" s="364" t="s">
        <v>88</v>
      </c>
      <c r="W684" s="364" t="s">
        <v>88</v>
      </c>
      <c r="X684" s="364" t="s">
        <v>88</v>
      </c>
      <c r="Y684" s="364" t="s">
        <v>88</v>
      </c>
      <c r="Z684" s="364" t="s">
        <v>722</v>
      </c>
      <c r="AA684" s="364" t="s">
        <v>649</v>
      </c>
      <c r="AB684" s="364" t="s">
        <v>649</v>
      </c>
      <c r="AC684" s="364" t="s">
        <v>649</v>
      </c>
      <c r="AD684" s="364" t="s">
        <v>88</v>
      </c>
      <c r="AE684" s="364" t="s">
        <v>88</v>
      </c>
      <c r="AF684" s="364" t="s">
        <v>88</v>
      </c>
      <c r="AG684" s="364" t="s">
        <v>88</v>
      </c>
      <c r="AH684" s="364" t="s">
        <v>88</v>
      </c>
      <c r="AI684" s="364" t="s">
        <v>1155</v>
      </c>
      <c r="AJ684" s="364" t="s">
        <v>710</v>
      </c>
      <c r="AK684" s="364" t="s">
        <v>647</v>
      </c>
      <c r="AL684" s="364" t="s">
        <v>88</v>
      </c>
      <c r="AM684" s="364" t="s">
        <v>668</v>
      </c>
      <c r="AN684" s="364" t="s">
        <v>644</v>
      </c>
    </row>
    <row r="685" spans="1:40" x14ac:dyDescent="0.3">
      <c r="A685" s="364" t="s">
        <v>1975</v>
      </c>
      <c r="B685" s="364" t="s">
        <v>661</v>
      </c>
      <c r="C685" s="364" t="s">
        <v>677</v>
      </c>
      <c r="D685" s="364" t="s">
        <v>90</v>
      </c>
      <c r="E685" s="364" t="s">
        <v>706</v>
      </c>
      <c r="F685" s="364" t="s">
        <v>706</v>
      </c>
      <c r="G685" s="364" t="s">
        <v>658</v>
      </c>
      <c r="H685" s="364" t="s">
        <v>1974</v>
      </c>
      <c r="I685" s="364" t="s">
        <v>1973</v>
      </c>
      <c r="J685" s="364" t="s">
        <v>673</v>
      </c>
      <c r="K685" s="364" t="s">
        <v>668</v>
      </c>
      <c r="L685" s="364" t="s">
        <v>190</v>
      </c>
      <c r="M685" s="364" t="s">
        <v>721</v>
      </c>
      <c r="N685" s="364" t="s">
        <v>654</v>
      </c>
      <c r="O685" s="364" t="s">
        <v>653</v>
      </c>
      <c r="P685" s="364" t="s">
        <v>198</v>
      </c>
      <c r="Q685" s="364" t="s">
        <v>652</v>
      </c>
      <c r="R685" s="364" t="s">
        <v>88</v>
      </c>
      <c r="S685" s="364" t="s">
        <v>88</v>
      </c>
      <c r="T685" s="364" t="s">
        <v>88</v>
      </c>
      <c r="U685" s="364" t="s">
        <v>88</v>
      </c>
      <c r="V685" s="364" t="s">
        <v>88</v>
      </c>
      <c r="W685" s="364" t="s">
        <v>88</v>
      </c>
      <c r="X685" s="364" t="s">
        <v>88</v>
      </c>
      <c r="Y685" s="364" t="s">
        <v>88</v>
      </c>
      <c r="Z685" s="364" t="s">
        <v>720</v>
      </c>
      <c r="AA685" s="364" t="s">
        <v>649</v>
      </c>
      <c r="AB685" s="364" t="s">
        <v>649</v>
      </c>
      <c r="AC685" s="364" t="s">
        <v>649</v>
      </c>
      <c r="AD685" s="364" t="s">
        <v>88</v>
      </c>
      <c r="AE685" s="364" t="s">
        <v>88</v>
      </c>
      <c r="AF685" s="364" t="s">
        <v>88</v>
      </c>
      <c r="AG685" s="364" t="s">
        <v>88</v>
      </c>
      <c r="AH685" s="364" t="s">
        <v>88</v>
      </c>
      <c r="AI685" s="364" t="s">
        <v>1155</v>
      </c>
      <c r="AJ685" s="364" t="s">
        <v>710</v>
      </c>
      <c r="AK685" s="364" t="s">
        <v>647</v>
      </c>
      <c r="AL685" s="364" t="s">
        <v>88</v>
      </c>
      <c r="AM685" s="364" t="s">
        <v>668</v>
      </c>
      <c r="AN685" s="364" t="s">
        <v>644</v>
      </c>
    </row>
    <row r="686" spans="1:40" x14ac:dyDescent="0.3">
      <c r="A686" s="364" t="s">
        <v>1972</v>
      </c>
      <c r="B686" s="364" t="s">
        <v>661</v>
      </c>
      <c r="C686" s="364" t="s">
        <v>677</v>
      </c>
      <c r="D686" s="364" t="s">
        <v>90</v>
      </c>
      <c r="E686" s="364" t="s">
        <v>1971</v>
      </c>
      <c r="F686" s="364" t="s">
        <v>1971</v>
      </c>
      <c r="G686" s="364" t="s">
        <v>658</v>
      </c>
      <c r="H686" s="364" t="s">
        <v>1970</v>
      </c>
      <c r="I686" s="364" t="s">
        <v>1969</v>
      </c>
      <c r="J686" s="364" t="s">
        <v>673</v>
      </c>
      <c r="K686" s="364" t="s">
        <v>668</v>
      </c>
      <c r="L686" s="364" t="s">
        <v>190</v>
      </c>
      <c r="M686" s="364" t="s">
        <v>713</v>
      </c>
      <c r="N686" s="364" t="s">
        <v>654</v>
      </c>
      <c r="O686" s="364" t="s">
        <v>653</v>
      </c>
      <c r="P686" s="364" t="s">
        <v>198</v>
      </c>
      <c r="Q686" s="364" t="s">
        <v>652</v>
      </c>
      <c r="R686" s="364" t="s">
        <v>88</v>
      </c>
      <c r="S686" s="364" t="s">
        <v>88</v>
      </c>
      <c r="T686" s="364" t="s">
        <v>88</v>
      </c>
      <c r="U686" s="364" t="s">
        <v>88</v>
      </c>
      <c r="V686" s="364" t="s">
        <v>88</v>
      </c>
      <c r="W686" s="364" t="s">
        <v>88</v>
      </c>
      <c r="X686" s="364" t="s">
        <v>88</v>
      </c>
      <c r="Y686" s="364" t="s">
        <v>88</v>
      </c>
      <c r="Z686" s="364" t="s">
        <v>712</v>
      </c>
      <c r="AA686" s="364" t="s">
        <v>711</v>
      </c>
      <c r="AB686" s="364" t="s">
        <v>649</v>
      </c>
      <c r="AC686" s="364" t="s">
        <v>649</v>
      </c>
      <c r="AD686" s="364" t="s">
        <v>88</v>
      </c>
      <c r="AE686" s="364" t="s">
        <v>88</v>
      </c>
      <c r="AF686" s="364" t="s">
        <v>88</v>
      </c>
      <c r="AG686" s="364" t="s">
        <v>88</v>
      </c>
      <c r="AH686" s="364" t="s">
        <v>88</v>
      </c>
      <c r="AI686" s="364" t="s">
        <v>1155</v>
      </c>
      <c r="AJ686" s="364" t="s">
        <v>710</v>
      </c>
      <c r="AK686" s="364" t="s">
        <v>647</v>
      </c>
      <c r="AL686" s="364" t="s">
        <v>88</v>
      </c>
      <c r="AM686" s="364" t="s">
        <v>668</v>
      </c>
      <c r="AN686" s="364" t="s">
        <v>644</v>
      </c>
    </row>
    <row r="687" spans="1:40" x14ac:dyDescent="0.3">
      <c r="A687" s="364" t="s">
        <v>1972</v>
      </c>
      <c r="B687" s="364" t="s">
        <v>661</v>
      </c>
      <c r="C687" s="364" t="s">
        <v>677</v>
      </c>
      <c r="D687" s="364" t="s">
        <v>90</v>
      </c>
      <c r="E687" s="364" t="s">
        <v>1971</v>
      </c>
      <c r="F687" s="364" t="s">
        <v>1971</v>
      </c>
      <c r="G687" s="364" t="s">
        <v>658</v>
      </c>
      <c r="H687" s="364" t="s">
        <v>1970</v>
      </c>
      <c r="I687" s="364" t="s">
        <v>1969</v>
      </c>
      <c r="J687" s="364" t="s">
        <v>673</v>
      </c>
      <c r="K687" s="364" t="s">
        <v>668</v>
      </c>
      <c r="L687" s="364" t="s">
        <v>190</v>
      </c>
      <c r="M687" s="364" t="s">
        <v>718</v>
      </c>
      <c r="N687" s="364" t="s">
        <v>654</v>
      </c>
      <c r="O687" s="364" t="s">
        <v>653</v>
      </c>
      <c r="P687" s="364" t="s">
        <v>198</v>
      </c>
      <c r="Q687" s="364" t="s">
        <v>652</v>
      </c>
      <c r="R687" s="364" t="s">
        <v>88</v>
      </c>
      <c r="S687" s="364" t="s">
        <v>88</v>
      </c>
      <c r="T687" s="364" t="s">
        <v>88</v>
      </c>
      <c r="U687" s="364" t="s">
        <v>88</v>
      </c>
      <c r="V687" s="364" t="s">
        <v>88</v>
      </c>
      <c r="W687" s="364" t="s">
        <v>88</v>
      </c>
      <c r="X687" s="364" t="s">
        <v>88</v>
      </c>
      <c r="Y687" s="364" t="s">
        <v>88</v>
      </c>
      <c r="Z687" s="364" t="s">
        <v>717</v>
      </c>
      <c r="AA687" s="364" t="s">
        <v>649</v>
      </c>
      <c r="AB687" s="364" t="s">
        <v>649</v>
      </c>
      <c r="AC687" s="364" t="s">
        <v>649</v>
      </c>
      <c r="AD687" s="364" t="s">
        <v>88</v>
      </c>
      <c r="AE687" s="364" t="s">
        <v>88</v>
      </c>
      <c r="AF687" s="364" t="s">
        <v>88</v>
      </c>
      <c r="AG687" s="364" t="s">
        <v>88</v>
      </c>
      <c r="AH687" s="364" t="s">
        <v>88</v>
      </c>
      <c r="AI687" s="364" t="s">
        <v>1155</v>
      </c>
      <c r="AJ687" s="364" t="s">
        <v>710</v>
      </c>
      <c r="AK687" s="364" t="s">
        <v>647</v>
      </c>
      <c r="AL687" s="364" t="s">
        <v>88</v>
      </c>
      <c r="AM687" s="364" t="s">
        <v>668</v>
      </c>
      <c r="AN687" s="364" t="s">
        <v>644</v>
      </c>
    </row>
    <row r="688" spans="1:40" x14ac:dyDescent="0.3">
      <c r="A688" s="364" t="s">
        <v>1972</v>
      </c>
      <c r="B688" s="364" t="s">
        <v>661</v>
      </c>
      <c r="C688" s="364" t="s">
        <v>677</v>
      </c>
      <c r="D688" s="364" t="s">
        <v>90</v>
      </c>
      <c r="E688" s="364" t="s">
        <v>1971</v>
      </c>
      <c r="F688" s="364" t="s">
        <v>1971</v>
      </c>
      <c r="G688" s="364" t="s">
        <v>658</v>
      </c>
      <c r="H688" s="364" t="s">
        <v>1970</v>
      </c>
      <c r="I688" s="364" t="s">
        <v>1969</v>
      </c>
      <c r="J688" s="364" t="s">
        <v>673</v>
      </c>
      <c r="K688" s="364" t="s">
        <v>668</v>
      </c>
      <c r="L688" s="364" t="s">
        <v>190</v>
      </c>
      <c r="M688" s="364" t="s">
        <v>54</v>
      </c>
      <c r="N688" s="364" t="s">
        <v>654</v>
      </c>
      <c r="O688" s="364" t="s">
        <v>653</v>
      </c>
      <c r="P688" s="364" t="s">
        <v>198</v>
      </c>
      <c r="Q688" s="364" t="s">
        <v>652</v>
      </c>
      <c r="R688" s="364" t="s">
        <v>88</v>
      </c>
      <c r="S688" s="364" t="s">
        <v>88</v>
      </c>
      <c r="T688" s="364" t="s">
        <v>88</v>
      </c>
      <c r="U688" s="364" t="s">
        <v>88</v>
      </c>
      <c r="V688" s="364" t="s">
        <v>88</v>
      </c>
      <c r="W688" s="364" t="s">
        <v>88</v>
      </c>
      <c r="X688" s="364" t="s">
        <v>88</v>
      </c>
      <c r="Y688" s="364" t="s">
        <v>88</v>
      </c>
      <c r="Z688" s="364" t="s">
        <v>1265</v>
      </c>
      <c r="AA688" s="364" t="s">
        <v>649</v>
      </c>
      <c r="AB688" s="364" t="s">
        <v>649</v>
      </c>
      <c r="AC688" s="364" t="s">
        <v>649</v>
      </c>
      <c r="AD688" s="364" t="s">
        <v>88</v>
      </c>
      <c r="AE688" s="364" t="s">
        <v>88</v>
      </c>
      <c r="AF688" s="364" t="s">
        <v>88</v>
      </c>
      <c r="AG688" s="364" t="s">
        <v>88</v>
      </c>
      <c r="AH688" s="364" t="s">
        <v>88</v>
      </c>
      <c r="AI688" s="364" t="s">
        <v>1155</v>
      </c>
      <c r="AJ688" s="364" t="s">
        <v>710</v>
      </c>
      <c r="AK688" s="364" t="s">
        <v>647</v>
      </c>
      <c r="AL688" s="364" t="s">
        <v>88</v>
      </c>
      <c r="AM688" s="364" t="s">
        <v>668</v>
      </c>
      <c r="AN688" s="364" t="s">
        <v>644</v>
      </c>
    </row>
    <row r="689" spans="1:40" x14ac:dyDescent="0.3">
      <c r="A689" s="364" t="s">
        <v>1972</v>
      </c>
      <c r="B689" s="364" t="s">
        <v>661</v>
      </c>
      <c r="C689" s="364" t="s">
        <v>677</v>
      </c>
      <c r="D689" s="364" t="s">
        <v>90</v>
      </c>
      <c r="E689" s="364" t="s">
        <v>1971</v>
      </c>
      <c r="F689" s="364" t="s">
        <v>1971</v>
      </c>
      <c r="G689" s="364" t="s">
        <v>658</v>
      </c>
      <c r="H689" s="364" t="s">
        <v>1970</v>
      </c>
      <c r="I689" s="364" t="s">
        <v>1969</v>
      </c>
      <c r="J689" s="364" t="s">
        <v>673</v>
      </c>
      <c r="K689" s="364" t="s">
        <v>668</v>
      </c>
      <c r="L689" s="364" t="s">
        <v>190</v>
      </c>
      <c r="M689" s="364" t="s">
        <v>61</v>
      </c>
      <c r="N689" s="364" t="s">
        <v>654</v>
      </c>
      <c r="O689" s="364" t="s">
        <v>653</v>
      </c>
      <c r="P689" s="364" t="s">
        <v>198</v>
      </c>
      <c r="Q689" s="364" t="s">
        <v>652</v>
      </c>
      <c r="R689" s="364" t="s">
        <v>88</v>
      </c>
      <c r="S689" s="364" t="s">
        <v>88</v>
      </c>
      <c r="T689" s="364" t="s">
        <v>88</v>
      </c>
      <c r="U689" s="364" t="s">
        <v>88</v>
      </c>
      <c r="V689" s="364" t="s">
        <v>88</v>
      </c>
      <c r="W689" s="364" t="s">
        <v>88</v>
      </c>
      <c r="X689" s="364" t="s">
        <v>88</v>
      </c>
      <c r="Y689" s="364" t="s">
        <v>88</v>
      </c>
      <c r="Z689" s="364" t="s">
        <v>1021</v>
      </c>
      <c r="AA689" s="364" t="s">
        <v>671</v>
      </c>
      <c r="AB689" s="364" t="s">
        <v>649</v>
      </c>
      <c r="AC689" s="364" t="s">
        <v>649</v>
      </c>
      <c r="AD689" s="364" t="s">
        <v>88</v>
      </c>
      <c r="AE689" s="364" t="s">
        <v>88</v>
      </c>
      <c r="AF689" s="364" t="s">
        <v>88</v>
      </c>
      <c r="AG689" s="364" t="s">
        <v>88</v>
      </c>
      <c r="AH689" s="364" t="s">
        <v>88</v>
      </c>
      <c r="AI689" s="364" t="s">
        <v>1155</v>
      </c>
      <c r="AJ689" s="364" t="s">
        <v>710</v>
      </c>
      <c r="AK689" s="364" t="s">
        <v>647</v>
      </c>
      <c r="AL689" s="364" t="s">
        <v>88</v>
      </c>
      <c r="AM689" s="364" t="s">
        <v>668</v>
      </c>
      <c r="AN689" s="364" t="s">
        <v>644</v>
      </c>
    </row>
    <row r="690" spans="1:40" x14ac:dyDescent="0.3">
      <c r="A690" s="364" t="s">
        <v>1972</v>
      </c>
      <c r="B690" s="364" t="s">
        <v>661</v>
      </c>
      <c r="C690" s="364" t="s">
        <v>677</v>
      </c>
      <c r="D690" s="364" t="s">
        <v>90</v>
      </c>
      <c r="E690" s="364" t="s">
        <v>1971</v>
      </c>
      <c r="F690" s="364" t="s">
        <v>1971</v>
      </c>
      <c r="G690" s="364" t="s">
        <v>658</v>
      </c>
      <c r="H690" s="364" t="s">
        <v>1970</v>
      </c>
      <c r="I690" s="364" t="s">
        <v>1969</v>
      </c>
      <c r="J690" s="364" t="s">
        <v>673</v>
      </c>
      <c r="K690" s="364" t="s">
        <v>668</v>
      </c>
      <c r="L690" s="364" t="s">
        <v>190</v>
      </c>
      <c r="M690" s="364" t="s">
        <v>725</v>
      </c>
      <c r="N690" s="364" t="s">
        <v>654</v>
      </c>
      <c r="O690" s="364" t="s">
        <v>653</v>
      </c>
      <c r="P690" s="364" t="s">
        <v>198</v>
      </c>
      <c r="Q690" s="364" t="s">
        <v>652</v>
      </c>
      <c r="R690" s="364" t="s">
        <v>88</v>
      </c>
      <c r="S690" s="364" t="s">
        <v>88</v>
      </c>
      <c r="T690" s="364" t="s">
        <v>88</v>
      </c>
      <c r="U690" s="364" t="s">
        <v>88</v>
      </c>
      <c r="V690" s="364" t="s">
        <v>88</v>
      </c>
      <c r="W690" s="364" t="s">
        <v>88</v>
      </c>
      <c r="X690" s="364" t="s">
        <v>88</v>
      </c>
      <c r="Y690" s="364" t="s">
        <v>88</v>
      </c>
      <c r="Z690" s="364" t="s">
        <v>724</v>
      </c>
      <c r="AA690" s="364" t="s">
        <v>649</v>
      </c>
      <c r="AB690" s="364" t="s">
        <v>649</v>
      </c>
      <c r="AC690" s="364" t="s">
        <v>649</v>
      </c>
      <c r="AD690" s="364" t="s">
        <v>88</v>
      </c>
      <c r="AE690" s="364" t="s">
        <v>88</v>
      </c>
      <c r="AF690" s="364" t="s">
        <v>88</v>
      </c>
      <c r="AG690" s="364" t="s">
        <v>88</v>
      </c>
      <c r="AH690" s="364" t="s">
        <v>88</v>
      </c>
      <c r="AI690" s="364" t="s">
        <v>1155</v>
      </c>
      <c r="AJ690" s="364" t="s">
        <v>710</v>
      </c>
      <c r="AK690" s="364" t="s">
        <v>647</v>
      </c>
      <c r="AL690" s="364" t="s">
        <v>88</v>
      </c>
      <c r="AM690" s="364" t="s">
        <v>668</v>
      </c>
      <c r="AN690" s="364" t="s">
        <v>644</v>
      </c>
    </row>
    <row r="691" spans="1:40" x14ac:dyDescent="0.3">
      <c r="A691" s="364" t="s">
        <v>1972</v>
      </c>
      <c r="B691" s="364" t="s">
        <v>661</v>
      </c>
      <c r="C691" s="364" t="s">
        <v>677</v>
      </c>
      <c r="D691" s="364" t="s">
        <v>90</v>
      </c>
      <c r="E691" s="364" t="s">
        <v>1971</v>
      </c>
      <c r="F691" s="364" t="s">
        <v>1971</v>
      </c>
      <c r="G691" s="364" t="s">
        <v>658</v>
      </c>
      <c r="H691" s="364" t="s">
        <v>1970</v>
      </c>
      <c r="I691" s="364" t="s">
        <v>1969</v>
      </c>
      <c r="J691" s="364" t="s">
        <v>673</v>
      </c>
      <c r="K691" s="364" t="s">
        <v>668</v>
      </c>
      <c r="L691" s="364" t="s">
        <v>190</v>
      </c>
      <c r="M691" s="364" t="s">
        <v>723</v>
      </c>
      <c r="N691" s="364" t="s">
        <v>654</v>
      </c>
      <c r="O691" s="364" t="s">
        <v>653</v>
      </c>
      <c r="P691" s="364" t="s">
        <v>198</v>
      </c>
      <c r="Q691" s="364" t="s">
        <v>652</v>
      </c>
      <c r="R691" s="364" t="s">
        <v>88</v>
      </c>
      <c r="S691" s="364" t="s">
        <v>88</v>
      </c>
      <c r="T691" s="364" t="s">
        <v>88</v>
      </c>
      <c r="U691" s="364" t="s">
        <v>88</v>
      </c>
      <c r="V691" s="364" t="s">
        <v>88</v>
      </c>
      <c r="W691" s="364" t="s">
        <v>88</v>
      </c>
      <c r="X691" s="364" t="s">
        <v>88</v>
      </c>
      <c r="Y691" s="364" t="s">
        <v>88</v>
      </c>
      <c r="Z691" s="364" t="s">
        <v>722</v>
      </c>
      <c r="AA691" s="364" t="s">
        <v>649</v>
      </c>
      <c r="AB691" s="364" t="s">
        <v>649</v>
      </c>
      <c r="AC691" s="364" t="s">
        <v>649</v>
      </c>
      <c r="AD691" s="364" t="s">
        <v>88</v>
      </c>
      <c r="AE691" s="364" t="s">
        <v>88</v>
      </c>
      <c r="AF691" s="364" t="s">
        <v>88</v>
      </c>
      <c r="AG691" s="364" t="s">
        <v>88</v>
      </c>
      <c r="AH691" s="364" t="s">
        <v>88</v>
      </c>
      <c r="AI691" s="364" t="s">
        <v>1155</v>
      </c>
      <c r="AJ691" s="364" t="s">
        <v>710</v>
      </c>
      <c r="AK691" s="364" t="s">
        <v>647</v>
      </c>
      <c r="AL691" s="364" t="s">
        <v>88</v>
      </c>
      <c r="AM691" s="364" t="s">
        <v>668</v>
      </c>
      <c r="AN691" s="364" t="s">
        <v>644</v>
      </c>
    </row>
    <row r="692" spans="1:40" x14ac:dyDescent="0.3">
      <c r="A692" s="364" t="s">
        <v>1972</v>
      </c>
      <c r="B692" s="364" t="s">
        <v>661</v>
      </c>
      <c r="C692" s="364" t="s">
        <v>677</v>
      </c>
      <c r="D692" s="364" t="s">
        <v>90</v>
      </c>
      <c r="E692" s="364" t="s">
        <v>1971</v>
      </c>
      <c r="F692" s="364" t="s">
        <v>1971</v>
      </c>
      <c r="G692" s="364" t="s">
        <v>658</v>
      </c>
      <c r="H692" s="364" t="s">
        <v>1970</v>
      </c>
      <c r="I692" s="364" t="s">
        <v>1969</v>
      </c>
      <c r="J692" s="364" t="s">
        <v>673</v>
      </c>
      <c r="K692" s="364" t="s">
        <v>668</v>
      </c>
      <c r="L692" s="364" t="s">
        <v>190</v>
      </c>
      <c r="M692" s="364" t="s">
        <v>721</v>
      </c>
      <c r="N692" s="364" t="s">
        <v>654</v>
      </c>
      <c r="O692" s="364" t="s">
        <v>653</v>
      </c>
      <c r="P692" s="364" t="s">
        <v>198</v>
      </c>
      <c r="Q692" s="364" t="s">
        <v>652</v>
      </c>
      <c r="R692" s="364" t="s">
        <v>88</v>
      </c>
      <c r="S692" s="364" t="s">
        <v>88</v>
      </c>
      <c r="T692" s="364" t="s">
        <v>88</v>
      </c>
      <c r="U692" s="364" t="s">
        <v>88</v>
      </c>
      <c r="V692" s="364" t="s">
        <v>88</v>
      </c>
      <c r="W692" s="364" t="s">
        <v>88</v>
      </c>
      <c r="X692" s="364" t="s">
        <v>88</v>
      </c>
      <c r="Y692" s="364" t="s">
        <v>88</v>
      </c>
      <c r="Z692" s="364" t="s">
        <v>720</v>
      </c>
      <c r="AA692" s="364" t="s">
        <v>649</v>
      </c>
      <c r="AB692" s="364" t="s">
        <v>649</v>
      </c>
      <c r="AC692" s="364" t="s">
        <v>649</v>
      </c>
      <c r="AD692" s="364" t="s">
        <v>88</v>
      </c>
      <c r="AE692" s="364" t="s">
        <v>88</v>
      </c>
      <c r="AF692" s="364" t="s">
        <v>88</v>
      </c>
      <c r="AG692" s="364" t="s">
        <v>88</v>
      </c>
      <c r="AH692" s="364" t="s">
        <v>88</v>
      </c>
      <c r="AI692" s="364" t="s">
        <v>1155</v>
      </c>
      <c r="AJ692" s="364" t="s">
        <v>710</v>
      </c>
      <c r="AK692" s="364" t="s">
        <v>647</v>
      </c>
      <c r="AL692" s="364" t="s">
        <v>88</v>
      </c>
      <c r="AM692" s="364" t="s">
        <v>668</v>
      </c>
      <c r="AN692" s="364" t="s">
        <v>644</v>
      </c>
    </row>
    <row r="693" spans="1:40" x14ac:dyDescent="0.3">
      <c r="A693" s="364" t="s">
        <v>1968</v>
      </c>
      <c r="B693" s="364" t="s">
        <v>661</v>
      </c>
      <c r="C693" s="364" t="s">
        <v>1160</v>
      </c>
      <c r="D693" s="364" t="s">
        <v>87</v>
      </c>
      <c r="E693" s="364" t="s">
        <v>1746</v>
      </c>
      <c r="F693" s="364" t="s">
        <v>1746</v>
      </c>
      <c r="G693" s="364" t="s">
        <v>658</v>
      </c>
      <c r="H693" s="364" t="s">
        <v>1967</v>
      </c>
      <c r="I693" s="364" t="s">
        <v>88</v>
      </c>
      <c r="J693" s="364" t="s">
        <v>88</v>
      </c>
      <c r="K693" s="364" t="s">
        <v>88</v>
      </c>
      <c r="L693" s="364" t="s">
        <v>88</v>
      </c>
      <c r="M693" s="364" t="s">
        <v>138</v>
      </c>
      <c r="N693" s="364" t="s">
        <v>654</v>
      </c>
      <c r="O693" s="364" t="s">
        <v>653</v>
      </c>
      <c r="P693" s="364" t="s">
        <v>88</v>
      </c>
      <c r="Q693" s="364" t="s">
        <v>88</v>
      </c>
      <c r="R693" s="364" t="s">
        <v>88</v>
      </c>
      <c r="S693" s="364" t="s">
        <v>88</v>
      </c>
      <c r="T693" s="364" t="s">
        <v>88</v>
      </c>
      <c r="U693" s="364" t="s">
        <v>88</v>
      </c>
      <c r="V693" s="364" t="s">
        <v>88</v>
      </c>
      <c r="W693" s="364" t="s">
        <v>88</v>
      </c>
      <c r="X693" s="364" t="s">
        <v>88</v>
      </c>
      <c r="Y693" s="364" t="s">
        <v>88</v>
      </c>
      <c r="Z693" s="364" t="s">
        <v>88</v>
      </c>
      <c r="AA693" s="364" t="s">
        <v>649</v>
      </c>
      <c r="AB693" s="364" t="s">
        <v>88</v>
      </c>
      <c r="AC693" s="364" t="s">
        <v>88</v>
      </c>
      <c r="AD693" s="364" t="s">
        <v>88</v>
      </c>
      <c r="AE693" s="364" t="s">
        <v>88</v>
      </c>
      <c r="AF693" s="364" t="s">
        <v>88</v>
      </c>
      <c r="AG693" s="364" t="s">
        <v>88</v>
      </c>
      <c r="AH693" s="364" t="s">
        <v>88</v>
      </c>
      <c r="AI693" s="364" t="s">
        <v>1966</v>
      </c>
      <c r="AJ693" s="364" t="s">
        <v>793</v>
      </c>
      <c r="AK693" s="364" t="s">
        <v>88</v>
      </c>
      <c r="AL693" s="364" t="s">
        <v>88</v>
      </c>
      <c r="AM693" s="364" t="s">
        <v>88</v>
      </c>
      <c r="AN693" s="364" t="s">
        <v>792</v>
      </c>
    </row>
    <row r="694" spans="1:40" x14ac:dyDescent="0.3">
      <c r="A694" s="364" t="s">
        <v>1965</v>
      </c>
      <c r="B694" s="364" t="s">
        <v>661</v>
      </c>
      <c r="C694" s="364" t="s">
        <v>677</v>
      </c>
      <c r="D694" s="364" t="s">
        <v>90</v>
      </c>
      <c r="E694" s="364" t="s">
        <v>1746</v>
      </c>
      <c r="F694" s="364" t="s">
        <v>1746</v>
      </c>
      <c r="G694" s="364" t="s">
        <v>658</v>
      </c>
      <c r="H694" s="364" t="s">
        <v>1964</v>
      </c>
      <c r="I694" s="364" t="s">
        <v>1963</v>
      </c>
      <c r="J694" s="364" t="s">
        <v>673</v>
      </c>
      <c r="K694" s="364" t="s">
        <v>668</v>
      </c>
      <c r="L694" s="364" t="s">
        <v>190</v>
      </c>
      <c r="M694" s="364" t="s">
        <v>713</v>
      </c>
      <c r="N694" s="364" t="s">
        <v>654</v>
      </c>
      <c r="O694" s="364" t="s">
        <v>653</v>
      </c>
      <c r="P694" s="364" t="s">
        <v>198</v>
      </c>
      <c r="Q694" s="364" t="s">
        <v>652</v>
      </c>
      <c r="R694" s="364" t="s">
        <v>88</v>
      </c>
      <c r="S694" s="364" t="s">
        <v>88</v>
      </c>
      <c r="T694" s="364" t="s">
        <v>88</v>
      </c>
      <c r="U694" s="364" t="s">
        <v>88</v>
      </c>
      <c r="V694" s="364" t="s">
        <v>88</v>
      </c>
      <c r="W694" s="364" t="s">
        <v>88</v>
      </c>
      <c r="X694" s="364" t="s">
        <v>88</v>
      </c>
      <c r="Y694" s="364" t="s">
        <v>88</v>
      </c>
      <c r="Z694" s="364" t="s">
        <v>712</v>
      </c>
      <c r="AA694" s="364" t="s">
        <v>711</v>
      </c>
      <c r="AB694" s="364" t="s">
        <v>649</v>
      </c>
      <c r="AC694" s="364" t="s">
        <v>649</v>
      </c>
      <c r="AD694" s="364" t="s">
        <v>88</v>
      </c>
      <c r="AE694" s="364" t="s">
        <v>88</v>
      </c>
      <c r="AF694" s="364" t="s">
        <v>88</v>
      </c>
      <c r="AG694" s="364" t="s">
        <v>88</v>
      </c>
      <c r="AH694" s="364" t="s">
        <v>88</v>
      </c>
      <c r="AI694" s="364" t="s">
        <v>1155</v>
      </c>
      <c r="AJ694" s="364" t="s">
        <v>710</v>
      </c>
      <c r="AK694" s="364" t="s">
        <v>647</v>
      </c>
      <c r="AL694" s="364" t="s">
        <v>88</v>
      </c>
      <c r="AM694" s="364" t="s">
        <v>668</v>
      </c>
      <c r="AN694" s="364" t="s">
        <v>644</v>
      </c>
    </row>
    <row r="695" spans="1:40" x14ac:dyDescent="0.3">
      <c r="A695" s="364" t="s">
        <v>1965</v>
      </c>
      <c r="B695" s="364" t="s">
        <v>661</v>
      </c>
      <c r="C695" s="364" t="s">
        <v>677</v>
      </c>
      <c r="D695" s="364" t="s">
        <v>90</v>
      </c>
      <c r="E695" s="364" t="s">
        <v>1746</v>
      </c>
      <c r="F695" s="364" t="s">
        <v>1746</v>
      </c>
      <c r="G695" s="364" t="s">
        <v>658</v>
      </c>
      <c r="H695" s="364" t="s">
        <v>1964</v>
      </c>
      <c r="I695" s="364" t="s">
        <v>1963</v>
      </c>
      <c r="J695" s="364" t="s">
        <v>673</v>
      </c>
      <c r="K695" s="364" t="s">
        <v>668</v>
      </c>
      <c r="L695" s="364" t="s">
        <v>190</v>
      </c>
      <c r="M695" s="364" t="s">
        <v>718</v>
      </c>
      <c r="N695" s="364" t="s">
        <v>654</v>
      </c>
      <c r="O695" s="364" t="s">
        <v>653</v>
      </c>
      <c r="P695" s="364" t="s">
        <v>198</v>
      </c>
      <c r="Q695" s="364" t="s">
        <v>652</v>
      </c>
      <c r="R695" s="364" t="s">
        <v>88</v>
      </c>
      <c r="S695" s="364" t="s">
        <v>88</v>
      </c>
      <c r="T695" s="364" t="s">
        <v>88</v>
      </c>
      <c r="U695" s="364" t="s">
        <v>88</v>
      </c>
      <c r="V695" s="364" t="s">
        <v>88</v>
      </c>
      <c r="W695" s="364" t="s">
        <v>88</v>
      </c>
      <c r="X695" s="364" t="s">
        <v>88</v>
      </c>
      <c r="Y695" s="364" t="s">
        <v>88</v>
      </c>
      <c r="Z695" s="364" t="s">
        <v>717</v>
      </c>
      <c r="AA695" s="364" t="s">
        <v>649</v>
      </c>
      <c r="AB695" s="364" t="s">
        <v>649</v>
      </c>
      <c r="AC695" s="364" t="s">
        <v>649</v>
      </c>
      <c r="AD695" s="364" t="s">
        <v>88</v>
      </c>
      <c r="AE695" s="364" t="s">
        <v>88</v>
      </c>
      <c r="AF695" s="364" t="s">
        <v>88</v>
      </c>
      <c r="AG695" s="364" t="s">
        <v>88</v>
      </c>
      <c r="AH695" s="364" t="s">
        <v>88</v>
      </c>
      <c r="AI695" s="364" t="s">
        <v>1155</v>
      </c>
      <c r="AJ695" s="364" t="s">
        <v>710</v>
      </c>
      <c r="AK695" s="364" t="s">
        <v>647</v>
      </c>
      <c r="AL695" s="364" t="s">
        <v>88</v>
      </c>
      <c r="AM695" s="364" t="s">
        <v>668</v>
      </c>
      <c r="AN695" s="364" t="s">
        <v>644</v>
      </c>
    </row>
    <row r="696" spans="1:40" x14ac:dyDescent="0.3">
      <c r="A696" s="364" t="s">
        <v>1965</v>
      </c>
      <c r="B696" s="364" t="s">
        <v>661</v>
      </c>
      <c r="C696" s="364" t="s">
        <v>677</v>
      </c>
      <c r="D696" s="364" t="s">
        <v>90</v>
      </c>
      <c r="E696" s="364" t="s">
        <v>1746</v>
      </c>
      <c r="F696" s="364" t="s">
        <v>1746</v>
      </c>
      <c r="G696" s="364" t="s">
        <v>658</v>
      </c>
      <c r="H696" s="364" t="s">
        <v>1964</v>
      </c>
      <c r="I696" s="364" t="s">
        <v>1963</v>
      </c>
      <c r="J696" s="364" t="s">
        <v>673</v>
      </c>
      <c r="K696" s="364" t="s">
        <v>668</v>
      </c>
      <c r="L696" s="364" t="s">
        <v>190</v>
      </c>
      <c r="M696" s="364" t="s">
        <v>54</v>
      </c>
      <c r="N696" s="364" t="s">
        <v>654</v>
      </c>
      <c r="O696" s="364" t="s">
        <v>653</v>
      </c>
      <c r="P696" s="364" t="s">
        <v>198</v>
      </c>
      <c r="Q696" s="364" t="s">
        <v>652</v>
      </c>
      <c r="R696" s="364" t="s">
        <v>88</v>
      </c>
      <c r="S696" s="364" t="s">
        <v>88</v>
      </c>
      <c r="T696" s="364" t="s">
        <v>88</v>
      </c>
      <c r="U696" s="364" t="s">
        <v>88</v>
      </c>
      <c r="V696" s="364" t="s">
        <v>88</v>
      </c>
      <c r="W696" s="364" t="s">
        <v>88</v>
      </c>
      <c r="X696" s="364" t="s">
        <v>88</v>
      </c>
      <c r="Y696" s="364" t="s">
        <v>88</v>
      </c>
      <c r="Z696" s="364" t="s">
        <v>1265</v>
      </c>
      <c r="AA696" s="364" t="s">
        <v>649</v>
      </c>
      <c r="AB696" s="364" t="s">
        <v>649</v>
      </c>
      <c r="AC696" s="364" t="s">
        <v>649</v>
      </c>
      <c r="AD696" s="364" t="s">
        <v>88</v>
      </c>
      <c r="AE696" s="364" t="s">
        <v>88</v>
      </c>
      <c r="AF696" s="364" t="s">
        <v>88</v>
      </c>
      <c r="AG696" s="364" t="s">
        <v>88</v>
      </c>
      <c r="AH696" s="364" t="s">
        <v>88</v>
      </c>
      <c r="AI696" s="364" t="s">
        <v>1155</v>
      </c>
      <c r="AJ696" s="364" t="s">
        <v>710</v>
      </c>
      <c r="AK696" s="364" t="s">
        <v>647</v>
      </c>
      <c r="AL696" s="364" t="s">
        <v>88</v>
      </c>
      <c r="AM696" s="364" t="s">
        <v>668</v>
      </c>
      <c r="AN696" s="364" t="s">
        <v>644</v>
      </c>
    </row>
    <row r="697" spans="1:40" x14ac:dyDescent="0.3">
      <c r="A697" s="364" t="s">
        <v>1965</v>
      </c>
      <c r="B697" s="364" t="s">
        <v>661</v>
      </c>
      <c r="C697" s="364" t="s">
        <v>677</v>
      </c>
      <c r="D697" s="364" t="s">
        <v>90</v>
      </c>
      <c r="E697" s="364" t="s">
        <v>1746</v>
      </c>
      <c r="F697" s="364" t="s">
        <v>1746</v>
      </c>
      <c r="G697" s="364" t="s">
        <v>658</v>
      </c>
      <c r="H697" s="364" t="s">
        <v>1964</v>
      </c>
      <c r="I697" s="364" t="s">
        <v>1963</v>
      </c>
      <c r="J697" s="364" t="s">
        <v>673</v>
      </c>
      <c r="K697" s="364" t="s">
        <v>668</v>
      </c>
      <c r="L697" s="364" t="s">
        <v>190</v>
      </c>
      <c r="M697" s="364" t="s">
        <v>61</v>
      </c>
      <c r="N697" s="364" t="s">
        <v>654</v>
      </c>
      <c r="O697" s="364" t="s">
        <v>653</v>
      </c>
      <c r="P697" s="364" t="s">
        <v>198</v>
      </c>
      <c r="Q697" s="364" t="s">
        <v>652</v>
      </c>
      <c r="R697" s="364" t="s">
        <v>88</v>
      </c>
      <c r="S697" s="364" t="s">
        <v>88</v>
      </c>
      <c r="T697" s="364" t="s">
        <v>88</v>
      </c>
      <c r="U697" s="364" t="s">
        <v>88</v>
      </c>
      <c r="V697" s="364" t="s">
        <v>88</v>
      </c>
      <c r="W697" s="364" t="s">
        <v>88</v>
      </c>
      <c r="X697" s="364" t="s">
        <v>88</v>
      </c>
      <c r="Y697" s="364" t="s">
        <v>88</v>
      </c>
      <c r="Z697" s="364" t="s">
        <v>1021</v>
      </c>
      <c r="AA697" s="364" t="s">
        <v>671</v>
      </c>
      <c r="AB697" s="364" t="s">
        <v>649</v>
      </c>
      <c r="AC697" s="364" t="s">
        <v>649</v>
      </c>
      <c r="AD697" s="364" t="s">
        <v>88</v>
      </c>
      <c r="AE697" s="364" t="s">
        <v>88</v>
      </c>
      <c r="AF697" s="364" t="s">
        <v>88</v>
      </c>
      <c r="AG697" s="364" t="s">
        <v>88</v>
      </c>
      <c r="AH697" s="364" t="s">
        <v>88</v>
      </c>
      <c r="AI697" s="364" t="s">
        <v>1155</v>
      </c>
      <c r="AJ697" s="364" t="s">
        <v>710</v>
      </c>
      <c r="AK697" s="364" t="s">
        <v>647</v>
      </c>
      <c r="AL697" s="364" t="s">
        <v>88</v>
      </c>
      <c r="AM697" s="364" t="s">
        <v>668</v>
      </c>
      <c r="AN697" s="364" t="s">
        <v>644</v>
      </c>
    </row>
    <row r="698" spans="1:40" x14ac:dyDescent="0.3">
      <c r="A698" s="364" t="s">
        <v>1965</v>
      </c>
      <c r="B698" s="364" t="s">
        <v>661</v>
      </c>
      <c r="C698" s="364" t="s">
        <v>677</v>
      </c>
      <c r="D698" s="364" t="s">
        <v>90</v>
      </c>
      <c r="E698" s="364" t="s">
        <v>1746</v>
      </c>
      <c r="F698" s="364" t="s">
        <v>1746</v>
      </c>
      <c r="G698" s="364" t="s">
        <v>658</v>
      </c>
      <c r="H698" s="364" t="s">
        <v>1964</v>
      </c>
      <c r="I698" s="364" t="s">
        <v>1963</v>
      </c>
      <c r="J698" s="364" t="s">
        <v>673</v>
      </c>
      <c r="K698" s="364" t="s">
        <v>668</v>
      </c>
      <c r="L698" s="364" t="s">
        <v>190</v>
      </c>
      <c r="M698" s="364" t="s">
        <v>721</v>
      </c>
      <c r="N698" s="364" t="s">
        <v>654</v>
      </c>
      <c r="O698" s="364" t="s">
        <v>653</v>
      </c>
      <c r="P698" s="364" t="s">
        <v>198</v>
      </c>
      <c r="Q698" s="364" t="s">
        <v>652</v>
      </c>
      <c r="R698" s="364" t="s">
        <v>88</v>
      </c>
      <c r="S698" s="364" t="s">
        <v>88</v>
      </c>
      <c r="T698" s="364" t="s">
        <v>88</v>
      </c>
      <c r="U698" s="364" t="s">
        <v>88</v>
      </c>
      <c r="V698" s="364" t="s">
        <v>88</v>
      </c>
      <c r="W698" s="364" t="s">
        <v>88</v>
      </c>
      <c r="X698" s="364" t="s">
        <v>88</v>
      </c>
      <c r="Y698" s="364" t="s">
        <v>88</v>
      </c>
      <c r="Z698" s="364" t="s">
        <v>720</v>
      </c>
      <c r="AA698" s="364" t="s">
        <v>649</v>
      </c>
      <c r="AB698" s="364" t="s">
        <v>649</v>
      </c>
      <c r="AC698" s="364" t="s">
        <v>649</v>
      </c>
      <c r="AD698" s="364" t="s">
        <v>88</v>
      </c>
      <c r="AE698" s="364" t="s">
        <v>88</v>
      </c>
      <c r="AF698" s="364" t="s">
        <v>88</v>
      </c>
      <c r="AG698" s="364" t="s">
        <v>88</v>
      </c>
      <c r="AH698" s="364" t="s">
        <v>88</v>
      </c>
      <c r="AI698" s="364" t="s">
        <v>1155</v>
      </c>
      <c r="AJ698" s="364" t="s">
        <v>710</v>
      </c>
      <c r="AK698" s="364" t="s">
        <v>647</v>
      </c>
      <c r="AL698" s="364" t="s">
        <v>88</v>
      </c>
      <c r="AM698" s="364" t="s">
        <v>668</v>
      </c>
      <c r="AN698" s="364" t="s">
        <v>644</v>
      </c>
    </row>
    <row r="699" spans="1:40" x14ac:dyDescent="0.3">
      <c r="A699" s="364" t="s">
        <v>1962</v>
      </c>
      <c r="B699" s="364" t="s">
        <v>661</v>
      </c>
      <c r="C699" s="364" t="s">
        <v>677</v>
      </c>
      <c r="D699" s="364" t="s">
        <v>90</v>
      </c>
      <c r="E699" s="364" t="s">
        <v>1961</v>
      </c>
      <c r="F699" s="364" t="s">
        <v>1961</v>
      </c>
      <c r="G699" s="364" t="s">
        <v>658</v>
      </c>
      <c r="H699" s="364" t="s">
        <v>1903</v>
      </c>
      <c r="I699" s="364" t="s">
        <v>1960</v>
      </c>
      <c r="J699" s="364" t="s">
        <v>673</v>
      </c>
      <c r="K699" s="364" t="s">
        <v>668</v>
      </c>
      <c r="L699" s="364" t="s">
        <v>190</v>
      </c>
      <c r="M699" s="364" t="s">
        <v>713</v>
      </c>
      <c r="N699" s="364" t="s">
        <v>654</v>
      </c>
      <c r="O699" s="364" t="s">
        <v>653</v>
      </c>
      <c r="P699" s="364" t="s">
        <v>198</v>
      </c>
      <c r="Q699" s="364" t="s">
        <v>652</v>
      </c>
      <c r="R699" s="364" t="s">
        <v>88</v>
      </c>
      <c r="S699" s="364" t="s">
        <v>88</v>
      </c>
      <c r="T699" s="364" t="s">
        <v>88</v>
      </c>
      <c r="U699" s="364" t="s">
        <v>88</v>
      </c>
      <c r="V699" s="364" t="s">
        <v>88</v>
      </c>
      <c r="W699" s="364" t="s">
        <v>88</v>
      </c>
      <c r="X699" s="364" t="s">
        <v>88</v>
      </c>
      <c r="Y699" s="364" t="s">
        <v>88</v>
      </c>
      <c r="Z699" s="364" t="s">
        <v>712</v>
      </c>
      <c r="AA699" s="364" t="s">
        <v>711</v>
      </c>
      <c r="AB699" s="364" t="s">
        <v>649</v>
      </c>
      <c r="AC699" s="364" t="s">
        <v>649</v>
      </c>
      <c r="AD699" s="364" t="s">
        <v>88</v>
      </c>
      <c r="AE699" s="364" t="s">
        <v>88</v>
      </c>
      <c r="AF699" s="364" t="s">
        <v>88</v>
      </c>
      <c r="AG699" s="364" t="s">
        <v>88</v>
      </c>
      <c r="AH699" s="364" t="s">
        <v>88</v>
      </c>
      <c r="AI699" s="364" t="s">
        <v>1155</v>
      </c>
      <c r="AJ699" s="364" t="s">
        <v>710</v>
      </c>
      <c r="AK699" s="364" t="s">
        <v>647</v>
      </c>
      <c r="AL699" s="364" t="s">
        <v>88</v>
      </c>
      <c r="AM699" s="364" t="s">
        <v>668</v>
      </c>
      <c r="AN699" s="364" t="s">
        <v>644</v>
      </c>
    </row>
    <row r="700" spans="1:40" x14ac:dyDescent="0.3">
      <c r="A700" s="364" t="s">
        <v>1962</v>
      </c>
      <c r="B700" s="364" t="s">
        <v>661</v>
      </c>
      <c r="C700" s="364" t="s">
        <v>677</v>
      </c>
      <c r="D700" s="364" t="s">
        <v>90</v>
      </c>
      <c r="E700" s="364" t="s">
        <v>1961</v>
      </c>
      <c r="F700" s="364" t="s">
        <v>1961</v>
      </c>
      <c r="G700" s="364" t="s">
        <v>658</v>
      </c>
      <c r="H700" s="364" t="s">
        <v>1903</v>
      </c>
      <c r="I700" s="364" t="s">
        <v>1960</v>
      </c>
      <c r="J700" s="364" t="s">
        <v>673</v>
      </c>
      <c r="K700" s="364" t="s">
        <v>668</v>
      </c>
      <c r="L700" s="364" t="s">
        <v>190</v>
      </c>
      <c r="M700" s="364" t="s">
        <v>718</v>
      </c>
      <c r="N700" s="364" t="s">
        <v>654</v>
      </c>
      <c r="O700" s="364" t="s">
        <v>653</v>
      </c>
      <c r="P700" s="364" t="s">
        <v>198</v>
      </c>
      <c r="Q700" s="364" t="s">
        <v>652</v>
      </c>
      <c r="R700" s="364" t="s">
        <v>88</v>
      </c>
      <c r="S700" s="364" t="s">
        <v>88</v>
      </c>
      <c r="T700" s="364" t="s">
        <v>88</v>
      </c>
      <c r="U700" s="364" t="s">
        <v>88</v>
      </c>
      <c r="V700" s="364" t="s">
        <v>88</v>
      </c>
      <c r="W700" s="364" t="s">
        <v>88</v>
      </c>
      <c r="X700" s="364" t="s">
        <v>88</v>
      </c>
      <c r="Y700" s="364" t="s">
        <v>88</v>
      </c>
      <c r="Z700" s="364" t="s">
        <v>717</v>
      </c>
      <c r="AA700" s="364" t="s">
        <v>649</v>
      </c>
      <c r="AB700" s="364" t="s">
        <v>649</v>
      </c>
      <c r="AC700" s="364" t="s">
        <v>649</v>
      </c>
      <c r="AD700" s="364" t="s">
        <v>88</v>
      </c>
      <c r="AE700" s="364" t="s">
        <v>88</v>
      </c>
      <c r="AF700" s="364" t="s">
        <v>88</v>
      </c>
      <c r="AG700" s="364" t="s">
        <v>88</v>
      </c>
      <c r="AH700" s="364" t="s">
        <v>88</v>
      </c>
      <c r="AI700" s="364" t="s">
        <v>1155</v>
      </c>
      <c r="AJ700" s="364" t="s">
        <v>710</v>
      </c>
      <c r="AK700" s="364" t="s">
        <v>647</v>
      </c>
      <c r="AL700" s="364" t="s">
        <v>88</v>
      </c>
      <c r="AM700" s="364" t="s">
        <v>668</v>
      </c>
      <c r="AN700" s="364" t="s">
        <v>644</v>
      </c>
    </row>
    <row r="701" spans="1:40" x14ac:dyDescent="0.3">
      <c r="A701" s="364" t="s">
        <v>1962</v>
      </c>
      <c r="B701" s="364" t="s">
        <v>661</v>
      </c>
      <c r="C701" s="364" t="s">
        <v>677</v>
      </c>
      <c r="D701" s="364" t="s">
        <v>90</v>
      </c>
      <c r="E701" s="364" t="s">
        <v>1961</v>
      </c>
      <c r="F701" s="364" t="s">
        <v>1961</v>
      </c>
      <c r="G701" s="364" t="s">
        <v>658</v>
      </c>
      <c r="H701" s="364" t="s">
        <v>1903</v>
      </c>
      <c r="I701" s="364" t="s">
        <v>1960</v>
      </c>
      <c r="J701" s="364" t="s">
        <v>673</v>
      </c>
      <c r="K701" s="364" t="s">
        <v>668</v>
      </c>
      <c r="L701" s="364" t="s">
        <v>190</v>
      </c>
      <c r="M701" s="364" t="s">
        <v>54</v>
      </c>
      <c r="N701" s="364" t="s">
        <v>654</v>
      </c>
      <c r="O701" s="364" t="s">
        <v>653</v>
      </c>
      <c r="P701" s="364" t="s">
        <v>198</v>
      </c>
      <c r="Q701" s="364" t="s">
        <v>652</v>
      </c>
      <c r="R701" s="364" t="s">
        <v>88</v>
      </c>
      <c r="S701" s="364" t="s">
        <v>88</v>
      </c>
      <c r="T701" s="364" t="s">
        <v>88</v>
      </c>
      <c r="U701" s="364" t="s">
        <v>88</v>
      </c>
      <c r="V701" s="364" t="s">
        <v>88</v>
      </c>
      <c r="W701" s="364" t="s">
        <v>88</v>
      </c>
      <c r="X701" s="364" t="s">
        <v>88</v>
      </c>
      <c r="Y701" s="364" t="s">
        <v>88</v>
      </c>
      <c r="Z701" s="364" t="s">
        <v>1265</v>
      </c>
      <c r="AA701" s="364" t="s">
        <v>649</v>
      </c>
      <c r="AB701" s="364" t="s">
        <v>649</v>
      </c>
      <c r="AC701" s="364" t="s">
        <v>649</v>
      </c>
      <c r="AD701" s="364" t="s">
        <v>88</v>
      </c>
      <c r="AE701" s="364" t="s">
        <v>88</v>
      </c>
      <c r="AF701" s="364" t="s">
        <v>88</v>
      </c>
      <c r="AG701" s="364" t="s">
        <v>88</v>
      </c>
      <c r="AH701" s="364" t="s">
        <v>88</v>
      </c>
      <c r="AI701" s="364" t="s">
        <v>1155</v>
      </c>
      <c r="AJ701" s="364" t="s">
        <v>710</v>
      </c>
      <c r="AK701" s="364" t="s">
        <v>647</v>
      </c>
      <c r="AL701" s="364" t="s">
        <v>88</v>
      </c>
      <c r="AM701" s="364" t="s">
        <v>668</v>
      </c>
      <c r="AN701" s="364" t="s">
        <v>644</v>
      </c>
    </row>
    <row r="702" spans="1:40" x14ac:dyDescent="0.3">
      <c r="A702" s="364" t="s">
        <v>1962</v>
      </c>
      <c r="B702" s="364" t="s">
        <v>661</v>
      </c>
      <c r="C702" s="364" t="s">
        <v>677</v>
      </c>
      <c r="D702" s="364" t="s">
        <v>90</v>
      </c>
      <c r="E702" s="364" t="s">
        <v>1961</v>
      </c>
      <c r="F702" s="364" t="s">
        <v>1961</v>
      </c>
      <c r="G702" s="364" t="s">
        <v>658</v>
      </c>
      <c r="H702" s="364" t="s">
        <v>1903</v>
      </c>
      <c r="I702" s="364" t="s">
        <v>1960</v>
      </c>
      <c r="J702" s="364" t="s">
        <v>673</v>
      </c>
      <c r="K702" s="364" t="s">
        <v>668</v>
      </c>
      <c r="L702" s="364" t="s">
        <v>190</v>
      </c>
      <c r="M702" s="364" t="s">
        <v>61</v>
      </c>
      <c r="N702" s="364" t="s">
        <v>654</v>
      </c>
      <c r="O702" s="364" t="s">
        <v>653</v>
      </c>
      <c r="P702" s="364" t="s">
        <v>198</v>
      </c>
      <c r="Q702" s="364" t="s">
        <v>652</v>
      </c>
      <c r="R702" s="364" t="s">
        <v>88</v>
      </c>
      <c r="S702" s="364" t="s">
        <v>88</v>
      </c>
      <c r="T702" s="364" t="s">
        <v>88</v>
      </c>
      <c r="U702" s="364" t="s">
        <v>88</v>
      </c>
      <c r="V702" s="364" t="s">
        <v>88</v>
      </c>
      <c r="W702" s="364" t="s">
        <v>88</v>
      </c>
      <c r="X702" s="364" t="s">
        <v>88</v>
      </c>
      <c r="Y702" s="364" t="s">
        <v>88</v>
      </c>
      <c r="Z702" s="364" t="s">
        <v>1021</v>
      </c>
      <c r="AA702" s="364" t="s">
        <v>671</v>
      </c>
      <c r="AB702" s="364" t="s">
        <v>649</v>
      </c>
      <c r="AC702" s="364" t="s">
        <v>649</v>
      </c>
      <c r="AD702" s="364" t="s">
        <v>88</v>
      </c>
      <c r="AE702" s="364" t="s">
        <v>88</v>
      </c>
      <c r="AF702" s="364" t="s">
        <v>88</v>
      </c>
      <c r="AG702" s="364" t="s">
        <v>88</v>
      </c>
      <c r="AH702" s="364" t="s">
        <v>88</v>
      </c>
      <c r="AI702" s="364" t="s">
        <v>1155</v>
      </c>
      <c r="AJ702" s="364" t="s">
        <v>710</v>
      </c>
      <c r="AK702" s="364" t="s">
        <v>647</v>
      </c>
      <c r="AL702" s="364" t="s">
        <v>88</v>
      </c>
      <c r="AM702" s="364" t="s">
        <v>668</v>
      </c>
      <c r="AN702" s="364" t="s">
        <v>644</v>
      </c>
    </row>
    <row r="703" spans="1:40" x14ac:dyDescent="0.3">
      <c r="A703" s="364" t="s">
        <v>1962</v>
      </c>
      <c r="B703" s="364" t="s">
        <v>661</v>
      </c>
      <c r="C703" s="364" t="s">
        <v>677</v>
      </c>
      <c r="D703" s="364" t="s">
        <v>90</v>
      </c>
      <c r="E703" s="364" t="s">
        <v>1961</v>
      </c>
      <c r="F703" s="364" t="s">
        <v>1961</v>
      </c>
      <c r="G703" s="364" t="s">
        <v>658</v>
      </c>
      <c r="H703" s="364" t="s">
        <v>1903</v>
      </c>
      <c r="I703" s="364" t="s">
        <v>1960</v>
      </c>
      <c r="J703" s="364" t="s">
        <v>673</v>
      </c>
      <c r="K703" s="364" t="s">
        <v>668</v>
      </c>
      <c r="L703" s="364" t="s">
        <v>190</v>
      </c>
      <c r="M703" s="364" t="s">
        <v>721</v>
      </c>
      <c r="N703" s="364" t="s">
        <v>654</v>
      </c>
      <c r="O703" s="364" t="s">
        <v>653</v>
      </c>
      <c r="P703" s="364" t="s">
        <v>198</v>
      </c>
      <c r="Q703" s="364" t="s">
        <v>652</v>
      </c>
      <c r="R703" s="364" t="s">
        <v>88</v>
      </c>
      <c r="S703" s="364" t="s">
        <v>88</v>
      </c>
      <c r="T703" s="364" t="s">
        <v>88</v>
      </c>
      <c r="U703" s="364" t="s">
        <v>88</v>
      </c>
      <c r="V703" s="364" t="s">
        <v>88</v>
      </c>
      <c r="W703" s="364" t="s">
        <v>88</v>
      </c>
      <c r="X703" s="364" t="s">
        <v>88</v>
      </c>
      <c r="Y703" s="364" t="s">
        <v>88</v>
      </c>
      <c r="Z703" s="364" t="s">
        <v>720</v>
      </c>
      <c r="AA703" s="364" t="s">
        <v>649</v>
      </c>
      <c r="AB703" s="364" t="s">
        <v>649</v>
      </c>
      <c r="AC703" s="364" t="s">
        <v>649</v>
      </c>
      <c r="AD703" s="364" t="s">
        <v>88</v>
      </c>
      <c r="AE703" s="364" t="s">
        <v>88</v>
      </c>
      <c r="AF703" s="364" t="s">
        <v>88</v>
      </c>
      <c r="AG703" s="364" t="s">
        <v>88</v>
      </c>
      <c r="AH703" s="364" t="s">
        <v>88</v>
      </c>
      <c r="AI703" s="364" t="s">
        <v>1155</v>
      </c>
      <c r="AJ703" s="364" t="s">
        <v>710</v>
      </c>
      <c r="AK703" s="364" t="s">
        <v>647</v>
      </c>
      <c r="AL703" s="364" t="s">
        <v>88</v>
      </c>
      <c r="AM703" s="364" t="s">
        <v>668</v>
      </c>
      <c r="AN703" s="364" t="s">
        <v>644</v>
      </c>
    </row>
    <row r="704" spans="1:40" x14ac:dyDescent="0.3">
      <c r="A704" s="364" t="s">
        <v>1959</v>
      </c>
      <c r="B704" s="364" t="s">
        <v>661</v>
      </c>
      <c r="C704" s="364" t="s">
        <v>677</v>
      </c>
      <c r="D704" s="364" t="s">
        <v>90</v>
      </c>
      <c r="E704" s="364" t="s">
        <v>1958</v>
      </c>
      <c r="F704" s="364" t="s">
        <v>1958</v>
      </c>
      <c r="G704" s="364" t="s">
        <v>658</v>
      </c>
      <c r="H704" s="364" t="s">
        <v>1903</v>
      </c>
      <c r="I704" s="364" t="s">
        <v>1957</v>
      </c>
      <c r="J704" s="364" t="s">
        <v>673</v>
      </c>
      <c r="K704" s="364" t="s">
        <v>668</v>
      </c>
      <c r="L704" s="364" t="s">
        <v>190</v>
      </c>
      <c r="M704" s="364" t="s">
        <v>713</v>
      </c>
      <c r="N704" s="364" t="s">
        <v>654</v>
      </c>
      <c r="O704" s="364" t="s">
        <v>653</v>
      </c>
      <c r="P704" s="364" t="s">
        <v>198</v>
      </c>
      <c r="Q704" s="364" t="s">
        <v>652</v>
      </c>
      <c r="R704" s="364" t="s">
        <v>88</v>
      </c>
      <c r="S704" s="364" t="s">
        <v>88</v>
      </c>
      <c r="T704" s="364" t="s">
        <v>88</v>
      </c>
      <c r="U704" s="364" t="s">
        <v>88</v>
      </c>
      <c r="V704" s="364" t="s">
        <v>88</v>
      </c>
      <c r="W704" s="364" t="s">
        <v>88</v>
      </c>
      <c r="X704" s="364" t="s">
        <v>88</v>
      </c>
      <c r="Y704" s="364" t="s">
        <v>88</v>
      </c>
      <c r="Z704" s="364" t="s">
        <v>712</v>
      </c>
      <c r="AA704" s="364" t="s">
        <v>711</v>
      </c>
      <c r="AB704" s="364" t="s">
        <v>649</v>
      </c>
      <c r="AC704" s="364" t="s">
        <v>649</v>
      </c>
      <c r="AD704" s="364" t="s">
        <v>88</v>
      </c>
      <c r="AE704" s="364" t="s">
        <v>88</v>
      </c>
      <c r="AF704" s="364" t="s">
        <v>88</v>
      </c>
      <c r="AG704" s="364" t="s">
        <v>88</v>
      </c>
      <c r="AH704" s="364" t="s">
        <v>88</v>
      </c>
      <c r="AI704" s="364" t="s">
        <v>1155</v>
      </c>
      <c r="AJ704" s="364" t="s">
        <v>710</v>
      </c>
      <c r="AK704" s="364" t="s">
        <v>647</v>
      </c>
      <c r="AL704" s="364" t="s">
        <v>88</v>
      </c>
      <c r="AM704" s="364" t="s">
        <v>668</v>
      </c>
      <c r="AN704" s="364" t="s">
        <v>644</v>
      </c>
    </row>
    <row r="705" spans="1:40" x14ac:dyDescent="0.3">
      <c r="A705" s="364" t="s">
        <v>1959</v>
      </c>
      <c r="B705" s="364" t="s">
        <v>661</v>
      </c>
      <c r="C705" s="364" t="s">
        <v>677</v>
      </c>
      <c r="D705" s="364" t="s">
        <v>90</v>
      </c>
      <c r="E705" s="364" t="s">
        <v>1958</v>
      </c>
      <c r="F705" s="364" t="s">
        <v>1958</v>
      </c>
      <c r="G705" s="364" t="s">
        <v>658</v>
      </c>
      <c r="H705" s="364" t="s">
        <v>1903</v>
      </c>
      <c r="I705" s="364" t="s">
        <v>1957</v>
      </c>
      <c r="J705" s="364" t="s">
        <v>673</v>
      </c>
      <c r="K705" s="364" t="s">
        <v>668</v>
      </c>
      <c r="L705" s="364" t="s">
        <v>190</v>
      </c>
      <c r="M705" s="364" t="s">
        <v>718</v>
      </c>
      <c r="N705" s="364" t="s">
        <v>654</v>
      </c>
      <c r="O705" s="364" t="s">
        <v>653</v>
      </c>
      <c r="P705" s="364" t="s">
        <v>198</v>
      </c>
      <c r="Q705" s="364" t="s">
        <v>652</v>
      </c>
      <c r="R705" s="364" t="s">
        <v>88</v>
      </c>
      <c r="S705" s="364" t="s">
        <v>88</v>
      </c>
      <c r="T705" s="364" t="s">
        <v>88</v>
      </c>
      <c r="U705" s="364" t="s">
        <v>88</v>
      </c>
      <c r="V705" s="364" t="s">
        <v>88</v>
      </c>
      <c r="W705" s="364" t="s">
        <v>88</v>
      </c>
      <c r="X705" s="364" t="s">
        <v>88</v>
      </c>
      <c r="Y705" s="364" t="s">
        <v>88</v>
      </c>
      <c r="Z705" s="364" t="s">
        <v>717</v>
      </c>
      <c r="AA705" s="364" t="s">
        <v>649</v>
      </c>
      <c r="AB705" s="364" t="s">
        <v>649</v>
      </c>
      <c r="AC705" s="364" t="s">
        <v>649</v>
      </c>
      <c r="AD705" s="364" t="s">
        <v>88</v>
      </c>
      <c r="AE705" s="364" t="s">
        <v>88</v>
      </c>
      <c r="AF705" s="364" t="s">
        <v>88</v>
      </c>
      <c r="AG705" s="364" t="s">
        <v>88</v>
      </c>
      <c r="AH705" s="364" t="s">
        <v>88</v>
      </c>
      <c r="AI705" s="364" t="s">
        <v>1155</v>
      </c>
      <c r="AJ705" s="364" t="s">
        <v>710</v>
      </c>
      <c r="AK705" s="364" t="s">
        <v>647</v>
      </c>
      <c r="AL705" s="364" t="s">
        <v>88</v>
      </c>
      <c r="AM705" s="364" t="s">
        <v>668</v>
      </c>
      <c r="AN705" s="364" t="s">
        <v>644</v>
      </c>
    </row>
    <row r="706" spans="1:40" x14ac:dyDescent="0.3">
      <c r="A706" s="364" t="s">
        <v>1959</v>
      </c>
      <c r="B706" s="364" t="s">
        <v>661</v>
      </c>
      <c r="C706" s="364" t="s">
        <v>677</v>
      </c>
      <c r="D706" s="364" t="s">
        <v>90</v>
      </c>
      <c r="E706" s="364" t="s">
        <v>1958</v>
      </c>
      <c r="F706" s="364" t="s">
        <v>1958</v>
      </c>
      <c r="G706" s="364" t="s">
        <v>658</v>
      </c>
      <c r="H706" s="364" t="s">
        <v>1903</v>
      </c>
      <c r="I706" s="364" t="s">
        <v>1957</v>
      </c>
      <c r="J706" s="364" t="s">
        <v>673</v>
      </c>
      <c r="K706" s="364" t="s">
        <v>668</v>
      </c>
      <c r="L706" s="364" t="s">
        <v>190</v>
      </c>
      <c r="M706" s="364" t="s">
        <v>54</v>
      </c>
      <c r="N706" s="364" t="s">
        <v>654</v>
      </c>
      <c r="O706" s="364" t="s">
        <v>653</v>
      </c>
      <c r="P706" s="364" t="s">
        <v>198</v>
      </c>
      <c r="Q706" s="364" t="s">
        <v>652</v>
      </c>
      <c r="R706" s="364" t="s">
        <v>88</v>
      </c>
      <c r="S706" s="364" t="s">
        <v>88</v>
      </c>
      <c r="T706" s="364" t="s">
        <v>88</v>
      </c>
      <c r="U706" s="364" t="s">
        <v>88</v>
      </c>
      <c r="V706" s="364" t="s">
        <v>88</v>
      </c>
      <c r="W706" s="364" t="s">
        <v>88</v>
      </c>
      <c r="X706" s="364" t="s">
        <v>88</v>
      </c>
      <c r="Y706" s="364" t="s">
        <v>88</v>
      </c>
      <c r="Z706" s="364" t="s">
        <v>1265</v>
      </c>
      <c r="AA706" s="364" t="s">
        <v>649</v>
      </c>
      <c r="AB706" s="364" t="s">
        <v>649</v>
      </c>
      <c r="AC706" s="364" t="s">
        <v>649</v>
      </c>
      <c r="AD706" s="364" t="s">
        <v>88</v>
      </c>
      <c r="AE706" s="364" t="s">
        <v>88</v>
      </c>
      <c r="AF706" s="364" t="s">
        <v>88</v>
      </c>
      <c r="AG706" s="364" t="s">
        <v>88</v>
      </c>
      <c r="AH706" s="364" t="s">
        <v>88</v>
      </c>
      <c r="AI706" s="364" t="s">
        <v>1155</v>
      </c>
      <c r="AJ706" s="364" t="s">
        <v>710</v>
      </c>
      <c r="AK706" s="364" t="s">
        <v>647</v>
      </c>
      <c r="AL706" s="364" t="s">
        <v>88</v>
      </c>
      <c r="AM706" s="364" t="s">
        <v>668</v>
      </c>
      <c r="AN706" s="364" t="s">
        <v>644</v>
      </c>
    </row>
    <row r="707" spans="1:40" x14ac:dyDescent="0.3">
      <c r="A707" s="364" t="s">
        <v>1959</v>
      </c>
      <c r="B707" s="364" t="s">
        <v>661</v>
      </c>
      <c r="C707" s="364" t="s">
        <v>677</v>
      </c>
      <c r="D707" s="364" t="s">
        <v>90</v>
      </c>
      <c r="E707" s="364" t="s">
        <v>1958</v>
      </c>
      <c r="F707" s="364" t="s">
        <v>1958</v>
      </c>
      <c r="G707" s="364" t="s">
        <v>658</v>
      </c>
      <c r="H707" s="364" t="s">
        <v>1903</v>
      </c>
      <c r="I707" s="364" t="s">
        <v>1957</v>
      </c>
      <c r="J707" s="364" t="s">
        <v>673</v>
      </c>
      <c r="K707" s="364" t="s">
        <v>668</v>
      </c>
      <c r="L707" s="364" t="s">
        <v>190</v>
      </c>
      <c r="M707" s="364" t="s">
        <v>61</v>
      </c>
      <c r="N707" s="364" t="s">
        <v>654</v>
      </c>
      <c r="O707" s="364" t="s">
        <v>653</v>
      </c>
      <c r="P707" s="364" t="s">
        <v>198</v>
      </c>
      <c r="Q707" s="364" t="s">
        <v>652</v>
      </c>
      <c r="R707" s="364" t="s">
        <v>88</v>
      </c>
      <c r="S707" s="364" t="s">
        <v>88</v>
      </c>
      <c r="T707" s="364" t="s">
        <v>88</v>
      </c>
      <c r="U707" s="364" t="s">
        <v>88</v>
      </c>
      <c r="V707" s="364" t="s">
        <v>88</v>
      </c>
      <c r="W707" s="364" t="s">
        <v>88</v>
      </c>
      <c r="X707" s="364" t="s">
        <v>88</v>
      </c>
      <c r="Y707" s="364" t="s">
        <v>88</v>
      </c>
      <c r="Z707" s="364" t="s">
        <v>1021</v>
      </c>
      <c r="AA707" s="364" t="s">
        <v>671</v>
      </c>
      <c r="AB707" s="364" t="s">
        <v>649</v>
      </c>
      <c r="AC707" s="364" t="s">
        <v>649</v>
      </c>
      <c r="AD707" s="364" t="s">
        <v>88</v>
      </c>
      <c r="AE707" s="364" t="s">
        <v>88</v>
      </c>
      <c r="AF707" s="364" t="s">
        <v>88</v>
      </c>
      <c r="AG707" s="364" t="s">
        <v>88</v>
      </c>
      <c r="AH707" s="364" t="s">
        <v>88</v>
      </c>
      <c r="AI707" s="364" t="s">
        <v>1155</v>
      </c>
      <c r="AJ707" s="364" t="s">
        <v>710</v>
      </c>
      <c r="AK707" s="364" t="s">
        <v>647</v>
      </c>
      <c r="AL707" s="364" t="s">
        <v>88</v>
      </c>
      <c r="AM707" s="364" t="s">
        <v>668</v>
      </c>
      <c r="AN707" s="364" t="s">
        <v>644</v>
      </c>
    </row>
    <row r="708" spans="1:40" x14ac:dyDescent="0.3">
      <c r="A708" s="364" t="s">
        <v>1959</v>
      </c>
      <c r="B708" s="364" t="s">
        <v>661</v>
      </c>
      <c r="C708" s="364" t="s">
        <v>677</v>
      </c>
      <c r="D708" s="364" t="s">
        <v>90</v>
      </c>
      <c r="E708" s="364" t="s">
        <v>1958</v>
      </c>
      <c r="F708" s="364" t="s">
        <v>1958</v>
      </c>
      <c r="G708" s="364" t="s">
        <v>658</v>
      </c>
      <c r="H708" s="364" t="s">
        <v>1903</v>
      </c>
      <c r="I708" s="364" t="s">
        <v>1957</v>
      </c>
      <c r="J708" s="364" t="s">
        <v>673</v>
      </c>
      <c r="K708" s="364" t="s">
        <v>668</v>
      </c>
      <c r="L708" s="364" t="s">
        <v>190</v>
      </c>
      <c r="M708" s="364" t="s">
        <v>721</v>
      </c>
      <c r="N708" s="364" t="s">
        <v>654</v>
      </c>
      <c r="O708" s="364" t="s">
        <v>653</v>
      </c>
      <c r="P708" s="364" t="s">
        <v>198</v>
      </c>
      <c r="Q708" s="364" t="s">
        <v>652</v>
      </c>
      <c r="R708" s="364" t="s">
        <v>88</v>
      </c>
      <c r="S708" s="364" t="s">
        <v>88</v>
      </c>
      <c r="T708" s="364" t="s">
        <v>88</v>
      </c>
      <c r="U708" s="364" t="s">
        <v>88</v>
      </c>
      <c r="V708" s="364" t="s">
        <v>88</v>
      </c>
      <c r="W708" s="364" t="s">
        <v>88</v>
      </c>
      <c r="X708" s="364" t="s">
        <v>88</v>
      </c>
      <c r="Y708" s="364" t="s">
        <v>88</v>
      </c>
      <c r="Z708" s="364" t="s">
        <v>720</v>
      </c>
      <c r="AA708" s="364" t="s">
        <v>649</v>
      </c>
      <c r="AB708" s="364" t="s">
        <v>649</v>
      </c>
      <c r="AC708" s="364" t="s">
        <v>649</v>
      </c>
      <c r="AD708" s="364" t="s">
        <v>88</v>
      </c>
      <c r="AE708" s="364" t="s">
        <v>88</v>
      </c>
      <c r="AF708" s="364" t="s">
        <v>88</v>
      </c>
      <c r="AG708" s="364" t="s">
        <v>88</v>
      </c>
      <c r="AH708" s="364" t="s">
        <v>88</v>
      </c>
      <c r="AI708" s="364" t="s">
        <v>1155</v>
      </c>
      <c r="AJ708" s="364" t="s">
        <v>710</v>
      </c>
      <c r="AK708" s="364" t="s">
        <v>647</v>
      </c>
      <c r="AL708" s="364" t="s">
        <v>88</v>
      </c>
      <c r="AM708" s="364" t="s">
        <v>668</v>
      </c>
      <c r="AN708" s="364" t="s">
        <v>644</v>
      </c>
    </row>
    <row r="709" spans="1:40" x14ac:dyDescent="0.3">
      <c r="A709" s="364" t="s">
        <v>1956</v>
      </c>
      <c r="B709" s="364" t="s">
        <v>661</v>
      </c>
      <c r="C709" s="364" t="s">
        <v>677</v>
      </c>
      <c r="D709" s="364" t="s">
        <v>90</v>
      </c>
      <c r="E709" s="364" t="s">
        <v>1955</v>
      </c>
      <c r="F709" s="364" t="s">
        <v>1955</v>
      </c>
      <c r="G709" s="364" t="s">
        <v>658</v>
      </c>
      <c r="H709" s="364" t="s">
        <v>1903</v>
      </c>
      <c r="I709" s="364" t="s">
        <v>1902</v>
      </c>
      <c r="J709" s="364" t="s">
        <v>673</v>
      </c>
      <c r="K709" s="364" t="s">
        <v>668</v>
      </c>
      <c r="L709" s="364" t="s">
        <v>190</v>
      </c>
      <c r="M709" s="364" t="s">
        <v>250</v>
      </c>
      <c r="N709" s="364" t="s">
        <v>654</v>
      </c>
      <c r="O709" s="364" t="s">
        <v>653</v>
      </c>
      <c r="P709" s="364" t="s">
        <v>198</v>
      </c>
      <c r="Q709" s="364" t="s">
        <v>652</v>
      </c>
      <c r="R709" s="364" t="s">
        <v>88</v>
      </c>
      <c r="S709" s="364" t="s">
        <v>88</v>
      </c>
      <c r="T709" s="364" t="s">
        <v>88</v>
      </c>
      <c r="U709" s="364" t="s">
        <v>88</v>
      </c>
      <c r="V709" s="364" t="s">
        <v>88</v>
      </c>
      <c r="W709" s="364" t="s">
        <v>88</v>
      </c>
      <c r="X709" s="364" t="s">
        <v>88</v>
      </c>
      <c r="Y709" s="364" t="s">
        <v>88</v>
      </c>
      <c r="Z709" s="364" t="s">
        <v>1821</v>
      </c>
      <c r="AA709" s="364" t="s">
        <v>649</v>
      </c>
      <c r="AB709" s="364" t="s">
        <v>649</v>
      </c>
      <c r="AC709" s="364" t="s">
        <v>649</v>
      </c>
      <c r="AD709" s="364" t="s">
        <v>88</v>
      </c>
      <c r="AE709" s="364" t="s">
        <v>88</v>
      </c>
      <c r="AF709" s="364" t="s">
        <v>88</v>
      </c>
      <c r="AG709" s="364" t="s">
        <v>88</v>
      </c>
      <c r="AH709" s="364" t="s">
        <v>88</v>
      </c>
      <c r="AI709" s="364" t="s">
        <v>1155</v>
      </c>
      <c r="AJ709" s="364" t="s">
        <v>710</v>
      </c>
      <c r="AK709" s="364" t="s">
        <v>647</v>
      </c>
      <c r="AL709" s="364" t="s">
        <v>88</v>
      </c>
      <c r="AM709" s="364" t="s">
        <v>668</v>
      </c>
      <c r="AN709" s="364" t="s">
        <v>644</v>
      </c>
    </row>
    <row r="710" spans="1:40" x14ac:dyDescent="0.3">
      <c r="A710" s="364" t="s">
        <v>1956</v>
      </c>
      <c r="B710" s="364" t="s">
        <v>661</v>
      </c>
      <c r="C710" s="364" t="s">
        <v>677</v>
      </c>
      <c r="D710" s="364" t="s">
        <v>90</v>
      </c>
      <c r="E710" s="364" t="s">
        <v>1955</v>
      </c>
      <c r="F710" s="364" t="s">
        <v>1955</v>
      </c>
      <c r="G710" s="364" t="s">
        <v>658</v>
      </c>
      <c r="H710" s="364" t="s">
        <v>1903</v>
      </c>
      <c r="I710" s="364" t="s">
        <v>1902</v>
      </c>
      <c r="J710" s="364" t="s">
        <v>673</v>
      </c>
      <c r="K710" s="364" t="s">
        <v>668</v>
      </c>
      <c r="L710" s="364" t="s">
        <v>190</v>
      </c>
      <c r="M710" s="364" t="s">
        <v>718</v>
      </c>
      <c r="N710" s="364" t="s">
        <v>654</v>
      </c>
      <c r="O710" s="364" t="s">
        <v>653</v>
      </c>
      <c r="P710" s="364" t="s">
        <v>198</v>
      </c>
      <c r="Q710" s="364" t="s">
        <v>652</v>
      </c>
      <c r="R710" s="364" t="s">
        <v>88</v>
      </c>
      <c r="S710" s="364" t="s">
        <v>88</v>
      </c>
      <c r="T710" s="364" t="s">
        <v>88</v>
      </c>
      <c r="U710" s="364" t="s">
        <v>88</v>
      </c>
      <c r="V710" s="364" t="s">
        <v>88</v>
      </c>
      <c r="W710" s="364" t="s">
        <v>88</v>
      </c>
      <c r="X710" s="364" t="s">
        <v>88</v>
      </c>
      <c r="Y710" s="364" t="s">
        <v>88</v>
      </c>
      <c r="Z710" s="364" t="s">
        <v>717</v>
      </c>
      <c r="AA710" s="364" t="s">
        <v>649</v>
      </c>
      <c r="AB710" s="364" t="s">
        <v>649</v>
      </c>
      <c r="AC710" s="364" t="s">
        <v>649</v>
      </c>
      <c r="AD710" s="364" t="s">
        <v>88</v>
      </c>
      <c r="AE710" s="364" t="s">
        <v>88</v>
      </c>
      <c r="AF710" s="364" t="s">
        <v>88</v>
      </c>
      <c r="AG710" s="364" t="s">
        <v>88</v>
      </c>
      <c r="AH710" s="364" t="s">
        <v>88</v>
      </c>
      <c r="AI710" s="364" t="s">
        <v>1155</v>
      </c>
      <c r="AJ710" s="364" t="s">
        <v>710</v>
      </c>
      <c r="AK710" s="364" t="s">
        <v>647</v>
      </c>
      <c r="AL710" s="364" t="s">
        <v>88</v>
      </c>
      <c r="AM710" s="364" t="s">
        <v>668</v>
      </c>
      <c r="AN710" s="364" t="s">
        <v>644</v>
      </c>
    </row>
    <row r="711" spans="1:40" x14ac:dyDescent="0.3">
      <c r="A711" s="364" t="s">
        <v>1956</v>
      </c>
      <c r="B711" s="364" t="s">
        <v>661</v>
      </c>
      <c r="C711" s="364" t="s">
        <v>677</v>
      </c>
      <c r="D711" s="364" t="s">
        <v>90</v>
      </c>
      <c r="E711" s="364" t="s">
        <v>1955</v>
      </c>
      <c r="F711" s="364" t="s">
        <v>1955</v>
      </c>
      <c r="G711" s="364" t="s">
        <v>658</v>
      </c>
      <c r="H711" s="364" t="s">
        <v>1903</v>
      </c>
      <c r="I711" s="364" t="s">
        <v>1902</v>
      </c>
      <c r="J711" s="364" t="s">
        <v>673</v>
      </c>
      <c r="K711" s="364" t="s">
        <v>668</v>
      </c>
      <c r="L711" s="364" t="s">
        <v>190</v>
      </c>
      <c r="M711" s="364" t="s">
        <v>713</v>
      </c>
      <c r="N711" s="364" t="s">
        <v>654</v>
      </c>
      <c r="O711" s="364" t="s">
        <v>653</v>
      </c>
      <c r="P711" s="364" t="s">
        <v>198</v>
      </c>
      <c r="Q711" s="364" t="s">
        <v>652</v>
      </c>
      <c r="R711" s="364" t="s">
        <v>88</v>
      </c>
      <c r="S711" s="364" t="s">
        <v>88</v>
      </c>
      <c r="T711" s="364" t="s">
        <v>88</v>
      </c>
      <c r="U711" s="364" t="s">
        <v>88</v>
      </c>
      <c r="V711" s="364" t="s">
        <v>88</v>
      </c>
      <c r="W711" s="364" t="s">
        <v>88</v>
      </c>
      <c r="X711" s="364" t="s">
        <v>88</v>
      </c>
      <c r="Y711" s="364" t="s">
        <v>88</v>
      </c>
      <c r="Z711" s="364" t="s">
        <v>712</v>
      </c>
      <c r="AA711" s="364" t="s">
        <v>711</v>
      </c>
      <c r="AB711" s="364" t="s">
        <v>649</v>
      </c>
      <c r="AC711" s="364" t="s">
        <v>649</v>
      </c>
      <c r="AD711" s="364" t="s">
        <v>88</v>
      </c>
      <c r="AE711" s="364" t="s">
        <v>88</v>
      </c>
      <c r="AF711" s="364" t="s">
        <v>88</v>
      </c>
      <c r="AG711" s="364" t="s">
        <v>88</v>
      </c>
      <c r="AH711" s="364" t="s">
        <v>88</v>
      </c>
      <c r="AI711" s="364" t="s">
        <v>1155</v>
      </c>
      <c r="AJ711" s="364" t="s">
        <v>710</v>
      </c>
      <c r="AK711" s="364" t="s">
        <v>647</v>
      </c>
      <c r="AL711" s="364" t="s">
        <v>88</v>
      </c>
      <c r="AM711" s="364" t="s">
        <v>668</v>
      </c>
      <c r="AN711" s="364" t="s">
        <v>644</v>
      </c>
    </row>
    <row r="712" spans="1:40" x14ac:dyDescent="0.3">
      <c r="A712" s="364" t="s">
        <v>1956</v>
      </c>
      <c r="B712" s="364" t="s">
        <v>661</v>
      </c>
      <c r="C712" s="364" t="s">
        <v>677</v>
      </c>
      <c r="D712" s="364" t="s">
        <v>90</v>
      </c>
      <c r="E712" s="364" t="s">
        <v>1955</v>
      </c>
      <c r="F712" s="364" t="s">
        <v>1955</v>
      </c>
      <c r="G712" s="364" t="s">
        <v>658</v>
      </c>
      <c r="H712" s="364" t="s">
        <v>1903</v>
      </c>
      <c r="I712" s="364" t="s">
        <v>1902</v>
      </c>
      <c r="J712" s="364" t="s">
        <v>673</v>
      </c>
      <c r="K712" s="364" t="s">
        <v>668</v>
      </c>
      <c r="L712" s="364" t="s">
        <v>190</v>
      </c>
      <c r="M712" s="364" t="s">
        <v>54</v>
      </c>
      <c r="N712" s="364" t="s">
        <v>654</v>
      </c>
      <c r="O712" s="364" t="s">
        <v>653</v>
      </c>
      <c r="P712" s="364" t="s">
        <v>198</v>
      </c>
      <c r="Q712" s="364" t="s">
        <v>652</v>
      </c>
      <c r="R712" s="364" t="s">
        <v>88</v>
      </c>
      <c r="S712" s="364" t="s">
        <v>88</v>
      </c>
      <c r="T712" s="364" t="s">
        <v>88</v>
      </c>
      <c r="U712" s="364" t="s">
        <v>88</v>
      </c>
      <c r="V712" s="364" t="s">
        <v>88</v>
      </c>
      <c r="W712" s="364" t="s">
        <v>88</v>
      </c>
      <c r="X712" s="364" t="s">
        <v>88</v>
      </c>
      <c r="Y712" s="364" t="s">
        <v>88</v>
      </c>
      <c r="Z712" s="364" t="s">
        <v>1265</v>
      </c>
      <c r="AA712" s="364" t="s">
        <v>649</v>
      </c>
      <c r="AB712" s="364" t="s">
        <v>649</v>
      </c>
      <c r="AC712" s="364" t="s">
        <v>649</v>
      </c>
      <c r="AD712" s="364" t="s">
        <v>88</v>
      </c>
      <c r="AE712" s="364" t="s">
        <v>88</v>
      </c>
      <c r="AF712" s="364" t="s">
        <v>88</v>
      </c>
      <c r="AG712" s="364" t="s">
        <v>88</v>
      </c>
      <c r="AH712" s="364" t="s">
        <v>88</v>
      </c>
      <c r="AI712" s="364" t="s">
        <v>1155</v>
      </c>
      <c r="AJ712" s="364" t="s">
        <v>710</v>
      </c>
      <c r="AK712" s="364" t="s">
        <v>647</v>
      </c>
      <c r="AL712" s="364" t="s">
        <v>88</v>
      </c>
      <c r="AM712" s="364" t="s">
        <v>668</v>
      </c>
      <c r="AN712" s="364" t="s">
        <v>644</v>
      </c>
    </row>
    <row r="713" spans="1:40" x14ac:dyDescent="0.3">
      <c r="A713" s="364" t="s">
        <v>1956</v>
      </c>
      <c r="B713" s="364" t="s">
        <v>661</v>
      </c>
      <c r="C713" s="364" t="s">
        <v>677</v>
      </c>
      <c r="D713" s="364" t="s">
        <v>90</v>
      </c>
      <c r="E713" s="364" t="s">
        <v>1955</v>
      </c>
      <c r="F713" s="364" t="s">
        <v>1955</v>
      </c>
      <c r="G713" s="364" t="s">
        <v>658</v>
      </c>
      <c r="H713" s="364" t="s">
        <v>1903</v>
      </c>
      <c r="I713" s="364" t="s">
        <v>1902</v>
      </c>
      <c r="J713" s="364" t="s">
        <v>673</v>
      </c>
      <c r="K713" s="364" t="s">
        <v>668</v>
      </c>
      <c r="L713" s="364" t="s">
        <v>190</v>
      </c>
      <c r="M713" s="364" t="s">
        <v>61</v>
      </c>
      <c r="N713" s="364" t="s">
        <v>654</v>
      </c>
      <c r="O713" s="364" t="s">
        <v>653</v>
      </c>
      <c r="P713" s="364" t="s">
        <v>198</v>
      </c>
      <c r="Q713" s="364" t="s">
        <v>652</v>
      </c>
      <c r="R713" s="364" t="s">
        <v>88</v>
      </c>
      <c r="S713" s="364" t="s">
        <v>88</v>
      </c>
      <c r="T713" s="364" t="s">
        <v>88</v>
      </c>
      <c r="U713" s="364" t="s">
        <v>88</v>
      </c>
      <c r="V713" s="364" t="s">
        <v>88</v>
      </c>
      <c r="W713" s="364" t="s">
        <v>88</v>
      </c>
      <c r="X713" s="364" t="s">
        <v>88</v>
      </c>
      <c r="Y713" s="364" t="s">
        <v>88</v>
      </c>
      <c r="Z713" s="364" t="s">
        <v>1021</v>
      </c>
      <c r="AA713" s="364" t="s">
        <v>671</v>
      </c>
      <c r="AB713" s="364" t="s">
        <v>649</v>
      </c>
      <c r="AC713" s="364" t="s">
        <v>649</v>
      </c>
      <c r="AD713" s="364" t="s">
        <v>88</v>
      </c>
      <c r="AE713" s="364" t="s">
        <v>88</v>
      </c>
      <c r="AF713" s="364" t="s">
        <v>88</v>
      </c>
      <c r="AG713" s="364" t="s">
        <v>88</v>
      </c>
      <c r="AH713" s="364" t="s">
        <v>88</v>
      </c>
      <c r="AI713" s="364" t="s">
        <v>1155</v>
      </c>
      <c r="AJ713" s="364" t="s">
        <v>710</v>
      </c>
      <c r="AK713" s="364" t="s">
        <v>647</v>
      </c>
      <c r="AL713" s="364" t="s">
        <v>88</v>
      </c>
      <c r="AM713" s="364" t="s">
        <v>668</v>
      </c>
      <c r="AN713" s="364" t="s">
        <v>644</v>
      </c>
    </row>
    <row r="714" spans="1:40" x14ac:dyDescent="0.3">
      <c r="A714" s="364" t="s">
        <v>1956</v>
      </c>
      <c r="B714" s="364" t="s">
        <v>661</v>
      </c>
      <c r="C714" s="364" t="s">
        <v>677</v>
      </c>
      <c r="D714" s="364" t="s">
        <v>90</v>
      </c>
      <c r="E714" s="364" t="s">
        <v>1955</v>
      </c>
      <c r="F714" s="364" t="s">
        <v>1955</v>
      </c>
      <c r="G714" s="364" t="s">
        <v>658</v>
      </c>
      <c r="H714" s="364" t="s">
        <v>1903</v>
      </c>
      <c r="I714" s="364" t="s">
        <v>1902</v>
      </c>
      <c r="J714" s="364" t="s">
        <v>673</v>
      </c>
      <c r="K714" s="364" t="s">
        <v>668</v>
      </c>
      <c r="L714" s="364" t="s">
        <v>190</v>
      </c>
      <c r="M714" s="364" t="s">
        <v>721</v>
      </c>
      <c r="N714" s="364" t="s">
        <v>654</v>
      </c>
      <c r="O714" s="364" t="s">
        <v>653</v>
      </c>
      <c r="P714" s="364" t="s">
        <v>198</v>
      </c>
      <c r="Q714" s="364" t="s">
        <v>652</v>
      </c>
      <c r="R714" s="364" t="s">
        <v>88</v>
      </c>
      <c r="S714" s="364" t="s">
        <v>88</v>
      </c>
      <c r="T714" s="364" t="s">
        <v>88</v>
      </c>
      <c r="U714" s="364" t="s">
        <v>88</v>
      </c>
      <c r="V714" s="364" t="s">
        <v>88</v>
      </c>
      <c r="W714" s="364" t="s">
        <v>88</v>
      </c>
      <c r="X714" s="364" t="s">
        <v>88</v>
      </c>
      <c r="Y714" s="364" t="s">
        <v>88</v>
      </c>
      <c r="Z714" s="364" t="s">
        <v>720</v>
      </c>
      <c r="AA714" s="364" t="s">
        <v>649</v>
      </c>
      <c r="AB714" s="364" t="s">
        <v>649</v>
      </c>
      <c r="AC714" s="364" t="s">
        <v>649</v>
      </c>
      <c r="AD714" s="364" t="s">
        <v>88</v>
      </c>
      <c r="AE714" s="364" t="s">
        <v>88</v>
      </c>
      <c r="AF714" s="364" t="s">
        <v>88</v>
      </c>
      <c r="AG714" s="364" t="s">
        <v>88</v>
      </c>
      <c r="AH714" s="364" t="s">
        <v>88</v>
      </c>
      <c r="AI714" s="364" t="s">
        <v>1155</v>
      </c>
      <c r="AJ714" s="364" t="s">
        <v>710</v>
      </c>
      <c r="AK714" s="364" t="s">
        <v>647</v>
      </c>
      <c r="AL714" s="364" t="s">
        <v>88</v>
      </c>
      <c r="AM714" s="364" t="s">
        <v>668</v>
      </c>
      <c r="AN714" s="364" t="s">
        <v>644</v>
      </c>
    </row>
    <row r="715" spans="1:40" x14ac:dyDescent="0.3">
      <c r="A715" s="364" t="s">
        <v>1954</v>
      </c>
      <c r="B715" s="364" t="s">
        <v>661</v>
      </c>
      <c r="C715" s="364" t="s">
        <v>677</v>
      </c>
      <c r="D715" s="364" t="s">
        <v>90</v>
      </c>
      <c r="E715" s="364" t="s">
        <v>1953</v>
      </c>
      <c r="F715" s="364" t="s">
        <v>1953</v>
      </c>
      <c r="G715" s="364" t="s">
        <v>658</v>
      </c>
      <c r="H715" s="364" t="s">
        <v>1903</v>
      </c>
      <c r="I715" s="364" t="s">
        <v>1902</v>
      </c>
      <c r="J715" s="364" t="s">
        <v>673</v>
      </c>
      <c r="K715" s="364" t="s">
        <v>668</v>
      </c>
      <c r="L715" s="364" t="s">
        <v>190</v>
      </c>
      <c r="M715" s="364" t="s">
        <v>250</v>
      </c>
      <c r="N715" s="364" t="s">
        <v>654</v>
      </c>
      <c r="O715" s="364" t="s">
        <v>653</v>
      </c>
      <c r="P715" s="364" t="s">
        <v>198</v>
      </c>
      <c r="Q715" s="364" t="s">
        <v>652</v>
      </c>
      <c r="R715" s="364" t="s">
        <v>88</v>
      </c>
      <c r="S715" s="364" t="s">
        <v>88</v>
      </c>
      <c r="T715" s="364" t="s">
        <v>88</v>
      </c>
      <c r="U715" s="364" t="s">
        <v>88</v>
      </c>
      <c r="V715" s="364" t="s">
        <v>88</v>
      </c>
      <c r="W715" s="364" t="s">
        <v>88</v>
      </c>
      <c r="X715" s="364" t="s">
        <v>88</v>
      </c>
      <c r="Y715" s="364" t="s">
        <v>88</v>
      </c>
      <c r="Z715" s="364" t="s">
        <v>1821</v>
      </c>
      <c r="AA715" s="364" t="s">
        <v>649</v>
      </c>
      <c r="AB715" s="364" t="s">
        <v>649</v>
      </c>
      <c r="AC715" s="364" t="s">
        <v>649</v>
      </c>
      <c r="AD715" s="364" t="s">
        <v>88</v>
      </c>
      <c r="AE715" s="364" t="s">
        <v>88</v>
      </c>
      <c r="AF715" s="364" t="s">
        <v>88</v>
      </c>
      <c r="AG715" s="364" t="s">
        <v>88</v>
      </c>
      <c r="AH715" s="364" t="s">
        <v>88</v>
      </c>
      <c r="AI715" s="364" t="s">
        <v>1155</v>
      </c>
      <c r="AJ715" s="364" t="s">
        <v>710</v>
      </c>
      <c r="AK715" s="364" t="s">
        <v>647</v>
      </c>
      <c r="AL715" s="364" t="s">
        <v>88</v>
      </c>
      <c r="AM715" s="364" t="s">
        <v>668</v>
      </c>
      <c r="AN715" s="364" t="s">
        <v>644</v>
      </c>
    </row>
    <row r="716" spans="1:40" x14ac:dyDescent="0.3">
      <c r="A716" s="364" t="s">
        <v>1954</v>
      </c>
      <c r="B716" s="364" t="s">
        <v>661</v>
      </c>
      <c r="C716" s="364" t="s">
        <v>677</v>
      </c>
      <c r="D716" s="364" t="s">
        <v>90</v>
      </c>
      <c r="E716" s="364" t="s">
        <v>1953</v>
      </c>
      <c r="F716" s="364" t="s">
        <v>1953</v>
      </c>
      <c r="G716" s="364" t="s">
        <v>658</v>
      </c>
      <c r="H716" s="364" t="s">
        <v>1903</v>
      </c>
      <c r="I716" s="364" t="s">
        <v>1902</v>
      </c>
      <c r="J716" s="364" t="s">
        <v>673</v>
      </c>
      <c r="K716" s="364" t="s">
        <v>668</v>
      </c>
      <c r="L716" s="364" t="s">
        <v>190</v>
      </c>
      <c r="M716" s="364" t="s">
        <v>718</v>
      </c>
      <c r="N716" s="364" t="s">
        <v>654</v>
      </c>
      <c r="O716" s="364" t="s">
        <v>653</v>
      </c>
      <c r="P716" s="364" t="s">
        <v>198</v>
      </c>
      <c r="Q716" s="364" t="s">
        <v>652</v>
      </c>
      <c r="R716" s="364" t="s">
        <v>88</v>
      </c>
      <c r="S716" s="364" t="s">
        <v>88</v>
      </c>
      <c r="T716" s="364" t="s">
        <v>88</v>
      </c>
      <c r="U716" s="364" t="s">
        <v>88</v>
      </c>
      <c r="V716" s="364" t="s">
        <v>88</v>
      </c>
      <c r="W716" s="364" t="s">
        <v>88</v>
      </c>
      <c r="X716" s="364" t="s">
        <v>88</v>
      </c>
      <c r="Y716" s="364" t="s">
        <v>88</v>
      </c>
      <c r="Z716" s="364" t="s">
        <v>717</v>
      </c>
      <c r="AA716" s="364" t="s">
        <v>649</v>
      </c>
      <c r="AB716" s="364" t="s">
        <v>649</v>
      </c>
      <c r="AC716" s="364" t="s">
        <v>649</v>
      </c>
      <c r="AD716" s="364" t="s">
        <v>88</v>
      </c>
      <c r="AE716" s="364" t="s">
        <v>88</v>
      </c>
      <c r="AF716" s="364" t="s">
        <v>88</v>
      </c>
      <c r="AG716" s="364" t="s">
        <v>88</v>
      </c>
      <c r="AH716" s="364" t="s">
        <v>88</v>
      </c>
      <c r="AI716" s="364" t="s">
        <v>1155</v>
      </c>
      <c r="AJ716" s="364" t="s">
        <v>710</v>
      </c>
      <c r="AK716" s="364" t="s">
        <v>647</v>
      </c>
      <c r="AL716" s="364" t="s">
        <v>88</v>
      </c>
      <c r="AM716" s="364" t="s">
        <v>668</v>
      </c>
      <c r="AN716" s="364" t="s">
        <v>644</v>
      </c>
    </row>
    <row r="717" spans="1:40" x14ac:dyDescent="0.3">
      <c r="A717" s="364" t="s">
        <v>1954</v>
      </c>
      <c r="B717" s="364" t="s">
        <v>661</v>
      </c>
      <c r="C717" s="364" t="s">
        <v>677</v>
      </c>
      <c r="D717" s="364" t="s">
        <v>90</v>
      </c>
      <c r="E717" s="364" t="s">
        <v>1953</v>
      </c>
      <c r="F717" s="364" t="s">
        <v>1953</v>
      </c>
      <c r="G717" s="364" t="s">
        <v>658</v>
      </c>
      <c r="H717" s="364" t="s">
        <v>1903</v>
      </c>
      <c r="I717" s="364" t="s">
        <v>1902</v>
      </c>
      <c r="J717" s="364" t="s">
        <v>673</v>
      </c>
      <c r="K717" s="364" t="s">
        <v>668</v>
      </c>
      <c r="L717" s="364" t="s">
        <v>190</v>
      </c>
      <c r="M717" s="364" t="s">
        <v>713</v>
      </c>
      <c r="N717" s="364" t="s">
        <v>654</v>
      </c>
      <c r="O717" s="364" t="s">
        <v>653</v>
      </c>
      <c r="P717" s="364" t="s">
        <v>198</v>
      </c>
      <c r="Q717" s="364" t="s">
        <v>652</v>
      </c>
      <c r="R717" s="364" t="s">
        <v>88</v>
      </c>
      <c r="S717" s="364" t="s">
        <v>88</v>
      </c>
      <c r="T717" s="364" t="s">
        <v>88</v>
      </c>
      <c r="U717" s="364" t="s">
        <v>88</v>
      </c>
      <c r="V717" s="364" t="s">
        <v>88</v>
      </c>
      <c r="W717" s="364" t="s">
        <v>88</v>
      </c>
      <c r="X717" s="364" t="s">
        <v>88</v>
      </c>
      <c r="Y717" s="364" t="s">
        <v>88</v>
      </c>
      <c r="Z717" s="364" t="s">
        <v>712</v>
      </c>
      <c r="AA717" s="364" t="s">
        <v>711</v>
      </c>
      <c r="AB717" s="364" t="s">
        <v>649</v>
      </c>
      <c r="AC717" s="364" t="s">
        <v>649</v>
      </c>
      <c r="AD717" s="364" t="s">
        <v>88</v>
      </c>
      <c r="AE717" s="364" t="s">
        <v>88</v>
      </c>
      <c r="AF717" s="364" t="s">
        <v>88</v>
      </c>
      <c r="AG717" s="364" t="s">
        <v>88</v>
      </c>
      <c r="AH717" s="364" t="s">
        <v>88</v>
      </c>
      <c r="AI717" s="364" t="s">
        <v>1155</v>
      </c>
      <c r="AJ717" s="364" t="s">
        <v>710</v>
      </c>
      <c r="AK717" s="364" t="s">
        <v>647</v>
      </c>
      <c r="AL717" s="364" t="s">
        <v>88</v>
      </c>
      <c r="AM717" s="364" t="s">
        <v>668</v>
      </c>
      <c r="AN717" s="364" t="s">
        <v>644</v>
      </c>
    </row>
    <row r="718" spans="1:40" x14ac:dyDescent="0.3">
      <c r="A718" s="364" t="s">
        <v>1954</v>
      </c>
      <c r="B718" s="364" t="s">
        <v>661</v>
      </c>
      <c r="C718" s="364" t="s">
        <v>677</v>
      </c>
      <c r="D718" s="364" t="s">
        <v>90</v>
      </c>
      <c r="E718" s="364" t="s">
        <v>1953</v>
      </c>
      <c r="F718" s="364" t="s">
        <v>1953</v>
      </c>
      <c r="G718" s="364" t="s">
        <v>658</v>
      </c>
      <c r="H718" s="364" t="s">
        <v>1903</v>
      </c>
      <c r="I718" s="364" t="s">
        <v>1902</v>
      </c>
      <c r="J718" s="364" t="s">
        <v>673</v>
      </c>
      <c r="K718" s="364" t="s">
        <v>668</v>
      </c>
      <c r="L718" s="364" t="s">
        <v>190</v>
      </c>
      <c r="M718" s="364" t="s">
        <v>54</v>
      </c>
      <c r="N718" s="364" t="s">
        <v>654</v>
      </c>
      <c r="O718" s="364" t="s">
        <v>653</v>
      </c>
      <c r="P718" s="364" t="s">
        <v>198</v>
      </c>
      <c r="Q718" s="364" t="s">
        <v>652</v>
      </c>
      <c r="R718" s="364" t="s">
        <v>88</v>
      </c>
      <c r="S718" s="364" t="s">
        <v>88</v>
      </c>
      <c r="T718" s="364" t="s">
        <v>88</v>
      </c>
      <c r="U718" s="364" t="s">
        <v>88</v>
      </c>
      <c r="V718" s="364" t="s">
        <v>88</v>
      </c>
      <c r="W718" s="364" t="s">
        <v>88</v>
      </c>
      <c r="X718" s="364" t="s">
        <v>88</v>
      </c>
      <c r="Y718" s="364" t="s">
        <v>88</v>
      </c>
      <c r="Z718" s="364" t="s">
        <v>1265</v>
      </c>
      <c r="AA718" s="364" t="s">
        <v>649</v>
      </c>
      <c r="AB718" s="364" t="s">
        <v>649</v>
      </c>
      <c r="AC718" s="364" t="s">
        <v>649</v>
      </c>
      <c r="AD718" s="364" t="s">
        <v>88</v>
      </c>
      <c r="AE718" s="364" t="s">
        <v>88</v>
      </c>
      <c r="AF718" s="364" t="s">
        <v>88</v>
      </c>
      <c r="AG718" s="364" t="s">
        <v>88</v>
      </c>
      <c r="AH718" s="364" t="s">
        <v>88</v>
      </c>
      <c r="AI718" s="364" t="s">
        <v>1155</v>
      </c>
      <c r="AJ718" s="364" t="s">
        <v>710</v>
      </c>
      <c r="AK718" s="364" t="s">
        <v>647</v>
      </c>
      <c r="AL718" s="364" t="s">
        <v>88</v>
      </c>
      <c r="AM718" s="364" t="s">
        <v>668</v>
      </c>
      <c r="AN718" s="364" t="s">
        <v>644</v>
      </c>
    </row>
    <row r="719" spans="1:40" x14ac:dyDescent="0.3">
      <c r="A719" s="364" t="s">
        <v>1954</v>
      </c>
      <c r="B719" s="364" t="s">
        <v>661</v>
      </c>
      <c r="C719" s="364" t="s">
        <v>677</v>
      </c>
      <c r="D719" s="364" t="s">
        <v>90</v>
      </c>
      <c r="E719" s="364" t="s">
        <v>1953</v>
      </c>
      <c r="F719" s="364" t="s">
        <v>1953</v>
      </c>
      <c r="G719" s="364" t="s">
        <v>658</v>
      </c>
      <c r="H719" s="364" t="s">
        <v>1903</v>
      </c>
      <c r="I719" s="364" t="s">
        <v>1902</v>
      </c>
      <c r="J719" s="364" t="s">
        <v>673</v>
      </c>
      <c r="K719" s="364" t="s">
        <v>668</v>
      </c>
      <c r="L719" s="364" t="s">
        <v>190</v>
      </c>
      <c r="M719" s="364" t="s">
        <v>61</v>
      </c>
      <c r="N719" s="364" t="s">
        <v>654</v>
      </c>
      <c r="O719" s="364" t="s">
        <v>653</v>
      </c>
      <c r="P719" s="364" t="s">
        <v>198</v>
      </c>
      <c r="Q719" s="364" t="s">
        <v>652</v>
      </c>
      <c r="R719" s="364" t="s">
        <v>88</v>
      </c>
      <c r="S719" s="364" t="s">
        <v>88</v>
      </c>
      <c r="T719" s="364" t="s">
        <v>88</v>
      </c>
      <c r="U719" s="364" t="s">
        <v>88</v>
      </c>
      <c r="V719" s="364" t="s">
        <v>88</v>
      </c>
      <c r="W719" s="364" t="s">
        <v>88</v>
      </c>
      <c r="X719" s="364" t="s">
        <v>88</v>
      </c>
      <c r="Y719" s="364" t="s">
        <v>88</v>
      </c>
      <c r="Z719" s="364" t="s">
        <v>1021</v>
      </c>
      <c r="AA719" s="364" t="s">
        <v>671</v>
      </c>
      <c r="AB719" s="364" t="s">
        <v>649</v>
      </c>
      <c r="AC719" s="364" t="s">
        <v>649</v>
      </c>
      <c r="AD719" s="364" t="s">
        <v>88</v>
      </c>
      <c r="AE719" s="364" t="s">
        <v>88</v>
      </c>
      <c r="AF719" s="364" t="s">
        <v>88</v>
      </c>
      <c r="AG719" s="364" t="s">
        <v>88</v>
      </c>
      <c r="AH719" s="364" t="s">
        <v>88</v>
      </c>
      <c r="AI719" s="364" t="s">
        <v>1155</v>
      </c>
      <c r="AJ719" s="364" t="s">
        <v>710</v>
      </c>
      <c r="AK719" s="364" t="s">
        <v>647</v>
      </c>
      <c r="AL719" s="364" t="s">
        <v>88</v>
      </c>
      <c r="AM719" s="364" t="s">
        <v>668</v>
      </c>
      <c r="AN719" s="364" t="s">
        <v>644</v>
      </c>
    </row>
    <row r="720" spans="1:40" x14ac:dyDescent="0.3">
      <c r="A720" s="364" t="s">
        <v>1954</v>
      </c>
      <c r="B720" s="364" t="s">
        <v>661</v>
      </c>
      <c r="C720" s="364" t="s">
        <v>677</v>
      </c>
      <c r="D720" s="364" t="s">
        <v>90</v>
      </c>
      <c r="E720" s="364" t="s">
        <v>1953</v>
      </c>
      <c r="F720" s="364" t="s">
        <v>1953</v>
      </c>
      <c r="G720" s="364" t="s">
        <v>658</v>
      </c>
      <c r="H720" s="364" t="s">
        <v>1903</v>
      </c>
      <c r="I720" s="364" t="s">
        <v>1902</v>
      </c>
      <c r="J720" s="364" t="s">
        <v>673</v>
      </c>
      <c r="K720" s="364" t="s">
        <v>668</v>
      </c>
      <c r="L720" s="364" t="s">
        <v>190</v>
      </c>
      <c r="M720" s="364" t="s">
        <v>721</v>
      </c>
      <c r="N720" s="364" t="s">
        <v>654</v>
      </c>
      <c r="O720" s="364" t="s">
        <v>653</v>
      </c>
      <c r="P720" s="364" t="s">
        <v>198</v>
      </c>
      <c r="Q720" s="364" t="s">
        <v>652</v>
      </c>
      <c r="R720" s="364" t="s">
        <v>88</v>
      </c>
      <c r="S720" s="364" t="s">
        <v>88</v>
      </c>
      <c r="T720" s="364" t="s">
        <v>88</v>
      </c>
      <c r="U720" s="364" t="s">
        <v>88</v>
      </c>
      <c r="V720" s="364" t="s">
        <v>88</v>
      </c>
      <c r="W720" s="364" t="s">
        <v>88</v>
      </c>
      <c r="X720" s="364" t="s">
        <v>88</v>
      </c>
      <c r="Y720" s="364" t="s">
        <v>88</v>
      </c>
      <c r="Z720" s="364" t="s">
        <v>720</v>
      </c>
      <c r="AA720" s="364" t="s">
        <v>649</v>
      </c>
      <c r="AB720" s="364" t="s">
        <v>649</v>
      </c>
      <c r="AC720" s="364" t="s">
        <v>649</v>
      </c>
      <c r="AD720" s="364" t="s">
        <v>88</v>
      </c>
      <c r="AE720" s="364" t="s">
        <v>88</v>
      </c>
      <c r="AF720" s="364" t="s">
        <v>88</v>
      </c>
      <c r="AG720" s="364" t="s">
        <v>88</v>
      </c>
      <c r="AH720" s="364" t="s">
        <v>88</v>
      </c>
      <c r="AI720" s="364" t="s">
        <v>1155</v>
      </c>
      <c r="AJ720" s="364" t="s">
        <v>710</v>
      </c>
      <c r="AK720" s="364" t="s">
        <v>647</v>
      </c>
      <c r="AL720" s="364" t="s">
        <v>88</v>
      </c>
      <c r="AM720" s="364" t="s">
        <v>668</v>
      </c>
      <c r="AN720" s="364" t="s">
        <v>644</v>
      </c>
    </row>
    <row r="721" spans="1:40" x14ac:dyDescent="0.3">
      <c r="A721" s="364" t="s">
        <v>1952</v>
      </c>
      <c r="B721" s="364" t="s">
        <v>661</v>
      </c>
      <c r="C721" s="364" t="s">
        <v>677</v>
      </c>
      <c r="D721" s="364" t="s">
        <v>90</v>
      </c>
      <c r="E721" s="364" t="s">
        <v>1951</v>
      </c>
      <c r="F721" s="364" t="s">
        <v>1951</v>
      </c>
      <c r="G721" s="364" t="s">
        <v>658</v>
      </c>
      <c r="H721" s="364" t="s">
        <v>1903</v>
      </c>
      <c r="I721" s="364" t="s">
        <v>1902</v>
      </c>
      <c r="J721" s="364" t="s">
        <v>673</v>
      </c>
      <c r="K721" s="364" t="s">
        <v>668</v>
      </c>
      <c r="L721" s="364" t="s">
        <v>190</v>
      </c>
      <c r="M721" s="364" t="s">
        <v>250</v>
      </c>
      <c r="N721" s="364" t="s">
        <v>654</v>
      </c>
      <c r="O721" s="364" t="s">
        <v>653</v>
      </c>
      <c r="P721" s="364" t="s">
        <v>198</v>
      </c>
      <c r="Q721" s="364" t="s">
        <v>652</v>
      </c>
      <c r="R721" s="364" t="s">
        <v>88</v>
      </c>
      <c r="S721" s="364" t="s">
        <v>88</v>
      </c>
      <c r="T721" s="364" t="s">
        <v>88</v>
      </c>
      <c r="U721" s="364" t="s">
        <v>88</v>
      </c>
      <c r="V721" s="364" t="s">
        <v>88</v>
      </c>
      <c r="W721" s="364" t="s">
        <v>88</v>
      </c>
      <c r="X721" s="364" t="s">
        <v>88</v>
      </c>
      <c r="Y721" s="364" t="s">
        <v>88</v>
      </c>
      <c r="Z721" s="364" t="s">
        <v>1821</v>
      </c>
      <c r="AA721" s="364" t="s">
        <v>649</v>
      </c>
      <c r="AB721" s="364" t="s">
        <v>649</v>
      </c>
      <c r="AC721" s="364" t="s">
        <v>649</v>
      </c>
      <c r="AD721" s="364" t="s">
        <v>88</v>
      </c>
      <c r="AE721" s="364" t="s">
        <v>88</v>
      </c>
      <c r="AF721" s="364" t="s">
        <v>88</v>
      </c>
      <c r="AG721" s="364" t="s">
        <v>88</v>
      </c>
      <c r="AH721" s="364" t="s">
        <v>88</v>
      </c>
      <c r="AI721" s="364" t="s">
        <v>1155</v>
      </c>
      <c r="AJ721" s="364" t="s">
        <v>710</v>
      </c>
      <c r="AK721" s="364" t="s">
        <v>647</v>
      </c>
      <c r="AL721" s="364" t="s">
        <v>88</v>
      </c>
      <c r="AM721" s="364" t="s">
        <v>668</v>
      </c>
      <c r="AN721" s="364" t="s">
        <v>644</v>
      </c>
    </row>
    <row r="722" spans="1:40" x14ac:dyDescent="0.3">
      <c r="A722" s="364" t="s">
        <v>1952</v>
      </c>
      <c r="B722" s="364" t="s">
        <v>661</v>
      </c>
      <c r="C722" s="364" t="s">
        <v>677</v>
      </c>
      <c r="D722" s="364" t="s">
        <v>90</v>
      </c>
      <c r="E722" s="364" t="s">
        <v>1951</v>
      </c>
      <c r="F722" s="364" t="s">
        <v>1951</v>
      </c>
      <c r="G722" s="364" t="s">
        <v>658</v>
      </c>
      <c r="H722" s="364" t="s">
        <v>1903</v>
      </c>
      <c r="I722" s="364" t="s">
        <v>1902</v>
      </c>
      <c r="J722" s="364" t="s">
        <v>673</v>
      </c>
      <c r="K722" s="364" t="s">
        <v>668</v>
      </c>
      <c r="L722" s="364" t="s">
        <v>190</v>
      </c>
      <c r="M722" s="364" t="s">
        <v>718</v>
      </c>
      <c r="N722" s="364" t="s">
        <v>654</v>
      </c>
      <c r="O722" s="364" t="s">
        <v>653</v>
      </c>
      <c r="P722" s="364" t="s">
        <v>198</v>
      </c>
      <c r="Q722" s="364" t="s">
        <v>652</v>
      </c>
      <c r="R722" s="364" t="s">
        <v>88</v>
      </c>
      <c r="S722" s="364" t="s">
        <v>88</v>
      </c>
      <c r="T722" s="364" t="s">
        <v>88</v>
      </c>
      <c r="U722" s="364" t="s">
        <v>88</v>
      </c>
      <c r="V722" s="364" t="s">
        <v>88</v>
      </c>
      <c r="W722" s="364" t="s">
        <v>88</v>
      </c>
      <c r="X722" s="364" t="s">
        <v>88</v>
      </c>
      <c r="Y722" s="364" t="s">
        <v>88</v>
      </c>
      <c r="Z722" s="364" t="s">
        <v>717</v>
      </c>
      <c r="AA722" s="364" t="s">
        <v>649</v>
      </c>
      <c r="AB722" s="364" t="s">
        <v>649</v>
      </c>
      <c r="AC722" s="364" t="s">
        <v>649</v>
      </c>
      <c r="AD722" s="364" t="s">
        <v>88</v>
      </c>
      <c r="AE722" s="364" t="s">
        <v>88</v>
      </c>
      <c r="AF722" s="364" t="s">
        <v>88</v>
      </c>
      <c r="AG722" s="364" t="s">
        <v>88</v>
      </c>
      <c r="AH722" s="364" t="s">
        <v>88</v>
      </c>
      <c r="AI722" s="364" t="s">
        <v>1155</v>
      </c>
      <c r="AJ722" s="364" t="s">
        <v>710</v>
      </c>
      <c r="AK722" s="364" t="s">
        <v>647</v>
      </c>
      <c r="AL722" s="364" t="s">
        <v>88</v>
      </c>
      <c r="AM722" s="364" t="s">
        <v>668</v>
      </c>
      <c r="AN722" s="364" t="s">
        <v>644</v>
      </c>
    </row>
    <row r="723" spans="1:40" x14ac:dyDescent="0.3">
      <c r="A723" s="364" t="s">
        <v>1952</v>
      </c>
      <c r="B723" s="364" t="s">
        <v>661</v>
      </c>
      <c r="C723" s="364" t="s">
        <v>677</v>
      </c>
      <c r="D723" s="364" t="s">
        <v>90</v>
      </c>
      <c r="E723" s="364" t="s">
        <v>1951</v>
      </c>
      <c r="F723" s="364" t="s">
        <v>1951</v>
      </c>
      <c r="G723" s="364" t="s">
        <v>658</v>
      </c>
      <c r="H723" s="364" t="s">
        <v>1903</v>
      </c>
      <c r="I723" s="364" t="s">
        <v>1902</v>
      </c>
      <c r="J723" s="364" t="s">
        <v>673</v>
      </c>
      <c r="K723" s="364" t="s">
        <v>668</v>
      </c>
      <c r="L723" s="364" t="s">
        <v>190</v>
      </c>
      <c r="M723" s="364" t="s">
        <v>713</v>
      </c>
      <c r="N723" s="364" t="s">
        <v>654</v>
      </c>
      <c r="O723" s="364" t="s">
        <v>653</v>
      </c>
      <c r="P723" s="364" t="s">
        <v>198</v>
      </c>
      <c r="Q723" s="364" t="s">
        <v>652</v>
      </c>
      <c r="R723" s="364" t="s">
        <v>88</v>
      </c>
      <c r="S723" s="364" t="s">
        <v>88</v>
      </c>
      <c r="T723" s="364" t="s">
        <v>88</v>
      </c>
      <c r="U723" s="364" t="s">
        <v>88</v>
      </c>
      <c r="V723" s="364" t="s">
        <v>88</v>
      </c>
      <c r="W723" s="364" t="s">
        <v>88</v>
      </c>
      <c r="X723" s="364" t="s">
        <v>88</v>
      </c>
      <c r="Y723" s="364" t="s">
        <v>88</v>
      </c>
      <c r="Z723" s="364" t="s">
        <v>712</v>
      </c>
      <c r="AA723" s="364" t="s">
        <v>711</v>
      </c>
      <c r="AB723" s="364" t="s">
        <v>649</v>
      </c>
      <c r="AC723" s="364" t="s">
        <v>649</v>
      </c>
      <c r="AD723" s="364" t="s">
        <v>88</v>
      </c>
      <c r="AE723" s="364" t="s">
        <v>88</v>
      </c>
      <c r="AF723" s="364" t="s">
        <v>88</v>
      </c>
      <c r="AG723" s="364" t="s">
        <v>88</v>
      </c>
      <c r="AH723" s="364" t="s">
        <v>88</v>
      </c>
      <c r="AI723" s="364" t="s">
        <v>1155</v>
      </c>
      <c r="AJ723" s="364" t="s">
        <v>710</v>
      </c>
      <c r="AK723" s="364" t="s">
        <v>647</v>
      </c>
      <c r="AL723" s="364" t="s">
        <v>88</v>
      </c>
      <c r="AM723" s="364" t="s">
        <v>668</v>
      </c>
      <c r="AN723" s="364" t="s">
        <v>644</v>
      </c>
    </row>
    <row r="724" spans="1:40" x14ac:dyDescent="0.3">
      <c r="A724" s="364" t="s">
        <v>1952</v>
      </c>
      <c r="B724" s="364" t="s">
        <v>661</v>
      </c>
      <c r="C724" s="364" t="s">
        <v>677</v>
      </c>
      <c r="D724" s="364" t="s">
        <v>90</v>
      </c>
      <c r="E724" s="364" t="s">
        <v>1951</v>
      </c>
      <c r="F724" s="364" t="s">
        <v>1951</v>
      </c>
      <c r="G724" s="364" t="s">
        <v>658</v>
      </c>
      <c r="H724" s="364" t="s">
        <v>1903</v>
      </c>
      <c r="I724" s="364" t="s">
        <v>1902</v>
      </c>
      <c r="J724" s="364" t="s">
        <v>673</v>
      </c>
      <c r="K724" s="364" t="s">
        <v>668</v>
      </c>
      <c r="L724" s="364" t="s">
        <v>190</v>
      </c>
      <c r="M724" s="364" t="s">
        <v>54</v>
      </c>
      <c r="N724" s="364" t="s">
        <v>654</v>
      </c>
      <c r="O724" s="364" t="s">
        <v>653</v>
      </c>
      <c r="P724" s="364" t="s">
        <v>198</v>
      </c>
      <c r="Q724" s="364" t="s">
        <v>652</v>
      </c>
      <c r="R724" s="364" t="s">
        <v>88</v>
      </c>
      <c r="S724" s="364" t="s">
        <v>88</v>
      </c>
      <c r="T724" s="364" t="s">
        <v>88</v>
      </c>
      <c r="U724" s="364" t="s">
        <v>88</v>
      </c>
      <c r="V724" s="364" t="s">
        <v>88</v>
      </c>
      <c r="W724" s="364" t="s">
        <v>88</v>
      </c>
      <c r="X724" s="364" t="s">
        <v>88</v>
      </c>
      <c r="Y724" s="364" t="s">
        <v>88</v>
      </c>
      <c r="Z724" s="364" t="s">
        <v>1265</v>
      </c>
      <c r="AA724" s="364" t="s">
        <v>649</v>
      </c>
      <c r="AB724" s="364" t="s">
        <v>649</v>
      </c>
      <c r="AC724" s="364" t="s">
        <v>649</v>
      </c>
      <c r="AD724" s="364" t="s">
        <v>88</v>
      </c>
      <c r="AE724" s="364" t="s">
        <v>88</v>
      </c>
      <c r="AF724" s="364" t="s">
        <v>88</v>
      </c>
      <c r="AG724" s="364" t="s">
        <v>88</v>
      </c>
      <c r="AH724" s="364" t="s">
        <v>88</v>
      </c>
      <c r="AI724" s="364" t="s">
        <v>1155</v>
      </c>
      <c r="AJ724" s="364" t="s">
        <v>710</v>
      </c>
      <c r="AK724" s="364" t="s">
        <v>647</v>
      </c>
      <c r="AL724" s="364" t="s">
        <v>88</v>
      </c>
      <c r="AM724" s="364" t="s">
        <v>668</v>
      </c>
      <c r="AN724" s="364" t="s">
        <v>644</v>
      </c>
    </row>
    <row r="725" spans="1:40" x14ac:dyDescent="0.3">
      <c r="A725" s="364" t="s">
        <v>1952</v>
      </c>
      <c r="B725" s="364" t="s">
        <v>661</v>
      </c>
      <c r="C725" s="364" t="s">
        <v>677</v>
      </c>
      <c r="D725" s="364" t="s">
        <v>90</v>
      </c>
      <c r="E725" s="364" t="s">
        <v>1951</v>
      </c>
      <c r="F725" s="364" t="s">
        <v>1951</v>
      </c>
      <c r="G725" s="364" t="s">
        <v>658</v>
      </c>
      <c r="H725" s="364" t="s">
        <v>1903</v>
      </c>
      <c r="I725" s="364" t="s">
        <v>1902</v>
      </c>
      <c r="J725" s="364" t="s">
        <v>673</v>
      </c>
      <c r="K725" s="364" t="s">
        <v>668</v>
      </c>
      <c r="L725" s="364" t="s">
        <v>190</v>
      </c>
      <c r="M725" s="364" t="s">
        <v>61</v>
      </c>
      <c r="N725" s="364" t="s">
        <v>654</v>
      </c>
      <c r="O725" s="364" t="s">
        <v>653</v>
      </c>
      <c r="P725" s="364" t="s">
        <v>198</v>
      </c>
      <c r="Q725" s="364" t="s">
        <v>652</v>
      </c>
      <c r="R725" s="364" t="s">
        <v>88</v>
      </c>
      <c r="S725" s="364" t="s">
        <v>88</v>
      </c>
      <c r="T725" s="364" t="s">
        <v>88</v>
      </c>
      <c r="U725" s="364" t="s">
        <v>88</v>
      </c>
      <c r="V725" s="364" t="s">
        <v>88</v>
      </c>
      <c r="W725" s="364" t="s">
        <v>88</v>
      </c>
      <c r="X725" s="364" t="s">
        <v>88</v>
      </c>
      <c r="Y725" s="364" t="s">
        <v>88</v>
      </c>
      <c r="Z725" s="364" t="s">
        <v>1021</v>
      </c>
      <c r="AA725" s="364" t="s">
        <v>671</v>
      </c>
      <c r="AB725" s="364" t="s">
        <v>649</v>
      </c>
      <c r="AC725" s="364" t="s">
        <v>649</v>
      </c>
      <c r="AD725" s="364" t="s">
        <v>88</v>
      </c>
      <c r="AE725" s="364" t="s">
        <v>88</v>
      </c>
      <c r="AF725" s="364" t="s">
        <v>88</v>
      </c>
      <c r="AG725" s="364" t="s">
        <v>88</v>
      </c>
      <c r="AH725" s="364" t="s">
        <v>88</v>
      </c>
      <c r="AI725" s="364" t="s">
        <v>1155</v>
      </c>
      <c r="AJ725" s="364" t="s">
        <v>710</v>
      </c>
      <c r="AK725" s="364" t="s">
        <v>647</v>
      </c>
      <c r="AL725" s="364" t="s">
        <v>88</v>
      </c>
      <c r="AM725" s="364" t="s">
        <v>668</v>
      </c>
      <c r="AN725" s="364" t="s">
        <v>644</v>
      </c>
    </row>
    <row r="726" spans="1:40" x14ac:dyDescent="0.3">
      <c r="A726" s="364" t="s">
        <v>1952</v>
      </c>
      <c r="B726" s="364" t="s">
        <v>661</v>
      </c>
      <c r="C726" s="364" t="s">
        <v>677</v>
      </c>
      <c r="D726" s="364" t="s">
        <v>90</v>
      </c>
      <c r="E726" s="364" t="s">
        <v>1951</v>
      </c>
      <c r="F726" s="364" t="s">
        <v>1951</v>
      </c>
      <c r="G726" s="364" t="s">
        <v>658</v>
      </c>
      <c r="H726" s="364" t="s">
        <v>1903</v>
      </c>
      <c r="I726" s="364" t="s">
        <v>1902</v>
      </c>
      <c r="J726" s="364" t="s">
        <v>673</v>
      </c>
      <c r="K726" s="364" t="s">
        <v>668</v>
      </c>
      <c r="L726" s="364" t="s">
        <v>190</v>
      </c>
      <c r="M726" s="364" t="s">
        <v>721</v>
      </c>
      <c r="N726" s="364" t="s">
        <v>654</v>
      </c>
      <c r="O726" s="364" t="s">
        <v>653</v>
      </c>
      <c r="P726" s="364" t="s">
        <v>198</v>
      </c>
      <c r="Q726" s="364" t="s">
        <v>652</v>
      </c>
      <c r="R726" s="364" t="s">
        <v>88</v>
      </c>
      <c r="S726" s="364" t="s">
        <v>88</v>
      </c>
      <c r="T726" s="364" t="s">
        <v>88</v>
      </c>
      <c r="U726" s="364" t="s">
        <v>88</v>
      </c>
      <c r="V726" s="364" t="s">
        <v>88</v>
      </c>
      <c r="W726" s="364" t="s">
        <v>88</v>
      </c>
      <c r="X726" s="364" t="s">
        <v>88</v>
      </c>
      <c r="Y726" s="364" t="s">
        <v>88</v>
      </c>
      <c r="Z726" s="364" t="s">
        <v>720</v>
      </c>
      <c r="AA726" s="364" t="s">
        <v>649</v>
      </c>
      <c r="AB726" s="364" t="s">
        <v>649</v>
      </c>
      <c r="AC726" s="364" t="s">
        <v>649</v>
      </c>
      <c r="AD726" s="364" t="s">
        <v>88</v>
      </c>
      <c r="AE726" s="364" t="s">
        <v>88</v>
      </c>
      <c r="AF726" s="364" t="s">
        <v>88</v>
      </c>
      <c r="AG726" s="364" t="s">
        <v>88</v>
      </c>
      <c r="AH726" s="364" t="s">
        <v>88</v>
      </c>
      <c r="AI726" s="364" t="s">
        <v>1155</v>
      </c>
      <c r="AJ726" s="364" t="s">
        <v>710</v>
      </c>
      <c r="AK726" s="364" t="s">
        <v>647</v>
      </c>
      <c r="AL726" s="364" t="s">
        <v>88</v>
      </c>
      <c r="AM726" s="364" t="s">
        <v>668</v>
      </c>
      <c r="AN726" s="364" t="s">
        <v>644</v>
      </c>
    </row>
    <row r="727" spans="1:40" x14ac:dyDescent="0.3">
      <c r="A727" s="364" t="s">
        <v>1950</v>
      </c>
      <c r="B727" s="364" t="s">
        <v>661</v>
      </c>
      <c r="C727" s="364" t="s">
        <v>677</v>
      </c>
      <c r="D727" s="364" t="s">
        <v>90</v>
      </c>
      <c r="E727" s="364" t="s">
        <v>1949</v>
      </c>
      <c r="F727" s="364" t="s">
        <v>1949</v>
      </c>
      <c r="G727" s="364" t="s">
        <v>658</v>
      </c>
      <c r="H727" s="364" t="s">
        <v>1903</v>
      </c>
      <c r="I727" s="364" t="s">
        <v>1948</v>
      </c>
      <c r="J727" s="364" t="s">
        <v>673</v>
      </c>
      <c r="K727" s="364" t="s">
        <v>668</v>
      </c>
      <c r="L727" s="364" t="s">
        <v>190</v>
      </c>
      <c r="M727" s="364" t="s">
        <v>250</v>
      </c>
      <c r="N727" s="364" t="s">
        <v>654</v>
      </c>
      <c r="O727" s="364" t="s">
        <v>653</v>
      </c>
      <c r="P727" s="364" t="s">
        <v>198</v>
      </c>
      <c r="Q727" s="364" t="s">
        <v>652</v>
      </c>
      <c r="R727" s="364" t="s">
        <v>88</v>
      </c>
      <c r="S727" s="364" t="s">
        <v>88</v>
      </c>
      <c r="T727" s="364" t="s">
        <v>88</v>
      </c>
      <c r="U727" s="364" t="s">
        <v>88</v>
      </c>
      <c r="V727" s="364" t="s">
        <v>88</v>
      </c>
      <c r="W727" s="364" t="s">
        <v>88</v>
      </c>
      <c r="X727" s="364" t="s">
        <v>88</v>
      </c>
      <c r="Y727" s="364" t="s">
        <v>88</v>
      </c>
      <c r="Z727" s="364" t="s">
        <v>1821</v>
      </c>
      <c r="AA727" s="364" t="s">
        <v>649</v>
      </c>
      <c r="AB727" s="364" t="s">
        <v>649</v>
      </c>
      <c r="AC727" s="364" t="s">
        <v>649</v>
      </c>
      <c r="AD727" s="364" t="s">
        <v>88</v>
      </c>
      <c r="AE727" s="364" t="s">
        <v>88</v>
      </c>
      <c r="AF727" s="364" t="s">
        <v>88</v>
      </c>
      <c r="AG727" s="364" t="s">
        <v>88</v>
      </c>
      <c r="AH727" s="364" t="s">
        <v>88</v>
      </c>
      <c r="AI727" s="364" t="s">
        <v>1155</v>
      </c>
      <c r="AJ727" s="364" t="s">
        <v>710</v>
      </c>
      <c r="AK727" s="364" t="s">
        <v>647</v>
      </c>
      <c r="AL727" s="364" t="s">
        <v>88</v>
      </c>
      <c r="AM727" s="364" t="s">
        <v>668</v>
      </c>
      <c r="AN727" s="364" t="s">
        <v>644</v>
      </c>
    </row>
    <row r="728" spans="1:40" x14ac:dyDescent="0.3">
      <c r="A728" s="364" t="s">
        <v>1950</v>
      </c>
      <c r="B728" s="364" t="s">
        <v>661</v>
      </c>
      <c r="C728" s="364" t="s">
        <v>677</v>
      </c>
      <c r="D728" s="364" t="s">
        <v>90</v>
      </c>
      <c r="E728" s="364" t="s">
        <v>1949</v>
      </c>
      <c r="F728" s="364" t="s">
        <v>1949</v>
      </c>
      <c r="G728" s="364" t="s">
        <v>658</v>
      </c>
      <c r="H728" s="364" t="s">
        <v>1903</v>
      </c>
      <c r="I728" s="364" t="s">
        <v>1948</v>
      </c>
      <c r="J728" s="364" t="s">
        <v>673</v>
      </c>
      <c r="K728" s="364" t="s">
        <v>668</v>
      </c>
      <c r="L728" s="364" t="s">
        <v>190</v>
      </c>
      <c r="M728" s="364" t="s">
        <v>718</v>
      </c>
      <c r="N728" s="364" t="s">
        <v>654</v>
      </c>
      <c r="O728" s="364" t="s">
        <v>653</v>
      </c>
      <c r="P728" s="364" t="s">
        <v>198</v>
      </c>
      <c r="Q728" s="364" t="s">
        <v>652</v>
      </c>
      <c r="R728" s="364" t="s">
        <v>88</v>
      </c>
      <c r="S728" s="364" t="s">
        <v>88</v>
      </c>
      <c r="T728" s="364" t="s">
        <v>88</v>
      </c>
      <c r="U728" s="364" t="s">
        <v>88</v>
      </c>
      <c r="V728" s="364" t="s">
        <v>88</v>
      </c>
      <c r="W728" s="364" t="s">
        <v>88</v>
      </c>
      <c r="X728" s="364" t="s">
        <v>88</v>
      </c>
      <c r="Y728" s="364" t="s">
        <v>88</v>
      </c>
      <c r="Z728" s="364" t="s">
        <v>717</v>
      </c>
      <c r="AA728" s="364" t="s">
        <v>649</v>
      </c>
      <c r="AB728" s="364" t="s">
        <v>649</v>
      </c>
      <c r="AC728" s="364" t="s">
        <v>649</v>
      </c>
      <c r="AD728" s="364" t="s">
        <v>88</v>
      </c>
      <c r="AE728" s="364" t="s">
        <v>88</v>
      </c>
      <c r="AF728" s="364" t="s">
        <v>88</v>
      </c>
      <c r="AG728" s="364" t="s">
        <v>88</v>
      </c>
      <c r="AH728" s="364" t="s">
        <v>88</v>
      </c>
      <c r="AI728" s="364" t="s">
        <v>1155</v>
      </c>
      <c r="AJ728" s="364" t="s">
        <v>710</v>
      </c>
      <c r="AK728" s="364" t="s">
        <v>647</v>
      </c>
      <c r="AL728" s="364" t="s">
        <v>88</v>
      </c>
      <c r="AM728" s="364" t="s">
        <v>668</v>
      </c>
      <c r="AN728" s="364" t="s">
        <v>644</v>
      </c>
    </row>
    <row r="729" spans="1:40" x14ac:dyDescent="0.3">
      <c r="A729" s="364" t="s">
        <v>1950</v>
      </c>
      <c r="B729" s="364" t="s">
        <v>661</v>
      </c>
      <c r="C729" s="364" t="s">
        <v>677</v>
      </c>
      <c r="D729" s="364" t="s">
        <v>90</v>
      </c>
      <c r="E729" s="364" t="s">
        <v>1949</v>
      </c>
      <c r="F729" s="364" t="s">
        <v>1949</v>
      </c>
      <c r="G729" s="364" t="s">
        <v>658</v>
      </c>
      <c r="H729" s="364" t="s">
        <v>1903</v>
      </c>
      <c r="I729" s="364" t="s">
        <v>1948</v>
      </c>
      <c r="J729" s="364" t="s">
        <v>673</v>
      </c>
      <c r="K729" s="364" t="s">
        <v>668</v>
      </c>
      <c r="L729" s="364" t="s">
        <v>190</v>
      </c>
      <c r="M729" s="364" t="s">
        <v>713</v>
      </c>
      <c r="N729" s="364" t="s">
        <v>654</v>
      </c>
      <c r="O729" s="364" t="s">
        <v>653</v>
      </c>
      <c r="P729" s="364" t="s">
        <v>198</v>
      </c>
      <c r="Q729" s="364" t="s">
        <v>652</v>
      </c>
      <c r="R729" s="364" t="s">
        <v>88</v>
      </c>
      <c r="S729" s="364" t="s">
        <v>88</v>
      </c>
      <c r="T729" s="364" t="s">
        <v>88</v>
      </c>
      <c r="U729" s="364" t="s">
        <v>88</v>
      </c>
      <c r="V729" s="364" t="s">
        <v>88</v>
      </c>
      <c r="W729" s="364" t="s">
        <v>88</v>
      </c>
      <c r="X729" s="364" t="s">
        <v>88</v>
      </c>
      <c r="Y729" s="364" t="s">
        <v>88</v>
      </c>
      <c r="Z729" s="364" t="s">
        <v>712</v>
      </c>
      <c r="AA729" s="364" t="s">
        <v>711</v>
      </c>
      <c r="AB729" s="364" t="s">
        <v>649</v>
      </c>
      <c r="AC729" s="364" t="s">
        <v>649</v>
      </c>
      <c r="AD729" s="364" t="s">
        <v>88</v>
      </c>
      <c r="AE729" s="364" t="s">
        <v>88</v>
      </c>
      <c r="AF729" s="364" t="s">
        <v>88</v>
      </c>
      <c r="AG729" s="364" t="s">
        <v>88</v>
      </c>
      <c r="AH729" s="364" t="s">
        <v>88</v>
      </c>
      <c r="AI729" s="364" t="s">
        <v>1155</v>
      </c>
      <c r="AJ729" s="364" t="s">
        <v>710</v>
      </c>
      <c r="AK729" s="364" t="s">
        <v>647</v>
      </c>
      <c r="AL729" s="364" t="s">
        <v>88</v>
      </c>
      <c r="AM729" s="364" t="s">
        <v>668</v>
      </c>
      <c r="AN729" s="364" t="s">
        <v>644</v>
      </c>
    </row>
    <row r="730" spans="1:40" x14ac:dyDescent="0.3">
      <c r="A730" s="364" t="s">
        <v>1950</v>
      </c>
      <c r="B730" s="364" t="s">
        <v>661</v>
      </c>
      <c r="C730" s="364" t="s">
        <v>677</v>
      </c>
      <c r="D730" s="364" t="s">
        <v>90</v>
      </c>
      <c r="E730" s="364" t="s">
        <v>1949</v>
      </c>
      <c r="F730" s="364" t="s">
        <v>1949</v>
      </c>
      <c r="G730" s="364" t="s">
        <v>658</v>
      </c>
      <c r="H730" s="364" t="s">
        <v>1903</v>
      </c>
      <c r="I730" s="364" t="s">
        <v>1948</v>
      </c>
      <c r="J730" s="364" t="s">
        <v>673</v>
      </c>
      <c r="K730" s="364" t="s">
        <v>668</v>
      </c>
      <c r="L730" s="364" t="s">
        <v>190</v>
      </c>
      <c r="M730" s="364" t="s">
        <v>54</v>
      </c>
      <c r="N730" s="364" t="s">
        <v>654</v>
      </c>
      <c r="O730" s="364" t="s">
        <v>653</v>
      </c>
      <c r="P730" s="364" t="s">
        <v>198</v>
      </c>
      <c r="Q730" s="364" t="s">
        <v>652</v>
      </c>
      <c r="R730" s="364" t="s">
        <v>88</v>
      </c>
      <c r="S730" s="364" t="s">
        <v>88</v>
      </c>
      <c r="T730" s="364" t="s">
        <v>88</v>
      </c>
      <c r="U730" s="364" t="s">
        <v>88</v>
      </c>
      <c r="V730" s="364" t="s">
        <v>88</v>
      </c>
      <c r="W730" s="364" t="s">
        <v>88</v>
      </c>
      <c r="X730" s="364" t="s">
        <v>88</v>
      </c>
      <c r="Y730" s="364" t="s">
        <v>88</v>
      </c>
      <c r="Z730" s="364" t="s">
        <v>1265</v>
      </c>
      <c r="AA730" s="364" t="s">
        <v>649</v>
      </c>
      <c r="AB730" s="364" t="s">
        <v>649</v>
      </c>
      <c r="AC730" s="364" t="s">
        <v>649</v>
      </c>
      <c r="AD730" s="364" t="s">
        <v>88</v>
      </c>
      <c r="AE730" s="364" t="s">
        <v>88</v>
      </c>
      <c r="AF730" s="364" t="s">
        <v>88</v>
      </c>
      <c r="AG730" s="364" t="s">
        <v>88</v>
      </c>
      <c r="AH730" s="364" t="s">
        <v>88</v>
      </c>
      <c r="AI730" s="364" t="s">
        <v>1155</v>
      </c>
      <c r="AJ730" s="364" t="s">
        <v>710</v>
      </c>
      <c r="AK730" s="364" t="s">
        <v>647</v>
      </c>
      <c r="AL730" s="364" t="s">
        <v>88</v>
      </c>
      <c r="AM730" s="364" t="s">
        <v>668</v>
      </c>
      <c r="AN730" s="364" t="s">
        <v>644</v>
      </c>
    </row>
    <row r="731" spans="1:40" x14ac:dyDescent="0.3">
      <c r="A731" s="364" t="s">
        <v>1950</v>
      </c>
      <c r="B731" s="364" t="s">
        <v>661</v>
      </c>
      <c r="C731" s="364" t="s">
        <v>677</v>
      </c>
      <c r="D731" s="364" t="s">
        <v>90</v>
      </c>
      <c r="E731" s="364" t="s">
        <v>1949</v>
      </c>
      <c r="F731" s="364" t="s">
        <v>1949</v>
      </c>
      <c r="G731" s="364" t="s">
        <v>658</v>
      </c>
      <c r="H731" s="364" t="s">
        <v>1903</v>
      </c>
      <c r="I731" s="364" t="s">
        <v>1948</v>
      </c>
      <c r="J731" s="364" t="s">
        <v>673</v>
      </c>
      <c r="K731" s="364" t="s">
        <v>668</v>
      </c>
      <c r="L731" s="364" t="s">
        <v>190</v>
      </c>
      <c r="M731" s="364" t="s">
        <v>61</v>
      </c>
      <c r="N731" s="364" t="s">
        <v>654</v>
      </c>
      <c r="O731" s="364" t="s">
        <v>653</v>
      </c>
      <c r="P731" s="364" t="s">
        <v>198</v>
      </c>
      <c r="Q731" s="364" t="s">
        <v>652</v>
      </c>
      <c r="R731" s="364" t="s">
        <v>88</v>
      </c>
      <c r="S731" s="364" t="s">
        <v>88</v>
      </c>
      <c r="T731" s="364" t="s">
        <v>88</v>
      </c>
      <c r="U731" s="364" t="s">
        <v>88</v>
      </c>
      <c r="V731" s="364" t="s">
        <v>88</v>
      </c>
      <c r="W731" s="364" t="s">
        <v>88</v>
      </c>
      <c r="X731" s="364" t="s">
        <v>88</v>
      </c>
      <c r="Y731" s="364" t="s">
        <v>88</v>
      </c>
      <c r="Z731" s="364" t="s">
        <v>1021</v>
      </c>
      <c r="AA731" s="364" t="s">
        <v>671</v>
      </c>
      <c r="AB731" s="364" t="s">
        <v>649</v>
      </c>
      <c r="AC731" s="364" t="s">
        <v>649</v>
      </c>
      <c r="AD731" s="364" t="s">
        <v>88</v>
      </c>
      <c r="AE731" s="364" t="s">
        <v>88</v>
      </c>
      <c r="AF731" s="364" t="s">
        <v>88</v>
      </c>
      <c r="AG731" s="364" t="s">
        <v>88</v>
      </c>
      <c r="AH731" s="364" t="s">
        <v>88</v>
      </c>
      <c r="AI731" s="364" t="s">
        <v>1155</v>
      </c>
      <c r="AJ731" s="364" t="s">
        <v>710</v>
      </c>
      <c r="AK731" s="364" t="s">
        <v>647</v>
      </c>
      <c r="AL731" s="364" t="s">
        <v>88</v>
      </c>
      <c r="AM731" s="364" t="s">
        <v>668</v>
      </c>
      <c r="AN731" s="364" t="s">
        <v>644</v>
      </c>
    </row>
    <row r="732" spans="1:40" x14ac:dyDescent="0.3">
      <c r="A732" s="364" t="s">
        <v>1950</v>
      </c>
      <c r="B732" s="364" t="s">
        <v>661</v>
      </c>
      <c r="C732" s="364" t="s">
        <v>677</v>
      </c>
      <c r="D732" s="364" t="s">
        <v>90</v>
      </c>
      <c r="E732" s="364" t="s">
        <v>1949</v>
      </c>
      <c r="F732" s="364" t="s">
        <v>1949</v>
      </c>
      <c r="G732" s="364" t="s">
        <v>658</v>
      </c>
      <c r="H732" s="364" t="s">
        <v>1903</v>
      </c>
      <c r="I732" s="364" t="s">
        <v>1948</v>
      </c>
      <c r="J732" s="364" t="s">
        <v>673</v>
      </c>
      <c r="K732" s="364" t="s">
        <v>668</v>
      </c>
      <c r="L732" s="364" t="s">
        <v>190</v>
      </c>
      <c r="M732" s="364" t="s">
        <v>721</v>
      </c>
      <c r="N732" s="364" t="s">
        <v>654</v>
      </c>
      <c r="O732" s="364" t="s">
        <v>653</v>
      </c>
      <c r="P732" s="364" t="s">
        <v>198</v>
      </c>
      <c r="Q732" s="364" t="s">
        <v>652</v>
      </c>
      <c r="R732" s="364" t="s">
        <v>88</v>
      </c>
      <c r="S732" s="364" t="s">
        <v>88</v>
      </c>
      <c r="T732" s="364" t="s">
        <v>88</v>
      </c>
      <c r="U732" s="364" t="s">
        <v>88</v>
      </c>
      <c r="V732" s="364" t="s">
        <v>88</v>
      </c>
      <c r="W732" s="364" t="s">
        <v>88</v>
      </c>
      <c r="X732" s="364" t="s">
        <v>88</v>
      </c>
      <c r="Y732" s="364" t="s">
        <v>88</v>
      </c>
      <c r="Z732" s="364" t="s">
        <v>720</v>
      </c>
      <c r="AA732" s="364" t="s">
        <v>649</v>
      </c>
      <c r="AB732" s="364" t="s">
        <v>649</v>
      </c>
      <c r="AC732" s="364" t="s">
        <v>649</v>
      </c>
      <c r="AD732" s="364" t="s">
        <v>88</v>
      </c>
      <c r="AE732" s="364" t="s">
        <v>88</v>
      </c>
      <c r="AF732" s="364" t="s">
        <v>88</v>
      </c>
      <c r="AG732" s="364" t="s">
        <v>88</v>
      </c>
      <c r="AH732" s="364" t="s">
        <v>88</v>
      </c>
      <c r="AI732" s="364" t="s">
        <v>1155</v>
      </c>
      <c r="AJ732" s="364" t="s">
        <v>710</v>
      </c>
      <c r="AK732" s="364" t="s">
        <v>647</v>
      </c>
      <c r="AL732" s="364" t="s">
        <v>88</v>
      </c>
      <c r="AM732" s="364" t="s">
        <v>668</v>
      </c>
      <c r="AN732" s="364" t="s">
        <v>644</v>
      </c>
    </row>
    <row r="733" spans="1:40" x14ac:dyDescent="0.3">
      <c r="A733" s="364" t="s">
        <v>1947</v>
      </c>
      <c r="B733" s="364" t="s">
        <v>661</v>
      </c>
      <c r="C733" s="364" t="s">
        <v>1160</v>
      </c>
      <c r="D733" s="364" t="s">
        <v>87</v>
      </c>
      <c r="E733" s="364" t="s">
        <v>1900</v>
      </c>
      <c r="F733" s="364" t="s">
        <v>1900</v>
      </c>
      <c r="G733" s="364" t="s">
        <v>658</v>
      </c>
      <c r="H733" s="364" t="s">
        <v>1946</v>
      </c>
      <c r="I733" s="364" t="s">
        <v>88</v>
      </c>
      <c r="J733" s="364" t="s">
        <v>88</v>
      </c>
      <c r="K733" s="364" t="s">
        <v>88</v>
      </c>
      <c r="L733" s="364" t="s">
        <v>88</v>
      </c>
      <c r="M733" s="364" t="s">
        <v>138</v>
      </c>
      <c r="N733" s="364" t="s">
        <v>654</v>
      </c>
      <c r="O733" s="364" t="s">
        <v>653</v>
      </c>
      <c r="P733" s="364" t="s">
        <v>88</v>
      </c>
      <c r="Q733" s="364" t="s">
        <v>88</v>
      </c>
      <c r="R733" s="364" t="s">
        <v>88</v>
      </c>
      <c r="S733" s="364" t="s">
        <v>88</v>
      </c>
      <c r="T733" s="364" t="s">
        <v>88</v>
      </c>
      <c r="U733" s="364" t="s">
        <v>88</v>
      </c>
      <c r="V733" s="364" t="s">
        <v>88</v>
      </c>
      <c r="W733" s="364" t="s">
        <v>88</v>
      </c>
      <c r="X733" s="364" t="s">
        <v>88</v>
      </c>
      <c r="Y733" s="364" t="s">
        <v>88</v>
      </c>
      <c r="Z733" s="364" t="s">
        <v>88</v>
      </c>
      <c r="AA733" s="364" t="s">
        <v>649</v>
      </c>
      <c r="AB733" s="364" t="s">
        <v>88</v>
      </c>
      <c r="AC733" s="364" t="s">
        <v>88</v>
      </c>
      <c r="AD733" s="364" t="s">
        <v>88</v>
      </c>
      <c r="AE733" s="364" t="s">
        <v>88</v>
      </c>
      <c r="AF733" s="364" t="s">
        <v>88</v>
      </c>
      <c r="AG733" s="364" t="s">
        <v>88</v>
      </c>
      <c r="AH733" s="364" t="s">
        <v>88</v>
      </c>
      <c r="AI733" s="364" t="s">
        <v>1945</v>
      </c>
      <c r="AJ733" s="364" t="s">
        <v>793</v>
      </c>
      <c r="AK733" s="364" t="s">
        <v>88</v>
      </c>
      <c r="AL733" s="364" t="s">
        <v>88</v>
      </c>
      <c r="AM733" s="364" t="s">
        <v>88</v>
      </c>
      <c r="AN733" s="364" t="s">
        <v>792</v>
      </c>
    </row>
    <row r="734" spans="1:40" x14ac:dyDescent="0.3">
      <c r="A734" s="364" t="s">
        <v>1944</v>
      </c>
      <c r="B734" s="364" t="s">
        <v>661</v>
      </c>
      <c r="C734" s="364" t="s">
        <v>677</v>
      </c>
      <c r="D734" s="364" t="s">
        <v>87</v>
      </c>
      <c r="E734" s="364" t="s">
        <v>1900</v>
      </c>
      <c r="F734" s="364" t="s">
        <v>1900</v>
      </c>
      <c r="G734" s="364" t="s">
        <v>658</v>
      </c>
      <c r="H734" s="364" t="s">
        <v>1943</v>
      </c>
      <c r="I734" s="364" t="s">
        <v>1921</v>
      </c>
      <c r="J734" s="364" t="s">
        <v>673</v>
      </c>
      <c r="K734" s="364" t="s">
        <v>668</v>
      </c>
      <c r="L734" s="364" t="s">
        <v>190</v>
      </c>
      <c r="M734" s="364" t="s">
        <v>59</v>
      </c>
      <c r="N734" s="364" t="s">
        <v>654</v>
      </c>
      <c r="O734" s="364" t="s">
        <v>653</v>
      </c>
      <c r="P734" s="364" t="s">
        <v>198</v>
      </c>
      <c r="Q734" s="364" t="s">
        <v>652</v>
      </c>
      <c r="R734" s="364" t="s">
        <v>88</v>
      </c>
      <c r="S734" s="364" t="s">
        <v>88</v>
      </c>
      <c r="T734" s="364" t="s">
        <v>88</v>
      </c>
      <c r="U734" s="364" t="s">
        <v>88</v>
      </c>
      <c r="V734" s="364" t="s">
        <v>88</v>
      </c>
      <c r="W734" s="364" t="s">
        <v>88</v>
      </c>
      <c r="X734" s="364" t="s">
        <v>88</v>
      </c>
      <c r="Y734" s="364" t="s">
        <v>88</v>
      </c>
      <c r="Z734" s="364" t="s">
        <v>672</v>
      </c>
      <c r="AA734" s="364" t="s">
        <v>671</v>
      </c>
      <c r="AB734" s="364" t="s">
        <v>649</v>
      </c>
      <c r="AC734" s="364" t="s">
        <v>649</v>
      </c>
      <c r="AD734" s="364" t="s">
        <v>88</v>
      </c>
      <c r="AE734" s="364" t="s">
        <v>88</v>
      </c>
      <c r="AF734" s="364" t="s">
        <v>88</v>
      </c>
      <c r="AG734" s="364" t="s">
        <v>88</v>
      </c>
      <c r="AH734" s="364" t="s">
        <v>88</v>
      </c>
      <c r="AI734" s="364" t="s">
        <v>1199</v>
      </c>
      <c r="AJ734" s="364" t="s">
        <v>670</v>
      </c>
      <c r="AK734" s="364" t="s">
        <v>669</v>
      </c>
      <c r="AL734" s="364" t="s">
        <v>88</v>
      </c>
      <c r="AM734" s="364" t="s">
        <v>668</v>
      </c>
      <c r="AN734" s="364" t="s">
        <v>644</v>
      </c>
    </row>
    <row r="735" spans="1:40" x14ac:dyDescent="0.3">
      <c r="A735" s="364" t="s">
        <v>1942</v>
      </c>
      <c r="B735" s="364" t="s">
        <v>661</v>
      </c>
      <c r="C735" s="364" t="s">
        <v>677</v>
      </c>
      <c r="D735" s="364" t="s">
        <v>170</v>
      </c>
      <c r="E735" s="364" t="s">
        <v>1900</v>
      </c>
      <c r="F735" s="364" t="s">
        <v>1900</v>
      </c>
      <c r="G735" s="364" t="s">
        <v>658</v>
      </c>
      <c r="H735" s="364" t="s">
        <v>1941</v>
      </c>
      <c r="I735" s="364" t="s">
        <v>826</v>
      </c>
      <c r="J735" s="364" t="s">
        <v>673</v>
      </c>
      <c r="K735" s="364" t="s">
        <v>668</v>
      </c>
      <c r="L735" s="364" t="s">
        <v>190</v>
      </c>
      <c r="M735" s="364" t="s">
        <v>164</v>
      </c>
      <c r="N735" s="364" t="s">
        <v>654</v>
      </c>
      <c r="O735" s="364" t="s">
        <v>653</v>
      </c>
      <c r="P735" s="364" t="s">
        <v>198</v>
      </c>
      <c r="Q735" s="364" t="s">
        <v>652</v>
      </c>
      <c r="R735" s="364" t="s">
        <v>88</v>
      </c>
      <c r="S735" s="364" t="s">
        <v>88</v>
      </c>
      <c r="T735" s="364" t="s">
        <v>88</v>
      </c>
      <c r="U735" s="364" t="s">
        <v>88</v>
      </c>
      <c r="V735" s="364" t="s">
        <v>88</v>
      </c>
      <c r="W735" s="364" t="s">
        <v>88</v>
      </c>
      <c r="X735" s="364" t="s">
        <v>88</v>
      </c>
      <c r="Y735" s="364" t="s">
        <v>88</v>
      </c>
      <c r="Z735" s="364" t="s">
        <v>825</v>
      </c>
      <c r="AA735" s="364" t="s">
        <v>649</v>
      </c>
      <c r="AB735" s="364" t="s">
        <v>649</v>
      </c>
      <c r="AC735" s="364" t="s">
        <v>649</v>
      </c>
      <c r="AD735" s="364" t="s">
        <v>88</v>
      </c>
      <c r="AE735" s="364" t="s">
        <v>88</v>
      </c>
      <c r="AF735" s="364" t="s">
        <v>88</v>
      </c>
      <c r="AG735" s="364" t="s">
        <v>88</v>
      </c>
      <c r="AH735" s="364" t="s">
        <v>88</v>
      </c>
      <c r="AI735" s="364" t="s">
        <v>1199</v>
      </c>
      <c r="AJ735" s="364" t="s">
        <v>670</v>
      </c>
      <c r="AK735" s="364" t="s">
        <v>687</v>
      </c>
      <c r="AL735" s="364" t="s">
        <v>88</v>
      </c>
      <c r="AM735" s="364" t="s">
        <v>668</v>
      </c>
      <c r="AN735" s="364" t="s">
        <v>644</v>
      </c>
    </row>
    <row r="736" spans="1:40" x14ac:dyDescent="0.3">
      <c r="A736" s="364" t="s">
        <v>1940</v>
      </c>
      <c r="B736" s="364" t="s">
        <v>661</v>
      </c>
      <c r="C736" s="364" t="s">
        <v>677</v>
      </c>
      <c r="D736" s="364" t="s">
        <v>87</v>
      </c>
      <c r="E736" s="364" t="s">
        <v>1900</v>
      </c>
      <c r="F736" s="364" t="s">
        <v>1900</v>
      </c>
      <c r="G736" s="364" t="s">
        <v>658</v>
      </c>
      <c r="H736" s="364" t="s">
        <v>1939</v>
      </c>
      <c r="I736" s="364" t="s">
        <v>1938</v>
      </c>
      <c r="J736" s="364" t="s">
        <v>673</v>
      </c>
      <c r="K736" s="364" t="s">
        <v>668</v>
      </c>
      <c r="L736" s="364" t="s">
        <v>190</v>
      </c>
      <c r="M736" s="364" t="s">
        <v>60</v>
      </c>
      <c r="N736" s="364" t="s">
        <v>654</v>
      </c>
      <c r="O736" s="364" t="s">
        <v>653</v>
      </c>
      <c r="P736" s="364" t="s">
        <v>198</v>
      </c>
      <c r="Q736" s="364" t="s">
        <v>652</v>
      </c>
      <c r="R736" s="364" t="s">
        <v>88</v>
      </c>
      <c r="S736" s="364" t="s">
        <v>88</v>
      </c>
      <c r="T736" s="364" t="s">
        <v>88</v>
      </c>
      <c r="U736" s="364" t="s">
        <v>88</v>
      </c>
      <c r="V736" s="364" t="s">
        <v>88</v>
      </c>
      <c r="W736" s="364" t="s">
        <v>88</v>
      </c>
      <c r="X736" s="364" t="s">
        <v>88</v>
      </c>
      <c r="Y736" s="364" t="s">
        <v>88</v>
      </c>
      <c r="Z736" s="364" t="s">
        <v>709</v>
      </c>
      <c r="AA736" s="364" t="s">
        <v>708</v>
      </c>
      <c r="AB736" s="364" t="s">
        <v>649</v>
      </c>
      <c r="AC736" s="364" t="s">
        <v>649</v>
      </c>
      <c r="AD736" s="364" t="s">
        <v>88</v>
      </c>
      <c r="AE736" s="364" t="s">
        <v>88</v>
      </c>
      <c r="AF736" s="364" t="s">
        <v>88</v>
      </c>
      <c r="AG736" s="364" t="s">
        <v>88</v>
      </c>
      <c r="AH736" s="364" t="s">
        <v>88</v>
      </c>
      <c r="AI736" s="364" t="s">
        <v>1199</v>
      </c>
      <c r="AJ736" s="364" t="s">
        <v>670</v>
      </c>
      <c r="AK736" s="364" t="s">
        <v>669</v>
      </c>
      <c r="AL736" s="364" t="s">
        <v>88</v>
      </c>
      <c r="AM736" s="364" t="s">
        <v>668</v>
      </c>
      <c r="AN736" s="364" t="s">
        <v>644</v>
      </c>
    </row>
    <row r="737" spans="1:40" x14ac:dyDescent="0.3">
      <c r="A737" s="364" t="s">
        <v>1937</v>
      </c>
      <c r="B737" s="364" t="s">
        <v>661</v>
      </c>
      <c r="C737" s="364" t="s">
        <v>677</v>
      </c>
      <c r="D737" s="364" t="s">
        <v>87</v>
      </c>
      <c r="E737" s="364" t="s">
        <v>1900</v>
      </c>
      <c r="F737" s="364" t="s">
        <v>1900</v>
      </c>
      <c r="G737" s="364" t="s">
        <v>658</v>
      </c>
      <c r="H737" s="364" t="s">
        <v>1764</v>
      </c>
      <c r="I737" s="364" t="s">
        <v>1936</v>
      </c>
      <c r="J737" s="364" t="s">
        <v>673</v>
      </c>
      <c r="K737" s="364" t="s">
        <v>668</v>
      </c>
      <c r="L737" s="364" t="s">
        <v>190</v>
      </c>
      <c r="M737" s="364" t="s">
        <v>58</v>
      </c>
      <c r="N737" s="364" t="s">
        <v>654</v>
      </c>
      <c r="O737" s="364" t="s">
        <v>653</v>
      </c>
      <c r="P737" s="364" t="s">
        <v>198</v>
      </c>
      <c r="Q737" s="364" t="s">
        <v>652</v>
      </c>
      <c r="R737" s="364" t="s">
        <v>88</v>
      </c>
      <c r="S737" s="364" t="s">
        <v>88</v>
      </c>
      <c r="T737" s="364" t="s">
        <v>88</v>
      </c>
      <c r="U737" s="364" t="s">
        <v>88</v>
      </c>
      <c r="V737" s="364" t="s">
        <v>88</v>
      </c>
      <c r="W737" s="364" t="s">
        <v>88</v>
      </c>
      <c r="X737" s="364" t="s">
        <v>88</v>
      </c>
      <c r="Y737" s="364" t="s">
        <v>88</v>
      </c>
      <c r="Z737" s="364" t="s">
        <v>702</v>
      </c>
      <c r="AA737" s="364" t="s">
        <v>701</v>
      </c>
      <c r="AB737" s="364" t="s">
        <v>649</v>
      </c>
      <c r="AC737" s="364" t="s">
        <v>649</v>
      </c>
      <c r="AD737" s="364" t="s">
        <v>88</v>
      </c>
      <c r="AE737" s="364" t="s">
        <v>88</v>
      </c>
      <c r="AF737" s="364" t="s">
        <v>88</v>
      </c>
      <c r="AG737" s="364" t="s">
        <v>88</v>
      </c>
      <c r="AH737" s="364" t="s">
        <v>88</v>
      </c>
      <c r="AI737" s="364" t="s">
        <v>1199</v>
      </c>
      <c r="AJ737" s="364" t="s">
        <v>670</v>
      </c>
      <c r="AK737" s="364" t="s">
        <v>669</v>
      </c>
      <c r="AL737" s="364" t="s">
        <v>88</v>
      </c>
      <c r="AM737" s="364" t="s">
        <v>668</v>
      </c>
      <c r="AN737" s="364" t="s">
        <v>644</v>
      </c>
    </row>
    <row r="738" spans="1:40" x14ac:dyDescent="0.3">
      <c r="A738" s="364" t="s">
        <v>1935</v>
      </c>
      <c r="B738" s="364" t="s">
        <v>661</v>
      </c>
      <c r="C738" s="364" t="s">
        <v>1160</v>
      </c>
      <c r="D738" s="364" t="s">
        <v>87</v>
      </c>
      <c r="E738" s="364" t="s">
        <v>1896</v>
      </c>
      <c r="F738" s="364" t="s">
        <v>1896</v>
      </c>
      <c r="G738" s="364" t="s">
        <v>658</v>
      </c>
      <c r="H738" s="364" t="s">
        <v>1934</v>
      </c>
      <c r="I738" s="364" t="s">
        <v>88</v>
      </c>
      <c r="J738" s="364" t="s">
        <v>88</v>
      </c>
      <c r="K738" s="364" t="s">
        <v>88</v>
      </c>
      <c r="L738" s="364" t="s">
        <v>88</v>
      </c>
      <c r="M738" s="364" t="s">
        <v>138</v>
      </c>
      <c r="N738" s="364" t="s">
        <v>654</v>
      </c>
      <c r="O738" s="364" t="s">
        <v>653</v>
      </c>
      <c r="P738" s="364" t="s">
        <v>88</v>
      </c>
      <c r="Q738" s="364" t="s">
        <v>88</v>
      </c>
      <c r="R738" s="364" t="s">
        <v>88</v>
      </c>
      <c r="S738" s="364" t="s">
        <v>88</v>
      </c>
      <c r="T738" s="364" t="s">
        <v>88</v>
      </c>
      <c r="U738" s="364" t="s">
        <v>88</v>
      </c>
      <c r="V738" s="364" t="s">
        <v>88</v>
      </c>
      <c r="W738" s="364" t="s">
        <v>88</v>
      </c>
      <c r="X738" s="364" t="s">
        <v>88</v>
      </c>
      <c r="Y738" s="364" t="s">
        <v>88</v>
      </c>
      <c r="Z738" s="364" t="s">
        <v>88</v>
      </c>
      <c r="AA738" s="364" t="s">
        <v>649</v>
      </c>
      <c r="AB738" s="364" t="s">
        <v>88</v>
      </c>
      <c r="AC738" s="364" t="s">
        <v>88</v>
      </c>
      <c r="AD738" s="364" t="s">
        <v>88</v>
      </c>
      <c r="AE738" s="364" t="s">
        <v>88</v>
      </c>
      <c r="AF738" s="364" t="s">
        <v>88</v>
      </c>
      <c r="AG738" s="364" t="s">
        <v>88</v>
      </c>
      <c r="AH738" s="364" t="s">
        <v>88</v>
      </c>
      <c r="AI738" s="364" t="s">
        <v>1933</v>
      </c>
      <c r="AJ738" s="364" t="s">
        <v>793</v>
      </c>
      <c r="AK738" s="364" t="s">
        <v>88</v>
      </c>
      <c r="AL738" s="364" t="s">
        <v>88</v>
      </c>
      <c r="AM738" s="364" t="s">
        <v>88</v>
      </c>
      <c r="AN738" s="364" t="s">
        <v>792</v>
      </c>
    </row>
    <row r="739" spans="1:40" x14ac:dyDescent="0.3">
      <c r="A739" s="364" t="s">
        <v>1932</v>
      </c>
      <c r="B739" s="364" t="s">
        <v>661</v>
      </c>
      <c r="C739" s="364" t="s">
        <v>677</v>
      </c>
      <c r="D739" s="364" t="s">
        <v>87</v>
      </c>
      <c r="E739" s="364" t="s">
        <v>1896</v>
      </c>
      <c r="F739" s="364" t="s">
        <v>1896</v>
      </c>
      <c r="G739" s="364" t="s">
        <v>658</v>
      </c>
      <c r="H739" s="364" t="s">
        <v>1931</v>
      </c>
      <c r="I739" s="364" t="s">
        <v>1930</v>
      </c>
      <c r="J739" s="364" t="s">
        <v>673</v>
      </c>
      <c r="K739" s="364" t="s">
        <v>668</v>
      </c>
      <c r="L739" s="364" t="s">
        <v>190</v>
      </c>
      <c r="M739" s="364" t="s">
        <v>58</v>
      </c>
      <c r="N739" s="364" t="s">
        <v>654</v>
      </c>
      <c r="O739" s="364" t="s">
        <v>653</v>
      </c>
      <c r="P739" s="364" t="s">
        <v>198</v>
      </c>
      <c r="Q739" s="364" t="s">
        <v>652</v>
      </c>
      <c r="R739" s="364" t="s">
        <v>88</v>
      </c>
      <c r="S739" s="364" t="s">
        <v>88</v>
      </c>
      <c r="T739" s="364" t="s">
        <v>88</v>
      </c>
      <c r="U739" s="364" t="s">
        <v>88</v>
      </c>
      <c r="V739" s="364" t="s">
        <v>88</v>
      </c>
      <c r="W739" s="364" t="s">
        <v>88</v>
      </c>
      <c r="X739" s="364" t="s">
        <v>88</v>
      </c>
      <c r="Y739" s="364" t="s">
        <v>88</v>
      </c>
      <c r="Z739" s="364" t="s">
        <v>702</v>
      </c>
      <c r="AA739" s="364" t="s">
        <v>701</v>
      </c>
      <c r="AB739" s="364" t="s">
        <v>649</v>
      </c>
      <c r="AC739" s="364" t="s">
        <v>649</v>
      </c>
      <c r="AD739" s="364" t="s">
        <v>88</v>
      </c>
      <c r="AE739" s="364" t="s">
        <v>88</v>
      </c>
      <c r="AF739" s="364" t="s">
        <v>88</v>
      </c>
      <c r="AG739" s="364" t="s">
        <v>88</v>
      </c>
      <c r="AH739" s="364" t="s">
        <v>88</v>
      </c>
      <c r="AI739" s="364" t="s">
        <v>1199</v>
      </c>
      <c r="AJ739" s="364" t="s">
        <v>670</v>
      </c>
      <c r="AK739" s="364" t="s">
        <v>669</v>
      </c>
      <c r="AL739" s="364" t="s">
        <v>88</v>
      </c>
      <c r="AM739" s="364" t="s">
        <v>668</v>
      </c>
      <c r="AN739" s="364" t="s">
        <v>644</v>
      </c>
    </row>
    <row r="740" spans="1:40" x14ac:dyDescent="0.3">
      <c r="A740" s="364" t="s">
        <v>1929</v>
      </c>
      <c r="B740" s="364" t="s">
        <v>661</v>
      </c>
      <c r="C740" s="364" t="s">
        <v>677</v>
      </c>
      <c r="D740" s="364" t="s">
        <v>87</v>
      </c>
      <c r="E740" s="364" t="s">
        <v>1896</v>
      </c>
      <c r="F740" s="364" t="s">
        <v>1896</v>
      </c>
      <c r="G740" s="364" t="s">
        <v>658</v>
      </c>
      <c r="H740" s="364" t="s">
        <v>1928</v>
      </c>
      <c r="I740" s="364" t="s">
        <v>1927</v>
      </c>
      <c r="J740" s="364" t="s">
        <v>673</v>
      </c>
      <c r="K740" s="364" t="s">
        <v>668</v>
      </c>
      <c r="L740" s="364" t="s">
        <v>190</v>
      </c>
      <c r="M740" s="364" t="s">
        <v>60</v>
      </c>
      <c r="N740" s="364" t="s">
        <v>654</v>
      </c>
      <c r="O740" s="364" t="s">
        <v>653</v>
      </c>
      <c r="P740" s="364" t="s">
        <v>198</v>
      </c>
      <c r="Q740" s="364" t="s">
        <v>652</v>
      </c>
      <c r="R740" s="364" t="s">
        <v>88</v>
      </c>
      <c r="S740" s="364" t="s">
        <v>88</v>
      </c>
      <c r="T740" s="364" t="s">
        <v>88</v>
      </c>
      <c r="U740" s="364" t="s">
        <v>88</v>
      </c>
      <c r="V740" s="364" t="s">
        <v>88</v>
      </c>
      <c r="W740" s="364" t="s">
        <v>88</v>
      </c>
      <c r="X740" s="364" t="s">
        <v>88</v>
      </c>
      <c r="Y740" s="364" t="s">
        <v>88</v>
      </c>
      <c r="Z740" s="364" t="s">
        <v>709</v>
      </c>
      <c r="AA740" s="364" t="s">
        <v>708</v>
      </c>
      <c r="AB740" s="364" t="s">
        <v>649</v>
      </c>
      <c r="AC740" s="364" t="s">
        <v>649</v>
      </c>
      <c r="AD740" s="364" t="s">
        <v>88</v>
      </c>
      <c r="AE740" s="364" t="s">
        <v>88</v>
      </c>
      <c r="AF740" s="364" t="s">
        <v>88</v>
      </c>
      <c r="AG740" s="364" t="s">
        <v>88</v>
      </c>
      <c r="AH740" s="364" t="s">
        <v>88</v>
      </c>
      <c r="AI740" s="364" t="s">
        <v>1199</v>
      </c>
      <c r="AJ740" s="364" t="s">
        <v>670</v>
      </c>
      <c r="AK740" s="364" t="s">
        <v>669</v>
      </c>
      <c r="AL740" s="364" t="s">
        <v>88</v>
      </c>
      <c r="AM740" s="364" t="s">
        <v>668</v>
      </c>
      <c r="AN740" s="364" t="s">
        <v>644</v>
      </c>
    </row>
    <row r="741" spans="1:40" x14ac:dyDescent="0.3">
      <c r="A741" s="364" t="s">
        <v>1926</v>
      </c>
      <c r="B741" s="364" t="s">
        <v>661</v>
      </c>
      <c r="C741" s="364" t="s">
        <v>677</v>
      </c>
      <c r="D741" s="364" t="s">
        <v>170</v>
      </c>
      <c r="E741" s="364" t="s">
        <v>1896</v>
      </c>
      <c r="F741" s="364" t="s">
        <v>1896</v>
      </c>
      <c r="G741" s="364" t="s">
        <v>658</v>
      </c>
      <c r="H741" s="364" t="s">
        <v>1925</v>
      </c>
      <c r="I741" s="364" t="s">
        <v>1924</v>
      </c>
      <c r="J741" s="364" t="s">
        <v>673</v>
      </c>
      <c r="K741" s="364" t="s">
        <v>668</v>
      </c>
      <c r="L741" s="364" t="s">
        <v>190</v>
      </c>
      <c r="M741" s="364" t="s">
        <v>164</v>
      </c>
      <c r="N741" s="364" t="s">
        <v>654</v>
      </c>
      <c r="O741" s="364" t="s">
        <v>653</v>
      </c>
      <c r="P741" s="364" t="s">
        <v>198</v>
      </c>
      <c r="Q741" s="364" t="s">
        <v>652</v>
      </c>
      <c r="R741" s="364" t="s">
        <v>88</v>
      </c>
      <c r="S741" s="364" t="s">
        <v>88</v>
      </c>
      <c r="T741" s="364" t="s">
        <v>88</v>
      </c>
      <c r="U741" s="364" t="s">
        <v>88</v>
      </c>
      <c r="V741" s="364" t="s">
        <v>88</v>
      </c>
      <c r="W741" s="364" t="s">
        <v>88</v>
      </c>
      <c r="X741" s="364" t="s">
        <v>88</v>
      </c>
      <c r="Y741" s="364" t="s">
        <v>88</v>
      </c>
      <c r="Z741" s="364" t="s">
        <v>825</v>
      </c>
      <c r="AA741" s="364" t="s">
        <v>649</v>
      </c>
      <c r="AB741" s="364" t="s">
        <v>649</v>
      </c>
      <c r="AC741" s="364" t="s">
        <v>649</v>
      </c>
      <c r="AD741" s="364" t="s">
        <v>88</v>
      </c>
      <c r="AE741" s="364" t="s">
        <v>88</v>
      </c>
      <c r="AF741" s="364" t="s">
        <v>88</v>
      </c>
      <c r="AG741" s="364" t="s">
        <v>88</v>
      </c>
      <c r="AH741" s="364" t="s">
        <v>88</v>
      </c>
      <c r="AI741" s="364" t="s">
        <v>1199</v>
      </c>
      <c r="AJ741" s="364" t="s">
        <v>670</v>
      </c>
      <c r="AK741" s="364" t="s">
        <v>687</v>
      </c>
      <c r="AL741" s="364" t="s">
        <v>88</v>
      </c>
      <c r="AM741" s="364" t="s">
        <v>668</v>
      </c>
      <c r="AN741" s="364" t="s">
        <v>644</v>
      </c>
    </row>
    <row r="742" spans="1:40" x14ac:dyDescent="0.3">
      <c r="A742" s="364" t="s">
        <v>1923</v>
      </c>
      <c r="B742" s="364" t="s">
        <v>661</v>
      </c>
      <c r="C742" s="364" t="s">
        <v>677</v>
      </c>
      <c r="D742" s="364" t="s">
        <v>87</v>
      </c>
      <c r="E742" s="364" t="s">
        <v>1896</v>
      </c>
      <c r="F742" s="364" t="s">
        <v>1896</v>
      </c>
      <c r="G742" s="364" t="s">
        <v>658</v>
      </c>
      <c r="H742" s="364" t="s">
        <v>1922</v>
      </c>
      <c r="I742" s="364" t="s">
        <v>1921</v>
      </c>
      <c r="J742" s="364" t="s">
        <v>673</v>
      </c>
      <c r="K742" s="364" t="s">
        <v>668</v>
      </c>
      <c r="L742" s="364" t="s">
        <v>190</v>
      </c>
      <c r="M742" s="364" t="s">
        <v>59</v>
      </c>
      <c r="N742" s="364" t="s">
        <v>654</v>
      </c>
      <c r="O742" s="364" t="s">
        <v>653</v>
      </c>
      <c r="P742" s="364" t="s">
        <v>198</v>
      </c>
      <c r="Q742" s="364" t="s">
        <v>652</v>
      </c>
      <c r="R742" s="364" t="s">
        <v>88</v>
      </c>
      <c r="S742" s="364" t="s">
        <v>88</v>
      </c>
      <c r="T742" s="364" t="s">
        <v>88</v>
      </c>
      <c r="U742" s="364" t="s">
        <v>88</v>
      </c>
      <c r="V742" s="364" t="s">
        <v>88</v>
      </c>
      <c r="W742" s="364" t="s">
        <v>88</v>
      </c>
      <c r="X742" s="364" t="s">
        <v>88</v>
      </c>
      <c r="Y742" s="364" t="s">
        <v>88</v>
      </c>
      <c r="Z742" s="364" t="s">
        <v>672</v>
      </c>
      <c r="AA742" s="364" t="s">
        <v>671</v>
      </c>
      <c r="AB742" s="364" t="s">
        <v>649</v>
      </c>
      <c r="AC742" s="364" t="s">
        <v>649</v>
      </c>
      <c r="AD742" s="364" t="s">
        <v>88</v>
      </c>
      <c r="AE742" s="364" t="s">
        <v>88</v>
      </c>
      <c r="AF742" s="364" t="s">
        <v>88</v>
      </c>
      <c r="AG742" s="364" t="s">
        <v>88</v>
      </c>
      <c r="AH742" s="364" t="s">
        <v>88</v>
      </c>
      <c r="AI742" s="364" t="s">
        <v>1199</v>
      </c>
      <c r="AJ742" s="364" t="s">
        <v>670</v>
      </c>
      <c r="AK742" s="364" t="s">
        <v>669</v>
      </c>
      <c r="AL742" s="364" t="s">
        <v>88</v>
      </c>
      <c r="AM742" s="364" t="s">
        <v>668</v>
      </c>
      <c r="AN742" s="364" t="s">
        <v>644</v>
      </c>
    </row>
    <row r="743" spans="1:40" x14ac:dyDescent="0.3">
      <c r="A743" s="364" t="s">
        <v>1920</v>
      </c>
      <c r="B743" s="364" t="s">
        <v>661</v>
      </c>
      <c r="C743" s="364" t="s">
        <v>677</v>
      </c>
      <c r="D743" s="364" t="s">
        <v>87</v>
      </c>
      <c r="E743" s="364" t="s">
        <v>1875</v>
      </c>
      <c r="F743" s="364" t="s">
        <v>1875</v>
      </c>
      <c r="G743" s="364" t="s">
        <v>658</v>
      </c>
      <c r="H743" s="364" t="s">
        <v>1919</v>
      </c>
      <c r="I743" s="364" t="s">
        <v>1918</v>
      </c>
      <c r="J743" s="364" t="s">
        <v>673</v>
      </c>
      <c r="K743" s="364" t="s">
        <v>668</v>
      </c>
      <c r="L743" s="364" t="s">
        <v>190</v>
      </c>
      <c r="M743" s="364" t="s">
        <v>59</v>
      </c>
      <c r="N743" s="364" t="s">
        <v>654</v>
      </c>
      <c r="O743" s="364" t="s">
        <v>653</v>
      </c>
      <c r="P743" s="364" t="s">
        <v>198</v>
      </c>
      <c r="Q743" s="364" t="s">
        <v>652</v>
      </c>
      <c r="R743" s="364" t="s">
        <v>88</v>
      </c>
      <c r="S743" s="364" t="s">
        <v>88</v>
      </c>
      <c r="T743" s="364" t="s">
        <v>88</v>
      </c>
      <c r="U743" s="364" t="s">
        <v>88</v>
      </c>
      <c r="V743" s="364" t="s">
        <v>88</v>
      </c>
      <c r="W743" s="364" t="s">
        <v>88</v>
      </c>
      <c r="X743" s="364" t="s">
        <v>88</v>
      </c>
      <c r="Y743" s="364" t="s">
        <v>88</v>
      </c>
      <c r="Z743" s="364" t="s">
        <v>672</v>
      </c>
      <c r="AA743" s="364" t="s">
        <v>671</v>
      </c>
      <c r="AB743" s="364" t="s">
        <v>649</v>
      </c>
      <c r="AC743" s="364" t="s">
        <v>649</v>
      </c>
      <c r="AD743" s="364" t="s">
        <v>88</v>
      </c>
      <c r="AE743" s="364" t="s">
        <v>88</v>
      </c>
      <c r="AF743" s="364" t="s">
        <v>88</v>
      </c>
      <c r="AG743" s="364" t="s">
        <v>88</v>
      </c>
      <c r="AH743" s="364" t="s">
        <v>88</v>
      </c>
      <c r="AI743" s="364" t="s">
        <v>1199</v>
      </c>
      <c r="AJ743" s="364" t="s">
        <v>670</v>
      </c>
      <c r="AK743" s="364" t="s">
        <v>669</v>
      </c>
      <c r="AL743" s="364" t="s">
        <v>88</v>
      </c>
      <c r="AM743" s="364" t="s">
        <v>668</v>
      </c>
      <c r="AN743" s="364" t="s">
        <v>644</v>
      </c>
    </row>
    <row r="744" spans="1:40" x14ac:dyDescent="0.3">
      <c r="A744" s="364" t="s">
        <v>1917</v>
      </c>
      <c r="B744" s="364" t="s">
        <v>661</v>
      </c>
      <c r="C744" s="364" t="s">
        <v>677</v>
      </c>
      <c r="D744" s="364" t="s">
        <v>87</v>
      </c>
      <c r="E744" s="364" t="s">
        <v>1875</v>
      </c>
      <c r="F744" s="364" t="s">
        <v>1875</v>
      </c>
      <c r="G744" s="364" t="s">
        <v>658</v>
      </c>
      <c r="H744" s="364" t="s">
        <v>1916</v>
      </c>
      <c r="I744" s="364" t="s">
        <v>1915</v>
      </c>
      <c r="J744" s="364" t="s">
        <v>673</v>
      </c>
      <c r="K744" s="364" t="s">
        <v>668</v>
      </c>
      <c r="L744" s="364" t="s">
        <v>190</v>
      </c>
      <c r="M744" s="364" t="s">
        <v>58</v>
      </c>
      <c r="N744" s="364" t="s">
        <v>654</v>
      </c>
      <c r="O744" s="364" t="s">
        <v>653</v>
      </c>
      <c r="P744" s="364" t="s">
        <v>198</v>
      </c>
      <c r="Q744" s="364" t="s">
        <v>652</v>
      </c>
      <c r="R744" s="364" t="s">
        <v>88</v>
      </c>
      <c r="S744" s="364" t="s">
        <v>88</v>
      </c>
      <c r="T744" s="364" t="s">
        <v>88</v>
      </c>
      <c r="U744" s="364" t="s">
        <v>88</v>
      </c>
      <c r="V744" s="364" t="s">
        <v>88</v>
      </c>
      <c r="W744" s="364" t="s">
        <v>88</v>
      </c>
      <c r="X744" s="364" t="s">
        <v>88</v>
      </c>
      <c r="Y744" s="364" t="s">
        <v>88</v>
      </c>
      <c r="Z744" s="364" t="s">
        <v>702</v>
      </c>
      <c r="AA744" s="364" t="s">
        <v>701</v>
      </c>
      <c r="AB744" s="364" t="s">
        <v>649</v>
      </c>
      <c r="AC744" s="364" t="s">
        <v>649</v>
      </c>
      <c r="AD744" s="364" t="s">
        <v>88</v>
      </c>
      <c r="AE744" s="364" t="s">
        <v>88</v>
      </c>
      <c r="AF744" s="364" t="s">
        <v>88</v>
      </c>
      <c r="AG744" s="364" t="s">
        <v>88</v>
      </c>
      <c r="AH744" s="364" t="s">
        <v>88</v>
      </c>
      <c r="AI744" s="364" t="s">
        <v>1199</v>
      </c>
      <c r="AJ744" s="364" t="s">
        <v>670</v>
      </c>
      <c r="AK744" s="364" t="s">
        <v>669</v>
      </c>
      <c r="AL744" s="364" t="s">
        <v>88</v>
      </c>
      <c r="AM744" s="364" t="s">
        <v>668</v>
      </c>
      <c r="AN744" s="364" t="s">
        <v>644</v>
      </c>
    </row>
    <row r="745" spans="1:40" x14ac:dyDescent="0.3">
      <c r="A745" s="364" t="s">
        <v>1914</v>
      </c>
      <c r="B745" s="364" t="s">
        <v>661</v>
      </c>
      <c r="C745" s="364" t="s">
        <v>677</v>
      </c>
      <c r="D745" s="364" t="s">
        <v>87</v>
      </c>
      <c r="E745" s="364" t="s">
        <v>1875</v>
      </c>
      <c r="F745" s="364" t="s">
        <v>1875</v>
      </c>
      <c r="G745" s="364" t="s">
        <v>658</v>
      </c>
      <c r="H745" s="364" t="s">
        <v>1913</v>
      </c>
      <c r="I745" s="364" t="s">
        <v>1912</v>
      </c>
      <c r="J745" s="364" t="s">
        <v>673</v>
      </c>
      <c r="K745" s="364" t="s">
        <v>668</v>
      </c>
      <c r="L745" s="364" t="s">
        <v>190</v>
      </c>
      <c r="M745" s="364" t="s">
        <v>60</v>
      </c>
      <c r="N745" s="364" t="s">
        <v>654</v>
      </c>
      <c r="O745" s="364" t="s">
        <v>653</v>
      </c>
      <c r="P745" s="364" t="s">
        <v>198</v>
      </c>
      <c r="Q745" s="364" t="s">
        <v>652</v>
      </c>
      <c r="R745" s="364" t="s">
        <v>88</v>
      </c>
      <c r="S745" s="364" t="s">
        <v>88</v>
      </c>
      <c r="T745" s="364" t="s">
        <v>88</v>
      </c>
      <c r="U745" s="364" t="s">
        <v>88</v>
      </c>
      <c r="V745" s="364" t="s">
        <v>88</v>
      </c>
      <c r="W745" s="364" t="s">
        <v>88</v>
      </c>
      <c r="X745" s="364" t="s">
        <v>88</v>
      </c>
      <c r="Y745" s="364" t="s">
        <v>88</v>
      </c>
      <c r="Z745" s="364" t="s">
        <v>709</v>
      </c>
      <c r="AA745" s="364" t="s">
        <v>708</v>
      </c>
      <c r="AB745" s="364" t="s">
        <v>649</v>
      </c>
      <c r="AC745" s="364" t="s">
        <v>649</v>
      </c>
      <c r="AD745" s="364" t="s">
        <v>88</v>
      </c>
      <c r="AE745" s="364" t="s">
        <v>88</v>
      </c>
      <c r="AF745" s="364" t="s">
        <v>88</v>
      </c>
      <c r="AG745" s="364" t="s">
        <v>88</v>
      </c>
      <c r="AH745" s="364" t="s">
        <v>88</v>
      </c>
      <c r="AI745" s="364" t="s">
        <v>1199</v>
      </c>
      <c r="AJ745" s="364" t="s">
        <v>670</v>
      </c>
      <c r="AK745" s="364" t="s">
        <v>687</v>
      </c>
      <c r="AL745" s="364" t="s">
        <v>88</v>
      </c>
      <c r="AM745" s="364" t="s">
        <v>668</v>
      </c>
      <c r="AN745" s="364" t="s">
        <v>644</v>
      </c>
    </row>
    <row r="746" spans="1:40" x14ac:dyDescent="0.3">
      <c r="A746" s="364" t="s">
        <v>1911</v>
      </c>
      <c r="B746" s="364" t="s">
        <v>661</v>
      </c>
      <c r="C746" s="364" t="s">
        <v>677</v>
      </c>
      <c r="D746" s="364" t="s">
        <v>170</v>
      </c>
      <c r="E746" s="364" t="s">
        <v>1875</v>
      </c>
      <c r="F746" s="364" t="s">
        <v>1875</v>
      </c>
      <c r="G746" s="364" t="s">
        <v>658</v>
      </c>
      <c r="H746" s="364" t="s">
        <v>1910</v>
      </c>
      <c r="I746" s="364" t="s">
        <v>1909</v>
      </c>
      <c r="J746" s="364" t="s">
        <v>673</v>
      </c>
      <c r="K746" s="364" t="s">
        <v>668</v>
      </c>
      <c r="L746" s="364" t="s">
        <v>190</v>
      </c>
      <c r="M746" s="364" t="s">
        <v>164</v>
      </c>
      <c r="N746" s="364" t="s">
        <v>654</v>
      </c>
      <c r="O746" s="364" t="s">
        <v>653</v>
      </c>
      <c r="P746" s="364" t="s">
        <v>198</v>
      </c>
      <c r="Q746" s="364" t="s">
        <v>652</v>
      </c>
      <c r="R746" s="364" t="s">
        <v>88</v>
      </c>
      <c r="S746" s="364" t="s">
        <v>88</v>
      </c>
      <c r="T746" s="364" t="s">
        <v>88</v>
      </c>
      <c r="U746" s="364" t="s">
        <v>88</v>
      </c>
      <c r="V746" s="364" t="s">
        <v>88</v>
      </c>
      <c r="W746" s="364" t="s">
        <v>88</v>
      </c>
      <c r="X746" s="364" t="s">
        <v>88</v>
      </c>
      <c r="Y746" s="364" t="s">
        <v>88</v>
      </c>
      <c r="Z746" s="364" t="s">
        <v>825</v>
      </c>
      <c r="AA746" s="364" t="s">
        <v>649</v>
      </c>
      <c r="AB746" s="364" t="s">
        <v>649</v>
      </c>
      <c r="AC746" s="364" t="s">
        <v>649</v>
      </c>
      <c r="AD746" s="364" t="s">
        <v>88</v>
      </c>
      <c r="AE746" s="364" t="s">
        <v>88</v>
      </c>
      <c r="AF746" s="364" t="s">
        <v>88</v>
      </c>
      <c r="AG746" s="364" t="s">
        <v>88</v>
      </c>
      <c r="AH746" s="364" t="s">
        <v>88</v>
      </c>
      <c r="AI746" s="364" t="s">
        <v>1199</v>
      </c>
      <c r="AJ746" s="364" t="s">
        <v>670</v>
      </c>
      <c r="AK746" s="364" t="s">
        <v>687</v>
      </c>
      <c r="AL746" s="364" t="s">
        <v>88</v>
      </c>
      <c r="AM746" s="364" t="s">
        <v>668</v>
      </c>
      <c r="AN746" s="364" t="s">
        <v>644</v>
      </c>
    </row>
    <row r="747" spans="1:40" x14ac:dyDescent="0.3">
      <c r="A747" s="364" t="s">
        <v>1908</v>
      </c>
      <c r="B747" s="364" t="s">
        <v>661</v>
      </c>
      <c r="C747" s="364" t="s">
        <v>677</v>
      </c>
      <c r="D747" s="364" t="s">
        <v>90</v>
      </c>
      <c r="E747" s="364" t="s">
        <v>1907</v>
      </c>
      <c r="F747" s="364" t="s">
        <v>1907</v>
      </c>
      <c r="G747" s="364" t="s">
        <v>658</v>
      </c>
      <c r="H747" s="364" t="s">
        <v>1903</v>
      </c>
      <c r="I747" s="364" t="s">
        <v>1902</v>
      </c>
      <c r="J747" s="364" t="s">
        <v>673</v>
      </c>
      <c r="K747" s="364" t="s">
        <v>668</v>
      </c>
      <c r="L747" s="364" t="s">
        <v>190</v>
      </c>
      <c r="M747" s="364" t="s">
        <v>250</v>
      </c>
      <c r="N747" s="364" t="s">
        <v>654</v>
      </c>
      <c r="O747" s="364" t="s">
        <v>653</v>
      </c>
      <c r="P747" s="364" t="s">
        <v>198</v>
      </c>
      <c r="Q747" s="364" t="s">
        <v>652</v>
      </c>
      <c r="R747" s="364" t="s">
        <v>88</v>
      </c>
      <c r="S747" s="364" t="s">
        <v>88</v>
      </c>
      <c r="T747" s="364" t="s">
        <v>88</v>
      </c>
      <c r="U747" s="364" t="s">
        <v>88</v>
      </c>
      <c r="V747" s="364" t="s">
        <v>88</v>
      </c>
      <c r="W747" s="364" t="s">
        <v>88</v>
      </c>
      <c r="X747" s="364" t="s">
        <v>88</v>
      </c>
      <c r="Y747" s="364" t="s">
        <v>88</v>
      </c>
      <c r="Z747" s="364" t="s">
        <v>1821</v>
      </c>
      <c r="AA747" s="364" t="s">
        <v>649</v>
      </c>
      <c r="AB747" s="364" t="s">
        <v>649</v>
      </c>
      <c r="AC747" s="364" t="s">
        <v>649</v>
      </c>
      <c r="AD747" s="364" t="s">
        <v>88</v>
      </c>
      <c r="AE747" s="364" t="s">
        <v>88</v>
      </c>
      <c r="AF747" s="364" t="s">
        <v>88</v>
      </c>
      <c r="AG747" s="364" t="s">
        <v>88</v>
      </c>
      <c r="AH747" s="364" t="s">
        <v>88</v>
      </c>
      <c r="AI747" s="364" t="s">
        <v>1155</v>
      </c>
      <c r="AJ747" s="364" t="s">
        <v>710</v>
      </c>
      <c r="AK747" s="364" t="s">
        <v>647</v>
      </c>
      <c r="AL747" s="364" t="s">
        <v>88</v>
      </c>
      <c r="AM747" s="364" t="s">
        <v>668</v>
      </c>
      <c r="AN747" s="364" t="s">
        <v>644</v>
      </c>
    </row>
    <row r="748" spans="1:40" x14ac:dyDescent="0.3">
      <c r="A748" s="364" t="s">
        <v>1908</v>
      </c>
      <c r="B748" s="364" t="s">
        <v>661</v>
      </c>
      <c r="C748" s="364" t="s">
        <v>677</v>
      </c>
      <c r="D748" s="364" t="s">
        <v>90</v>
      </c>
      <c r="E748" s="364" t="s">
        <v>1907</v>
      </c>
      <c r="F748" s="364" t="s">
        <v>1907</v>
      </c>
      <c r="G748" s="364" t="s">
        <v>658</v>
      </c>
      <c r="H748" s="364" t="s">
        <v>1903</v>
      </c>
      <c r="I748" s="364" t="s">
        <v>1902</v>
      </c>
      <c r="J748" s="364" t="s">
        <v>673</v>
      </c>
      <c r="K748" s="364" t="s">
        <v>668</v>
      </c>
      <c r="L748" s="364" t="s">
        <v>190</v>
      </c>
      <c r="M748" s="364" t="s">
        <v>718</v>
      </c>
      <c r="N748" s="364" t="s">
        <v>654</v>
      </c>
      <c r="O748" s="364" t="s">
        <v>653</v>
      </c>
      <c r="P748" s="364" t="s">
        <v>198</v>
      </c>
      <c r="Q748" s="364" t="s">
        <v>652</v>
      </c>
      <c r="R748" s="364" t="s">
        <v>88</v>
      </c>
      <c r="S748" s="364" t="s">
        <v>88</v>
      </c>
      <c r="T748" s="364" t="s">
        <v>88</v>
      </c>
      <c r="U748" s="364" t="s">
        <v>88</v>
      </c>
      <c r="V748" s="364" t="s">
        <v>88</v>
      </c>
      <c r="W748" s="364" t="s">
        <v>88</v>
      </c>
      <c r="X748" s="364" t="s">
        <v>88</v>
      </c>
      <c r="Y748" s="364" t="s">
        <v>88</v>
      </c>
      <c r="Z748" s="364" t="s">
        <v>717</v>
      </c>
      <c r="AA748" s="364" t="s">
        <v>649</v>
      </c>
      <c r="AB748" s="364" t="s">
        <v>649</v>
      </c>
      <c r="AC748" s="364" t="s">
        <v>649</v>
      </c>
      <c r="AD748" s="364" t="s">
        <v>88</v>
      </c>
      <c r="AE748" s="364" t="s">
        <v>88</v>
      </c>
      <c r="AF748" s="364" t="s">
        <v>88</v>
      </c>
      <c r="AG748" s="364" t="s">
        <v>88</v>
      </c>
      <c r="AH748" s="364" t="s">
        <v>88</v>
      </c>
      <c r="AI748" s="364" t="s">
        <v>1155</v>
      </c>
      <c r="AJ748" s="364" t="s">
        <v>710</v>
      </c>
      <c r="AK748" s="364" t="s">
        <v>647</v>
      </c>
      <c r="AL748" s="364" t="s">
        <v>88</v>
      </c>
      <c r="AM748" s="364" t="s">
        <v>668</v>
      </c>
      <c r="AN748" s="364" t="s">
        <v>644</v>
      </c>
    </row>
    <row r="749" spans="1:40" x14ac:dyDescent="0.3">
      <c r="A749" s="364" t="s">
        <v>1908</v>
      </c>
      <c r="B749" s="364" t="s">
        <v>661</v>
      </c>
      <c r="C749" s="364" t="s">
        <v>677</v>
      </c>
      <c r="D749" s="364" t="s">
        <v>90</v>
      </c>
      <c r="E749" s="364" t="s">
        <v>1907</v>
      </c>
      <c r="F749" s="364" t="s">
        <v>1907</v>
      </c>
      <c r="G749" s="364" t="s">
        <v>658</v>
      </c>
      <c r="H749" s="364" t="s">
        <v>1903</v>
      </c>
      <c r="I749" s="364" t="s">
        <v>1902</v>
      </c>
      <c r="J749" s="364" t="s">
        <v>673</v>
      </c>
      <c r="K749" s="364" t="s">
        <v>668</v>
      </c>
      <c r="L749" s="364" t="s">
        <v>190</v>
      </c>
      <c r="M749" s="364" t="s">
        <v>713</v>
      </c>
      <c r="N749" s="364" t="s">
        <v>654</v>
      </c>
      <c r="O749" s="364" t="s">
        <v>653</v>
      </c>
      <c r="P749" s="364" t="s">
        <v>198</v>
      </c>
      <c r="Q749" s="364" t="s">
        <v>652</v>
      </c>
      <c r="R749" s="364" t="s">
        <v>88</v>
      </c>
      <c r="S749" s="364" t="s">
        <v>88</v>
      </c>
      <c r="T749" s="364" t="s">
        <v>88</v>
      </c>
      <c r="U749" s="364" t="s">
        <v>88</v>
      </c>
      <c r="V749" s="364" t="s">
        <v>88</v>
      </c>
      <c r="W749" s="364" t="s">
        <v>88</v>
      </c>
      <c r="X749" s="364" t="s">
        <v>88</v>
      </c>
      <c r="Y749" s="364" t="s">
        <v>88</v>
      </c>
      <c r="Z749" s="364" t="s">
        <v>712</v>
      </c>
      <c r="AA749" s="364" t="s">
        <v>711</v>
      </c>
      <c r="AB749" s="364" t="s">
        <v>649</v>
      </c>
      <c r="AC749" s="364" t="s">
        <v>649</v>
      </c>
      <c r="AD749" s="364" t="s">
        <v>88</v>
      </c>
      <c r="AE749" s="364" t="s">
        <v>88</v>
      </c>
      <c r="AF749" s="364" t="s">
        <v>88</v>
      </c>
      <c r="AG749" s="364" t="s">
        <v>88</v>
      </c>
      <c r="AH749" s="364" t="s">
        <v>88</v>
      </c>
      <c r="AI749" s="364" t="s">
        <v>1155</v>
      </c>
      <c r="AJ749" s="364" t="s">
        <v>710</v>
      </c>
      <c r="AK749" s="364" t="s">
        <v>647</v>
      </c>
      <c r="AL749" s="364" t="s">
        <v>88</v>
      </c>
      <c r="AM749" s="364" t="s">
        <v>668</v>
      </c>
      <c r="AN749" s="364" t="s">
        <v>644</v>
      </c>
    </row>
    <row r="750" spans="1:40" x14ac:dyDescent="0.3">
      <c r="A750" s="364" t="s">
        <v>1908</v>
      </c>
      <c r="B750" s="364" t="s">
        <v>661</v>
      </c>
      <c r="C750" s="364" t="s">
        <v>677</v>
      </c>
      <c r="D750" s="364" t="s">
        <v>90</v>
      </c>
      <c r="E750" s="364" t="s">
        <v>1907</v>
      </c>
      <c r="F750" s="364" t="s">
        <v>1907</v>
      </c>
      <c r="G750" s="364" t="s">
        <v>658</v>
      </c>
      <c r="H750" s="364" t="s">
        <v>1903</v>
      </c>
      <c r="I750" s="364" t="s">
        <v>1902</v>
      </c>
      <c r="J750" s="364" t="s">
        <v>673</v>
      </c>
      <c r="K750" s="364" t="s">
        <v>668</v>
      </c>
      <c r="L750" s="364" t="s">
        <v>190</v>
      </c>
      <c r="M750" s="364" t="s">
        <v>54</v>
      </c>
      <c r="N750" s="364" t="s">
        <v>654</v>
      </c>
      <c r="O750" s="364" t="s">
        <v>653</v>
      </c>
      <c r="P750" s="364" t="s">
        <v>198</v>
      </c>
      <c r="Q750" s="364" t="s">
        <v>652</v>
      </c>
      <c r="R750" s="364" t="s">
        <v>88</v>
      </c>
      <c r="S750" s="364" t="s">
        <v>88</v>
      </c>
      <c r="T750" s="364" t="s">
        <v>88</v>
      </c>
      <c r="U750" s="364" t="s">
        <v>88</v>
      </c>
      <c r="V750" s="364" t="s">
        <v>88</v>
      </c>
      <c r="W750" s="364" t="s">
        <v>88</v>
      </c>
      <c r="X750" s="364" t="s">
        <v>88</v>
      </c>
      <c r="Y750" s="364" t="s">
        <v>88</v>
      </c>
      <c r="Z750" s="364" t="s">
        <v>1265</v>
      </c>
      <c r="AA750" s="364" t="s">
        <v>649</v>
      </c>
      <c r="AB750" s="364" t="s">
        <v>649</v>
      </c>
      <c r="AC750" s="364" t="s">
        <v>649</v>
      </c>
      <c r="AD750" s="364" t="s">
        <v>88</v>
      </c>
      <c r="AE750" s="364" t="s">
        <v>88</v>
      </c>
      <c r="AF750" s="364" t="s">
        <v>88</v>
      </c>
      <c r="AG750" s="364" t="s">
        <v>88</v>
      </c>
      <c r="AH750" s="364" t="s">
        <v>88</v>
      </c>
      <c r="AI750" s="364" t="s">
        <v>1155</v>
      </c>
      <c r="AJ750" s="364" t="s">
        <v>710</v>
      </c>
      <c r="AK750" s="364" t="s">
        <v>647</v>
      </c>
      <c r="AL750" s="364" t="s">
        <v>88</v>
      </c>
      <c r="AM750" s="364" t="s">
        <v>668</v>
      </c>
      <c r="AN750" s="364" t="s">
        <v>644</v>
      </c>
    </row>
    <row r="751" spans="1:40" x14ac:dyDescent="0.3">
      <c r="A751" s="364" t="s">
        <v>1908</v>
      </c>
      <c r="B751" s="364" t="s">
        <v>661</v>
      </c>
      <c r="C751" s="364" t="s">
        <v>677</v>
      </c>
      <c r="D751" s="364" t="s">
        <v>90</v>
      </c>
      <c r="E751" s="364" t="s">
        <v>1907</v>
      </c>
      <c r="F751" s="364" t="s">
        <v>1907</v>
      </c>
      <c r="G751" s="364" t="s">
        <v>658</v>
      </c>
      <c r="H751" s="364" t="s">
        <v>1903</v>
      </c>
      <c r="I751" s="364" t="s">
        <v>1902</v>
      </c>
      <c r="J751" s="364" t="s">
        <v>673</v>
      </c>
      <c r="K751" s="364" t="s">
        <v>668</v>
      </c>
      <c r="L751" s="364" t="s">
        <v>190</v>
      </c>
      <c r="M751" s="364" t="s">
        <v>61</v>
      </c>
      <c r="N751" s="364" t="s">
        <v>654</v>
      </c>
      <c r="O751" s="364" t="s">
        <v>653</v>
      </c>
      <c r="P751" s="364" t="s">
        <v>198</v>
      </c>
      <c r="Q751" s="364" t="s">
        <v>652</v>
      </c>
      <c r="R751" s="364" t="s">
        <v>88</v>
      </c>
      <c r="S751" s="364" t="s">
        <v>88</v>
      </c>
      <c r="T751" s="364" t="s">
        <v>88</v>
      </c>
      <c r="U751" s="364" t="s">
        <v>88</v>
      </c>
      <c r="V751" s="364" t="s">
        <v>88</v>
      </c>
      <c r="W751" s="364" t="s">
        <v>88</v>
      </c>
      <c r="X751" s="364" t="s">
        <v>88</v>
      </c>
      <c r="Y751" s="364" t="s">
        <v>88</v>
      </c>
      <c r="Z751" s="364" t="s">
        <v>1021</v>
      </c>
      <c r="AA751" s="364" t="s">
        <v>671</v>
      </c>
      <c r="AB751" s="364" t="s">
        <v>649</v>
      </c>
      <c r="AC751" s="364" t="s">
        <v>649</v>
      </c>
      <c r="AD751" s="364" t="s">
        <v>88</v>
      </c>
      <c r="AE751" s="364" t="s">
        <v>88</v>
      </c>
      <c r="AF751" s="364" t="s">
        <v>88</v>
      </c>
      <c r="AG751" s="364" t="s">
        <v>88</v>
      </c>
      <c r="AH751" s="364" t="s">
        <v>88</v>
      </c>
      <c r="AI751" s="364" t="s">
        <v>1155</v>
      </c>
      <c r="AJ751" s="364" t="s">
        <v>710</v>
      </c>
      <c r="AK751" s="364" t="s">
        <v>647</v>
      </c>
      <c r="AL751" s="364" t="s">
        <v>88</v>
      </c>
      <c r="AM751" s="364" t="s">
        <v>668</v>
      </c>
      <c r="AN751" s="364" t="s">
        <v>644</v>
      </c>
    </row>
    <row r="752" spans="1:40" x14ac:dyDescent="0.3">
      <c r="A752" s="364" t="s">
        <v>1908</v>
      </c>
      <c r="B752" s="364" t="s">
        <v>661</v>
      </c>
      <c r="C752" s="364" t="s">
        <v>677</v>
      </c>
      <c r="D752" s="364" t="s">
        <v>90</v>
      </c>
      <c r="E752" s="364" t="s">
        <v>1907</v>
      </c>
      <c r="F752" s="364" t="s">
        <v>1907</v>
      </c>
      <c r="G752" s="364" t="s">
        <v>658</v>
      </c>
      <c r="H752" s="364" t="s">
        <v>1903</v>
      </c>
      <c r="I752" s="364" t="s">
        <v>1902</v>
      </c>
      <c r="J752" s="364" t="s">
        <v>673</v>
      </c>
      <c r="K752" s="364" t="s">
        <v>668</v>
      </c>
      <c r="L752" s="364" t="s">
        <v>190</v>
      </c>
      <c r="M752" s="364" t="s">
        <v>721</v>
      </c>
      <c r="N752" s="364" t="s">
        <v>654</v>
      </c>
      <c r="O752" s="364" t="s">
        <v>653</v>
      </c>
      <c r="P752" s="364" t="s">
        <v>198</v>
      </c>
      <c r="Q752" s="364" t="s">
        <v>652</v>
      </c>
      <c r="R752" s="364" t="s">
        <v>88</v>
      </c>
      <c r="S752" s="364" t="s">
        <v>88</v>
      </c>
      <c r="T752" s="364" t="s">
        <v>88</v>
      </c>
      <c r="U752" s="364" t="s">
        <v>88</v>
      </c>
      <c r="V752" s="364" t="s">
        <v>88</v>
      </c>
      <c r="W752" s="364" t="s">
        <v>88</v>
      </c>
      <c r="X752" s="364" t="s">
        <v>88</v>
      </c>
      <c r="Y752" s="364" t="s">
        <v>88</v>
      </c>
      <c r="Z752" s="364" t="s">
        <v>720</v>
      </c>
      <c r="AA752" s="364" t="s">
        <v>649</v>
      </c>
      <c r="AB752" s="364" t="s">
        <v>649</v>
      </c>
      <c r="AC752" s="364" t="s">
        <v>649</v>
      </c>
      <c r="AD752" s="364" t="s">
        <v>88</v>
      </c>
      <c r="AE752" s="364" t="s">
        <v>88</v>
      </c>
      <c r="AF752" s="364" t="s">
        <v>88</v>
      </c>
      <c r="AG752" s="364" t="s">
        <v>88</v>
      </c>
      <c r="AH752" s="364" t="s">
        <v>88</v>
      </c>
      <c r="AI752" s="364" t="s">
        <v>1155</v>
      </c>
      <c r="AJ752" s="364" t="s">
        <v>710</v>
      </c>
      <c r="AK752" s="364" t="s">
        <v>647</v>
      </c>
      <c r="AL752" s="364" t="s">
        <v>88</v>
      </c>
      <c r="AM752" s="364" t="s">
        <v>668</v>
      </c>
      <c r="AN752" s="364" t="s">
        <v>644</v>
      </c>
    </row>
    <row r="753" spans="1:40" x14ac:dyDescent="0.3">
      <c r="A753" s="364" t="s">
        <v>1906</v>
      </c>
      <c r="B753" s="364" t="s">
        <v>661</v>
      </c>
      <c r="C753" s="364" t="s">
        <v>677</v>
      </c>
      <c r="D753" s="364" t="s">
        <v>90</v>
      </c>
      <c r="E753" s="364" t="s">
        <v>1905</v>
      </c>
      <c r="F753" s="364" t="s">
        <v>1905</v>
      </c>
      <c r="G753" s="364" t="s">
        <v>658</v>
      </c>
      <c r="H753" s="364" t="s">
        <v>1903</v>
      </c>
      <c r="I753" s="364" t="s">
        <v>1902</v>
      </c>
      <c r="J753" s="364" t="s">
        <v>673</v>
      </c>
      <c r="K753" s="364" t="s">
        <v>668</v>
      </c>
      <c r="L753" s="364" t="s">
        <v>190</v>
      </c>
      <c r="M753" s="364" t="s">
        <v>250</v>
      </c>
      <c r="N753" s="364" t="s">
        <v>654</v>
      </c>
      <c r="O753" s="364" t="s">
        <v>653</v>
      </c>
      <c r="P753" s="364" t="s">
        <v>198</v>
      </c>
      <c r="Q753" s="364" t="s">
        <v>652</v>
      </c>
      <c r="R753" s="364" t="s">
        <v>88</v>
      </c>
      <c r="S753" s="364" t="s">
        <v>88</v>
      </c>
      <c r="T753" s="364" t="s">
        <v>88</v>
      </c>
      <c r="U753" s="364" t="s">
        <v>88</v>
      </c>
      <c r="V753" s="364" t="s">
        <v>88</v>
      </c>
      <c r="W753" s="364" t="s">
        <v>88</v>
      </c>
      <c r="X753" s="364" t="s">
        <v>88</v>
      </c>
      <c r="Y753" s="364" t="s">
        <v>88</v>
      </c>
      <c r="Z753" s="364" t="s">
        <v>1821</v>
      </c>
      <c r="AA753" s="364" t="s">
        <v>649</v>
      </c>
      <c r="AB753" s="364" t="s">
        <v>649</v>
      </c>
      <c r="AC753" s="364" t="s">
        <v>649</v>
      </c>
      <c r="AD753" s="364" t="s">
        <v>88</v>
      </c>
      <c r="AE753" s="364" t="s">
        <v>88</v>
      </c>
      <c r="AF753" s="364" t="s">
        <v>88</v>
      </c>
      <c r="AG753" s="364" t="s">
        <v>88</v>
      </c>
      <c r="AH753" s="364" t="s">
        <v>88</v>
      </c>
      <c r="AI753" s="364" t="s">
        <v>1155</v>
      </c>
      <c r="AJ753" s="364" t="s">
        <v>710</v>
      </c>
      <c r="AK753" s="364" t="s">
        <v>647</v>
      </c>
      <c r="AL753" s="364" t="s">
        <v>88</v>
      </c>
      <c r="AM753" s="364" t="s">
        <v>668</v>
      </c>
      <c r="AN753" s="364" t="s">
        <v>644</v>
      </c>
    </row>
    <row r="754" spans="1:40" x14ac:dyDescent="0.3">
      <c r="A754" s="364" t="s">
        <v>1906</v>
      </c>
      <c r="B754" s="364" t="s">
        <v>661</v>
      </c>
      <c r="C754" s="364" t="s">
        <v>677</v>
      </c>
      <c r="D754" s="364" t="s">
        <v>90</v>
      </c>
      <c r="E754" s="364" t="s">
        <v>1905</v>
      </c>
      <c r="F754" s="364" t="s">
        <v>1905</v>
      </c>
      <c r="G754" s="364" t="s">
        <v>658</v>
      </c>
      <c r="H754" s="364" t="s">
        <v>1903</v>
      </c>
      <c r="I754" s="364" t="s">
        <v>1902</v>
      </c>
      <c r="J754" s="364" t="s">
        <v>673</v>
      </c>
      <c r="K754" s="364" t="s">
        <v>668</v>
      </c>
      <c r="L754" s="364" t="s">
        <v>190</v>
      </c>
      <c r="M754" s="364" t="s">
        <v>718</v>
      </c>
      <c r="N754" s="364" t="s">
        <v>654</v>
      </c>
      <c r="O754" s="364" t="s">
        <v>653</v>
      </c>
      <c r="P754" s="364" t="s">
        <v>198</v>
      </c>
      <c r="Q754" s="364" t="s">
        <v>652</v>
      </c>
      <c r="R754" s="364" t="s">
        <v>88</v>
      </c>
      <c r="S754" s="364" t="s">
        <v>88</v>
      </c>
      <c r="T754" s="364" t="s">
        <v>88</v>
      </c>
      <c r="U754" s="364" t="s">
        <v>88</v>
      </c>
      <c r="V754" s="364" t="s">
        <v>88</v>
      </c>
      <c r="W754" s="364" t="s">
        <v>88</v>
      </c>
      <c r="X754" s="364" t="s">
        <v>88</v>
      </c>
      <c r="Y754" s="364" t="s">
        <v>88</v>
      </c>
      <c r="Z754" s="364" t="s">
        <v>717</v>
      </c>
      <c r="AA754" s="364" t="s">
        <v>649</v>
      </c>
      <c r="AB754" s="364" t="s">
        <v>649</v>
      </c>
      <c r="AC754" s="364" t="s">
        <v>649</v>
      </c>
      <c r="AD754" s="364" t="s">
        <v>88</v>
      </c>
      <c r="AE754" s="364" t="s">
        <v>88</v>
      </c>
      <c r="AF754" s="364" t="s">
        <v>88</v>
      </c>
      <c r="AG754" s="364" t="s">
        <v>88</v>
      </c>
      <c r="AH754" s="364" t="s">
        <v>88</v>
      </c>
      <c r="AI754" s="364" t="s">
        <v>1155</v>
      </c>
      <c r="AJ754" s="364" t="s">
        <v>710</v>
      </c>
      <c r="AK754" s="364" t="s">
        <v>647</v>
      </c>
      <c r="AL754" s="364" t="s">
        <v>88</v>
      </c>
      <c r="AM754" s="364" t="s">
        <v>668</v>
      </c>
      <c r="AN754" s="364" t="s">
        <v>644</v>
      </c>
    </row>
    <row r="755" spans="1:40" x14ac:dyDescent="0.3">
      <c r="A755" s="364" t="s">
        <v>1906</v>
      </c>
      <c r="B755" s="364" t="s">
        <v>661</v>
      </c>
      <c r="C755" s="364" t="s">
        <v>677</v>
      </c>
      <c r="D755" s="364" t="s">
        <v>90</v>
      </c>
      <c r="E755" s="364" t="s">
        <v>1905</v>
      </c>
      <c r="F755" s="364" t="s">
        <v>1905</v>
      </c>
      <c r="G755" s="364" t="s">
        <v>658</v>
      </c>
      <c r="H755" s="364" t="s">
        <v>1903</v>
      </c>
      <c r="I755" s="364" t="s">
        <v>1902</v>
      </c>
      <c r="J755" s="364" t="s">
        <v>673</v>
      </c>
      <c r="K755" s="364" t="s">
        <v>668</v>
      </c>
      <c r="L755" s="364" t="s">
        <v>190</v>
      </c>
      <c r="M755" s="364" t="s">
        <v>713</v>
      </c>
      <c r="N755" s="364" t="s">
        <v>654</v>
      </c>
      <c r="O755" s="364" t="s">
        <v>653</v>
      </c>
      <c r="P755" s="364" t="s">
        <v>198</v>
      </c>
      <c r="Q755" s="364" t="s">
        <v>652</v>
      </c>
      <c r="R755" s="364" t="s">
        <v>88</v>
      </c>
      <c r="S755" s="364" t="s">
        <v>88</v>
      </c>
      <c r="T755" s="364" t="s">
        <v>88</v>
      </c>
      <c r="U755" s="364" t="s">
        <v>88</v>
      </c>
      <c r="V755" s="364" t="s">
        <v>88</v>
      </c>
      <c r="W755" s="364" t="s">
        <v>88</v>
      </c>
      <c r="X755" s="364" t="s">
        <v>88</v>
      </c>
      <c r="Y755" s="364" t="s">
        <v>88</v>
      </c>
      <c r="Z755" s="364" t="s">
        <v>712</v>
      </c>
      <c r="AA755" s="364" t="s">
        <v>711</v>
      </c>
      <c r="AB755" s="364" t="s">
        <v>649</v>
      </c>
      <c r="AC755" s="364" t="s">
        <v>649</v>
      </c>
      <c r="AD755" s="364" t="s">
        <v>88</v>
      </c>
      <c r="AE755" s="364" t="s">
        <v>88</v>
      </c>
      <c r="AF755" s="364" t="s">
        <v>88</v>
      </c>
      <c r="AG755" s="364" t="s">
        <v>88</v>
      </c>
      <c r="AH755" s="364" t="s">
        <v>88</v>
      </c>
      <c r="AI755" s="364" t="s">
        <v>1155</v>
      </c>
      <c r="AJ755" s="364" t="s">
        <v>710</v>
      </c>
      <c r="AK755" s="364" t="s">
        <v>647</v>
      </c>
      <c r="AL755" s="364" t="s">
        <v>88</v>
      </c>
      <c r="AM755" s="364" t="s">
        <v>668</v>
      </c>
      <c r="AN755" s="364" t="s">
        <v>644</v>
      </c>
    </row>
    <row r="756" spans="1:40" x14ac:dyDescent="0.3">
      <c r="A756" s="364" t="s">
        <v>1906</v>
      </c>
      <c r="B756" s="364" t="s">
        <v>661</v>
      </c>
      <c r="C756" s="364" t="s">
        <v>677</v>
      </c>
      <c r="D756" s="364" t="s">
        <v>90</v>
      </c>
      <c r="E756" s="364" t="s">
        <v>1905</v>
      </c>
      <c r="F756" s="364" t="s">
        <v>1905</v>
      </c>
      <c r="G756" s="364" t="s">
        <v>658</v>
      </c>
      <c r="H756" s="364" t="s">
        <v>1903</v>
      </c>
      <c r="I756" s="364" t="s">
        <v>1902</v>
      </c>
      <c r="J756" s="364" t="s">
        <v>673</v>
      </c>
      <c r="K756" s="364" t="s">
        <v>668</v>
      </c>
      <c r="L756" s="364" t="s">
        <v>190</v>
      </c>
      <c r="M756" s="364" t="s">
        <v>54</v>
      </c>
      <c r="N756" s="364" t="s">
        <v>654</v>
      </c>
      <c r="O756" s="364" t="s">
        <v>653</v>
      </c>
      <c r="P756" s="364" t="s">
        <v>198</v>
      </c>
      <c r="Q756" s="364" t="s">
        <v>652</v>
      </c>
      <c r="R756" s="364" t="s">
        <v>88</v>
      </c>
      <c r="S756" s="364" t="s">
        <v>88</v>
      </c>
      <c r="T756" s="364" t="s">
        <v>88</v>
      </c>
      <c r="U756" s="364" t="s">
        <v>88</v>
      </c>
      <c r="V756" s="364" t="s">
        <v>88</v>
      </c>
      <c r="W756" s="364" t="s">
        <v>88</v>
      </c>
      <c r="X756" s="364" t="s">
        <v>88</v>
      </c>
      <c r="Y756" s="364" t="s">
        <v>88</v>
      </c>
      <c r="Z756" s="364" t="s">
        <v>1265</v>
      </c>
      <c r="AA756" s="364" t="s">
        <v>649</v>
      </c>
      <c r="AB756" s="364" t="s">
        <v>649</v>
      </c>
      <c r="AC756" s="364" t="s">
        <v>649</v>
      </c>
      <c r="AD756" s="364" t="s">
        <v>88</v>
      </c>
      <c r="AE756" s="364" t="s">
        <v>88</v>
      </c>
      <c r="AF756" s="364" t="s">
        <v>88</v>
      </c>
      <c r="AG756" s="364" t="s">
        <v>88</v>
      </c>
      <c r="AH756" s="364" t="s">
        <v>88</v>
      </c>
      <c r="AI756" s="364" t="s">
        <v>1155</v>
      </c>
      <c r="AJ756" s="364" t="s">
        <v>710</v>
      </c>
      <c r="AK756" s="364" t="s">
        <v>647</v>
      </c>
      <c r="AL756" s="364" t="s">
        <v>88</v>
      </c>
      <c r="AM756" s="364" t="s">
        <v>668</v>
      </c>
      <c r="AN756" s="364" t="s">
        <v>644</v>
      </c>
    </row>
    <row r="757" spans="1:40" x14ac:dyDescent="0.3">
      <c r="A757" s="364" t="s">
        <v>1906</v>
      </c>
      <c r="B757" s="364" t="s">
        <v>661</v>
      </c>
      <c r="C757" s="364" t="s">
        <v>677</v>
      </c>
      <c r="D757" s="364" t="s">
        <v>90</v>
      </c>
      <c r="E757" s="364" t="s">
        <v>1905</v>
      </c>
      <c r="F757" s="364" t="s">
        <v>1905</v>
      </c>
      <c r="G757" s="364" t="s">
        <v>658</v>
      </c>
      <c r="H757" s="364" t="s">
        <v>1903</v>
      </c>
      <c r="I757" s="364" t="s">
        <v>1902</v>
      </c>
      <c r="J757" s="364" t="s">
        <v>673</v>
      </c>
      <c r="K757" s="364" t="s">
        <v>668</v>
      </c>
      <c r="L757" s="364" t="s">
        <v>190</v>
      </c>
      <c r="M757" s="364" t="s">
        <v>61</v>
      </c>
      <c r="N757" s="364" t="s">
        <v>654</v>
      </c>
      <c r="O757" s="364" t="s">
        <v>653</v>
      </c>
      <c r="P757" s="364" t="s">
        <v>198</v>
      </c>
      <c r="Q757" s="364" t="s">
        <v>652</v>
      </c>
      <c r="R757" s="364" t="s">
        <v>88</v>
      </c>
      <c r="S757" s="364" t="s">
        <v>88</v>
      </c>
      <c r="T757" s="364" t="s">
        <v>88</v>
      </c>
      <c r="U757" s="364" t="s">
        <v>88</v>
      </c>
      <c r="V757" s="364" t="s">
        <v>88</v>
      </c>
      <c r="W757" s="364" t="s">
        <v>88</v>
      </c>
      <c r="X757" s="364" t="s">
        <v>88</v>
      </c>
      <c r="Y757" s="364" t="s">
        <v>88</v>
      </c>
      <c r="Z757" s="364" t="s">
        <v>1021</v>
      </c>
      <c r="AA757" s="364" t="s">
        <v>671</v>
      </c>
      <c r="AB757" s="364" t="s">
        <v>649</v>
      </c>
      <c r="AC757" s="364" t="s">
        <v>649</v>
      </c>
      <c r="AD757" s="364" t="s">
        <v>88</v>
      </c>
      <c r="AE757" s="364" t="s">
        <v>88</v>
      </c>
      <c r="AF757" s="364" t="s">
        <v>88</v>
      </c>
      <c r="AG757" s="364" t="s">
        <v>88</v>
      </c>
      <c r="AH757" s="364" t="s">
        <v>88</v>
      </c>
      <c r="AI757" s="364" t="s">
        <v>1155</v>
      </c>
      <c r="AJ757" s="364" t="s">
        <v>710</v>
      </c>
      <c r="AK757" s="364" t="s">
        <v>647</v>
      </c>
      <c r="AL757" s="364" t="s">
        <v>88</v>
      </c>
      <c r="AM757" s="364" t="s">
        <v>668</v>
      </c>
      <c r="AN757" s="364" t="s">
        <v>644</v>
      </c>
    </row>
    <row r="758" spans="1:40" x14ac:dyDescent="0.3">
      <c r="A758" s="364" t="s">
        <v>1906</v>
      </c>
      <c r="B758" s="364" t="s">
        <v>661</v>
      </c>
      <c r="C758" s="364" t="s">
        <v>677</v>
      </c>
      <c r="D758" s="364" t="s">
        <v>90</v>
      </c>
      <c r="E758" s="364" t="s">
        <v>1905</v>
      </c>
      <c r="F758" s="364" t="s">
        <v>1905</v>
      </c>
      <c r="G758" s="364" t="s">
        <v>658</v>
      </c>
      <c r="H758" s="364" t="s">
        <v>1903</v>
      </c>
      <c r="I758" s="364" t="s">
        <v>1902</v>
      </c>
      <c r="J758" s="364" t="s">
        <v>673</v>
      </c>
      <c r="K758" s="364" t="s">
        <v>668</v>
      </c>
      <c r="L758" s="364" t="s">
        <v>190</v>
      </c>
      <c r="M758" s="364" t="s">
        <v>721</v>
      </c>
      <c r="N758" s="364" t="s">
        <v>654</v>
      </c>
      <c r="O758" s="364" t="s">
        <v>653</v>
      </c>
      <c r="P758" s="364" t="s">
        <v>198</v>
      </c>
      <c r="Q758" s="364" t="s">
        <v>652</v>
      </c>
      <c r="R758" s="364" t="s">
        <v>88</v>
      </c>
      <c r="S758" s="364" t="s">
        <v>88</v>
      </c>
      <c r="T758" s="364" t="s">
        <v>88</v>
      </c>
      <c r="U758" s="364" t="s">
        <v>88</v>
      </c>
      <c r="V758" s="364" t="s">
        <v>88</v>
      </c>
      <c r="W758" s="364" t="s">
        <v>88</v>
      </c>
      <c r="X758" s="364" t="s">
        <v>88</v>
      </c>
      <c r="Y758" s="364" t="s">
        <v>88</v>
      </c>
      <c r="Z758" s="364" t="s">
        <v>720</v>
      </c>
      <c r="AA758" s="364" t="s">
        <v>649</v>
      </c>
      <c r="AB758" s="364" t="s">
        <v>649</v>
      </c>
      <c r="AC758" s="364" t="s">
        <v>649</v>
      </c>
      <c r="AD758" s="364" t="s">
        <v>88</v>
      </c>
      <c r="AE758" s="364" t="s">
        <v>88</v>
      </c>
      <c r="AF758" s="364" t="s">
        <v>88</v>
      </c>
      <c r="AG758" s="364" t="s">
        <v>88</v>
      </c>
      <c r="AH758" s="364" t="s">
        <v>88</v>
      </c>
      <c r="AI758" s="364" t="s">
        <v>1155</v>
      </c>
      <c r="AJ758" s="364" t="s">
        <v>710</v>
      </c>
      <c r="AK758" s="364" t="s">
        <v>647</v>
      </c>
      <c r="AL758" s="364" t="s">
        <v>88</v>
      </c>
      <c r="AM758" s="364" t="s">
        <v>668</v>
      </c>
      <c r="AN758" s="364" t="s">
        <v>644</v>
      </c>
    </row>
    <row r="759" spans="1:40" x14ac:dyDescent="0.3">
      <c r="A759" s="364" t="s">
        <v>1904</v>
      </c>
      <c r="B759" s="364" t="s">
        <v>661</v>
      </c>
      <c r="C759" s="364" t="s">
        <v>677</v>
      </c>
      <c r="D759" s="364" t="s">
        <v>90</v>
      </c>
      <c r="E759" s="364" t="s">
        <v>705</v>
      </c>
      <c r="F759" s="364" t="s">
        <v>705</v>
      </c>
      <c r="G759" s="364" t="s">
        <v>658</v>
      </c>
      <c r="H759" s="364" t="s">
        <v>1903</v>
      </c>
      <c r="I759" s="364" t="s">
        <v>1902</v>
      </c>
      <c r="J759" s="364" t="s">
        <v>673</v>
      </c>
      <c r="K759" s="364" t="s">
        <v>668</v>
      </c>
      <c r="L759" s="364" t="s">
        <v>190</v>
      </c>
      <c r="M759" s="364" t="s">
        <v>250</v>
      </c>
      <c r="N759" s="364" t="s">
        <v>654</v>
      </c>
      <c r="O759" s="364" t="s">
        <v>653</v>
      </c>
      <c r="P759" s="364" t="s">
        <v>198</v>
      </c>
      <c r="Q759" s="364" t="s">
        <v>652</v>
      </c>
      <c r="R759" s="364" t="s">
        <v>88</v>
      </c>
      <c r="S759" s="364" t="s">
        <v>88</v>
      </c>
      <c r="T759" s="364" t="s">
        <v>88</v>
      </c>
      <c r="U759" s="364" t="s">
        <v>88</v>
      </c>
      <c r="V759" s="364" t="s">
        <v>88</v>
      </c>
      <c r="W759" s="364" t="s">
        <v>88</v>
      </c>
      <c r="X759" s="364" t="s">
        <v>88</v>
      </c>
      <c r="Y759" s="364" t="s">
        <v>88</v>
      </c>
      <c r="Z759" s="364" t="s">
        <v>1821</v>
      </c>
      <c r="AA759" s="364" t="s">
        <v>649</v>
      </c>
      <c r="AB759" s="364" t="s">
        <v>649</v>
      </c>
      <c r="AC759" s="364" t="s">
        <v>649</v>
      </c>
      <c r="AD759" s="364" t="s">
        <v>88</v>
      </c>
      <c r="AE759" s="364" t="s">
        <v>88</v>
      </c>
      <c r="AF759" s="364" t="s">
        <v>88</v>
      </c>
      <c r="AG759" s="364" t="s">
        <v>88</v>
      </c>
      <c r="AH759" s="364" t="s">
        <v>88</v>
      </c>
      <c r="AI759" s="364" t="s">
        <v>1155</v>
      </c>
      <c r="AJ759" s="364" t="s">
        <v>710</v>
      </c>
      <c r="AK759" s="364" t="s">
        <v>647</v>
      </c>
      <c r="AL759" s="364" t="s">
        <v>88</v>
      </c>
      <c r="AM759" s="364" t="s">
        <v>668</v>
      </c>
      <c r="AN759" s="364" t="s">
        <v>644</v>
      </c>
    </row>
    <row r="760" spans="1:40" x14ac:dyDescent="0.3">
      <c r="A760" s="364" t="s">
        <v>1904</v>
      </c>
      <c r="B760" s="364" t="s">
        <v>661</v>
      </c>
      <c r="C760" s="364" t="s">
        <v>677</v>
      </c>
      <c r="D760" s="364" t="s">
        <v>90</v>
      </c>
      <c r="E760" s="364" t="s">
        <v>705</v>
      </c>
      <c r="F760" s="364" t="s">
        <v>705</v>
      </c>
      <c r="G760" s="364" t="s">
        <v>658</v>
      </c>
      <c r="H760" s="364" t="s">
        <v>1903</v>
      </c>
      <c r="I760" s="364" t="s">
        <v>1902</v>
      </c>
      <c r="J760" s="364" t="s">
        <v>673</v>
      </c>
      <c r="K760" s="364" t="s">
        <v>668</v>
      </c>
      <c r="L760" s="364" t="s">
        <v>190</v>
      </c>
      <c r="M760" s="364" t="s">
        <v>718</v>
      </c>
      <c r="N760" s="364" t="s">
        <v>654</v>
      </c>
      <c r="O760" s="364" t="s">
        <v>653</v>
      </c>
      <c r="P760" s="364" t="s">
        <v>198</v>
      </c>
      <c r="Q760" s="364" t="s">
        <v>652</v>
      </c>
      <c r="R760" s="364" t="s">
        <v>88</v>
      </c>
      <c r="S760" s="364" t="s">
        <v>88</v>
      </c>
      <c r="T760" s="364" t="s">
        <v>88</v>
      </c>
      <c r="U760" s="364" t="s">
        <v>88</v>
      </c>
      <c r="V760" s="364" t="s">
        <v>88</v>
      </c>
      <c r="W760" s="364" t="s">
        <v>88</v>
      </c>
      <c r="X760" s="364" t="s">
        <v>88</v>
      </c>
      <c r="Y760" s="364" t="s">
        <v>88</v>
      </c>
      <c r="Z760" s="364" t="s">
        <v>717</v>
      </c>
      <c r="AA760" s="364" t="s">
        <v>649</v>
      </c>
      <c r="AB760" s="364" t="s">
        <v>649</v>
      </c>
      <c r="AC760" s="364" t="s">
        <v>649</v>
      </c>
      <c r="AD760" s="364" t="s">
        <v>88</v>
      </c>
      <c r="AE760" s="364" t="s">
        <v>88</v>
      </c>
      <c r="AF760" s="364" t="s">
        <v>88</v>
      </c>
      <c r="AG760" s="364" t="s">
        <v>88</v>
      </c>
      <c r="AH760" s="364" t="s">
        <v>88</v>
      </c>
      <c r="AI760" s="364" t="s">
        <v>1155</v>
      </c>
      <c r="AJ760" s="364" t="s">
        <v>710</v>
      </c>
      <c r="AK760" s="364" t="s">
        <v>647</v>
      </c>
      <c r="AL760" s="364" t="s">
        <v>88</v>
      </c>
      <c r="AM760" s="364" t="s">
        <v>668</v>
      </c>
      <c r="AN760" s="364" t="s">
        <v>644</v>
      </c>
    </row>
    <row r="761" spans="1:40" x14ac:dyDescent="0.3">
      <c r="A761" s="364" t="s">
        <v>1904</v>
      </c>
      <c r="B761" s="364" t="s">
        <v>661</v>
      </c>
      <c r="C761" s="364" t="s">
        <v>677</v>
      </c>
      <c r="D761" s="364" t="s">
        <v>90</v>
      </c>
      <c r="E761" s="364" t="s">
        <v>705</v>
      </c>
      <c r="F761" s="364" t="s">
        <v>705</v>
      </c>
      <c r="G761" s="364" t="s">
        <v>658</v>
      </c>
      <c r="H761" s="364" t="s">
        <v>1903</v>
      </c>
      <c r="I761" s="364" t="s">
        <v>1902</v>
      </c>
      <c r="J761" s="364" t="s">
        <v>673</v>
      </c>
      <c r="K761" s="364" t="s">
        <v>668</v>
      </c>
      <c r="L761" s="364" t="s">
        <v>190</v>
      </c>
      <c r="M761" s="364" t="s">
        <v>713</v>
      </c>
      <c r="N761" s="364" t="s">
        <v>654</v>
      </c>
      <c r="O761" s="364" t="s">
        <v>653</v>
      </c>
      <c r="P761" s="364" t="s">
        <v>198</v>
      </c>
      <c r="Q761" s="364" t="s">
        <v>652</v>
      </c>
      <c r="R761" s="364" t="s">
        <v>88</v>
      </c>
      <c r="S761" s="364" t="s">
        <v>88</v>
      </c>
      <c r="T761" s="364" t="s">
        <v>88</v>
      </c>
      <c r="U761" s="364" t="s">
        <v>88</v>
      </c>
      <c r="V761" s="364" t="s">
        <v>88</v>
      </c>
      <c r="W761" s="364" t="s">
        <v>88</v>
      </c>
      <c r="X761" s="364" t="s">
        <v>88</v>
      </c>
      <c r="Y761" s="364" t="s">
        <v>88</v>
      </c>
      <c r="Z761" s="364" t="s">
        <v>712</v>
      </c>
      <c r="AA761" s="364" t="s">
        <v>711</v>
      </c>
      <c r="AB761" s="364" t="s">
        <v>649</v>
      </c>
      <c r="AC761" s="364" t="s">
        <v>649</v>
      </c>
      <c r="AD761" s="364" t="s">
        <v>88</v>
      </c>
      <c r="AE761" s="364" t="s">
        <v>88</v>
      </c>
      <c r="AF761" s="364" t="s">
        <v>88</v>
      </c>
      <c r="AG761" s="364" t="s">
        <v>88</v>
      </c>
      <c r="AH761" s="364" t="s">
        <v>88</v>
      </c>
      <c r="AI761" s="364" t="s">
        <v>1155</v>
      </c>
      <c r="AJ761" s="364" t="s">
        <v>710</v>
      </c>
      <c r="AK761" s="364" t="s">
        <v>647</v>
      </c>
      <c r="AL761" s="364" t="s">
        <v>88</v>
      </c>
      <c r="AM761" s="364" t="s">
        <v>668</v>
      </c>
      <c r="AN761" s="364" t="s">
        <v>644</v>
      </c>
    </row>
    <row r="762" spans="1:40" x14ac:dyDescent="0.3">
      <c r="A762" s="364" t="s">
        <v>1904</v>
      </c>
      <c r="B762" s="364" t="s">
        <v>661</v>
      </c>
      <c r="C762" s="364" t="s">
        <v>677</v>
      </c>
      <c r="D762" s="364" t="s">
        <v>90</v>
      </c>
      <c r="E762" s="364" t="s">
        <v>705</v>
      </c>
      <c r="F762" s="364" t="s">
        <v>705</v>
      </c>
      <c r="G762" s="364" t="s">
        <v>658</v>
      </c>
      <c r="H762" s="364" t="s">
        <v>1903</v>
      </c>
      <c r="I762" s="364" t="s">
        <v>1902</v>
      </c>
      <c r="J762" s="364" t="s">
        <v>673</v>
      </c>
      <c r="K762" s="364" t="s">
        <v>668</v>
      </c>
      <c r="L762" s="364" t="s">
        <v>190</v>
      </c>
      <c r="M762" s="364" t="s">
        <v>54</v>
      </c>
      <c r="N762" s="364" t="s">
        <v>654</v>
      </c>
      <c r="O762" s="364" t="s">
        <v>653</v>
      </c>
      <c r="P762" s="364" t="s">
        <v>198</v>
      </c>
      <c r="Q762" s="364" t="s">
        <v>652</v>
      </c>
      <c r="R762" s="364" t="s">
        <v>88</v>
      </c>
      <c r="S762" s="364" t="s">
        <v>88</v>
      </c>
      <c r="T762" s="364" t="s">
        <v>88</v>
      </c>
      <c r="U762" s="364" t="s">
        <v>88</v>
      </c>
      <c r="V762" s="364" t="s">
        <v>88</v>
      </c>
      <c r="W762" s="364" t="s">
        <v>88</v>
      </c>
      <c r="X762" s="364" t="s">
        <v>88</v>
      </c>
      <c r="Y762" s="364" t="s">
        <v>88</v>
      </c>
      <c r="Z762" s="364" t="s">
        <v>1265</v>
      </c>
      <c r="AA762" s="364" t="s">
        <v>649</v>
      </c>
      <c r="AB762" s="364" t="s">
        <v>649</v>
      </c>
      <c r="AC762" s="364" t="s">
        <v>649</v>
      </c>
      <c r="AD762" s="364" t="s">
        <v>88</v>
      </c>
      <c r="AE762" s="364" t="s">
        <v>88</v>
      </c>
      <c r="AF762" s="364" t="s">
        <v>88</v>
      </c>
      <c r="AG762" s="364" t="s">
        <v>88</v>
      </c>
      <c r="AH762" s="364" t="s">
        <v>88</v>
      </c>
      <c r="AI762" s="364" t="s">
        <v>1155</v>
      </c>
      <c r="AJ762" s="364" t="s">
        <v>710</v>
      </c>
      <c r="AK762" s="364" t="s">
        <v>647</v>
      </c>
      <c r="AL762" s="364" t="s">
        <v>88</v>
      </c>
      <c r="AM762" s="364" t="s">
        <v>668</v>
      </c>
      <c r="AN762" s="364" t="s">
        <v>644</v>
      </c>
    </row>
    <row r="763" spans="1:40" x14ac:dyDescent="0.3">
      <c r="A763" s="364" t="s">
        <v>1904</v>
      </c>
      <c r="B763" s="364" t="s">
        <v>661</v>
      </c>
      <c r="C763" s="364" t="s">
        <v>677</v>
      </c>
      <c r="D763" s="364" t="s">
        <v>90</v>
      </c>
      <c r="E763" s="364" t="s">
        <v>705</v>
      </c>
      <c r="F763" s="364" t="s">
        <v>705</v>
      </c>
      <c r="G763" s="364" t="s">
        <v>658</v>
      </c>
      <c r="H763" s="364" t="s">
        <v>1903</v>
      </c>
      <c r="I763" s="364" t="s">
        <v>1902</v>
      </c>
      <c r="J763" s="364" t="s">
        <v>673</v>
      </c>
      <c r="K763" s="364" t="s">
        <v>668</v>
      </c>
      <c r="L763" s="364" t="s">
        <v>190</v>
      </c>
      <c r="M763" s="364" t="s">
        <v>61</v>
      </c>
      <c r="N763" s="364" t="s">
        <v>654</v>
      </c>
      <c r="O763" s="364" t="s">
        <v>653</v>
      </c>
      <c r="P763" s="364" t="s">
        <v>198</v>
      </c>
      <c r="Q763" s="364" t="s">
        <v>652</v>
      </c>
      <c r="R763" s="364" t="s">
        <v>88</v>
      </c>
      <c r="S763" s="364" t="s">
        <v>88</v>
      </c>
      <c r="T763" s="364" t="s">
        <v>88</v>
      </c>
      <c r="U763" s="364" t="s">
        <v>88</v>
      </c>
      <c r="V763" s="364" t="s">
        <v>88</v>
      </c>
      <c r="W763" s="364" t="s">
        <v>88</v>
      </c>
      <c r="X763" s="364" t="s">
        <v>88</v>
      </c>
      <c r="Y763" s="364" t="s">
        <v>88</v>
      </c>
      <c r="Z763" s="364" t="s">
        <v>1021</v>
      </c>
      <c r="AA763" s="364" t="s">
        <v>671</v>
      </c>
      <c r="AB763" s="364" t="s">
        <v>649</v>
      </c>
      <c r="AC763" s="364" t="s">
        <v>649</v>
      </c>
      <c r="AD763" s="364" t="s">
        <v>88</v>
      </c>
      <c r="AE763" s="364" t="s">
        <v>88</v>
      </c>
      <c r="AF763" s="364" t="s">
        <v>88</v>
      </c>
      <c r="AG763" s="364" t="s">
        <v>88</v>
      </c>
      <c r="AH763" s="364" t="s">
        <v>88</v>
      </c>
      <c r="AI763" s="364" t="s">
        <v>1155</v>
      </c>
      <c r="AJ763" s="364" t="s">
        <v>710</v>
      </c>
      <c r="AK763" s="364" t="s">
        <v>647</v>
      </c>
      <c r="AL763" s="364" t="s">
        <v>88</v>
      </c>
      <c r="AM763" s="364" t="s">
        <v>668</v>
      </c>
      <c r="AN763" s="364" t="s">
        <v>644</v>
      </c>
    </row>
    <row r="764" spans="1:40" x14ac:dyDescent="0.3">
      <c r="A764" s="364" t="s">
        <v>1904</v>
      </c>
      <c r="B764" s="364" t="s">
        <v>661</v>
      </c>
      <c r="C764" s="364" t="s">
        <v>677</v>
      </c>
      <c r="D764" s="364" t="s">
        <v>90</v>
      </c>
      <c r="E764" s="364" t="s">
        <v>705</v>
      </c>
      <c r="F764" s="364" t="s">
        <v>705</v>
      </c>
      <c r="G764" s="364" t="s">
        <v>658</v>
      </c>
      <c r="H764" s="364" t="s">
        <v>1903</v>
      </c>
      <c r="I764" s="364" t="s">
        <v>1902</v>
      </c>
      <c r="J764" s="364" t="s">
        <v>673</v>
      </c>
      <c r="K764" s="364" t="s">
        <v>668</v>
      </c>
      <c r="L764" s="364" t="s">
        <v>190</v>
      </c>
      <c r="M764" s="364" t="s">
        <v>721</v>
      </c>
      <c r="N764" s="364" t="s">
        <v>654</v>
      </c>
      <c r="O764" s="364" t="s">
        <v>653</v>
      </c>
      <c r="P764" s="364" t="s">
        <v>198</v>
      </c>
      <c r="Q764" s="364" t="s">
        <v>652</v>
      </c>
      <c r="R764" s="364" t="s">
        <v>88</v>
      </c>
      <c r="S764" s="364" t="s">
        <v>88</v>
      </c>
      <c r="T764" s="364" t="s">
        <v>88</v>
      </c>
      <c r="U764" s="364" t="s">
        <v>88</v>
      </c>
      <c r="V764" s="364" t="s">
        <v>88</v>
      </c>
      <c r="W764" s="364" t="s">
        <v>88</v>
      </c>
      <c r="X764" s="364" t="s">
        <v>88</v>
      </c>
      <c r="Y764" s="364" t="s">
        <v>88</v>
      </c>
      <c r="Z764" s="364" t="s">
        <v>720</v>
      </c>
      <c r="AA764" s="364" t="s">
        <v>649</v>
      </c>
      <c r="AB764" s="364" t="s">
        <v>649</v>
      </c>
      <c r="AC764" s="364" t="s">
        <v>649</v>
      </c>
      <c r="AD764" s="364" t="s">
        <v>88</v>
      </c>
      <c r="AE764" s="364" t="s">
        <v>88</v>
      </c>
      <c r="AF764" s="364" t="s">
        <v>88</v>
      </c>
      <c r="AG764" s="364" t="s">
        <v>88</v>
      </c>
      <c r="AH764" s="364" t="s">
        <v>88</v>
      </c>
      <c r="AI764" s="364" t="s">
        <v>1155</v>
      </c>
      <c r="AJ764" s="364" t="s">
        <v>710</v>
      </c>
      <c r="AK764" s="364" t="s">
        <v>647</v>
      </c>
      <c r="AL764" s="364" t="s">
        <v>88</v>
      </c>
      <c r="AM764" s="364" t="s">
        <v>668</v>
      </c>
      <c r="AN764" s="364" t="s">
        <v>644</v>
      </c>
    </row>
    <row r="765" spans="1:40" x14ac:dyDescent="0.3">
      <c r="A765" s="364" t="s">
        <v>1901</v>
      </c>
      <c r="B765" s="364" t="s">
        <v>661</v>
      </c>
      <c r="C765" s="364" t="s">
        <v>677</v>
      </c>
      <c r="D765" s="364" t="s">
        <v>90</v>
      </c>
      <c r="E765" s="364" t="s">
        <v>1900</v>
      </c>
      <c r="F765" s="364" t="s">
        <v>1900</v>
      </c>
      <c r="G765" s="364" t="s">
        <v>658</v>
      </c>
      <c r="H765" s="364" t="s">
        <v>1899</v>
      </c>
      <c r="I765" s="364" t="s">
        <v>1898</v>
      </c>
      <c r="J765" s="364" t="s">
        <v>673</v>
      </c>
      <c r="K765" s="364" t="s">
        <v>668</v>
      </c>
      <c r="L765" s="364" t="s">
        <v>190</v>
      </c>
      <c r="M765" s="364" t="s">
        <v>718</v>
      </c>
      <c r="N765" s="364" t="s">
        <v>654</v>
      </c>
      <c r="O765" s="364" t="s">
        <v>653</v>
      </c>
      <c r="P765" s="364" t="s">
        <v>198</v>
      </c>
      <c r="Q765" s="364" t="s">
        <v>652</v>
      </c>
      <c r="R765" s="364" t="s">
        <v>88</v>
      </c>
      <c r="S765" s="364" t="s">
        <v>88</v>
      </c>
      <c r="T765" s="364" t="s">
        <v>88</v>
      </c>
      <c r="U765" s="364" t="s">
        <v>88</v>
      </c>
      <c r="V765" s="364" t="s">
        <v>88</v>
      </c>
      <c r="W765" s="364" t="s">
        <v>88</v>
      </c>
      <c r="X765" s="364" t="s">
        <v>88</v>
      </c>
      <c r="Y765" s="364" t="s">
        <v>88</v>
      </c>
      <c r="Z765" s="364" t="s">
        <v>717</v>
      </c>
      <c r="AA765" s="364" t="s">
        <v>649</v>
      </c>
      <c r="AB765" s="364" t="s">
        <v>649</v>
      </c>
      <c r="AC765" s="364" t="s">
        <v>649</v>
      </c>
      <c r="AD765" s="364" t="s">
        <v>88</v>
      </c>
      <c r="AE765" s="364" t="s">
        <v>88</v>
      </c>
      <c r="AF765" s="364" t="s">
        <v>88</v>
      </c>
      <c r="AG765" s="364" t="s">
        <v>88</v>
      </c>
      <c r="AH765" s="364" t="s">
        <v>88</v>
      </c>
      <c r="AI765" s="364" t="s">
        <v>1155</v>
      </c>
      <c r="AJ765" s="364" t="s">
        <v>710</v>
      </c>
      <c r="AK765" s="364" t="s">
        <v>647</v>
      </c>
      <c r="AL765" s="364" t="s">
        <v>88</v>
      </c>
      <c r="AM765" s="364" t="s">
        <v>668</v>
      </c>
      <c r="AN765" s="364" t="s">
        <v>644</v>
      </c>
    </row>
    <row r="766" spans="1:40" x14ac:dyDescent="0.3">
      <c r="A766" s="364" t="s">
        <v>1901</v>
      </c>
      <c r="B766" s="364" t="s">
        <v>661</v>
      </c>
      <c r="C766" s="364" t="s">
        <v>677</v>
      </c>
      <c r="D766" s="364" t="s">
        <v>90</v>
      </c>
      <c r="E766" s="364" t="s">
        <v>1900</v>
      </c>
      <c r="F766" s="364" t="s">
        <v>1900</v>
      </c>
      <c r="G766" s="364" t="s">
        <v>658</v>
      </c>
      <c r="H766" s="364" t="s">
        <v>1899</v>
      </c>
      <c r="I766" s="364" t="s">
        <v>1898</v>
      </c>
      <c r="J766" s="364" t="s">
        <v>673</v>
      </c>
      <c r="K766" s="364" t="s">
        <v>668</v>
      </c>
      <c r="L766" s="364" t="s">
        <v>190</v>
      </c>
      <c r="M766" s="364" t="s">
        <v>713</v>
      </c>
      <c r="N766" s="364" t="s">
        <v>654</v>
      </c>
      <c r="O766" s="364" t="s">
        <v>653</v>
      </c>
      <c r="P766" s="364" t="s">
        <v>198</v>
      </c>
      <c r="Q766" s="364" t="s">
        <v>652</v>
      </c>
      <c r="R766" s="364" t="s">
        <v>88</v>
      </c>
      <c r="S766" s="364" t="s">
        <v>88</v>
      </c>
      <c r="T766" s="364" t="s">
        <v>88</v>
      </c>
      <c r="U766" s="364" t="s">
        <v>88</v>
      </c>
      <c r="V766" s="364" t="s">
        <v>88</v>
      </c>
      <c r="W766" s="364" t="s">
        <v>88</v>
      </c>
      <c r="X766" s="364" t="s">
        <v>88</v>
      </c>
      <c r="Y766" s="364" t="s">
        <v>88</v>
      </c>
      <c r="Z766" s="364" t="s">
        <v>712</v>
      </c>
      <c r="AA766" s="364" t="s">
        <v>711</v>
      </c>
      <c r="AB766" s="364" t="s">
        <v>649</v>
      </c>
      <c r="AC766" s="364" t="s">
        <v>649</v>
      </c>
      <c r="AD766" s="364" t="s">
        <v>88</v>
      </c>
      <c r="AE766" s="364" t="s">
        <v>88</v>
      </c>
      <c r="AF766" s="364" t="s">
        <v>88</v>
      </c>
      <c r="AG766" s="364" t="s">
        <v>88</v>
      </c>
      <c r="AH766" s="364" t="s">
        <v>88</v>
      </c>
      <c r="AI766" s="364" t="s">
        <v>1155</v>
      </c>
      <c r="AJ766" s="364" t="s">
        <v>710</v>
      </c>
      <c r="AK766" s="364" t="s">
        <v>647</v>
      </c>
      <c r="AL766" s="364" t="s">
        <v>88</v>
      </c>
      <c r="AM766" s="364" t="s">
        <v>668</v>
      </c>
      <c r="AN766" s="364" t="s">
        <v>644</v>
      </c>
    </row>
    <row r="767" spans="1:40" x14ac:dyDescent="0.3">
      <c r="A767" s="364" t="s">
        <v>1901</v>
      </c>
      <c r="B767" s="364" t="s">
        <v>661</v>
      </c>
      <c r="C767" s="364" t="s">
        <v>677</v>
      </c>
      <c r="D767" s="364" t="s">
        <v>90</v>
      </c>
      <c r="E767" s="364" t="s">
        <v>1900</v>
      </c>
      <c r="F767" s="364" t="s">
        <v>1900</v>
      </c>
      <c r="G767" s="364" t="s">
        <v>658</v>
      </c>
      <c r="H767" s="364" t="s">
        <v>1899</v>
      </c>
      <c r="I767" s="364" t="s">
        <v>1898</v>
      </c>
      <c r="J767" s="364" t="s">
        <v>673</v>
      </c>
      <c r="K767" s="364" t="s">
        <v>668</v>
      </c>
      <c r="L767" s="364" t="s">
        <v>190</v>
      </c>
      <c r="M767" s="364" t="s">
        <v>54</v>
      </c>
      <c r="N767" s="364" t="s">
        <v>654</v>
      </c>
      <c r="O767" s="364" t="s">
        <v>653</v>
      </c>
      <c r="P767" s="364" t="s">
        <v>198</v>
      </c>
      <c r="Q767" s="364" t="s">
        <v>652</v>
      </c>
      <c r="R767" s="364" t="s">
        <v>88</v>
      </c>
      <c r="S767" s="364" t="s">
        <v>88</v>
      </c>
      <c r="T767" s="364" t="s">
        <v>88</v>
      </c>
      <c r="U767" s="364" t="s">
        <v>88</v>
      </c>
      <c r="V767" s="364" t="s">
        <v>88</v>
      </c>
      <c r="W767" s="364" t="s">
        <v>88</v>
      </c>
      <c r="X767" s="364" t="s">
        <v>88</v>
      </c>
      <c r="Y767" s="364" t="s">
        <v>88</v>
      </c>
      <c r="Z767" s="364" t="s">
        <v>1265</v>
      </c>
      <c r="AA767" s="364" t="s">
        <v>649</v>
      </c>
      <c r="AB767" s="364" t="s">
        <v>649</v>
      </c>
      <c r="AC767" s="364" t="s">
        <v>649</v>
      </c>
      <c r="AD767" s="364" t="s">
        <v>88</v>
      </c>
      <c r="AE767" s="364" t="s">
        <v>88</v>
      </c>
      <c r="AF767" s="364" t="s">
        <v>88</v>
      </c>
      <c r="AG767" s="364" t="s">
        <v>88</v>
      </c>
      <c r="AH767" s="364" t="s">
        <v>88</v>
      </c>
      <c r="AI767" s="364" t="s">
        <v>1155</v>
      </c>
      <c r="AJ767" s="364" t="s">
        <v>710</v>
      </c>
      <c r="AK767" s="364" t="s">
        <v>647</v>
      </c>
      <c r="AL767" s="364" t="s">
        <v>88</v>
      </c>
      <c r="AM767" s="364" t="s">
        <v>668</v>
      </c>
      <c r="AN767" s="364" t="s">
        <v>644</v>
      </c>
    </row>
    <row r="768" spans="1:40" x14ac:dyDescent="0.3">
      <c r="A768" s="364" t="s">
        <v>1901</v>
      </c>
      <c r="B768" s="364" t="s">
        <v>661</v>
      </c>
      <c r="C768" s="364" t="s">
        <v>677</v>
      </c>
      <c r="D768" s="364" t="s">
        <v>90</v>
      </c>
      <c r="E768" s="364" t="s">
        <v>1900</v>
      </c>
      <c r="F768" s="364" t="s">
        <v>1900</v>
      </c>
      <c r="G768" s="364" t="s">
        <v>658</v>
      </c>
      <c r="H768" s="364" t="s">
        <v>1899</v>
      </c>
      <c r="I768" s="364" t="s">
        <v>1898</v>
      </c>
      <c r="J768" s="364" t="s">
        <v>673</v>
      </c>
      <c r="K768" s="364" t="s">
        <v>668</v>
      </c>
      <c r="L768" s="364" t="s">
        <v>190</v>
      </c>
      <c r="M768" s="364" t="s">
        <v>61</v>
      </c>
      <c r="N768" s="364" t="s">
        <v>654</v>
      </c>
      <c r="O768" s="364" t="s">
        <v>653</v>
      </c>
      <c r="P768" s="364" t="s">
        <v>198</v>
      </c>
      <c r="Q768" s="364" t="s">
        <v>652</v>
      </c>
      <c r="R768" s="364" t="s">
        <v>88</v>
      </c>
      <c r="S768" s="364" t="s">
        <v>88</v>
      </c>
      <c r="T768" s="364" t="s">
        <v>88</v>
      </c>
      <c r="U768" s="364" t="s">
        <v>88</v>
      </c>
      <c r="V768" s="364" t="s">
        <v>88</v>
      </c>
      <c r="W768" s="364" t="s">
        <v>88</v>
      </c>
      <c r="X768" s="364" t="s">
        <v>88</v>
      </c>
      <c r="Y768" s="364" t="s">
        <v>88</v>
      </c>
      <c r="Z768" s="364" t="s">
        <v>1021</v>
      </c>
      <c r="AA768" s="364" t="s">
        <v>671</v>
      </c>
      <c r="AB768" s="364" t="s">
        <v>649</v>
      </c>
      <c r="AC768" s="364" t="s">
        <v>649</v>
      </c>
      <c r="AD768" s="364" t="s">
        <v>88</v>
      </c>
      <c r="AE768" s="364" t="s">
        <v>88</v>
      </c>
      <c r="AF768" s="364" t="s">
        <v>88</v>
      </c>
      <c r="AG768" s="364" t="s">
        <v>88</v>
      </c>
      <c r="AH768" s="364" t="s">
        <v>88</v>
      </c>
      <c r="AI768" s="364" t="s">
        <v>1155</v>
      </c>
      <c r="AJ768" s="364" t="s">
        <v>710</v>
      </c>
      <c r="AK768" s="364" t="s">
        <v>647</v>
      </c>
      <c r="AL768" s="364" t="s">
        <v>88</v>
      </c>
      <c r="AM768" s="364" t="s">
        <v>668</v>
      </c>
      <c r="AN768" s="364" t="s">
        <v>644</v>
      </c>
    </row>
    <row r="769" spans="1:40" x14ac:dyDescent="0.3">
      <c r="A769" s="364" t="s">
        <v>1901</v>
      </c>
      <c r="B769" s="364" t="s">
        <v>661</v>
      </c>
      <c r="C769" s="364" t="s">
        <v>677</v>
      </c>
      <c r="D769" s="364" t="s">
        <v>90</v>
      </c>
      <c r="E769" s="364" t="s">
        <v>1900</v>
      </c>
      <c r="F769" s="364" t="s">
        <v>1900</v>
      </c>
      <c r="G769" s="364" t="s">
        <v>658</v>
      </c>
      <c r="H769" s="364" t="s">
        <v>1899</v>
      </c>
      <c r="I769" s="364" t="s">
        <v>1898</v>
      </c>
      <c r="J769" s="364" t="s">
        <v>673</v>
      </c>
      <c r="K769" s="364" t="s">
        <v>668</v>
      </c>
      <c r="L769" s="364" t="s">
        <v>190</v>
      </c>
      <c r="M769" s="364" t="s">
        <v>721</v>
      </c>
      <c r="N769" s="364" t="s">
        <v>654</v>
      </c>
      <c r="O769" s="364" t="s">
        <v>653</v>
      </c>
      <c r="P769" s="364" t="s">
        <v>198</v>
      </c>
      <c r="Q769" s="364" t="s">
        <v>652</v>
      </c>
      <c r="R769" s="364" t="s">
        <v>88</v>
      </c>
      <c r="S769" s="364" t="s">
        <v>88</v>
      </c>
      <c r="T769" s="364" t="s">
        <v>88</v>
      </c>
      <c r="U769" s="364" t="s">
        <v>88</v>
      </c>
      <c r="V769" s="364" t="s">
        <v>88</v>
      </c>
      <c r="W769" s="364" t="s">
        <v>88</v>
      </c>
      <c r="X769" s="364" t="s">
        <v>88</v>
      </c>
      <c r="Y769" s="364" t="s">
        <v>88</v>
      </c>
      <c r="Z769" s="364" t="s">
        <v>720</v>
      </c>
      <c r="AA769" s="364" t="s">
        <v>649</v>
      </c>
      <c r="AB769" s="364" t="s">
        <v>649</v>
      </c>
      <c r="AC769" s="364" t="s">
        <v>649</v>
      </c>
      <c r="AD769" s="364" t="s">
        <v>88</v>
      </c>
      <c r="AE769" s="364" t="s">
        <v>88</v>
      </c>
      <c r="AF769" s="364" t="s">
        <v>88</v>
      </c>
      <c r="AG769" s="364" t="s">
        <v>88</v>
      </c>
      <c r="AH769" s="364" t="s">
        <v>88</v>
      </c>
      <c r="AI769" s="364" t="s">
        <v>1155</v>
      </c>
      <c r="AJ769" s="364" t="s">
        <v>710</v>
      </c>
      <c r="AK769" s="364" t="s">
        <v>647</v>
      </c>
      <c r="AL769" s="364" t="s">
        <v>88</v>
      </c>
      <c r="AM769" s="364" t="s">
        <v>668</v>
      </c>
      <c r="AN769" s="364" t="s">
        <v>644</v>
      </c>
    </row>
    <row r="770" spans="1:40" x14ac:dyDescent="0.3">
      <c r="A770" s="364" t="s">
        <v>1897</v>
      </c>
      <c r="B770" s="364" t="s">
        <v>661</v>
      </c>
      <c r="C770" s="364" t="s">
        <v>677</v>
      </c>
      <c r="D770" s="364" t="s">
        <v>90</v>
      </c>
      <c r="E770" s="364" t="s">
        <v>1896</v>
      </c>
      <c r="F770" s="364" t="s">
        <v>1896</v>
      </c>
      <c r="G770" s="364" t="s">
        <v>658</v>
      </c>
      <c r="H770" s="364" t="s">
        <v>1895</v>
      </c>
      <c r="I770" s="364" t="s">
        <v>1894</v>
      </c>
      <c r="J770" s="364" t="s">
        <v>673</v>
      </c>
      <c r="K770" s="364" t="s">
        <v>668</v>
      </c>
      <c r="L770" s="364" t="s">
        <v>190</v>
      </c>
      <c r="M770" s="364" t="s">
        <v>250</v>
      </c>
      <c r="N770" s="364" t="s">
        <v>654</v>
      </c>
      <c r="O770" s="364" t="s">
        <v>653</v>
      </c>
      <c r="P770" s="364" t="s">
        <v>198</v>
      </c>
      <c r="Q770" s="364" t="s">
        <v>652</v>
      </c>
      <c r="R770" s="364" t="s">
        <v>88</v>
      </c>
      <c r="S770" s="364" t="s">
        <v>88</v>
      </c>
      <c r="T770" s="364" t="s">
        <v>88</v>
      </c>
      <c r="U770" s="364" t="s">
        <v>88</v>
      </c>
      <c r="V770" s="364" t="s">
        <v>88</v>
      </c>
      <c r="W770" s="364" t="s">
        <v>88</v>
      </c>
      <c r="X770" s="364" t="s">
        <v>88</v>
      </c>
      <c r="Y770" s="364" t="s">
        <v>88</v>
      </c>
      <c r="Z770" s="364" t="s">
        <v>1821</v>
      </c>
      <c r="AA770" s="364" t="s">
        <v>649</v>
      </c>
      <c r="AB770" s="364" t="s">
        <v>649</v>
      </c>
      <c r="AC770" s="364" t="s">
        <v>649</v>
      </c>
      <c r="AD770" s="364" t="s">
        <v>88</v>
      </c>
      <c r="AE770" s="364" t="s">
        <v>88</v>
      </c>
      <c r="AF770" s="364" t="s">
        <v>88</v>
      </c>
      <c r="AG770" s="364" t="s">
        <v>88</v>
      </c>
      <c r="AH770" s="364" t="s">
        <v>88</v>
      </c>
      <c r="AI770" s="364" t="s">
        <v>1155</v>
      </c>
      <c r="AJ770" s="364" t="s">
        <v>710</v>
      </c>
      <c r="AK770" s="364" t="s">
        <v>647</v>
      </c>
      <c r="AL770" s="364" t="s">
        <v>88</v>
      </c>
      <c r="AM770" s="364" t="s">
        <v>668</v>
      </c>
      <c r="AN770" s="364" t="s">
        <v>644</v>
      </c>
    </row>
    <row r="771" spans="1:40" x14ac:dyDescent="0.3">
      <c r="A771" s="364" t="s">
        <v>1897</v>
      </c>
      <c r="B771" s="364" t="s">
        <v>661</v>
      </c>
      <c r="C771" s="364" t="s">
        <v>677</v>
      </c>
      <c r="D771" s="364" t="s">
        <v>90</v>
      </c>
      <c r="E771" s="364" t="s">
        <v>1896</v>
      </c>
      <c r="F771" s="364" t="s">
        <v>1896</v>
      </c>
      <c r="G771" s="364" t="s">
        <v>658</v>
      </c>
      <c r="H771" s="364" t="s">
        <v>1895</v>
      </c>
      <c r="I771" s="364" t="s">
        <v>1894</v>
      </c>
      <c r="J771" s="364" t="s">
        <v>673</v>
      </c>
      <c r="K771" s="364" t="s">
        <v>668</v>
      </c>
      <c r="L771" s="364" t="s">
        <v>190</v>
      </c>
      <c r="M771" s="364" t="s">
        <v>718</v>
      </c>
      <c r="N771" s="364" t="s">
        <v>654</v>
      </c>
      <c r="O771" s="364" t="s">
        <v>653</v>
      </c>
      <c r="P771" s="364" t="s">
        <v>198</v>
      </c>
      <c r="Q771" s="364" t="s">
        <v>652</v>
      </c>
      <c r="R771" s="364" t="s">
        <v>88</v>
      </c>
      <c r="S771" s="364" t="s">
        <v>88</v>
      </c>
      <c r="T771" s="364" t="s">
        <v>88</v>
      </c>
      <c r="U771" s="364" t="s">
        <v>88</v>
      </c>
      <c r="V771" s="364" t="s">
        <v>88</v>
      </c>
      <c r="W771" s="364" t="s">
        <v>88</v>
      </c>
      <c r="X771" s="364" t="s">
        <v>88</v>
      </c>
      <c r="Y771" s="364" t="s">
        <v>88</v>
      </c>
      <c r="Z771" s="364" t="s">
        <v>717</v>
      </c>
      <c r="AA771" s="364" t="s">
        <v>649</v>
      </c>
      <c r="AB771" s="364" t="s">
        <v>649</v>
      </c>
      <c r="AC771" s="364" t="s">
        <v>649</v>
      </c>
      <c r="AD771" s="364" t="s">
        <v>88</v>
      </c>
      <c r="AE771" s="364" t="s">
        <v>88</v>
      </c>
      <c r="AF771" s="364" t="s">
        <v>88</v>
      </c>
      <c r="AG771" s="364" t="s">
        <v>88</v>
      </c>
      <c r="AH771" s="364" t="s">
        <v>88</v>
      </c>
      <c r="AI771" s="364" t="s">
        <v>1155</v>
      </c>
      <c r="AJ771" s="364" t="s">
        <v>710</v>
      </c>
      <c r="AK771" s="364" t="s">
        <v>647</v>
      </c>
      <c r="AL771" s="364" t="s">
        <v>88</v>
      </c>
      <c r="AM771" s="364" t="s">
        <v>668</v>
      </c>
      <c r="AN771" s="364" t="s">
        <v>644</v>
      </c>
    </row>
    <row r="772" spans="1:40" x14ac:dyDescent="0.3">
      <c r="A772" s="364" t="s">
        <v>1897</v>
      </c>
      <c r="B772" s="364" t="s">
        <v>661</v>
      </c>
      <c r="C772" s="364" t="s">
        <v>677</v>
      </c>
      <c r="D772" s="364" t="s">
        <v>90</v>
      </c>
      <c r="E772" s="364" t="s">
        <v>1896</v>
      </c>
      <c r="F772" s="364" t="s">
        <v>1896</v>
      </c>
      <c r="G772" s="364" t="s">
        <v>658</v>
      </c>
      <c r="H772" s="364" t="s">
        <v>1895</v>
      </c>
      <c r="I772" s="364" t="s">
        <v>1894</v>
      </c>
      <c r="J772" s="364" t="s">
        <v>673</v>
      </c>
      <c r="K772" s="364" t="s">
        <v>668</v>
      </c>
      <c r="L772" s="364" t="s">
        <v>190</v>
      </c>
      <c r="M772" s="364" t="s">
        <v>713</v>
      </c>
      <c r="N772" s="364" t="s">
        <v>654</v>
      </c>
      <c r="O772" s="364" t="s">
        <v>653</v>
      </c>
      <c r="P772" s="364" t="s">
        <v>198</v>
      </c>
      <c r="Q772" s="364" t="s">
        <v>652</v>
      </c>
      <c r="R772" s="364" t="s">
        <v>88</v>
      </c>
      <c r="S772" s="364" t="s">
        <v>88</v>
      </c>
      <c r="T772" s="364" t="s">
        <v>88</v>
      </c>
      <c r="U772" s="364" t="s">
        <v>88</v>
      </c>
      <c r="V772" s="364" t="s">
        <v>88</v>
      </c>
      <c r="W772" s="364" t="s">
        <v>88</v>
      </c>
      <c r="X772" s="364" t="s">
        <v>88</v>
      </c>
      <c r="Y772" s="364" t="s">
        <v>88</v>
      </c>
      <c r="Z772" s="364" t="s">
        <v>712</v>
      </c>
      <c r="AA772" s="364" t="s">
        <v>711</v>
      </c>
      <c r="AB772" s="364" t="s">
        <v>649</v>
      </c>
      <c r="AC772" s="364" t="s">
        <v>649</v>
      </c>
      <c r="AD772" s="364" t="s">
        <v>88</v>
      </c>
      <c r="AE772" s="364" t="s">
        <v>88</v>
      </c>
      <c r="AF772" s="364" t="s">
        <v>88</v>
      </c>
      <c r="AG772" s="364" t="s">
        <v>88</v>
      </c>
      <c r="AH772" s="364" t="s">
        <v>88</v>
      </c>
      <c r="AI772" s="364" t="s">
        <v>1155</v>
      </c>
      <c r="AJ772" s="364" t="s">
        <v>710</v>
      </c>
      <c r="AK772" s="364" t="s">
        <v>647</v>
      </c>
      <c r="AL772" s="364" t="s">
        <v>88</v>
      </c>
      <c r="AM772" s="364" t="s">
        <v>668</v>
      </c>
      <c r="AN772" s="364" t="s">
        <v>644</v>
      </c>
    </row>
    <row r="773" spans="1:40" x14ac:dyDescent="0.3">
      <c r="A773" s="364" t="s">
        <v>1897</v>
      </c>
      <c r="B773" s="364" t="s">
        <v>661</v>
      </c>
      <c r="C773" s="364" t="s">
        <v>677</v>
      </c>
      <c r="D773" s="364" t="s">
        <v>90</v>
      </c>
      <c r="E773" s="364" t="s">
        <v>1896</v>
      </c>
      <c r="F773" s="364" t="s">
        <v>1896</v>
      </c>
      <c r="G773" s="364" t="s">
        <v>658</v>
      </c>
      <c r="H773" s="364" t="s">
        <v>1895</v>
      </c>
      <c r="I773" s="364" t="s">
        <v>1894</v>
      </c>
      <c r="J773" s="364" t="s">
        <v>673</v>
      </c>
      <c r="K773" s="364" t="s">
        <v>668</v>
      </c>
      <c r="L773" s="364" t="s">
        <v>190</v>
      </c>
      <c r="M773" s="364" t="s">
        <v>54</v>
      </c>
      <c r="N773" s="364" t="s">
        <v>654</v>
      </c>
      <c r="O773" s="364" t="s">
        <v>653</v>
      </c>
      <c r="P773" s="364" t="s">
        <v>198</v>
      </c>
      <c r="Q773" s="364" t="s">
        <v>652</v>
      </c>
      <c r="R773" s="364" t="s">
        <v>88</v>
      </c>
      <c r="S773" s="364" t="s">
        <v>88</v>
      </c>
      <c r="T773" s="364" t="s">
        <v>88</v>
      </c>
      <c r="U773" s="364" t="s">
        <v>88</v>
      </c>
      <c r="V773" s="364" t="s">
        <v>88</v>
      </c>
      <c r="W773" s="364" t="s">
        <v>88</v>
      </c>
      <c r="X773" s="364" t="s">
        <v>88</v>
      </c>
      <c r="Y773" s="364" t="s">
        <v>88</v>
      </c>
      <c r="Z773" s="364" t="s">
        <v>1265</v>
      </c>
      <c r="AA773" s="364" t="s">
        <v>649</v>
      </c>
      <c r="AB773" s="364" t="s">
        <v>649</v>
      </c>
      <c r="AC773" s="364" t="s">
        <v>649</v>
      </c>
      <c r="AD773" s="364" t="s">
        <v>88</v>
      </c>
      <c r="AE773" s="364" t="s">
        <v>88</v>
      </c>
      <c r="AF773" s="364" t="s">
        <v>88</v>
      </c>
      <c r="AG773" s="364" t="s">
        <v>88</v>
      </c>
      <c r="AH773" s="364" t="s">
        <v>88</v>
      </c>
      <c r="AI773" s="364" t="s">
        <v>1155</v>
      </c>
      <c r="AJ773" s="364" t="s">
        <v>710</v>
      </c>
      <c r="AK773" s="364" t="s">
        <v>647</v>
      </c>
      <c r="AL773" s="364" t="s">
        <v>88</v>
      </c>
      <c r="AM773" s="364" t="s">
        <v>668</v>
      </c>
      <c r="AN773" s="364" t="s">
        <v>644</v>
      </c>
    </row>
    <row r="774" spans="1:40" x14ac:dyDescent="0.3">
      <c r="A774" s="364" t="s">
        <v>1897</v>
      </c>
      <c r="B774" s="364" t="s">
        <v>661</v>
      </c>
      <c r="C774" s="364" t="s">
        <v>677</v>
      </c>
      <c r="D774" s="364" t="s">
        <v>90</v>
      </c>
      <c r="E774" s="364" t="s">
        <v>1896</v>
      </c>
      <c r="F774" s="364" t="s">
        <v>1896</v>
      </c>
      <c r="G774" s="364" t="s">
        <v>658</v>
      </c>
      <c r="H774" s="364" t="s">
        <v>1895</v>
      </c>
      <c r="I774" s="364" t="s">
        <v>1894</v>
      </c>
      <c r="J774" s="364" t="s">
        <v>673</v>
      </c>
      <c r="K774" s="364" t="s">
        <v>668</v>
      </c>
      <c r="L774" s="364" t="s">
        <v>190</v>
      </c>
      <c r="M774" s="364" t="s">
        <v>61</v>
      </c>
      <c r="N774" s="364" t="s">
        <v>654</v>
      </c>
      <c r="O774" s="364" t="s">
        <v>653</v>
      </c>
      <c r="P774" s="364" t="s">
        <v>198</v>
      </c>
      <c r="Q774" s="364" t="s">
        <v>652</v>
      </c>
      <c r="R774" s="364" t="s">
        <v>88</v>
      </c>
      <c r="S774" s="364" t="s">
        <v>88</v>
      </c>
      <c r="T774" s="364" t="s">
        <v>88</v>
      </c>
      <c r="U774" s="364" t="s">
        <v>88</v>
      </c>
      <c r="V774" s="364" t="s">
        <v>88</v>
      </c>
      <c r="W774" s="364" t="s">
        <v>88</v>
      </c>
      <c r="X774" s="364" t="s">
        <v>88</v>
      </c>
      <c r="Y774" s="364" t="s">
        <v>88</v>
      </c>
      <c r="Z774" s="364" t="s">
        <v>1021</v>
      </c>
      <c r="AA774" s="364" t="s">
        <v>671</v>
      </c>
      <c r="AB774" s="364" t="s">
        <v>649</v>
      </c>
      <c r="AC774" s="364" t="s">
        <v>649</v>
      </c>
      <c r="AD774" s="364" t="s">
        <v>88</v>
      </c>
      <c r="AE774" s="364" t="s">
        <v>88</v>
      </c>
      <c r="AF774" s="364" t="s">
        <v>88</v>
      </c>
      <c r="AG774" s="364" t="s">
        <v>88</v>
      </c>
      <c r="AH774" s="364" t="s">
        <v>88</v>
      </c>
      <c r="AI774" s="364" t="s">
        <v>1155</v>
      </c>
      <c r="AJ774" s="364" t="s">
        <v>710</v>
      </c>
      <c r="AK774" s="364" t="s">
        <v>647</v>
      </c>
      <c r="AL774" s="364" t="s">
        <v>88</v>
      </c>
      <c r="AM774" s="364" t="s">
        <v>668</v>
      </c>
      <c r="AN774" s="364" t="s">
        <v>644</v>
      </c>
    </row>
    <row r="775" spans="1:40" x14ac:dyDescent="0.3">
      <c r="A775" s="364" t="s">
        <v>1897</v>
      </c>
      <c r="B775" s="364" t="s">
        <v>661</v>
      </c>
      <c r="C775" s="364" t="s">
        <v>677</v>
      </c>
      <c r="D775" s="364" t="s">
        <v>90</v>
      </c>
      <c r="E775" s="364" t="s">
        <v>1896</v>
      </c>
      <c r="F775" s="364" t="s">
        <v>1896</v>
      </c>
      <c r="G775" s="364" t="s">
        <v>658</v>
      </c>
      <c r="H775" s="364" t="s">
        <v>1895</v>
      </c>
      <c r="I775" s="364" t="s">
        <v>1894</v>
      </c>
      <c r="J775" s="364" t="s">
        <v>673</v>
      </c>
      <c r="K775" s="364" t="s">
        <v>668</v>
      </c>
      <c r="L775" s="364" t="s">
        <v>190</v>
      </c>
      <c r="M775" s="364" t="s">
        <v>721</v>
      </c>
      <c r="N775" s="364" t="s">
        <v>654</v>
      </c>
      <c r="O775" s="364" t="s">
        <v>653</v>
      </c>
      <c r="P775" s="364" t="s">
        <v>198</v>
      </c>
      <c r="Q775" s="364" t="s">
        <v>652</v>
      </c>
      <c r="R775" s="364" t="s">
        <v>88</v>
      </c>
      <c r="S775" s="364" t="s">
        <v>88</v>
      </c>
      <c r="T775" s="364" t="s">
        <v>88</v>
      </c>
      <c r="U775" s="364" t="s">
        <v>88</v>
      </c>
      <c r="V775" s="364" t="s">
        <v>88</v>
      </c>
      <c r="W775" s="364" t="s">
        <v>88</v>
      </c>
      <c r="X775" s="364" t="s">
        <v>88</v>
      </c>
      <c r="Y775" s="364" t="s">
        <v>88</v>
      </c>
      <c r="Z775" s="364" t="s">
        <v>720</v>
      </c>
      <c r="AA775" s="364" t="s">
        <v>649</v>
      </c>
      <c r="AB775" s="364" t="s">
        <v>649</v>
      </c>
      <c r="AC775" s="364" t="s">
        <v>649</v>
      </c>
      <c r="AD775" s="364" t="s">
        <v>88</v>
      </c>
      <c r="AE775" s="364" t="s">
        <v>88</v>
      </c>
      <c r="AF775" s="364" t="s">
        <v>88</v>
      </c>
      <c r="AG775" s="364" t="s">
        <v>88</v>
      </c>
      <c r="AH775" s="364" t="s">
        <v>88</v>
      </c>
      <c r="AI775" s="364" t="s">
        <v>1155</v>
      </c>
      <c r="AJ775" s="364" t="s">
        <v>710</v>
      </c>
      <c r="AK775" s="364" t="s">
        <v>647</v>
      </c>
      <c r="AL775" s="364" t="s">
        <v>88</v>
      </c>
      <c r="AM775" s="364" t="s">
        <v>668</v>
      </c>
      <c r="AN775" s="364" t="s">
        <v>644</v>
      </c>
    </row>
    <row r="776" spans="1:40" x14ac:dyDescent="0.3">
      <c r="A776" s="364" t="s">
        <v>1893</v>
      </c>
      <c r="B776" s="364" t="s">
        <v>661</v>
      </c>
      <c r="C776" s="364" t="s">
        <v>677</v>
      </c>
      <c r="D776" s="364" t="s">
        <v>87</v>
      </c>
      <c r="E776" s="364" t="s">
        <v>1861</v>
      </c>
      <c r="F776" s="364" t="s">
        <v>1861</v>
      </c>
      <c r="G776" s="364" t="s">
        <v>658</v>
      </c>
      <c r="H776" s="364" t="s">
        <v>1892</v>
      </c>
      <c r="I776" s="364" t="s">
        <v>1891</v>
      </c>
      <c r="J776" s="364" t="s">
        <v>673</v>
      </c>
      <c r="K776" s="364" t="s">
        <v>668</v>
      </c>
      <c r="L776" s="364" t="s">
        <v>190</v>
      </c>
      <c r="M776" s="364" t="s">
        <v>59</v>
      </c>
      <c r="N776" s="364" t="s">
        <v>654</v>
      </c>
      <c r="O776" s="364" t="s">
        <v>653</v>
      </c>
      <c r="P776" s="364" t="s">
        <v>198</v>
      </c>
      <c r="Q776" s="364" t="s">
        <v>652</v>
      </c>
      <c r="R776" s="364" t="s">
        <v>88</v>
      </c>
      <c r="S776" s="364" t="s">
        <v>88</v>
      </c>
      <c r="T776" s="364" t="s">
        <v>88</v>
      </c>
      <c r="U776" s="364" t="s">
        <v>88</v>
      </c>
      <c r="V776" s="364" t="s">
        <v>88</v>
      </c>
      <c r="W776" s="364" t="s">
        <v>88</v>
      </c>
      <c r="X776" s="364" t="s">
        <v>88</v>
      </c>
      <c r="Y776" s="364" t="s">
        <v>88</v>
      </c>
      <c r="Z776" s="364" t="s">
        <v>672</v>
      </c>
      <c r="AA776" s="364" t="s">
        <v>671</v>
      </c>
      <c r="AB776" s="364" t="s">
        <v>649</v>
      </c>
      <c r="AC776" s="364" t="s">
        <v>649</v>
      </c>
      <c r="AD776" s="364" t="s">
        <v>88</v>
      </c>
      <c r="AE776" s="364" t="s">
        <v>88</v>
      </c>
      <c r="AF776" s="364" t="s">
        <v>88</v>
      </c>
      <c r="AG776" s="364" t="s">
        <v>88</v>
      </c>
      <c r="AH776" s="364" t="s">
        <v>88</v>
      </c>
      <c r="AI776" s="364" t="s">
        <v>1199</v>
      </c>
      <c r="AJ776" s="364" t="s">
        <v>670</v>
      </c>
      <c r="AK776" s="364" t="s">
        <v>669</v>
      </c>
      <c r="AL776" s="364" t="s">
        <v>88</v>
      </c>
      <c r="AM776" s="364" t="s">
        <v>668</v>
      </c>
      <c r="AN776" s="364" t="s">
        <v>644</v>
      </c>
    </row>
    <row r="777" spans="1:40" x14ac:dyDescent="0.3">
      <c r="A777" s="364" t="s">
        <v>1890</v>
      </c>
      <c r="B777" s="364" t="s">
        <v>661</v>
      </c>
      <c r="C777" s="364" t="s">
        <v>677</v>
      </c>
      <c r="D777" s="364" t="s">
        <v>87</v>
      </c>
      <c r="E777" s="364" t="s">
        <v>1861</v>
      </c>
      <c r="F777" s="364" t="s">
        <v>1861</v>
      </c>
      <c r="G777" s="364" t="s">
        <v>658</v>
      </c>
      <c r="H777" s="364" t="s">
        <v>1889</v>
      </c>
      <c r="I777" s="364" t="s">
        <v>1888</v>
      </c>
      <c r="J777" s="364" t="s">
        <v>673</v>
      </c>
      <c r="K777" s="364" t="s">
        <v>668</v>
      </c>
      <c r="L777" s="364" t="s">
        <v>190</v>
      </c>
      <c r="M777" s="364" t="s">
        <v>58</v>
      </c>
      <c r="N777" s="364" t="s">
        <v>654</v>
      </c>
      <c r="O777" s="364" t="s">
        <v>653</v>
      </c>
      <c r="P777" s="364" t="s">
        <v>198</v>
      </c>
      <c r="Q777" s="364" t="s">
        <v>652</v>
      </c>
      <c r="R777" s="364" t="s">
        <v>88</v>
      </c>
      <c r="S777" s="364" t="s">
        <v>88</v>
      </c>
      <c r="T777" s="364" t="s">
        <v>88</v>
      </c>
      <c r="U777" s="364" t="s">
        <v>88</v>
      </c>
      <c r="V777" s="364" t="s">
        <v>88</v>
      </c>
      <c r="W777" s="364" t="s">
        <v>88</v>
      </c>
      <c r="X777" s="364" t="s">
        <v>88</v>
      </c>
      <c r="Y777" s="364" t="s">
        <v>88</v>
      </c>
      <c r="Z777" s="364" t="s">
        <v>702</v>
      </c>
      <c r="AA777" s="364" t="s">
        <v>701</v>
      </c>
      <c r="AB777" s="364" t="s">
        <v>649</v>
      </c>
      <c r="AC777" s="364" t="s">
        <v>649</v>
      </c>
      <c r="AD777" s="364" t="s">
        <v>88</v>
      </c>
      <c r="AE777" s="364" t="s">
        <v>88</v>
      </c>
      <c r="AF777" s="364" t="s">
        <v>88</v>
      </c>
      <c r="AG777" s="364" t="s">
        <v>88</v>
      </c>
      <c r="AH777" s="364" t="s">
        <v>88</v>
      </c>
      <c r="AI777" s="364" t="s">
        <v>1199</v>
      </c>
      <c r="AJ777" s="364" t="s">
        <v>670</v>
      </c>
      <c r="AK777" s="364" t="s">
        <v>669</v>
      </c>
      <c r="AL777" s="364" t="s">
        <v>88</v>
      </c>
      <c r="AM777" s="364" t="s">
        <v>668</v>
      </c>
      <c r="AN777" s="364" t="s">
        <v>644</v>
      </c>
    </row>
    <row r="778" spans="1:40" x14ac:dyDescent="0.3">
      <c r="A778" s="364" t="s">
        <v>1887</v>
      </c>
      <c r="B778" s="364" t="s">
        <v>661</v>
      </c>
      <c r="C778" s="364" t="s">
        <v>677</v>
      </c>
      <c r="D778" s="364" t="s">
        <v>87</v>
      </c>
      <c r="E778" s="364" t="s">
        <v>1865</v>
      </c>
      <c r="F778" s="364" t="s">
        <v>1865</v>
      </c>
      <c r="G778" s="364" t="s">
        <v>658</v>
      </c>
      <c r="H778" s="364" t="s">
        <v>1078</v>
      </c>
      <c r="I778" s="364" t="s">
        <v>1886</v>
      </c>
      <c r="J778" s="364" t="s">
        <v>673</v>
      </c>
      <c r="K778" s="364" t="s">
        <v>668</v>
      </c>
      <c r="L778" s="364" t="s">
        <v>190</v>
      </c>
      <c r="M778" s="364" t="s">
        <v>59</v>
      </c>
      <c r="N778" s="364" t="s">
        <v>654</v>
      </c>
      <c r="O778" s="364" t="s">
        <v>653</v>
      </c>
      <c r="P778" s="364" t="s">
        <v>198</v>
      </c>
      <c r="Q778" s="364" t="s">
        <v>652</v>
      </c>
      <c r="R778" s="364" t="s">
        <v>88</v>
      </c>
      <c r="S778" s="364" t="s">
        <v>88</v>
      </c>
      <c r="T778" s="364" t="s">
        <v>88</v>
      </c>
      <c r="U778" s="364" t="s">
        <v>88</v>
      </c>
      <c r="V778" s="364" t="s">
        <v>88</v>
      </c>
      <c r="W778" s="364" t="s">
        <v>88</v>
      </c>
      <c r="X778" s="364" t="s">
        <v>88</v>
      </c>
      <c r="Y778" s="364" t="s">
        <v>88</v>
      </c>
      <c r="Z778" s="364" t="s">
        <v>672</v>
      </c>
      <c r="AA778" s="364" t="s">
        <v>671</v>
      </c>
      <c r="AB778" s="364" t="s">
        <v>649</v>
      </c>
      <c r="AC778" s="364" t="s">
        <v>649</v>
      </c>
      <c r="AD778" s="364" t="s">
        <v>88</v>
      </c>
      <c r="AE778" s="364" t="s">
        <v>88</v>
      </c>
      <c r="AF778" s="364" t="s">
        <v>88</v>
      </c>
      <c r="AG778" s="364" t="s">
        <v>88</v>
      </c>
      <c r="AH778" s="364" t="s">
        <v>88</v>
      </c>
      <c r="AI778" s="364" t="s">
        <v>1199</v>
      </c>
      <c r="AJ778" s="364" t="s">
        <v>670</v>
      </c>
      <c r="AK778" s="364" t="s">
        <v>669</v>
      </c>
      <c r="AL778" s="364" t="s">
        <v>88</v>
      </c>
      <c r="AM778" s="364" t="s">
        <v>668</v>
      </c>
      <c r="AN778" s="364" t="s">
        <v>644</v>
      </c>
    </row>
    <row r="779" spans="1:40" x14ac:dyDescent="0.3">
      <c r="A779" s="364" t="s">
        <v>1885</v>
      </c>
      <c r="B779" s="364" t="s">
        <v>661</v>
      </c>
      <c r="C779" s="364" t="s">
        <v>677</v>
      </c>
      <c r="D779" s="364" t="s">
        <v>170</v>
      </c>
      <c r="E779" s="364" t="s">
        <v>1865</v>
      </c>
      <c r="F779" s="364" t="s">
        <v>1865</v>
      </c>
      <c r="G779" s="364" t="s">
        <v>658</v>
      </c>
      <c r="H779" s="364" t="s">
        <v>1884</v>
      </c>
      <c r="I779" s="364" t="s">
        <v>1883</v>
      </c>
      <c r="J779" s="364" t="s">
        <v>673</v>
      </c>
      <c r="K779" s="364" t="s">
        <v>668</v>
      </c>
      <c r="L779" s="364" t="s">
        <v>190</v>
      </c>
      <c r="M779" s="364" t="s">
        <v>164</v>
      </c>
      <c r="N779" s="364" t="s">
        <v>654</v>
      </c>
      <c r="O779" s="364" t="s">
        <v>653</v>
      </c>
      <c r="P779" s="364" t="s">
        <v>198</v>
      </c>
      <c r="Q779" s="364" t="s">
        <v>652</v>
      </c>
      <c r="R779" s="364" t="s">
        <v>88</v>
      </c>
      <c r="S779" s="364" t="s">
        <v>88</v>
      </c>
      <c r="T779" s="364" t="s">
        <v>88</v>
      </c>
      <c r="U779" s="364" t="s">
        <v>88</v>
      </c>
      <c r="V779" s="364" t="s">
        <v>88</v>
      </c>
      <c r="W779" s="364" t="s">
        <v>88</v>
      </c>
      <c r="X779" s="364" t="s">
        <v>88</v>
      </c>
      <c r="Y779" s="364" t="s">
        <v>88</v>
      </c>
      <c r="Z779" s="364" t="s">
        <v>825</v>
      </c>
      <c r="AA779" s="364" t="s">
        <v>649</v>
      </c>
      <c r="AB779" s="364" t="s">
        <v>649</v>
      </c>
      <c r="AC779" s="364" t="s">
        <v>649</v>
      </c>
      <c r="AD779" s="364" t="s">
        <v>88</v>
      </c>
      <c r="AE779" s="364" t="s">
        <v>88</v>
      </c>
      <c r="AF779" s="364" t="s">
        <v>88</v>
      </c>
      <c r="AG779" s="364" t="s">
        <v>88</v>
      </c>
      <c r="AH779" s="364" t="s">
        <v>88</v>
      </c>
      <c r="AI779" s="364" t="s">
        <v>1199</v>
      </c>
      <c r="AJ779" s="364" t="s">
        <v>670</v>
      </c>
      <c r="AK779" s="364" t="s">
        <v>687</v>
      </c>
      <c r="AL779" s="364" t="s">
        <v>88</v>
      </c>
      <c r="AM779" s="364" t="s">
        <v>668</v>
      </c>
      <c r="AN779" s="364" t="s">
        <v>644</v>
      </c>
    </row>
    <row r="780" spans="1:40" x14ac:dyDescent="0.3">
      <c r="A780" s="364" t="s">
        <v>1882</v>
      </c>
      <c r="B780" s="364" t="s">
        <v>661</v>
      </c>
      <c r="C780" s="364" t="s">
        <v>677</v>
      </c>
      <c r="D780" s="364" t="s">
        <v>87</v>
      </c>
      <c r="E780" s="364" t="s">
        <v>1865</v>
      </c>
      <c r="F780" s="364" t="s">
        <v>1865</v>
      </c>
      <c r="G780" s="364" t="s">
        <v>658</v>
      </c>
      <c r="H780" s="364" t="s">
        <v>1881</v>
      </c>
      <c r="I780" s="364" t="s">
        <v>1880</v>
      </c>
      <c r="J780" s="364" t="s">
        <v>673</v>
      </c>
      <c r="K780" s="364" t="s">
        <v>668</v>
      </c>
      <c r="L780" s="364" t="s">
        <v>190</v>
      </c>
      <c r="M780" s="364" t="s">
        <v>60</v>
      </c>
      <c r="N780" s="364" t="s">
        <v>654</v>
      </c>
      <c r="O780" s="364" t="s">
        <v>653</v>
      </c>
      <c r="P780" s="364" t="s">
        <v>198</v>
      </c>
      <c r="Q780" s="364" t="s">
        <v>652</v>
      </c>
      <c r="R780" s="364" t="s">
        <v>88</v>
      </c>
      <c r="S780" s="364" t="s">
        <v>88</v>
      </c>
      <c r="T780" s="364" t="s">
        <v>88</v>
      </c>
      <c r="U780" s="364" t="s">
        <v>88</v>
      </c>
      <c r="V780" s="364" t="s">
        <v>88</v>
      </c>
      <c r="W780" s="364" t="s">
        <v>88</v>
      </c>
      <c r="X780" s="364" t="s">
        <v>88</v>
      </c>
      <c r="Y780" s="364" t="s">
        <v>88</v>
      </c>
      <c r="Z780" s="364" t="s">
        <v>709</v>
      </c>
      <c r="AA780" s="364" t="s">
        <v>708</v>
      </c>
      <c r="AB780" s="364" t="s">
        <v>649</v>
      </c>
      <c r="AC780" s="364" t="s">
        <v>649</v>
      </c>
      <c r="AD780" s="364" t="s">
        <v>88</v>
      </c>
      <c r="AE780" s="364" t="s">
        <v>88</v>
      </c>
      <c r="AF780" s="364" t="s">
        <v>88</v>
      </c>
      <c r="AG780" s="364" t="s">
        <v>88</v>
      </c>
      <c r="AH780" s="364" t="s">
        <v>88</v>
      </c>
      <c r="AI780" s="364" t="s">
        <v>1199</v>
      </c>
      <c r="AJ780" s="364" t="s">
        <v>670</v>
      </c>
      <c r="AK780" s="364" t="s">
        <v>687</v>
      </c>
      <c r="AL780" s="364" t="s">
        <v>88</v>
      </c>
      <c r="AM780" s="364" t="s">
        <v>668</v>
      </c>
      <c r="AN780" s="364" t="s">
        <v>644</v>
      </c>
    </row>
    <row r="781" spans="1:40" x14ac:dyDescent="0.3">
      <c r="A781" s="364" t="s">
        <v>1879</v>
      </c>
      <c r="B781" s="364" t="s">
        <v>661</v>
      </c>
      <c r="C781" s="364" t="s">
        <v>677</v>
      </c>
      <c r="D781" s="364" t="s">
        <v>87</v>
      </c>
      <c r="E781" s="364" t="s">
        <v>1865</v>
      </c>
      <c r="F781" s="364" t="s">
        <v>1865</v>
      </c>
      <c r="G781" s="364" t="s">
        <v>658</v>
      </c>
      <c r="H781" s="364" t="s">
        <v>1878</v>
      </c>
      <c r="I781" s="364" t="s">
        <v>1877</v>
      </c>
      <c r="J781" s="364" t="s">
        <v>673</v>
      </c>
      <c r="K781" s="364" t="s">
        <v>668</v>
      </c>
      <c r="L781" s="364" t="s">
        <v>190</v>
      </c>
      <c r="M781" s="364" t="s">
        <v>58</v>
      </c>
      <c r="N781" s="364" t="s">
        <v>654</v>
      </c>
      <c r="O781" s="364" t="s">
        <v>653</v>
      </c>
      <c r="P781" s="364" t="s">
        <v>198</v>
      </c>
      <c r="Q781" s="364" t="s">
        <v>652</v>
      </c>
      <c r="R781" s="364" t="s">
        <v>88</v>
      </c>
      <c r="S781" s="364" t="s">
        <v>88</v>
      </c>
      <c r="T781" s="364" t="s">
        <v>88</v>
      </c>
      <c r="U781" s="364" t="s">
        <v>88</v>
      </c>
      <c r="V781" s="364" t="s">
        <v>88</v>
      </c>
      <c r="W781" s="364" t="s">
        <v>88</v>
      </c>
      <c r="X781" s="364" t="s">
        <v>88</v>
      </c>
      <c r="Y781" s="364" t="s">
        <v>88</v>
      </c>
      <c r="Z781" s="364" t="s">
        <v>702</v>
      </c>
      <c r="AA781" s="364" t="s">
        <v>701</v>
      </c>
      <c r="AB781" s="364" t="s">
        <v>649</v>
      </c>
      <c r="AC781" s="364" t="s">
        <v>649</v>
      </c>
      <c r="AD781" s="364" t="s">
        <v>88</v>
      </c>
      <c r="AE781" s="364" t="s">
        <v>88</v>
      </c>
      <c r="AF781" s="364" t="s">
        <v>88</v>
      </c>
      <c r="AG781" s="364" t="s">
        <v>88</v>
      </c>
      <c r="AH781" s="364" t="s">
        <v>88</v>
      </c>
      <c r="AI781" s="364" t="s">
        <v>1199</v>
      </c>
      <c r="AJ781" s="364" t="s">
        <v>670</v>
      </c>
      <c r="AK781" s="364" t="s">
        <v>669</v>
      </c>
      <c r="AL781" s="364" t="s">
        <v>88</v>
      </c>
      <c r="AM781" s="364" t="s">
        <v>668</v>
      </c>
      <c r="AN781" s="364" t="s">
        <v>644</v>
      </c>
    </row>
    <row r="782" spans="1:40" x14ac:dyDescent="0.3">
      <c r="A782" s="364" t="s">
        <v>1876</v>
      </c>
      <c r="B782" s="364" t="s">
        <v>661</v>
      </c>
      <c r="C782" s="364" t="s">
        <v>677</v>
      </c>
      <c r="D782" s="364" t="s">
        <v>90</v>
      </c>
      <c r="E782" s="364" t="s">
        <v>1875</v>
      </c>
      <c r="F782" s="364" t="s">
        <v>1875</v>
      </c>
      <c r="G782" s="364" t="s">
        <v>658</v>
      </c>
      <c r="H782" s="364" t="s">
        <v>1874</v>
      </c>
      <c r="I782" s="364" t="s">
        <v>1873</v>
      </c>
      <c r="J782" s="364" t="s">
        <v>673</v>
      </c>
      <c r="K782" s="364" t="s">
        <v>668</v>
      </c>
      <c r="L782" s="364" t="s">
        <v>190</v>
      </c>
      <c r="M782" s="364" t="s">
        <v>54</v>
      </c>
      <c r="N782" s="364" t="s">
        <v>654</v>
      </c>
      <c r="O782" s="364" t="s">
        <v>653</v>
      </c>
      <c r="P782" s="364" t="s">
        <v>198</v>
      </c>
      <c r="Q782" s="364" t="s">
        <v>652</v>
      </c>
      <c r="R782" s="364" t="s">
        <v>88</v>
      </c>
      <c r="S782" s="364" t="s">
        <v>88</v>
      </c>
      <c r="T782" s="364" t="s">
        <v>88</v>
      </c>
      <c r="U782" s="364" t="s">
        <v>88</v>
      </c>
      <c r="V782" s="364" t="s">
        <v>88</v>
      </c>
      <c r="W782" s="364" t="s">
        <v>88</v>
      </c>
      <c r="X782" s="364" t="s">
        <v>88</v>
      </c>
      <c r="Y782" s="364" t="s">
        <v>88</v>
      </c>
      <c r="Z782" s="364" t="s">
        <v>1265</v>
      </c>
      <c r="AA782" s="364" t="s">
        <v>649</v>
      </c>
      <c r="AB782" s="364" t="s">
        <v>649</v>
      </c>
      <c r="AC782" s="364" t="s">
        <v>649</v>
      </c>
      <c r="AD782" s="364" t="s">
        <v>88</v>
      </c>
      <c r="AE782" s="364" t="s">
        <v>88</v>
      </c>
      <c r="AF782" s="364" t="s">
        <v>88</v>
      </c>
      <c r="AG782" s="364" t="s">
        <v>88</v>
      </c>
      <c r="AH782" s="364" t="s">
        <v>88</v>
      </c>
      <c r="AI782" s="364" t="s">
        <v>1155</v>
      </c>
      <c r="AJ782" s="364" t="s">
        <v>710</v>
      </c>
      <c r="AK782" s="364" t="s">
        <v>647</v>
      </c>
      <c r="AL782" s="364" t="s">
        <v>88</v>
      </c>
      <c r="AM782" s="364" t="s">
        <v>668</v>
      </c>
      <c r="AN782" s="364" t="s">
        <v>644</v>
      </c>
    </row>
    <row r="783" spans="1:40" x14ac:dyDescent="0.3">
      <c r="A783" s="364" t="s">
        <v>1876</v>
      </c>
      <c r="B783" s="364" t="s">
        <v>661</v>
      </c>
      <c r="C783" s="364" t="s">
        <v>677</v>
      </c>
      <c r="D783" s="364" t="s">
        <v>90</v>
      </c>
      <c r="E783" s="364" t="s">
        <v>1875</v>
      </c>
      <c r="F783" s="364" t="s">
        <v>1875</v>
      </c>
      <c r="G783" s="364" t="s">
        <v>658</v>
      </c>
      <c r="H783" s="364" t="s">
        <v>1874</v>
      </c>
      <c r="I783" s="364" t="s">
        <v>1873</v>
      </c>
      <c r="J783" s="364" t="s">
        <v>673</v>
      </c>
      <c r="K783" s="364" t="s">
        <v>668</v>
      </c>
      <c r="L783" s="364" t="s">
        <v>190</v>
      </c>
      <c r="M783" s="364" t="s">
        <v>250</v>
      </c>
      <c r="N783" s="364" t="s">
        <v>654</v>
      </c>
      <c r="O783" s="364" t="s">
        <v>653</v>
      </c>
      <c r="P783" s="364" t="s">
        <v>198</v>
      </c>
      <c r="Q783" s="364" t="s">
        <v>652</v>
      </c>
      <c r="R783" s="364" t="s">
        <v>88</v>
      </c>
      <c r="S783" s="364" t="s">
        <v>88</v>
      </c>
      <c r="T783" s="364" t="s">
        <v>88</v>
      </c>
      <c r="U783" s="364" t="s">
        <v>88</v>
      </c>
      <c r="V783" s="364" t="s">
        <v>88</v>
      </c>
      <c r="W783" s="364" t="s">
        <v>88</v>
      </c>
      <c r="X783" s="364" t="s">
        <v>88</v>
      </c>
      <c r="Y783" s="364" t="s">
        <v>88</v>
      </c>
      <c r="Z783" s="364" t="s">
        <v>1821</v>
      </c>
      <c r="AA783" s="364" t="s">
        <v>649</v>
      </c>
      <c r="AB783" s="364" t="s">
        <v>649</v>
      </c>
      <c r="AC783" s="364" t="s">
        <v>649</v>
      </c>
      <c r="AD783" s="364" t="s">
        <v>88</v>
      </c>
      <c r="AE783" s="364" t="s">
        <v>88</v>
      </c>
      <c r="AF783" s="364" t="s">
        <v>88</v>
      </c>
      <c r="AG783" s="364" t="s">
        <v>88</v>
      </c>
      <c r="AH783" s="364" t="s">
        <v>88</v>
      </c>
      <c r="AI783" s="364" t="s">
        <v>1155</v>
      </c>
      <c r="AJ783" s="364" t="s">
        <v>710</v>
      </c>
      <c r="AK783" s="364" t="s">
        <v>647</v>
      </c>
      <c r="AL783" s="364" t="s">
        <v>88</v>
      </c>
      <c r="AM783" s="364" t="s">
        <v>668</v>
      </c>
      <c r="AN783" s="364" t="s">
        <v>644</v>
      </c>
    </row>
    <row r="784" spans="1:40" x14ac:dyDescent="0.3">
      <c r="A784" s="364" t="s">
        <v>1876</v>
      </c>
      <c r="B784" s="364" t="s">
        <v>661</v>
      </c>
      <c r="C784" s="364" t="s">
        <v>677</v>
      </c>
      <c r="D784" s="364" t="s">
        <v>90</v>
      </c>
      <c r="E784" s="364" t="s">
        <v>1875</v>
      </c>
      <c r="F784" s="364" t="s">
        <v>1875</v>
      </c>
      <c r="G784" s="364" t="s">
        <v>658</v>
      </c>
      <c r="H784" s="364" t="s">
        <v>1874</v>
      </c>
      <c r="I784" s="364" t="s">
        <v>1873</v>
      </c>
      <c r="J784" s="364" t="s">
        <v>673</v>
      </c>
      <c r="K784" s="364" t="s">
        <v>668</v>
      </c>
      <c r="L784" s="364" t="s">
        <v>190</v>
      </c>
      <c r="M784" s="364" t="s">
        <v>718</v>
      </c>
      <c r="N784" s="364" t="s">
        <v>654</v>
      </c>
      <c r="O784" s="364" t="s">
        <v>653</v>
      </c>
      <c r="P784" s="364" t="s">
        <v>198</v>
      </c>
      <c r="Q784" s="364" t="s">
        <v>652</v>
      </c>
      <c r="R784" s="364" t="s">
        <v>88</v>
      </c>
      <c r="S784" s="364" t="s">
        <v>88</v>
      </c>
      <c r="T784" s="364" t="s">
        <v>88</v>
      </c>
      <c r="U784" s="364" t="s">
        <v>88</v>
      </c>
      <c r="V784" s="364" t="s">
        <v>88</v>
      </c>
      <c r="W784" s="364" t="s">
        <v>88</v>
      </c>
      <c r="X784" s="364" t="s">
        <v>88</v>
      </c>
      <c r="Y784" s="364" t="s">
        <v>88</v>
      </c>
      <c r="Z784" s="364" t="s">
        <v>717</v>
      </c>
      <c r="AA784" s="364" t="s">
        <v>649</v>
      </c>
      <c r="AB784" s="364" t="s">
        <v>649</v>
      </c>
      <c r="AC784" s="364" t="s">
        <v>649</v>
      </c>
      <c r="AD784" s="364" t="s">
        <v>88</v>
      </c>
      <c r="AE784" s="364" t="s">
        <v>88</v>
      </c>
      <c r="AF784" s="364" t="s">
        <v>88</v>
      </c>
      <c r="AG784" s="364" t="s">
        <v>88</v>
      </c>
      <c r="AH784" s="364" t="s">
        <v>88</v>
      </c>
      <c r="AI784" s="364" t="s">
        <v>1155</v>
      </c>
      <c r="AJ784" s="364" t="s">
        <v>710</v>
      </c>
      <c r="AK784" s="364" t="s">
        <v>647</v>
      </c>
      <c r="AL784" s="364" t="s">
        <v>88</v>
      </c>
      <c r="AM784" s="364" t="s">
        <v>668</v>
      </c>
      <c r="AN784" s="364" t="s">
        <v>644</v>
      </c>
    </row>
    <row r="785" spans="1:40" x14ac:dyDescent="0.3">
      <c r="A785" s="364" t="s">
        <v>1876</v>
      </c>
      <c r="B785" s="364" t="s">
        <v>661</v>
      </c>
      <c r="C785" s="364" t="s">
        <v>677</v>
      </c>
      <c r="D785" s="364" t="s">
        <v>90</v>
      </c>
      <c r="E785" s="364" t="s">
        <v>1875</v>
      </c>
      <c r="F785" s="364" t="s">
        <v>1875</v>
      </c>
      <c r="G785" s="364" t="s">
        <v>658</v>
      </c>
      <c r="H785" s="364" t="s">
        <v>1874</v>
      </c>
      <c r="I785" s="364" t="s">
        <v>1873</v>
      </c>
      <c r="J785" s="364" t="s">
        <v>673</v>
      </c>
      <c r="K785" s="364" t="s">
        <v>668</v>
      </c>
      <c r="L785" s="364" t="s">
        <v>190</v>
      </c>
      <c r="M785" s="364" t="s">
        <v>713</v>
      </c>
      <c r="N785" s="364" t="s">
        <v>654</v>
      </c>
      <c r="O785" s="364" t="s">
        <v>653</v>
      </c>
      <c r="P785" s="364" t="s">
        <v>198</v>
      </c>
      <c r="Q785" s="364" t="s">
        <v>652</v>
      </c>
      <c r="R785" s="364" t="s">
        <v>88</v>
      </c>
      <c r="S785" s="364" t="s">
        <v>88</v>
      </c>
      <c r="T785" s="364" t="s">
        <v>88</v>
      </c>
      <c r="U785" s="364" t="s">
        <v>88</v>
      </c>
      <c r="V785" s="364" t="s">
        <v>88</v>
      </c>
      <c r="W785" s="364" t="s">
        <v>88</v>
      </c>
      <c r="X785" s="364" t="s">
        <v>88</v>
      </c>
      <c r="Y785" s="364" t="s">
        <v>88</v>
      </c>
      <c r="Z785" s="364" t="s">
        <v>712</v>
      </c>
      <c r="AA785" s="364" t="s">
        <v>711</v>
      </c>
      <c r="AB785" s="364" t="s">
        <v>649</v>
      </c>
      <c r="AC785" s="364" t="s">
        <v>649</v>
      </c>
      <c r="AD785" s="364" t="s">
        <v>88</v>
      </c>
      <c r="AE785" s="364" t="s">
        <v>88</v>
      </c>
      <c r="AF785" s="364" t="s">
        <v>88</v>
      </c>
      <c r="AG785" s="364" t="s">
        <v>88</v>
      </c>
      <c r="AH785" s="364" t="s">
        <v>88</v>
      </c>
      <c r="AI785" s="364" t="s">
        <v>1155</v>
      </c>
      <c r="AJ785" s="364" t="s">
        <v>710</v>
      </c>
      <c r="AK785" s="364" t="s">
        <v>647</v>
      </c>
      <c r="AL785" s="364" t="s">
        <v>88</v>
      </c>
      <c r="AM785" s="364" t="s">
        <v>668</v>
      </c>
      <c r="AN785" s="364" t="s">
        <v>644</v>
      </c>
    </row>
    <row r="786" spans="1:40" x14ac:dyDescent="0.3">
      <c r="A786" s="364" t="s">
        <v>1876</v>
      </c>
      <c r="B786" s="364" t="s">
        <v>661</v>
      </c>
      <c r="C786" s="364" t="s">
        <v>677</v>
      </c>
      <c r="D786" s="364" t="s">
        <v>90</v>
      </c>
      <c r="E786" s="364" t="s">
        <v>1875</v>
      </c>
      <c r="F786" s="364" t="s">
        <v>1875</v>
      </c>
      <c r="G786" s="364" t="s">
        <v>658</v>
      </c>
      <c r="H786" s="364" t="s">
        <v>1874</v>
      </c>
      <c r="I786" s="364" t="s">
        <v>1873</v>
      </c>
      <c r="J786" s="364" t="s">
        <v>673</v>
      </c>
      <c r="K786" s="364" t="s">
        <v>668</v>
      </c>
      <c r="L786" s="364" t="s">
        <v>190</v>
      </c>
      <c r="M786" s="364" t="s">
        <v>61</v>
      </c>
      <c r="N786" s="364" t="s">
        <v>654</v>
      </c>
      <c r="O786" s="364" t="s">
        <v>653</v>
      </c>
      <c r="P786" s="364" t="s">
        <v>198</v>
      </c>
      <c r="Q786" s="364" t="s">
        <v>652</v>
      </c>
      <c r="R786" s="364" t="s">
        <v>88</v>
      </c>
      <c r="S786" s="364" t="s">
        <v>88</v>
      </c>
      <c r="T786" s="364" t="s">
        <v>88</v>
      </c>
      <c r="U786" s="364" t="s">
        <v>88</v>
      </c>
      <c r="V786" s="364" t="s">
        <v>88</v>
      </c>
      <c r="W786" s="364" t="s">
        <v>88</v>
      </c>
      <c r="X786" s="364" t="s">
        <v>88</v>
      </c>
      <c r="Y786" s="364" t="s">
        <v>88</v>
      </c>
      <c r="Z786" s="364" t="s">
        <v>1021</v>
      </c>
      <c r="AA786" s="364" t="s">
        <v>671</v>
      </c>
      <c r="AB786" s="364" t="s">
        <v>649</v>
      </c>
      <c r="AC786" s="364" t="s">
        <v>649</v>
      </c>
      <c r="AD786" s="364" t="s">
        <v>88</v>
      </c>
      <c r="AE786" s="364" t="s">
        <v>88</v>
      </c>
      <c r="AF786" s="364" t="s">
        <v>88</v>
      </c>
      <c r="AG786" s="364" t="s">
        <v>88</v>
      </c>
      <c r="AH786" s="364" t="s">
        <v>88</v>
      </c>
      <c r="AI786" s="364" t="s">
        <v>1155</v>
      </c>
      <c r="AJ786" s="364" t="s">
        <v>710</v>
      </c>
      <c r="AK786" s="364" t="s">
        <v>647</v>
      </c>
      <c r="AL786" s="364" t="s">
        <v>88</v>
      </c>
      <c r="AM786" s="364" t="s">
        <v>668</v>
      </c>
      <c r="AN786" s="364" t="s">
        <v>644</v>
      </c>
    </row>
    <row r="787" spans="1:40" x14ac:dyDescent="0.3">
      <c r="A787" s="364" t="s">
        <v>1876</v>
      </c>
      <c r="B787" s="364" t="s">
        <v>661</v>
      </c>
      <c r="C787" s="364" t="s">
        <v>677</v>
      </c>
      <c r="D787" s="364" t="s">
        <v>90</v>
      </c>
      <c r="E787" s="364" t="s">
        <v>1875</v>
      </c>
      <c r="F787" s="364" t="s">
        <v>1875</v>
      </c>
      <c r="G787" s="364" t="s">
        <v>658</v>
      </c>
      <c r="H787" s="364" t="s">
        <v>1874</v>
      </c>
      <c r="I787" s="364" t="s">
        <v>1873</v>
      </c>
      <c r="J787" s="364" t="s">
        <v>673</v>
      </c>
      <c r="K787" s="364" t="s">
        <v>668</v>
      </c>
      <c r="L787" s="364" t="s">
        <v>190</v>
      </c>
      <c r="M787" s="364" t="s">
        <v>721</v>
      </c>
      <c r="N787" s="364" t="s">
        <v>654</v>
      </c>
      <c r="O787" s="364" t="s">
        <v>653</v>
      </c>
      <c r="P787" s="364" t="s">
        <v>198</v>
      </c>
      <c r="Q787" s="364" t="s">
        <v>652</v>
      </c>
      <c r="R787" s="364" t="s">
        <v>88</v>
      </c>
      <c r="S787" s="364" t="s">
        <v>88</v>
      </c>
      <c r="T787" s="364" t="s">
        <v>88</v>
      </c>
      <c r="U787" s="364" t="s">
        <v>88</v>
      </c>
      <c r="V787" s="364" t="s">
        <v>88</v>
      </c>
      <c r="W787" s="364" t="s">
        <v>88</v>
      </c>
      <c r="X787" s="364" t="s">
        <v>88</v>
      </c>
      <c r="Y787" s="364" t="s">
        <v>88</v>
      </c>
      <c r="Z787" s="364" t="s">
        <v>720</v>
      </c>
      <c r="AA787" s="364" t="s">
        <v>649</v>
      </c>
      <c r="AB787" s="364" t="s">
        <v>649</v>
      </c>
      <c r="AC787" s="364" t="s">
        <v>649</v>
      </c>
      <c r="AD787" s="364" t="s">
        <v>88</v>
      </c>
      <c r="AE787" s="364" t="s">
        <v>88</v>
      </c>
      <c r="AF787" s="364" t="s">
        <v>88</v>
      </c>
      <c r="AG787" s="364" t="s">
        <v>88</v>
      </c>
      <c r="AH787" s="364" t="s">
        <v>88</v>
      </c>
      <c r="AI787" s="364" t="s">
        <v>1155</v>
      </c>
      <c r="AJ787" s="364" t="s">
        <v>710</v>
      </c>
      <c r="AK787" s="364" t="s">
        <v>647</v>
      </c>
      <c r="AL787" s="364" t="s">
        <v>88</v>
      </c>
      <c r="AM787" s="364" t="s">
        <v>668</v>
      </c>
      <c r="AN787" s="364" t="s">
        <v>644</v>
      </c>
    </row>
    <row r="788" spans="1:40" x14ac:dyDescent="0.3">
      <c r="A788" s="364" t="s">
        <v>1876</v>
      </c>
      <c r="B788" s="364" t="s">
        <v>661</v>
      </c>
      <c r="C788" s="364" t="s">
        <v>677</v>
      </c>
      <c r="D788" s="364" t="s">
        <v>90</v>
      </c>
      <c r="E788" s="364" t="s">
        <v>1875</v>
      </c>
      <c r="F788" s="364" t="s">
        <v>1875</v>
      </c>
      <c r="G788" s="364" t="s">
        <v>658</v>
      </c>
      <c r="H788" s="364" t="s">
        <v>1874</v>
      </c>
      <c r="I788" s="364" t="s">
        <v>1873</v>
      </c>
      <c r="J788" s="364" t="s">
        <v>673</v>
      </c>
      <c r="K788" s="364" t="s">
        <v>668</v>
      </c>
      <c r="L788" s="364" t="s">
        <v>190</v>
      </c>
      <c r="M788" s="364" t="s">
        <v>56</v>
      </c>
      <c r="N788" s="364" t="s">
        <v>654</v>
      </c>
      <c r="O788" s="364" t="s">
        <v>653</v>
      </c>
      <c r="P788" s="364" t="s">
        <v>198</v>
      </c>
      <c r="Q788" s="364" t="s">
        <v>652</v>
      </c>
      <c r="R788" s="364" t="s">
        <v>88</v>
      </c>
      <c r="S788" s="364" t="s">
        <v>88</v>
      </c>
      <c r="T788" s="364" t="s">
        <v>88</v>
      </c>
      <c r="U788" s="364" t="s">
        <v>88</v>
      </c>
      <c r="V788" s="364" t="s">
        <v>88</v>
      </c>
      <c r="W788" s="364" t="s">
        <v>88</v>
      </c>
      <c r="X788" s="364" t="s">
        <v>88</v>
      </c>
      <c r="Y788" s="364" t="s">
        <v>88</v>
      </c>
      <c r="Z788" s="364" t="s">
        <v>1165</v>
      </c>
      <c r="AA788" s="364" t="s">
        <v>1164</v>
      </c>
      <c r="AB788" s="364" t="s">
        <v>649</v>
      </c>
      <c r="AC788" s="364" t="s">
        <v>649</v>
      </c>
      <c r="AD788" s="364" t="s">
        <v>88</v>
      </c>
      <c r="AE788" s="364" t="s">
        <v>88</v>
      </c>
      <c r="AF788" s="364" t="s">
        <v>88</v>
      </c>
      <c r="AG788" s="364" t="s">
        <v>88</v>
      </c>
      <c r="AH788" s="364" t="s">
        <v>88</v>
      </c>
      <c r="AI788" s="364" t="s">
        <v>1155</v>
      </c>
      <c r="AJ788" s="364" t="s">
        <v>710</v>
      </c>
      <c r="AK788" s="364" t="s">
        <v>647</v>
      </c>
      <c r="AL788" s="364" t="s">
        <v>88</v>
      </c>
      <c r="AM788" s="364" t="s">
        <v>668</v>
      </c>
      <c r="AN788" s="364" t="s">
        <v>644</v>
      </c>
    </row>
    <row r="789" spans="1:40" x14ac:dyDescent="0.3">
      <c r="A789" s="364" t="s">
        <v>1872</v>
      </c>
      <c r="B789" s="364" t="s">
        <v>661</v>
      </c>
      <c r="C789" s="364" t="s">
        <v>677</v>
      </c>
      <c r="D789" s="364" t="s">
        <v>87</v>
      </c>
      <c r="E789" s="364" t="s">
        <v>1861</v>
      </c>
      <c r="F789" s="364" t="s">
        <v>1861</v>
      </c>
      <c r="G789" s="364" t="s">
        <v>658</v>
      </c>
      <c r="H789" s="364" t="s">
        <v>1871</v>
      </c>
      <c r="I789" s="364" t="s">
        <v>1870</v>
      </c>
      <c r="J789" s="364" t="s">
        <v>673</v>
      </c>
      <c r="K789" s="364" t="s">
        <v>668</v>
      </c>
      <c r="L789" s="364" t="s">
        <v>190</v>
      </c>
      <c r="M789" s="364" t="s">
        <v>60</v>
      </c>
      <c r="N789" s="364" t="s">
        <v>654</v>
      </c>
      <c r="O789" s="364" t="s">
        <v>653</v>
      </c>
      <c r="P789" s="364" t="s">
        <v>198</v>
      </c>
      <c r="Q789" s="364" t="s">
        <v>652</v>
      </c>
      <c r="R789" s="364" t="s">
        <v>88</v>
      </c>
      <c r="S789" s="364" t="s">
        <v>88</v>
      </c>
      <c r="T789" s="364" t="s">
        <v>88</v>
      </c>
      <c r="U789" s="364" t="s">
        <v>88</v>
      </c>
      <c r="V789" s="364" t="s">
        <v>88</v>
      </c>
      <c r="W789" s="364" t="s">
        <v>88</v>
      </c>
      <c r="X789" s="364" t="s">
        <v>88</v>
      </c>
      <c r="Y789" s="364" t="s">
        <v>88</v>
      </c>
      <c r="Z789" s="364" t="s">
        <v>709</v>
      </c>
      <c r="AA789" s="364" t="s">
        <v>708</v>
      </c>
      <c r="AB789" s="364" t="s">
        <v>649</v>
      </c>
      <c r="AC789" s="364" t="s">
        <v>649</v>
      </c>
      <c r="AD789" s="364" t="s">
        <v>88</v>
      </c>
      <c r="AE789" s="364" t="s">
        <v>88</v>
      </c>
      <c r="AF789" s="364" t="s">
        <v>88</v>
      </c>
      <c r="AG789" s="364" t="s">
        <v>88</v>
      </c>
      <c r="AH789" s="364" t="s">
        <v>88</v>
      </c>
      <c r="AI789" s="364" t="s">
        <v>1199</v>
      </c>
      <c r="AJ789" s="364" t="s">
        <v>670</v>
      </c>
      <c r="AK789" s="364" t="s">
        <v>687</v>
      </c>
      <c r="AL789" s="364" t="s">
        <v>88</v>
      </c>
      <c r="AM789" s="364" t="s">
        <v>668</v>
      </c>
      <c r="AN789" s="364" t="s">
        <v>644</v>
      </c>
    </row>
    <row r="790" spans="1:40" x14ac:dyDescent="0.3">
      <c r="A790" s="364" t="s">
        <v>1869</v>
      </c>
      <c r="B790" s="364" t="s">
        <v>661</v>
      </c>
      <c r="C790" s="364" t="s">
        <v>677</v>
      </c>
      <c r="D790" s="364" t="s">
        <v>170</v>
      </c>
      <c r="E790" s="364" t="s">
        <v>1861</v>
      </c>
      <c r="F790" s="364" t="s">
        <v>1861</v>
      </c>
      <c r="G790" s="364" t="s">
        <v>658</v>
      </c>
      <c r="H790" s="364" t="s">
        <v>1868</v>
      </c>
      <c r="I790" s="364" t="s">
        <v>1867</v>
      </c>
      <c r="J790" s="364" t="s">
        <v>673</v>
      </c>
      <c r="K790" s="364" t="s">
        <v>668</v>
      </c>
      <c r="L790" s="364" t="s">
        <v>190</v>
      </c>
      <c r="M790" s="364" t="s">
        <v>164</v>
      </c>
      <c r="N790" s="364" t="s">
        <v>654</v>
      </c>
      <c r="O790" s="364" t="s">
        <v>653</v>
      </c>
      <c r="P790" s="364" t="s">
        <v>198</v>
      </c>
      <c r="Q790" s="364" t="s">
        <v>652</v>
      </c>
      <c r="R790" s="364" t="s">
        <v>88</v>
      </c>
      <c r="S790" s="364" t="s">
        <v>88</v>
      </c>
      <c r="T790" s="364" t="s">
        <v>88</v>
      </c>
      <c r="U790" s="364" t="s">
        <v>88</v>
      </c>
      <c r="V790" s="364" t="s">
        <v>88</v>
      </c>
      <c r="W790" s="364" t="s">
        <v>88</v>
      </c>
      <c r="X790" s="364" t="s">
        <v>88</v>
      </c>
      <c r="Y790" s="364" t="s">
        <v>88</v>
      </c>
      <c r="Z790" s="364" t="s">
        <v>825</v>
      </c>
      <c r="AA790" s="364" t="s">
        <v>649</v>
      </c>
      <c r="AB790" s="364" t="s">
        <v>649</v>
      </c>
      <c r="AC790" s="364" t="s">
        <v>649</v>
      </c>
      <c r="AD790" s="364" t="s">
        <v>88</v>
      </c>
      <c r="AE790" s="364" t="s">
        <v>88</v>
      </c>
      <c r="AF790" s="364" t="s">
        <v>88</v>
      </c>
      <c r="AG790" s="364" t="s">
        <v>88</v>
      </c>
      <c r="AH790" s="364" t="s">
        <v>88</v>
      </c>
      <c r="AI790" s="364" t="s">
        <v>1199</v>
      </c>
      <c r="AJ790" s="364" t="s">
        <v>670</v>
      </c>
      <c r="AK790" s="364" t="s">
        <v>687</v>
      </c>
      <c r="AL790" s="364" t="s">
        <v>88</v>
      </c>
      <c r="AM790" s="364" t="s">
        <v>668</v>
      </c>
      <c r="AN790" s="364" t="s">
        <v>644</v>
      </c>
    </row>
    <row r="791" spans="1:40" x14ac:dyDescent="0.3">
      <c r="A791" s="364" t="s">
        <v>1866</v>
      </c>
      <c r="B791" s="364" t="s">
        <v>661</v>
      </c>
      <c r="C791" s="364" t="s">
        <v>677</v>
      </c>
      <c r="D791" s="364" t="s">
        <v>90</v>
      </c>
      <c r="E791" s="364" t="s">
        <v>1865</v>
      </c>
      <c r="F791" s="364" t="s">
        <v>1865</v>
      </c>
      <c r="G791" s="364" t="s">
        <v>658</v>
      </c>
      <c r="H791" s="364" t="s">
        <v>1864</v>
      </c>
      <c r="I791" s="364" t="s">
        <v>1863</v>
      </c>
      <c r="J791" s="364" t="s">
        <v>673</v>
      </c>
      <c r="K791" s="364" t="s">
        <v>668</v>
      </c>
      <c r="L791" s="364" t="s">
        <v>190</v>
      </c>
      <c r="M791" s="364" t="s">
        <v>54</v>
      </c>
      <c r="N791" s="364" t="s">
        <v>654</v>
      </c>
      <c r="O791" s="364" t="s">
        <v>653</v>
      </c>
      <c r="P791" s="364" t="s">
        <v>198</v>
      </c>
      <c r="Q791" s="364" t="s">
        <v>652</v>
      </c>
      <c r="R791" s="364" t="s">
        <v>88</v>
      </c>
      <c r="S791" s="364" t="s">
        <v>88</v>
      </c>
      <c r="T791" s="364" t="s">
        <v>88</v>
      </c>
      <c r="U791" s="364" t="s">
        <v>88</v>
      </c>
      <c r="V791" s="364" t="s">
        <v>88</v>
      </c>
      <c r="W791" s="364" t="s">
        <v>88</v>
      </c>
      <c r="X791" s="364" t="s">
        <v>88</v>
      </c>
      <c r="Y791" s="364" t="s">
        <v>88</v>
      </c>
      <c r="Z791" s="364" t="s">
        <v>1265</v>
      </c>
      <c r="AA791" s="364" t="s">
        <v>649</v>
      </c>
      <c r="AB791" s="364" t="s">
        <v>649</v>
      </c>
      <c r="AC791" s="364" t="s">
        <v>649</v>
      </c>
      <c r="AD791" s="364" t="s">
        <v>88</v>
      </c>
      <c r="AE791" s="364" t="s">
        <v>88</v>
      </c>
      <c r="AF791" s="364" t="s">
        <v>88</v>
      </c>
      <c r="AG791" s="364" t="s">
        <v>88</v>
      </c>
      <c r="AH791" s="364" t="s">
        <v>88</v>
      </c>
      <c r="AI791" s="364" t="s">
        <v>1155</v>
      </c>
      <c r="AJ791" s="364" t="s">
        <v>710</v>
      </c>
      <c r="AK791" s="364" t="s">
        <v>647</v>
      </c>
      <c r="AL791" s="364" t="s">
        <v>88</v>
      </c>
      <c r="AM791" s="364" t="s">
        <v>668</v>
      </c>
      <c r="AN791" s="364" t="s">
        <v>644</v>
      </c>
    </row>
    <row r="792" spans="1:40" x14ac:dyDescent="0.3">
      <c r="A792" s="364" t="s">
        <v>1866</v>
      </c>
      <c r="B792" s="364" t="s">
        <v>661</v>
      </c>
      <c r="C792" s="364" t="s">
        <v>677</v>
      </c>
      <c r="D792" s="364" t="s">
        <v>90</v>
      </c>
      <c r="E792" s="364" t="s">
        <v>1865</v>
      </c>
      <c r="F792" s="364" t="s">
        <v>1865</v>
      </c>
      <c r="G792" s="364" t="s">
        <v>658</v>
      </c>
      <c r="H792" s="364" t="s">
        <v>1864</v>
      </c>
      <c r="I792" s="364" t="s">
        <v>1863</v>
      </c>
      <c r="J792" s="364" t="s">
        <v>673</v>
      </c>
      <c r="K792" s="364" t="s">
        <v>668</v>
      </c>
      <c r="L792" s="364" t="s">
        <v>190</v>
      </c>
      <c r="M792" s="364" t="s">
        <v>250</v>
      </c>
      <c r="N792" s="364" t="s">
        <v>654</v>
      </c>
      <c r="O792" s="364" t="s">
        <v>653</v>
      </c>
      <c r="P792" s="364" t="s">
        <v>198</v>
      </c>
      <c r="Q792" s="364" t="s">
        <v>652</v>
      </c>
      <c r="R792" s="364" t="s">
        <v>88</v>
      </c>
      <c r="S792" s="364" t="s">
        <v>88</v>
      </c>
      <c r="T792" s="364" t="s">
        <v>88</v>
      </c>
      <c r="U792" s="364" t="s">
        <v>88</v>
      </c>
      <c r="V792" s="364" t="s">
        <v>88</v>
      </c>
      <c r="W792" s="364" t="s">
        <v>88</v>
      </c>
      <c r="X792" s="364" t="s">
        <v>88</v>
      </c>
      <c r="Y792" s="364" t="s">
        <v>88</v>
      </c>
      <c r="Z792" s="364" t="s">
        <v>1821</v>
      </c>
      <c r="AA792" s="364" t="s">
        <v>649</v>
      </c>
      <c r="AB792" s="364" t="s">
        <v>649</v>
      </c>
      <c r="AC792" s="364" t="s">
        <v>649</v>
      </c>
      <c r="AD792" s="364" t="s">
        <v>88</v>
      </c>
      <c r="AE792" s="364" t="s">
        <v>88</v>
      </c>
      <c r="AF792" s="364" t="s">
        <v>88</v>
      </c>
      <c r="AG792" s="364" t="s">
        <v>88</v>
      </c>
      <c r="AH792" s="364" t="s">
        <v>88</v>
      </c>
      <c r="AI792" s="364" t="s">
        <v>1155</v>
      </c>
      <c r="AJ792" s="364" t="s">
        <v>710</v>
      </c>
      <c r="AK792" s="364" t="s">
        <v>647</v>
      </c>
      <c r="AL792" s="364" t="s">
        <v>88</v>
      </c>
      <c r="AM792" s="364" t="s">
        <v>668</v>
      </c>
      <c r="AN792" s="364" t="s">
        <v>644</v>
      </c>
    </row>
    <row r="793" spans="1:40" x14ac:dyDescent="0.3">
      <c r="A793" s="364" t="s">
        <v>1866</v>
      </c>
      <c r="B793" s="364" t="s">
        <v>661</v>
      </c>
      <c r="C793" s="364" t="s">
        <v>677</v>
      </c>
      <c r="D793" s="364" t="s">
        <v>90</v>
      </c>
      <c r="E793" s="364" t="s">
        <v>1865</v>
      </c>
      <c r="F793" s="364" t="s">
        <v>1865</v>
      </c>
      <c r="G793" s="364" t="s">
        <v>658</v>
      </c>
      <c r="H793" s="364" t="s">
        <v>1864</v>
      </c>
      <c r="I793" s="364" t="s">
        <v>1863</v>
      </c>
      <c r="J793" s="364" t="s">
        <v>673</v>
      </c>
      <c r="K793" s="364" t="s">
        <v>668</v>
      </c>
      <c r="L793" s="364" t="s">
        <v>190</v>
      </c>
      <c r="M793" s="364" t="s">
        <v>718</v>
      </c>
      <c r="N793" s="364" t="s">
        <v>654</v>
      </c>
      <c r="O793" s="364" t="s">
        <v>653</v>
      </c>
      <c r="P793" s="364" t="s">
        <v>198</v>
      </c>
      <c r="Q793" s="364" t="s">
        <v>652</v>
      </c>
      <c r="R793" s="364" t="s">
        <v>88</v>
      </c>
      <c r="S793" s="364" t="s">
        <v>88</v>
      </c>
      <c r="T793" s="364" t="s">
        <v>88</v>
      </c>
      <c r="U793" s="364" t="s">
        <v>88</v>
      </c>
      <c r="V793" s="364" t="s">
        <v>88</v>
      </c>
      <c r="W793" s="364" t="s">
        <v>88</v>
      </c>
      <c r="X793" s="364" t="s">
        <v>88</v>
      </c>
      <c r="Y793" s="364" t="s">
        <v>88</v>
      </c>
      <c r="Z793" s="364" t="s">
        <v>717</v>
      </c>
      <c r="AA793" s="364" t="s">
        <v>649</v>
      </c>
      <c r="AB793" s="364" t="s">
        <v>649</v>
      </c>
      <c r="AC793" s="364" t="s">
        <v>649</v>
      </c>
      <c r="AD793" s="364" t="s">
        <v>88</v>
      </c>
      <c r="AE793" s="364" t="s">
        <v>88</v>
      </c>
      <c r="AF793" s="364" t="s">
        <v>88</v>
      </c>
      <c r="AG793" s="364" t="s">
        <v>88</v>
      </c>
      <c r="AH793" s="364" t="s">
        <v>88</v>
      </c>
      <c r="AI793" s="364" t="s">
        <v>1155</v>
      </c>
      <c r="AJ793" s="364" t="s">
        <v>710</v>
      </c>
      <c r="AK793" s="364" t="s">
        <v>647</v>
      </c>
      <c r="AL793" s="364" t="s">
        <v>88</v>
      </c>
      <c r="AM793" s="364" t="s">
        <v>668</v>
      </c>
      <c r="AN793" s="364" t="s">
        <v>644</v>
      </c>
    </row>
    <row r="794" spans="1:40" x14ac:dyDescent="0.3">
      <c r="A794" s="364" t="s">
        <v>1866</v>
      </c>
      <c r="B794" s="364" t="s">
        <v>661</v>
      </c>
      <c r="C794" s="364" t="s">
        <v>677</v>
      </c>
      <c r="D794" s="364" t="s">
        <v>90</v>
      </c>
      <c r="E794" s="364" t="s">
        <v>1865</v>
      </c>
      <c r="F794" s="364" t="s">
        <v>1865</v>
      </c>
      <c r="G794" s="364" t="s">
        <v>658</v>
      </c>
      <c r="H794" s="364" t="s">
        <v>1864</v>
      </c>
      <c r="I794" s="364" t="s">
        <v>1863</v>
      </c>
      <c r="J794" s="364" t="s">
        <v>673</v>
      </c>
      <c r="K794" s="364" t="s">
        <v>668</v>
      </c>
      <c r="L794" s="364" t="s">
        <v>190</v>
      </c>
      <c r="M794" s="364" t="s">
        <v>713</v>
      </c>
      <c r="N794" s="364" t="s">
        <v>654</v>
      </c>
      <c r="O794" s="364" t="s">
        <v>653</v>
      </c>
      <c r="P794" s="364" t="s">
        <v>198</v>
      </c>
      <c r="Q794" s="364" t="s">
        <v>652</v>
      </c>
      <c r="R794" s="364" t="s">
        <v>88</v>
      </c>
      <c r="S794" s="364" t="s">
        <v>88</v>
      </c>
      <c r="T794" s="364" t="s">
        <v>88</v>
      </c>
      <c r="U794" s="364" t="s">
        <v>88</v>
      </c>
      <c r="V794" s="364" t="s">
        <v>88</v>
      </c>
      <c r="W794" s="364" t="s">
        <v>88</v>
      </c>
      <c r="X794" s="364" t="s">
        <v>88</v>
      </c>
      <c r="Y794" s="364" t="s">
        <v>88</v>
      </c>
      <c r="Z794" s="364" t="s">
        <v>712</v>
      </c>
      <c r="AA794" s="364" t="s">
        <v>711</v>
      </c>
      <c r="AB794" s="364" t="s">
        <v>649</v>
      </c>
      <c r="AC794" s="364" t="s">
        <v>649</v>
      </c>
      <c r="AD794" s="364" t="s">
        <v>88</v>
      </c>
      <c r="AE794" s="364" t="s">
        <v>88</v>
      </c>
      <c r="AF794" s="364" t="s">
        <v>88</v>
      </c>
      <c r="AG794" s="364" t="s">
        <v>88</v>
      </c>
      <c r="AH794" s="364" t="s">
        <v>88</v>
      </c>
      <c r="AI794" s="364" t="s">
        <v>1155</v>
      </c>
      <c r="AJ794" s="364" t="s">
        <v>710</v>
      </c>
      <c r="AK794" s="364" t="s">
        <v>647</v>
      </c>
      <c r="AL794" s="364" t="s">
        <v>88</v>
      </c>
      <c r="AM794" s="364" t="s">
        <v>668</v>
      </c>
      <c r="AN794" s="364" t="s">
        <v>644</v>
      </c>
    </row>
    <row r="795" spans="1:40" x14ac:dyDescent="0.3">
      <c r="A795" s="364" t="s">
        <v>1866</v>
      </c>
      <c r="B795" s="364" t="s">
        <v>661</v>
      </c>
      <c r="C795" s="364" t="s">
        <v>677</v>
      </c>
      <c r="D795" s="364" t="s">
        <v>90</v>
      </c>
      <c r="E795" s="364" t="s">
        <v>1865</v>
      </c>
      <c r="F795" s="364" t="s">
        <v>1865</v>
      </c>
      <c r="G795" s="364" t="s">
        <v>658</v>
      </c>
      <c r="H795" s="364" t="s">
        <v>1864</v>
      </c>
      <c r="I795" s="364" t="s">
        <v>1863</v>
      </c>
      <c r="J795" s="364" t="s">
        <v>673</v>
      </c>
      <c r="K795" s="364" t="s">
        <v>668</v>
      </c>
      <c r="L795" s="364" t="s">
        <v>190</v>
      </c>
      <c r="M795" s="364" t="s">
        <v>61</v>
      </c>
      <c r="N795" s="364" t="s">
        <v>654</v>
      </c>
      <c r="O795" s="364" t="s">
        <v>653</v>
      </c>
      <c r="P795" s="364" t="s">
        <v>198</v>
      </c>
      <c r="Q795" s="364" t="s">
        <v>652</v>
      </c>
      <c r="R795" s="364" t="s">
        <v>88</v>
      </c>
      <c r="S795" s="364" t="s">
        <v>88</v>
      </c>
      <c r="T795" s="364" t="s">
        <v>88</v>
      </c>
      <c r="U795" s="364" t="s">
        <v>88</v>
      </c>
      <c r="V795" s="364" t="s">
        <v>88</v>
      </c>
      <c r="W795" s="364" t="s">
        <v>88</v>
      </c>
      <c r="X795" s="364" t="s">
        <v>88</v>
      </c>
      <c r="Y795" s="364" t="s">
        <v>88</v>
      </c>
      <c r="Z795" s="364" t="s">
        <v>1021</v>
      </c>
      <c r="AA795" s="364" t="s">
        <v>671</v>
      </c>
      <c r="AB795" s="364" t="s">
        <v>649</v>
      </c>
      <c r="AC795" s="364" t="s">
        <v>649</v>
      </c>
      <c r="AD795" s="364" t="s">
        <v>88</v>
      </c>
      <c r="AE795" s="364" t="s">
        <v>88</v>
      </c>
      <c r="AF795" s="364" t="s">
        <v>88</v>
      </c>
      <c r="AG795" s="364" t="s">
        <v>88</v>
      </c>
      <c r="AH795" s="364" t="s">
        <v>88</v>
      </c>
      <c r="AI795" s="364" t="s">
        <v>1155</v>
      </c>
      <c r="AJ795" s="364" t="s">
        <v>710</v>
      </c>
      <c r="AK795" s="364" t="s">
        <v>647</v>
      </c>
      <c r="AL795" s="364" t="s">
        <v>88</v>
      </c>
      <c r="AM795" s="364" t="s">
        <v>668</v>
      </c>
      <c r="AN795" s="364" t="s">
        <v>644</v>
      </c>
    </row>
    <row r="796" spans="1:40" x14ac:dyDescent="0.3">
      <c r="A796" s="364" t="s">
        <v>1866</v>
      </c>
      <c r="B796" s="364" t="s">
        <v>661</v>
      </c>
      <c r="C796" s="364" t="s">
        <v>677</v>
      </c>
      <c r="D796" s="364" t="s">
        <v>90</v>
      </c>
      <c r="E796" s="364" t="s">
        <v>1865</v>
      </c>
      <c r="F796" s="364" t="s">
        <v>1865</v>
      </c>
      <c r="G796" s="364" t="s">
        <v>658</v>
      </c>
      <c r="H796" s="364" t="s">
        <v>1864</v>
      </c>
      <c r="I796" s="364" t="s">
        <v>1863</v>
      </c>
      <c r="J796" s="364" t="s">
        <v>673</v>
      </c>
      <c r="K796" s="364" t="s">
        <v>668</v>
      </c>
      <c r="L796" s="364" t="s">
        <v>190</v>
      </c>
      <c r="M796" s="364" t="s">
        <v>721</v>
      </c>
      <c r="N796" s="364" t="s">
        <v>654</v>
      </c>
      <c r="O796" s="364" t="s">
        <v>653</v>
      </c>
      <c r="P796" s="364" t="s">
        <v>198</v>
      </c>
      <c r="Q796" s="364" t="s">
        <v>652</v>
      </c>
      <c r="R796" s="364" t="s">
        <v>88</v>
      </c>
      <c r="S796" s="364" t="s">
        <v>88</v>
      </c>
      <c r="T796" s="364" t="s">
        <v>88</v>
      </c>
      <c r="U796" s="364" t="s">
        <v>88</v>
      </c>
      <c r="V796" s="364" t="s">
        <v>88</v>
      </c>
      <c r="W796" s="364" t="s">
        <v>88</v>
      </c>
      <c r="X796" s="364" t="s">
        <v>88</v>
      </c>
      <c r="Y796" s="364" t="s">
        <v>88</v>
      </c>
      <c r="Z796" s="364" t="s">
        <v>720</v>
      </c>
      <c r="AA796" s="364" t="s">
        <v>649</v>
      </c>
      <c r="AB796" s="364" t="s">
        <v>649</v>
      </c>
      <c r="AC796" s="364" t="s">
        <v>649</v>
      </c>
      <c r="AD796" s="364" t="s">
        <v>88</v>
      </c>
      <c r="AE796" s="364" t="s">
        <v>88</v>
      </c>
      <c r="AF796" s="364" t="s">
        <v>88</v>
      </c>
      <c r="AG796" s="364" t="s">
        <v>88</v>
      </c>
      <c r="AH796" s="364" t="s">
        <v>88</v>
      </c>
      <c r="AI796" s="364" t="s">
        <v>1155</v>
      </c>
      <c r="AJ796" s="364" t="s">
        <v>710</v>
      </c>
      <c r="AK796" s="364" t="s">
        <v>647</v>
      </c>
      <c r="AL796" s="364" t="s">
        <v>88</v>
      </c>
      <c r="AM796" s="364" t="s">
        <v>668</v>
      </c>
      <c r="AN796" s="364" t="s">
        <v>644</v>
      </c>
    </row>
    <row r="797" spans="1:40" x14ac:dyDescent="0.3">
      <c r="A797" s="364" t="s">
        <v>1866</v>
      </c>
      <c r="B797" s="364" t="s">
        <v>661</v>
      </c>
      <c r="C797" s="364" t="s">
        <v>677</v>
      </c>
      <c r="D797" s="364" t="s">
        <v>90</v>
      </c>
      <c r="E797" s="364" t="s">
        <v>1865</v>
      </c>
      <c r="F797" s="364" t="s">
        <v>1865</v>
      </c>
      <c r="G797" s="364" t="s">
        <v>658</v>
      </c>
      <c r="H797" s="364" t="s">
        <v>1864</v>
      </c>
      <c r="I797" s="364" t="s">
        <v>1863</v>
      </c>
      <c r="J797" s="364" t="s">
        <v>673</v>
      </c>
      <c r="K797" s="364" t="s">
        <v>668</v>
      </c>
      <c r="L797" s="364" t="s">
        <v>190</v>
      </c>
      <c r="M797" s="364" t="s">
        <v>56</v>
      </c>
      <c r="N797" s="364" t="s">
        <v>654</v>
      </c>
      <c r="O797" s="364" t="s">
        <v>653</v>
      </c>
      <c r="P797" s="364" t="s">
        <v>198</v>
      </c>
      <c r="Q797" s="364" t="s">
        <v>652</v>
      </c>
      <c r="R797" s="364" t="s">
        <v>88</v>
      </c>
      <c r="S797" s="364" t="s">
        <v>88</v>
      </c>
      <c r="T797" s="364" t="s">
        <v>88</v>
      </c>
      <c r="U797" s="364" t="s">
        <v>88</v>
      </c>
      <c r="V797" s="364" t="s">
        <v>88</v>
      </c>
      <c r="W797" s="364" t="s">
        <v>88</v>
      </c>
      <c r="X797" s="364" t="s">
        <v>88</v>
      </c>
      <c r="Y797" s="364" t="s">
        <v>88</v>
      </c>
      <c r="Z797" s="364" t="s">
        <v>1165</v>
      </c>
      <c r="AA797" s="364" t="s">
        <v>1164</v>
      </c>
      <c r="AB797" s="364" t="s">
        <v>649</v>
      </c>
      <c r="AC797" s="364" t="s">
        <v>649</v>
      </c>
      <c r="AD797" s="364" t="s">
        <v>88</v>
      </c>
      <c r="AE797" s="364" t="s">
        <v>88</v>
      </c>
      <c r="AF797" s="364" t="s">
        <v>88</v>
      </c>
      <c r="AG797" s="364" t="s">
        <v>88</v>
      </c>
      <c r="AH797" s="364" t="s">
        <v>88</v>
      </c>
      <c r="AI797" s="364" t="s">
        <v>1155</v>
      </c>
      <c r="AJ797" s="364" t="s">
        <v>710</v>
      </c>
      <c r="AK797" s="364" t="s">
        <v>647</v>
      </c>
      <c r="AL797" s="364" t="s">
        <v>88</v>
      </c>
      <c r="AM797" s="364" t="s">
        <v>668</v>
      </c>
      <c r="AN797" s="364" t="s">
        <v>644</v>
      </c>
    </row>
    <row r="798" spans="1:40" x14ac:dyDescent="0.3">
      <c r="A798" s="364" t="s">
        <v>1862</v>
      </c>
      <c r="B798" s="364" t="s">
        <v>661</v>
      </c>
      <c r="C798" s="364" t="s">
        <v>677</v>
      </c>
      <c r="D798" s="364" t="s">
        <v>90</v>
      </c>
      <c r="E798" s="364" t="s">
        <v>1861</v>
      </c>
      <c r="F798" s="364" t="s">
        <v>1861</v>
      </c>
      <c r="G798" s="364" t="s">
        <v>658</v>
      </c>
      <c r="H798" s="364" t="s">
        <v>1860</v>
      </c>
      <c r="I798" s="364" t="s">
        <v>1859</v>
      </c>
      <c r="J798" s="364" t="s">
        <v>673</v>
      </c>
      <c r="K798" s="364" t="s">
        <v>668</v>
      </c>
      <c r="L798" s="364" t="s">
        <v>190</v>
      </c>
      <c r="M798" s="364" t="s">
        <v>54</v>
      </c>
      <c r="N798" s="364" t="s">
        <v>654</v>
      </c>
      <c r="O798" s="364" t="s">
        <v>653</v>
      </c>
      <c r="P798" s="364" t="s">
        <v>198</v>
      </c>
      <c r="Q798" s="364" t="s">
        <v>652</v>
      </c>
      <c r="R798" s="364" t="s">
        <v>88</v>
      </c>
      <c r="S798" s="364" t="s">
        <v>88</v>
      </c>
      <c r="T798" s="364" t="s">
        <v>88</v>
      </c>
      <c r="U798" s="364" t="s">
        <v>88</v>
      </c>
      <c r="V798" s="364" t="s">
        <v>88</v>
      </c>
      <c r="W798" s="364" t="s">
        <v>88</v>
      </c>
      <c r="X798" s="364" t="s">
        <v>88</v>
      </c>
      <c r="Y798" s="364" t="s">
        <v>88</v>
      </c>
      <c r="Z798" s="364" t="s">
        <v>1265</v>
      </c>
      <c r="AA798" s="364" t="s">
        <v>649</v>
      </c>
      <c r="AB798" s="364" t="s">
        <v>649</v>
      </c>
      <c r="AC798" s="364" t="s">
        <v>649</v>
      </c>
      <c r="AD798" s="364" t="s">
        <v>88</v>
      </c>
      <c r="AE798" s="364" t="s">
        <v>88</v>
      </c>
      <c r="AF798" s="364" t="s">
        <v>88</v>
      </c>
      <c r="AG798" s="364" t="s">
        <v>88</v>
      </c>
      <c r="AH798" s="364" t="s">
        <v>88</v>
      </c>
      <c r="AI798" s="364" t="s">
        <v>1155</v>
      </c>
      <c r="AJ798" s="364" t="s">
        <v>710</v>
      </c>
      <c r="AK798" s="364" t="s">
        <v>647</v>
      </c>
      <c r="AL798" s="364" t="s">
        <v>88</v>
      </c>
      <c r="AM798" s="364" t="s">
        <v>668</v>
      </c>
      <c r="AN798" s="364" t="s">
        <v>644</v>
      </c>
    </row>
    <row r="799" spans="1:40" x14ac:dyDescent="0.3">
      <c r="A799" s="364" t="s">
        <v>1862</v>
      </c>
      <c r="B799" s="364" t="s">
        <v>661</v>
      </c>
      <c r="C799" s="364" t="s">
        <v>677</v>
      </c>
      <c r="D799" s="364" t="s">
        <v>90</v>
      </c>
      <c r="E799" s="364" t="s">
        <v>1861</v>
      </c>
      <c r="F799" s="364" t="s">
        <v>1861</v>
      </c>
      <c r="G799" s="364" t="s">
        <v>658</v>
      </c>
      <c r="H799" s="364" t="s">
        <v>1860</v>
      </c>
      <c r="I799" s="364" t="s">
        <v>1859</v>
      </c>
      <c r="J799" s="364" t="s">
        <v>673</v>
      </c>
      <c r="K799" s="364" t="s">
        <v>668</v>
      </c>
      <c r="L799" s="364" t="s">
        <v>190</v>
      </c>
      <c r="M799" s="364" t="s">
        <v>250</v>
      </c>
      <c r="N799" s="364" t="s">
        <v>654</v>
      </c>
      <c r="O799" s="364" t="s">
        <v>653</v>
      </c>
      <c r="P799" s="364" t="s">
        <v>198</v>
      </c>
      <c r="Q799" s="364" t="s">
        <v>652</v>
      </c>
      <c r="R799" s="364" t="s">
        <v>88</v>
      </c>
      <c r="S799" s="364" t="s">
        <v>88</v>
      </c>
      <c r="T799" s="364" t="s">
        <v>88</v>
      </c>
      <c r="U799" s="364" t="s">
        <v>88</v>
      </c>
      <c r="V799" s="364" t="s">
        <v>88</v>
      </c>
      <c r="W799" s="364" t="s">
        <v>88</v>
      </c>
      <c r="X799" s="364" t="s">
        <v>88</v>
      </c>
      <c r="Y799" s="364" t="s">
        <v>88</v>
      </c>
      <c r="Z799" s="364" t="s">
        <v>1821</v>
      </c>
      <c r="AA799" s="364" t="s">
        <v>649</v>
      </c>
      <c r="AB799" s="364" t="s">
        <v>649</v>
      </c>
      <c r="AC799" s="364" t="s">
        <v>649</v>
      </c>
      <c r="AD799" s="364" t="s">
        <v>88</v>
      </c>
      <c r="AE799" s="364" t="s">
        <v>88</v>
      </c>
      <c r="AF799" s="364" t="s">
        <v>88</v>
      </c>
      <c r="AG799" s="364" t="s">
        <v>88</v>
      </c>
      <c r="AH799" s="364" t="s">
        <v>88</v>
      </c>
      <c r="AI799" s="364" t="s">
        <v>1155</v>
      </c>
      <c r="AJ799" s="364" t="s">
        <v>710</v>
      </c>
      <c r="AK799" s="364" t="s">
        <v>647</v>
      </c>
      <c r="AL799" s="364" t="s">
        <v>88</v>
      </c>
      <c r="AM799" s="364" t="s">
        <v>668</v>
      </c>
      <c r="AN799" s="364" t="s">
        <v>644</v>
      </c>
    </row>
    <row r="800" spans="1:40" x14ac:dyDescent="0.3">
      <c r="A800" s="364" t="s">
        <v>1862</v>
      </c>
      <c r="B800" s="364" t="s">
        <v>661</v>
      </c>
      <c r="C800" s="364" t="s">
        <v>677</v>
      </c>
      <c r="D800" s="364" t="s">
        <v>90</v>
      </c>
      <c r="E800" s="364" t="s">
        <v>1861</v>
      </c>
      <c r="F800" s="364" t="s">
        <v>1861</v>
      </c>
      <c r="G800" s="364" t="s">
        <v>658</v>
      </c>
      <c r="H800" s="364" t="s">
        <v>1860</v>
      </c>
      <c r="I800" s="364" t="s">
        <v>1859</v>
      </c>
      <c r="J800" s="364" t="s">
        <v>673</v>
      </c>
      <c r="K800" s="364" t="s">
        <v>668</v>
      </c>
      <c r="L800" s="364" t="s">
        <v>190</v>
      </c>
      <c r="M800" s="364" t="s">
        <v>718</v>
      </c>
      <c r="N800" s="364" t="s">
        <v>654</v>
      </c>
      <c r="O800" s="364" t="s">
        <v>653</v>
      </c>
      <c r="P800" s="364" t="s">
        <v>198</v>
      </c>
      <c r="Q800" s="364" t="s">
        <v>652</v>
      </c>
      <c r="R800" s="364" t="s">
        <v>88</v>
      </c>
      <c r="S800" s="364" t="s">
        <v>88</v>
      </c>
      <c r="T800" s="364" t="s">
        <v>88</v>
      </c>
      <c r="U800" s="364" t="s">
        <v>88</v>
      </c>
      <c r="V800" s="364" t="s">
        <v>88</v>
      </c>
      <c r="W800" s="364" t="s">
        <v>88</v>
      </c>
      <c r="X800" s="364" t="s">
        <v>88</v>
      </c>
      <c r="Y800" s="364" t="s">
        <v>88</v>
      </c>
      <c r="Z800" s="364" t="s">
        <v>717</v>
      </c>
      <c r="AA800" s="364" t="s">
        <v>649</v>
      </c>
      <c r="AB800" s="364" t="s">
        <v>649</v>
      </c>
      <c r="AC800" s="364" t="s">
        <v>649</v>
      </c>
      <c r="AD800" s="364" t="s">
        <v>88</v>
      </c>
      <c r="AE800" s="364" t="s">
        <v>88</v>
      </c>
      <c r="AF800" s="364" t="s">
        <v>88</v>
      </c>
      <c r="AG800" s="364" t="s">
        <v>88</v>
      </c>
      <c r="AH800" s="364" t="s">
        <v>88</v>
      </c>
      <c r="AI800" s="364" t="s">
        <v>1155</v>
      </c>
      <c r="AJ800" s="364" t="s">
        <v>710</v>
      </c>
      <c r="AK800" s="364" t="s">
        <v>647</v>
      </c>
      <c r="AL800" s="364" t="s">
        <v>88</v>
      </c>
      <c r="AM800" s="364" t="s">
        <v>668</v>
      </c>
      <c r="AN800" s="364" t="s">
        <v>644</v>
      </c>
    </row>
    <row r="801" spans="1:40" x14ac:dyDescent="0.3">
      <c r="A801" s="364" t="s">
        <v>1862</v>
      </c>
      <c r="B801" s="364" t="s">
        <v>661</v>
      </c>
      <c r="C801" s="364" t="s">
        <v>677</v>
      </c>
      <c r="D801" s="364" t="s">
        <v>90</v>
      </c>
      <c r="E801" s="364" t="s">
        <v>1861</v>
      </c>
      <c r="F801" s="364" t="s">
        <v>1861</v>
      </c>
      <c r="G801" s="364" t="s">
        <v>658</v>
      </c>
      <c r="H801" s="364" t="s">
        <v>1860</v>
      </c>
      <c r="I801" s="364" t="s">
        <v>1859</v>
      </c>
      <c r="J801" s="364" t="s">
        <v>673</v>
      </c>
      <c r="K801" s="364" t="s">
        <v>668</v>
      </c>
      <c r="L801" s="364" t="s">
        <v>190</v>
      </c>
      <c r="M801" s="364" t="s">
        <v>713</v>
      </c>
      <c r="N801" s="364" t="s">
        <v>654</v>
      </c>
      <c r="O801" s="364" t="s">
        <v>653</v>
      </c>
      <c r="P801" s="364" t="s">
        <v>198</v>
      </c>
      <c r="Q801" s="364" t="s">
        <v>652</v>
      </c>
      <c r="R801" s="364" t="s">
        <v>88</v>
      </c>
      <c r="S801" s="364" t="s">
        <v>88</v>
      </c>
      <c r="T801" s="364" t="s">
        <v>88</v>
      </c>
      <c r="U801" s="364" t="s">
        <v>88</v>
      </c>
      <c r="V801" s="364" t="s">
        <v>88</v>
      </c>
      <c r="W801" s="364" t="s">
        <v>88</v>
      </c>
      <c r="X801" s="364" t="s">
        <v>88</v>
      </c>
      <c r="Y801" s="364" t="s">
        <v>88</v>
      </c>
      <c r="Z801" s="364" t="s">
        <v>712</v>
      </c>
      <c r="AA801" s="364" t="s">
        <v>711</v>
      </c>
      <c r="AB801" s="364" t="s">
        <v>649</v>
      </c>
      <c r="AC801" s="364" t="s">
        <v>649</v>
      </c>
      <c r="AD801" s="364" t="s">
        <v>88</v>
      </c>
      <c r="AE801" s="364" t="s">
        <v>88</v>
      </c>
      <c r="AF801" s="364" t="s">
        <v>88</v>
      </c>
      <c r="AG801" s="364" t="s">
        <v>88</v>
      </c>
      <c r="AH801" s="364" t="s">
        <v>88</v>
      </c>
      <c r="AI801" s="364" t="s">
        <v>1155</v>
      </c>
      <c r="AJ801" s="364" t="s">
        <v>710</v>
      </c>
      <c r="AK801" s="364" t="s">
        <v>647</v>
      </c>
      <c r="AL801" s="364" t="s">
        <v>88</v>
      </c>
      <c r="AM801" s="364" t="s">
        <v>668</v>
      </c>
      <c r="AN801" s="364" t="s">
        <v>644</v>
      </c>
    </row>
    <row r="802" spans="1:40" x14ac:dyDescent="0.3">
      <c r="A802" s="364" t="s">
        <v>1862</v>
      </c>
      <c r="B802" s="364" t="s">
        <v>661</v>
      </c>
      <c r="C802" s="364" t="s">
        <v>677</v>
      </c>
      <c r="D802" s="364" t="s">
        <v>90</v>
      </c>
      <c r="E802" s="364" t="s">
        <v>1861</v>
      </c>
      <c r="F802" s="364" t="s">
        <v>1861</v>
      </c>
      <c r="G802" s="364" t="s">
        <v>658</v>
      </c>
      <c r="H802" s="364" t="s">
        <v>1860</v>
      </c>
      <c r="I802" s="364" t="s">
        <v>1859</v>
      </c>
      <c r="J802" s="364" t="s">
        <v>673</v>
      </c>
      <c r="K802" s="364" t="s">
        <v>668</v>
      </c>
      <c r="L802" s="364" t="s">
        <v>190</v>
      </c>
      <c r="M802" s="364" t="s">
        <v>61</v>
      </c>
      <c r="N802" s="364" t="s">
        <v>654</v>
      </c>
      <c r="O802" s="364" t="s">
        <v>653</v>
      </c>
      <c r="P802" s="364" t="s">
        <v>198</v>
      </c>
      <c r="Q802" s="364" t="s">
        <v>652</v>
      </c>
      <c r="R802" s="364" t="s">
        <v>88</v>
      </c>
      <c r="S802" s="364" t="s">
        <v>88</v>
      </c>
      <c r="T802" s="364" t="s">
        <v>88</v>
      </c>
      <c r="U802" s="364" t="s">
        <v>88</v>
      </c>
      <c r="V802" s="364" t="s">
        <v>88</v>
      </c>
      <c r="W802" s="364" t="s">
        <v>88</v>
      </c>
      <c r="X802" s="364" t="s">
        <v>88</v>
      </c>
      <c r="Y802" s="364" t="s">
        <v>88</v>
      </c>
      <c r="Z802" s="364" t="s">
        <v>1021</v>
      </c>
      <c r="AA802" s="364" t="s">
        <v>671</v>
      </c>
      <c r="AB802" s="364" t="s">
        <v>649</v>
      </c>
      <c r="AC802" s="364" t="s">
        <v>649</v>
      </c>
      <c r="AD802" s="364" t="s">
        <v>88</v>
      </c>
      <c r="AE802" s="364" t="s">
        <v>88</v>
      </c>
      <c r="AF802" s="364" t="s">
        <v>88</v>
      </c>
      <c r="AG802" s="364" t="s">
        <v>88</v>
      </c>
      <c r="AH802" s="364" t="s">
        <v>88</v>
      </c>
      <c r="AI802" s="364" t="s">
        <v>1155</v>
      </c>
      <c r="AJ802" s="364" t="s">
        <v>710</v>
      </c>
      <c r="AK802" s="364" t="s">
        <v>647</v>
      </c>
      <c r="AL802" s="364" t="s">
        <v>88</v>
      </c>
      <c r="AM802" s="364" t="s">
        <v>668</v>
      </c>
      <c r="AN802" s="364" t="s">
        <v>644</v>
      </c>
    </row>
    <row r="803" spans="1:40" x14ac:dyDescent="0.3">
      <c r="A803" s="364" t="s">
        <v>1862</v>
      </c>
      <c r="B803" s="364" t="s">
        <v>661</v>
      </c>
      <c r="C803" s="364" t="s">
        <v>677</v>
      </c>
      <c r="D803" s="364" t="s">
        <v>90</v>
      </c>
      <c r="E803" s="364" t="s">
        <v>1861</v>
      </c>
      <c r="F803" s="364" t="s">
        <v>1861</v>
      </c>
      <c r="G803" s="364" t="s">
        <v>658</v>
      </c>
      <c r="H803" s="364" t="s">
        <v>1860</v>
      </c>
      <c r="I803" s="364" t="s">
        <v>1859</v>
      </c>
      <c r="J803" s="364" t="s">
        <v>673</v>
      </c>
      <c r="K803" s="364" t="s">
        <v>668</v>
      </c>
      <c r="L803" s="364" t="s">
        <v>190</v>
      </c>
      <c r="M803" s="364" t="s">
        <v>721</v>
      </c>
      <c r="N803" s="364" t="s">
        <v>654</v>
      </c>
      <c r="O803" s="364" t="s">
        <v>653</v>
      </c>
      <c r="P803" s="364" t="s">
        <v>198</v>
      </c>
      <c r="Q803" s="364" t="s">
        <v>652</v>
      </c>
      <c r="R803" s="364" t="s">
        <v>88</v>
      </c>
      <c r="S803" s="364" t="s">
        <v>88</v>
      </c>
      <c r="T803" s="364" t="s">
        <v>88</v>
      </c>
      <c r="U803" s="364" t="s">
        <v>88</v>
      </c>
      <c r="V803" s="364" t="s">
        <v>88</v>
      </c>
      <c r="W803" s="364" t="s">
        <v>88</v>
      </c>
      <c r="X803" s="364" t="s">
        <v>88</v>
      </c>
      <c r="Y803" s="364" t="s">
        <v>88</v>
      </c>
      <c r="Z803" s="364" t="s">
        <v>720</v>
      </c>
      <c r="AA803" s="364" t="s">
        <v>649</v>
      </c>
      <c r="AB803" s="364" t="s">
        <v>649</v>
      </c>
      <c r="AC803" s="364" t="s">
        <v>649</v>
      </c>
      <c r="AD803" s="364" t="s">
        <v>88</v>
      </c>
      <c r="AE803" s="364" t="s">
        <v>88</v>
      </c>
      <c r="AF803" s="364" t="s">
        <v>88</v>
      </c>
      <c r="AG803" s="364" t="s">
        <v>88</v>
      </c>
      <c r="AH803" s="364" t="s">
        <v>88</v>
      </c>
      <c r="AI803" s="364" t="s">
        <v>1155</v>
      </c>
      <c r="AJ803" s="364" t="s">
        <v>710</v>
      </c>
      <c r="AK803" s="364" t="s">
        <v>647</v>
      </c>
      <c r="AL803" s="364" t="s">
        <v>88</v>
      </c>
      <c r="AM803" s="364" t="s">
        <v>668</v>
      </c>
      <c r="AN803" s="364" t="s">
        <v>644</v>
      </c>
    </row>
    <row r="804" spans="1:40" x14ac:dyDescent="0.3">
      <c r="A804" s="364" t="s">
        <v>1862</v>
      </c>
      <c r="B804" s="364" t="s">
        <v>661</v>
      </c>
      <c r="C804" s="364" t="s">
        <v>677</v>
      </c>
      <c r="D804" s="364" t="s">
        <v>90</v>
      </c>
      <c r="E804" s="364" t="s">
        <v>1861</v>
      </c>
      <c r="F804" s="364" t="s">
        <v>1861</v>
      </c>
      <c r="G804" s="364" t="s">
        <v>658</v>
      </c>
      <c r="H804" s="364" t="s">
        <v>1860</v>
      </c>
      <c r="I804" s="364" t="s">
        <v>1859</v>
      </c>
      <c r="J804" s="364" t="s">
        <v>673</v>
      </c>
      <c r="K804" s="364" t="s">
        <v>668</v>
      </c>
      <c r="L804" s="364" t="s">
        <v>190</v>
      </c>
      <c r="M804" s="364" t="s">
        <v>56</v>
      </c>
      <c r="N804" s="364" t="s">
        <v>654</v>
      </c>
      <c r="O804" s="364" t="s">
        <v>653</v>
      </c>
      <c r="P804" s="364" t="s">
        <v>198</v>
      </c>
      <c r="Q804" s="364" t="s">
        <v>652</v>
      </c>
      <c r="R804" s="364" t="s">
        <v>88</v>
      </c>
      <c r="S804" s="364" t="s">
        <v>88</v>
      </c>
      <c r="T804" s="364" t="s">
        <v>88</v>
      </c>
      <c r="U804" s="364" t="s">
        <v>88</v>
      </c>
      <c r="V804" s="364" t="s">
        <v>88</v>
      </c>
      <c r="W804" s="364" t="s">
        <v>88</v>
      </c>
      <c r="X804" s="364" t="s">
        <v>88</v>
      </c>
      <c r="Y804" s="364" t="s">
        <v>88</v>
      </c>
      <c r="Z804" s="364" t="s">
        <v>1165</v>
      </c>
      <c r="AA804" s="364" t="s">
        <v>1164</v>
      </c>
      <c r="AB804" s="364" t="s">
        <v>649</v>
      </c>
      <c r="AC804" s="364" t="s">
        <v>649</v>
      </c>
      <c r="AD804" s="364" t="s">
        <v>88</v>
      </c>
      <c r="AE804" s="364" t="s">
        <v>88</v>
      </c>
      <c r="AF804" s="364" t="s">
        <v>88</v>
      </c>
      <c r="AG804" s="364" t="s">
        <v>88</v>
      </c>
      <c r="AH804" s="364" t="s">
        <v>88</v>
      </c>
      <c r="AI804" s="364" t="s">
        <v>1155</v>
      </c>
      <c r="AJ804" s="364" t="s">
        <v>710</v>
      </c>
      <c r="AK804" s="364" t="s">
        <v>647</v>
      </c>
      <c r="AL804" s="364" t="s">
        <v>88</v>
      </c>
      <c r="AM804" s="364" t="s">
        <v>668</v>
      </c>
      <c r="AN804" s="364" t="s">
        <v>644</v>
      </c>
    </row>
    <row r="805" spans="1:40" x14ac:dyDescent="0.3">
      <c r="A805" s="364" t="s">
        <v>1858</v>
      </c>
      <c r="B805" s="364" t="s">
        <v>661</v>
      </c>
      <c r="C805" s="364" t="s">
        <v>677</v>
      </c>
      <c r="D805" s="364" t="s">
        <v>90</v>
      </c>
      <c r="E805" s="364" t="s">
        <v>1843</v>
      </c>
      <c r="F805" s="364" t="s">
        <v>1843</v>
      </c>
      <c r="G805" s="364" t="s">
        <v>658</v>
      </c>
      <c r="H805" s="364" t="s">
        <v>1857</v>
      </c>
      <c r="I805" s="364" t="s">
        <v>1856</v>
      </c>
      <c r="J805" s="364" t="s">
        <v>673</v>
      </c>
      <c r="K805" s="364" t="s">
        <v>668</v>
      </c>
      <c r="L805" s="364" t="s">
        <v>190</v>
      </c>
      <c r="M805" s="364" t="s">
        <v>54</v>
      </c>
      <c r="N805" s="364" t="s">
        <v>654</v>
      </c>
      <c r="O805" s="364" t="s">
        <v>653</v>
      </c>
      <c r="P805" s="364" t="s">
        <v>198</v>
      </c>
      <c r="Q805" s="364" t="s">
        <v>652</v>
      </c>
      <c r="R805" s="364" t="s">
        <v>88</v>
      </c>
      <c r="S805" s="364" t="s">
        <v>88</v>
      </c>
      <c r="T805" s="364" t="s">
        <v>88</v>
      </c>
      <c r="U805" s="364" t="s">
        <v>88</v>
      </c>
      <c r="V805" s="364" t="s">
        <v>88</v>
      </c>
      <c r="W805" s="364" t="s">
        <v>88</v>
      </c>
      <c r="X805" s="364" t="s">
        <v>88</v>
      </c>
      <c r="Y805" s="364" t="s">
        <v>88</v>
      </c>
      <c r="Z805" s="364" t="s">
        <v>1265</v>
      </c>
      <c r="AA805" s="364" t="s">
        <v>649</v>
      </c>
      <c r="AB805" s="364" t="s">
        <v>649</v>
      </c>
      <c r="AC805" s="364" t="s">
        <v>649</v>
      </c>
      <c r="AD805" s="364" t="s">
        <v>88</v>
      </c>
      <c r="AE805" s="364" t="s">
        <v>88</v>
      </c>
      <c r="AF805" s="364" t="s">
        <v>88</v>
      </c>
      <c r="AG805" s="364" t="s">
        <v>88</v>
      </c>
      <c r="AH805" s="364" t="s">
        <v>88</v>
      </c>
      <c r="AI805" s="364" t="s">
        <v>1155</v>
      </c>
      <c r="AJ805" s="364" t="s">
        <v>710</v>
      </c>
      <c r="AK805" s="364" t="s">
        <v>647</v>
      </c>
      <c r="AL805" s="364" t="s">
        <v>88</v>
      </c>
      <c r="AM805" s="364" t="s">
        <v>668</v>
      </c>
      <c r="AN805" s="364" t="s">
        <v>644</v>
      </c>
    </row>
    <row r="806" spans="1:40" x14ac:dyDescent="0.3">
      <c r="A806" s="364" t="s">
        <v>1858</v>
      </c>
      <c r="B806" s="364" t="s">
        <v>661</v>
      </c>
      <c r="C806" s="364" t="s">
        <v>677</v>
      </c>
      <c r="D806" s="364" t="s">
        <v>90</v>
      </c>
      <c r="E806" s="364" t="s">
        <v>1843</v>
      </c>
      <c r="F806" s="364" t="s">
        <v>1843</v>
      </c>
      <c r="G806" s="364" t="s">
        <v>658</v>
      </c>
      <c r="H806" s="364" t="s">
        <v>1857</v>
      </c>
      <c r="I806" s="364" t="s">
        <v>1856</v>
      </c>
      <c r="J806" s="364" t="s">
        <v>673</v>
      </c>
      <c r="K806" s="364" t="s">
        <v>668</v>
      </c>
      <c r="L806" s="364" t="s">
        <v>190</v>
      </c>
      <c r="M806" s="364" t="s">
        <v>250</v>
      </c>
      <c r="N806" s="364" t="s">
        <v>654</v>
      </c>
      <c r="O806" s="364" t="s">
        <v>653</v>
      </c>
      <c r="P806" s="364" t="s">
        <v>198</v>
      </c>
      <c r="Q806" s="364" t="s">
        <v>652</v>
      </c>
      <c r="R806" s="364" t="s">
        <v>88</v>
      </c>
      <c r="S806" s="364" t="s">
        <v>88</v>
      </c>
      <c r="T806" s="364" t="s">
        <v>88</v>
      </c>
      <c r="U806" s="364" t="s">
        <v>88</v>
      </c>
      <c r="V806" s="364" t="s">
        <v>88</v>
      </c>
      <c r="W806" s="364" t="s">
        <v>88</v>
      </c>
      <c r="X806" s="364" t="s">
        <v>88</v>
      </c>
      <c r="Y806" s="364" t="s">
        <v>88</v>
      </c>
      <c r="Z806" s="364" t="s">
        <v>1821</v>
      </c>
      <c r="AA806" s="364" t="s">
        <v>649</v>
      </c>
      <c r="AB806" s="364" t="s">
        <v>649</v>
      </c>
      <c r="AC806" s="364" t="s">
        <v>649</v>
      </c>
      <c r="AD806" s="364" t="s">
        <v>88</v>
      </c>
      <c r="AE806" s="364" t="s">
        <v>88</v>
      </c>
      <c r="AF806" s="364" t="s">
        <v>88</v>
      </c>
      <c r="AG806" s="364" t="s">
        <v>88</v>
      </c>
      <c r="AH806" s="364" t="s">
        <v>88</v>
      </c>
      <c r="AI806" s="364" t="s">
        <v>1155</v>
      </c>
      <c r="AJ806" s="364" t="s">
        <v>710</v>
      </c>
      <c r="AK806" s="364" t="s">
        <v>647</v>
      </c>
      <c r="AL806" s="364" t="s">
        <v>88</v>
      </c>
      <c r="AM806" s="364" t="s">
        <v>668</v>
      </c>
      <c r="AN806" s="364" t="s">
        <v>644</v>
      </c>
    </row>
    <row r="807" spans="1:40" x14ac:dyDescent="0.3">
      <c r="A807" s="364" t="s">
        <v>1858</v>
      </c>
      <c r="B807" s="364" t="s">
        <v>661</v>
      </c>
      <c r="C807" s="364" t="s">
        <v>677</v>
      </c>
      <c r="D807" s="364" t="s">
        <v>90</v>
      </c>
      <c r="E807" s="364" t="s">
        <v>1843</v>
      </c>
      <c r="F807" s="364" t="s">
        <v>1843</v>
      </c>
      <c r="G807" s="364" t="s">
        <v>658</v>
      </c>
      <c r="H807" s="364" t="s">
        <v>1857</v>
      </c>
      <c r="I807" s="364" t="s">
        <v>1856</v>
      </c>
      <c r="J807" s="364" t="s">
        <v>673</v>
      </c>
      <c r="K807" s="364" t="s">
        <v>668</v>
      </c>
      <c r="L807" s="364" t="s">
        <v>190</v>
      </c>
      <c r="M807" s="364" t="s">
        <v>718</v>
      </c>
      <c r="N807" s="364" t="s">
        <v>654</v>
      </c>
      <c r="O807" s="364" t="s">
        <v>653</v>
      </c>
      <c r="P807" s="364" t="s">
        <v>198</v>
      </c>
      <c r="Q807" s="364" t="s">
        <v>652</v>
      </c>
      <c r="R807" s="364" t="s">
        <v>88</v>
      </c>
      <c r="S807" s="364" t="s">
        <v>88</v>
      </c>
      <c r="T807" s="364" t="s">
        <v>88</v>
      </c>
      <c r="U807" s="364" t="s">
        <v>88</v>
      </c>
      <c r="V807" s="364" t="s">
        <v>88</v>
      </c>
      <c r="W807" s="364" t="s">
        <v>88</v>
      </c>
      <c r="X807" s="364" t="s">
        <v>88</v>
      </c>
      <c r="Y807" s="364" t="s">
        <v>88</v>
      </c>
      <c r="Z807" s="364" t="s">
        <v>717</v>
      </c>
      <c r="AA807" s="364" t="s">
        <v>649</v>
      </c>
      <c r="AB807" s="364" t="s">
        <v>649</v>
      </c>
      <c r="AC807" s="364" t="s">
        <v>649</v>
      </c>
      <c r="AD807" s="364" t="s">
        <v>88</v>
      </c>
      <c r="AE807" s="364" t="s">
        <v>88</v>
      </c>
      <c r="AF807" s="364" t="s">
        <v>88</v>
      </c>
      <c r="AG807" s="364" t="s">
        <v>88</v>
      </c>
      <c r="AH807" s="364" t="s">
        <v>88</v>
      </c>
      <c r="AI807" s="364" t="s">
        <v>1155</v>
      </c>
      <c r="AJ807" s="364" t="s">
        <v>710</v>
      </c>
      <c r="AK807" s="364" t="s">
        <v>647</v>
      </c>
      <c r="AL807" s="364" t="s">
        <v>88</v>
      </c>
      <c r="AM807" s="364" t="s">
        <v>668</v>
      </c>
      <c r="AN807" s="364" t="s">
        <v>644</v>
      </c>
    </row>
    <row r="808" spans="1:40" x14ac:dyDescent="0.3">
      <c r="A808" s="364" t="s">
        <v>1858</v>
      </c>
      <c r="B808" s="364" t="s">
        <v>661</v>
      </c>
      <c r="C808" s="364" t="s">
        <v>677</v>
      </c>
      <c r="D808" s="364" t="s">
        <v>90</v>
      </c>
      <c r="E808" s="364" t="s">
        <v>1843</v>
      </c>
      <c r="F808" s="364" t="s">
        <v>1843</v>
      </c>
      <c r="G808" s="364" t="s">
        <v>658</v>
      </c>
      <c r="H808" s="364" t="s">
        <v>1857</v>
      </c>
      <c r="I808" s="364" t="s">
        <v>1856</v>
      </c>
      <c r="J808" s="364" t="s">
        <v>673</v>
      </c>
      <c r="K808" s="364" t="s">
        <v>668</v>
      </c>
      <c r="L808" s="364" t="s">
        <v>190</v>
      </c>
      <c r="M808" s="364" t="s">
        <v>713</v>
      </c>
      <c r="N808" s="364" t="s">
        <v>654</v>
      </c>
      <c r="O808" s="364" t="s">
        <v>653</v>
      </c>
      <c r="P808" s="364" t="s">
        <v>198</v>
      </c>
      <c r="Q808" s="364" t="s">
        <v>652</v>
      </c>
      <c r="R808" s="364" t="s">
        <v>88</v>
      </c>
      <c r="S808" s="364" t="s">
        <v>88</v>
      </c>
      <c r="T808" s="364" t="s">
        <v>88</v>
      </c>
      <c r="U808" s="364" t="s">
        <v>88</v>
      </c>
      <c r="V808" s="364" t="s">
        <v>88</v>
      </c>
      <c r="W808" s="364" t="s">
        <v>88</v>
      </c>
      <c r="X808" s="364" t="s">
        <v>88</v>
      </c>
      <c r="Y808" s="364" t="s">
        <v>88</v>
      </c>
      <c r="Z808" s="364" t="s">
        <v>712</v>
      </c>
      <c r="AA808" s="364" t="s">
        <v>711</v>
      </c>
      <c r="AB808" s="364" t="s">
        <v>649</v>
      </c>
      <c r="AC808" s="364" t="s">
        <v>649</v>
      </c>
      <c r="AD808" s="364" t="s">
        <v>88</v>
      </c>
      <c r="AE808" s="364" t="s">
        <v>88</v>
      </c>
      <c r="AF808" s="364" t="s">
        <v>88</v>
      </c>
      <c r="AG808" s="364" t="s">
        <v>88</v>
      </c>
      <c r="AH808" s="364" t="s">
        <v>88</v>
      </c>
      <c r="AI808" s="364" t="s">
        <v>1155</v>
      </c>
      <c r="AJ808" s="364" t="s">
        <v>710</v>
      </c>
      <c r="AK808" s="364" t="s">
        <v>647</v>
      </c>
      <c r="AL808" s="364" t="s">
        <v>88</v>
      </c>
      <c r="AM808" s="364" t="s">
        <v>668</v>
      </c>
      <c r="AN808" s="364" t="s">
        <v>644</v>
      </c>
    </row>
    <row r="809" spans="1:40" x14ac:dyDescent="0.3">
      <c r="A809" s="364" t="s">
        <v>1858</v>
      </c>
      <c r="B809" s="364" t="s">
        <v>661</v>
      </c>
      <c r="C809" s="364" t="s">
        <v>677</v>
      </c>
      <c r="D809" s="364" t="s">
        <v>90</v>
      </c>
      <c r="E809" s="364" t="s">
        <v>1843</v>
      </c>
      <c r="F809" s="364" t="s">
        <v>1843</v>
      </c>
      <c r="G809" s="364" t="s">
        <v>658</v>
      </c>
      <c r="H809" s="364" t="s">
        <v>1857</v>
      </c>
      <c r="I809" s="364" t="s">
        <v>1856</v>
      </c>
      <c r="J809" s="364" t="s">
        <v>673</v>
      </c>
      <c r="K809" s="364" t="s">
        <v>668</v>
      </c>
      <c r="L809" s="364" t="s">
        <v>190</v>
      </c>
      <c r="M809" s="364" t="s">
        <v>61</v>
      </c>
      <c r="N809" s="364" t="s">
        <v>654</v>
      </c>
      <c r="O809" s="364" t="s">
        <v>653</v>
      </c>
      <c r="P809" s="364" t="s">
        <v>198</v>
      </c>
      <c r="Q809" s="364" t="s">
        <v>652</v>
      </c>
      <c r="R809" s="364" t="s">
        <v>88</v>
      </c>
      <c r="S809" s="364" t="s">
        <v>88</v>
      </c>
      <c r="T809" s="364" t="s">
        <v>88</v>
      </c>
      <c r="U809" s="364" t="s">
        <v>88</v>
      </c>
      <c r="V809" s="364" t="s">
        <v>88</v>
      </c>
      <c r="W809" s="364" t="s">
        <v>88</v>
      </c>
      <c r="X809" s="364" t="s">
        <v>88</v>
      </c>
      <c r="Y809" s="364" t="s">
        <v>88</v>
      </c>
      <c r="Z809" s="364" t="s">
        <v>1021</v>
      </c>
      <c r="AA809" s="364" t="s">
        <v>671</v>
      </c>
      <c r="AB809" s="364" t="s">
        <v>649</v>
      </c>
      <c r="AC809" s="364" t="s">
        <v>649</v>
      </c>
      <c r="AD809" s="364" t="s">
        <v>88</v>
      </c>
      <c r="AE809" s="364" t="s">
        <v>88</v>
      </c>
      <c r="AF809" s="364" t="s">
        <v>88</v>
      </c>
      <c r="AG809" s="364" t="s">
        <v>88</v>
      </c>
      <c r="AH809" s="364" t="s">
        <v>88</v>
      </c>
      <c r="AI809" s="364" t="s">
        <v>1155</v>
      </c>
      <c r="AJ809" s="364" t="s">
        <v>710</v>
      </c>
      <c r="AK809" s="364" t="s">
        <v>647</v>
      </c>
      <c r="AL809" s="364" t="s">
        <v>88</v>
      </c>
      <c r="AM809" s="364" t="s">
        <v>668</v>
      </c>
      <c r="AN809" s="364" t="s">
        <v>644</v>
      </c>
    </row>
    <row r="810" spans="1:40" x14ac:dyDescent="0.3">
      <c r="A810" s="364" t="s">
        <v>1858</v>
      </c>
      <c r="B810" s="364" t="s">
        <v>661</v>
      </c>
      <c r="C810" s="364" t="s">
        <v>677</v>
      </c>
      <c r="D810" s="364" t="s">
        <v>90</v>
      </c>
      <c r="E810" s="364" t="s">
        <v>1843</v>
      </c>
      <c r="F810" s="364" t="s">
        <v>1843</v>
      </c>
      <c r="G810" s="364" t="s">
        <v>658</v>
      </c>
      <c r="H810" s="364" t="s">
        <v>1857</v>
      </c>
      <c r="I810" s="364" t="s">
        <v>1856</v>
      </c>
      <c r="J810" s="364" t="s">
        <v>673</v>
      </c>
      <c r="K810" s="364" t="s">
        <v>668</v>
      </c>
      <c r="L810" s="364" t="s">
        <v>190</v>
      </c>
      <c r="M810" s="364" t="s">
        <v>721</v>
      </c>
      <c r="N810" s="364" t="s">
        <v>654</v>
      </c>
      <c r="O810" s="364" t="s">
        <v>653</v>
      </c>
      <c r="P810" s="364" t="s">
        <v>198</v>
      </c>
      <c r="Q810" s="364" t="s">
        <v>652</v>
      </c>
      <c r="R810" s="364" t="s">
        <v>88</v>
      </c>
      <c r="S810" s="364" t="s">
        <v>88</v>
      </c>
      <c r="T810" s="364" t="s">
        <v>88</v>
      </c>
      <c r="U810" s="364" t="s">
        <v>88</v>
      </c>
      <c r="V810" s="364" t="s">
        <v>88</v>
      </c>
      <c r="W810" s="364" t="s">
        <v>88</v>
      </c>
      <c r="X810" s="364" t="s">
        <v>88</v>
      </c>
      <c r="Y810" s="364" t="s">
        <v>88</v>
      </c>
      <c r="Z810" s="364" t="s">
        <v>720</v>
      </c>
      <c r="AA810" s="364" t="s">
        <v>649</v>
      </c>
      <c r="AB810" s="364" t="s">
        <v>649</v>
      </c>
      <c r="AC810" s="364" t="s">
        <v>649</v>
      </c>
      <c r="AD810" s="364" t="s">
        <v>88</v>
      </c>
      <c r="AE810" s="364" t="s">
        <v>88</v>
      </c>
      <c r="AF810" s="364" t="s">
        <v>88</v>
      </c>
      <c r="AG810" s="364" t="s">
        <v>88</v>
      </c>
      <c r="AH810" s="364" t="s">
        <v>88</v>
      </c>
      <c r="AI810" s="364" t="s">
        <v>1155</v>
      </c>
      <c r="AJ810" s="364" t="s">
        <v>710</v>
      </c>
      <c r="AK810" s="364" t="s">
        <v>647</v>
      </c>
      <c r="AL810" s="364" t="s">
        <v>88</v>
      </c>
      <c r="AM810" s="364" t="s">
        <v>668</v>
      </c>
      <c r="AN810" s="364" t="s">
        <v>644</v>
      </c>
    </row>
    <row r="811" spans="1:40" x14ac:dyDescent="0.3">
      <c r="A811" s="364" t="s">
        <v>1858</v>
      </c>
      <c r="B811" s="364" t="s">
        <v>661</v>
      </c>
      <c r="C811" s="364" t="s">
        <v>677</v>
      </c>
      <c r="D811" s="364" t="s">
        <v>90</v>
      </c>
      <c r="E811" s="364" t="s">
        <v>1843</v>
      </c>
      <c r="F811" s="364" t="s">
        <v>1843</v>
      </c>
      <c r="G811" s="364" t="s">
        <v>658</v>
      </c>
      <c r="H811" s="364" t="s">
        <v>1857</v>
      </c>
      <c r="I811" s="364" t="s">
        <v>1856</v>
      </c>
      <c r="J811" s="364" t="s">
        <v>673</v>
      </c>
      <c r="K811" s="364" t="s">
        <v>668</v>
      </c>
      <c r="L811" s="364" t="s">
        <v>190</v>
      </c>
      <c r="M811" s="364" t="s">
        <v>56</v>
      </c>
      <c r="N811" s="364" t="s">
        <v>654</v>
      </c>
      <c r="O811" s="364" t="s">
        <v>653</v>
      </c>
      <c r="P811" s="364" t="s">
        <v>198</v>
      </c>
      <c r="Q811" s="364" t="s">
        <v>652</v>
      </c>
      <c r="R811" s="364" t="s">
        <v>88</v>
      </c>
      <c r="S811" s="364" t="s">
        <v>88</v>
      </c>
      <c r="T811" s="364" t="s">
        <v>88</v>
      </c>
      <c r="U811" s="364" t="s">
        <v>88</v>
      </c>
      <c r="V811" s="364" t="s">
        <v>88</v>
      </c>
      <c r="W811" s="364" t="s">
        <v>88</v>
      </c>
      <c r="X811" s="364" t="s">
        <v>88</v>
      </c>
      <c r="Y811" s="364" t="s">
        <v>88</v>
      </c>
      <c r="Z811" s="364" t="s">
        <v>1165</v>
      </c>
      <c r="AA811" s="364" t="s">
        <v>1164</v>
      </c>
      <c r="AB811" s="364" t="s">
        <v>649</v>
      </c>
      <c r="AC811" s="364" t="s">
        <v>649</v>
      </c>
      <c r="AD811" s="364" t="s">
        <v>88</v>
      </c>
      <c r="AE811" s="364" t="s">
        <v>88</v>
      </c>
      <c r="AF811" s="364" t="s">
        <v>88</v>
      </c>
      <c r="AG811" s="364" t="s">
        <v>88</v>
      </c>
      <c r="AH811" s="364" t="s">
        <v>88</v>
      </c>
      <c r="AI811" s="364" t="s">
        <v>1155</v>
      </c>
      <c r="AJ811" s="364" t="s">
        <v>710</v>
      </c>
      <c r="AK811" s="364" t="s">
        <v>647</v>
      </c>
      <c r="AL811" s="364" t="s">
        <v>88</v>
      </c>
      <c r="AM811" s="364" t="s">
        <v>668</v>
      </c>
      <c r="AN811" s="364" t="s">
        <v>644</v>
      </c>
    </row>
    <row r="812" spans="1:40" x14ac:dyDescent="0.3">
      <c r="A812" s="364" t="s">
        <v>1855</v>
      </c>
      <c r="B812" s="364" t="s">
        <v>661</v>
      </c>
      <c r="C812" s="364" t="s">
        <v>677</v>
      </c>
      <c r="D812" s="364" t="s">
        <v>90</v>
      </c>
      <c r="E812" s="364" t="s">
        <v>1826</v>
      </c>
      <c r="F812" s="364" t="s">
        <v>1826</v>
      </c>
      <c r="G812" s="364" t="s">
        <v>658</v>
      </c>
      <c r="H812" s="364" t="s">
        <v>1854</v>
      </c>
      <c r="I812" s="364" t="s">
        <v>1853</v>
      </c>
      <c r="J812" s="364" t="s">
        <v>673</v>
      </c>
      <c r="K812" s="364" t="s">
        <v>668</v>
      </c>
      <c r="L812" s="364" t="s">
        <v>190</v>
      </c>
      <c r="M812" s="364" t="s">
        <v>54</v>
      </c>
      <c r="N812" s="364" t="s">
        <v>654</v>
      </c>
      <c r="O812" s="364" t="s">
        <v>653</v>
      </c>
      <c r="P812" s="364" t="s">
        <v>198</v>
      </c>
      <c r="Q812" s="364" t="s">
        <v>652</v>
      </c>
      <c r="R812" s="364" t="s">
        <v>88</v>
      </c>
      <c r="S812" s="364" t="s">
        <v>88</v>
      </c>
      <c r="T812" s="364" t="s">
        <v>88</v>
      </c>
      <c r="U812" s="364" t="s">
        <v>88</v>
      </c>
      <c r="V812" s="364" t="s">
        <v>88</v>
      </c>
      <c r="W812" s="364" t="s">
        <v>88</v>
      </c>
      <c r="X812" s="364" t="s">
        <v>88</v>
      </c>
      <c r="Y812" s="364" t="s">
        <v>88</v>
      </c>
      <c r="Z812" s="364" t="s">
        <v>1265</v>
      </c>
      <c r="AA812" s="364" t="s">
        <v>649</v>
      </c>
      <c r="AB812" s="364" t="s">
        <v>649</v>
      </c>
      <c r="AC812" s="364" t="s">
        <v>649</v>
      </c>
      <c r="AD812" s="364" t="s">
        <v>88</v>
      </c>
      <c r="AE812" s="364" t="s">
        <v>88</v>
      </c>
      <c r="AF812" s="364" t="s">
        <v>88</v>
      </c>
      <c r="AG812" s="364" t="s">
        <v>88</v>
      </c>
      <c r="AH812" s="364" t="s">
        <v>88</v>
      </c>
      <c r="AI812" s="364" t="s">
        <v>1155</v>
      </c>
      <c r="AJ812" s="364" t="s">
        <v>710</v>
      </c>
      <c r="AK812" s="364" t="s">
        <v>647</v>
      </c>
      <c r="AL812" s="364" t="s">
        <v>88</v>
      </c>
      <c r="AM812" s="364" t="s">
        <v>668</v>
      </c>
      <c r="AN812" s="364" t="s">
        <v>644</v>
      </c>
    </row>
    <row r="813" spans="1:40" x14ac:dyDescent="0.3">
      <c r="A813" s="364" t="s">
        <v>1855</v>
      </c>
      <c r="B813" s="364" t="s">
        <v>661</v>
      </c>
      <c r="C813" s="364" t="s">
        <v>677</v>
      </c>
      <c r="D813" s="364" t="s">
        <v>90</v>
      </c>
      <c r="E813" s="364" t="s">
        <v>1826</v>
      </c>
      <c r="F813" s="364" t="s">
        <v>1826</v>
      </c>
      <c r="G813" s="364" t="s">
        <v>658</v>
      </c>
      <c r="H813" s="364" t="s">
        <v>1854</v>
      </c>
      <c r="I813" s="364" t="s">
        <v>1853</v>
      </c>
      <c r="J813" s="364" t="s">
        <v>673</v>
      </c>
      <c r="K813" s="364" t="s">
        <v>668</v>
      </c>
      <c r="L813" s="364" t="s">
        <v>190</v>
      </c>
      <c r="M813" s="364" t="s">
        <v>250</v>
      </c>
      <c r="N813" s="364" t="s">
        <v>654</v>
      </c>
      <c r="O813" s="364" t="s">
        <v>653</v>
      </c>
      <c r="P813" s="364" t="s">
        <v>198</v>
      </c>
      <c r="Q813" s="364" t="s">
        <v>652</v>
      </c>
      <c r="R813" s="364" t="s">
        <v>88</v>
      </c>
      <c r="S813" s="364" t="s">
        <v>88</v>
      </c>
      <c r="T813" s="364" t="s">
        <v>88</v>
      </c>
      <c r="U813" s="364" t="s">
        <v>88</v>
      </c>
      <c r="V813" s="364" t="s">
        <v>88</v>
      </c>
      <c r="W813" s="364" t="s">
        <v>88</v>
      </c>
      <c r="X813" s="364" t="s">
        <v>88</v>
      </c>
      <c r="Y813" s="364" t="s">
        <v>88</v>
      </c>
      <c r="Z813" s="364" t="s">
        <v>1821</v>
      </c>
      <c r="AA813" s="364" t="s">
        <v>649</v>
      </c>
      <c r="AB813" s="364" t="s">
        <v>649</v>
      </c>
      <c r="AC813" s="364" t="s">
        <v>649</v>
      </c>
      <c r="AD813" s="364" t="s">
        <v>88</v>
      </c>
      <c r="AE813" s="364" t="s">
        <v>88</v>
      </c>
      <c r="AF813" s="364" t="s">
        <v>88</v>
      </c>
      <c r="AG813" s="364" t="s">
        <v>88</v>
      </c>
      <c r="AH813" s="364" t="s">
        <v>88</v>
      </c>
      <c r="AI813" s="364" t="s">
        <v>1155</v>
      </c>
      <c r="AJ813" s="364" t="s">
        <v>710</v>
      </c>
      <c r="AK813" s="364" t="s">
        <v>647</v>
      </c>
      <c r="AL813" s="364" t="s">
        <v>88</v>
      </c>
      <c r="AM813" s="364" t="s">
        <v>668</v>
      </c>
      <c r="AN813" s="364" t="s">
        <v>644</v>
      </c>
    </row>
    <row r="814" spans="1:40" x14ac:dyDescent="0.3">
      <c r="A814" s="364" t="s">
        <v>1855</v>
      </c>
      <c r="B814" s="364" t="s">
        <v>661</v>
      </c>
      <c r="C814" s="364" t="s">
        <v>677</v>
      </c>
      <c r="D814" s="364" t="s">
        <v>90</v>
      </c>
      <c r="E814" s="364" t="s">
        <v>1826</v>
      </c>
      <c r="F814" s="364" t="s">
        <v>1826</v>
      </c>
      <c r="G814" s="364" t="s">
        <v>658</v>
      </c>
      <c r="H814" s="364" t="s">
        <v>1854</v>
      </c>
      <c r="I814" s="364" t="s">
        <v>1853</v>
      </c>
      <c r="J814" s="364" t="s">
        <v>673</v>
      </c>
      <c r="K814" s="364" t="s">
        <v>668</v>
      </c>
      <c r="L814" s="364" t="s">
        <v>190</v>
      </c>
      <c r="M814" s="364" t="s">
        <v>718</v>
      </c>
      <c r="N814" s="364" t="s">
        <v>654</v>
      </c>
      <c r="O814" s="364" t="s">
        <v>653</v>
      </c>
      <c r="P814" s="364" t="s">
        <v>198</v>
      </c>
      <c r="Q814" s="364" t="s">
        <v>652</v>
      </c>
      <c r="R814" s="364" t="s">
        <v>88</v>
      </c>
      <c r="S814" s="364" t="s">
        <v>88</v>
      </c>
      <c r="T814" s="364" t="s">
        <v>88</v>
      </c>
      <c r="U814" s="364" t="s">
        <v>88</v>
      </c>
      <c r="V814" s="364" t="s">
        <v>88</v>
      </c>
      <c r="W814" s="364" t="s">
        <v>88</v>
      </c>
      <c r="X814" s="364" t="s">
        <v>88</v>
      </c>
      <c r="Y814" s="364" t="s">
        <v>88</v>
      </c>
      <c r="Z814" s="364" t="s">
        <v>717</v>
      </c>
      <c r="AA814" s="364" t="s">
        <v>649</v>
      </c>
      <c r="AB814" s="364" t="s">
        <v>649</v>
      </c>
      <c r="AC814" s="364" t="s">
        <v>649</v>
      </c>
      <c r="AD814" s="364" t="s">
        <v>88</v>
      </c>
      <c r="AE814" s="364" t="s">
        <v>88</v>
      </c>
      <c r="AF814" s="364" t="s">
        <v>88</v>
      </c>
      <c r="AG814" s="364" t="s">
        <v>88</v>
      </c>
      <c r="AH814" s="364" t="s">
        <v>88</v>
      </c>
      <c r="AI814" s="364" t="s">
        <v>1155</v>
      </c>
      <c r="AJ814" s="364" t="s">
        <v>710</v>
      </c>
      <c r="AK814" s="364" t="s">
        <v>647</v>
      </c>
      <c r="AL814" s="364" t="s">
        <v>88</v>
      </c>
      <c r="AM814" s="364" t="s">
        <v>668</v>
      </c>
      <c r="AN814" s="364" t="s">
        <v>644</v>
      </c>
    </row>
    <row r="815" spans="1:40" x14ac:dyDescent="0.3">
      <c r="A815" s="364" t="s">
        <v>1855</v>
      </c>
      <c r="B815" s="364" t="s">
        <v>661</v>
      </c>
      <c r="C815" s="364" t="s">
        <v>677</v>
      </c>
      <c r="D815" s="364" t="s">
        <v>90</v>
      </c>
      <c r="E815" s="364" t="s">
        <v>1826</v>
      </c>
      <c r="F815" s="364" t="s">
        <v>1826</v>
      </c>
      <c r="G815" s="364" t="s">
        <v>658</v>
      </c>
      <c r="H815" s="364" t="s">
        <v>1854</v>
      </c>
      <c r="I815" s="364" t="s">
        <v>1853</v>
      </c>
      <c r="J815" s="364" t="s">
        <v>673</v>
      </c>
      <c r="K815" s="364" t="s">
        <v>668</v>
      </c>
      <c r="L815" s="364" t="s">
        <v>190</v>
      </c>
      <c r="M815" s="364" t="s">
        <v>713</v>
      </c>
      <c r="N815" s="364" t="s">
        <v>654</v>
      </c>
      <c r="O815" s="364" t="s">
        <v>653</v>
      </c>
      <c r="P815" s="364" t="s">
        <v>198</v>
      </c>
      <c r="Q815" s="364" t="s">
        <v>652</v>
      </c>
      <c r="R815" s="364" t="s">
        <v>88</v>
      </c>
      <c r="S815" s="364" t="s">
        <v>88</v>
      </c>
      <c r="T815" s="364" t="s">
        <v>88</v>
      </c>
      <c r="U815" s="364" t="s">
        <v>88</v>
      </c>
      <c r="V815" s="364" t="s">
        <v>88</v>
      </c>
      <c r="W815" s="364" t="s">
        <v>88</v>
      </c>
      <c r="X815" s="364" t="s">
        <v>88</v>
      </c>
      <c r="Y815" s="364" t="s">
        <v>88</v>
      </c>
      <c r="Z815" s="364" t="s">
        <v>712</v>
      </c>
      <c r="AA815" s="364" t="s">
        <v>711</v>
      </c>
      <c r="AB815" s="364" t="s">
        <v>649</v>
      </c>
      <c r="AC815" s="364" t="s">
        <v>649</v>
      </c>
      <c r="AD815" s="364" t="s">
        <v>88</v>
      </c>
      <c r="AE815" s="364" t="s">
        <v>88</v>
      </c>
      <c r="AF815" s="364" t="s">
        <v>88</v>
      </c>
      <c r="AG815" s="364" t="s">
        <v>88</v>
      </c>
      <c r="AH815" s="364" t="s">
        <v>88</v>
      </c>
      <c r="AI815" s="364" t="s">
        <v>1155</v>
      </c>
      <c r="AJ815" s="364" t="s">
        <v>710</v>
      </c>
      <c r="AK815" s="364" t="s">
        <v>647</v>
      </c>
      <c r="AL815" s="364" t="s">
        <v>88</v>
      </c>
      <c r="AM815" s="364" t="s">
        <v>668</v>
      </c>
      <c r="AN815" s="364" t="s">
        <v>644</v>
      </c>
    </row>
    <row r="816" spans="1:40" x14ac:dyDescent="0.3">
      <c r="A816" s="364" t="s">
        <v>1855</v>
      </c>
      <c r="B816" s="364" t="s">
        <v>661</v>
      </c>
      <c r="C816" s="364" t="s">
        <v>677</v>
      </c>
      <c r="D816" s="364" t="s">
        <v>90</v>
      </c>
      <c r="E816" s="364" t="s">
        <v>1826</v>
      </c>
      <c r="F816" s="364" t="s">
        <v>1826</v>
      </c>
      <c r="G816" s="364" t="s">
        <v>658</v>
      </c>
      <c r="H816" s="364" t="s">
        <v>1854</v>
      </c>
      <c r="I816" s="364" t="s">
        <v>1853</v>
      </c>
      <c r="J816" s="364" t="s">
        <v>673</v>
      </c>
      <c r="K816" s="364" t="s">
        <v>668</v>
      </c>
      <c r="L816" s="364" t="s">
        <v>190</v>
      </c>
      <c r="M816" s="364" t="s">
        <v>61</v>
      </c>
      <c r="N816" s="364" t="s">
        <v>654</v>
      </c>
      <c r="O816" s="364" t="s">
        <v>653</v>
      </c>
      <c r="P816" s="364" t="s">
        <v>198</v>
      </c>
      <c r="Q816" s="364" t="s">
        <v>652</v>
      </c>
      <c r="R816" s="364" t="s">
        <v>88</v>
      </c>
      <c r="S816" s="364" t="s">
        <v>88</v>
      </c>
      <c r="T816" s="364" t="s">
        <v>88</v>
      </c>
      <c r="U816" s="364" t="s">
        <v>88</v>
      </c>
      <c r="V816" s="364" t="s">
        <v>88</v>
      </c>
      <c r="W816" s="364" t="s">
        <v>88</v>
      </c>
      <c r="X816" s="364" t="s">
        <v>88</v>
      </c>
      <c r="Y816" s="364" t="s">
        <v>88</v>
      </c>
      <c r="Z816" s="364" t="s">
        <v>1021</v>
      </c>
      <c r="AA816" s="364" t="s">
        <v>671</v>
      </c>
      <c r="AB816" s="364" t="s">
        <v>649</v>
      </c>
      <c r="AC816" s="364" t="s">
        <v>649</v>
      </c>
      <c r="AD816" s="364" t="s">
        <v>88</v>
      </c>
      <c r="AE816" s="364" t="s">
        <v>88</v>
      </c>
      <c r="AF816" s="364" t="s">
        <v>88</v>
      </c>
      <c r="AG816" s="364" t="s">
        <v>88</v>
      </c>
      <c r="AH816" s="364" t="s">
        <v>88</v>
      </c>
      <c r="AI816" s="364" t="s">
        <v>1155</v>
      </c>
      <c r="AJ816" s="364" t="s">
        <v>710</v>
      </c>
      <c r="AK816" s="364" t="s">
        <v>647</v>
      </c>
      <c r="AL816" s="364" t="s">
        <v>88</v>
      </c>
      <c r="AM816" s="364" t="s">
        <v>668</v>
      </c>
      <c r="AN816" s="364" t="s">
        <v>644</v>
      </c>
    </row>
    <row r="817" spans="1:40" x14ac:dyDescent="0.3">
      <c r="A817" s="364" t="s">
        <v>1855</v>
      </c>
      <c r="B817" s="364" t="s">
        <v>661</v>
      </c>
      <c r="C817" s="364" t="s">
        <v>677</v>
      </c>
      <c r="D817" s="364" t="s">
        <v>90</v>
      </c>
      <c r="E817" s="364" t="s">
        <v>1826</v>
      </c>
      <c r="F817" s="364" t="s">
        <v>1826</v>
      </c>
      <c r="G817" s="364" t="s">
        <v>658</v>
      </c>
      <c r="H817" s="364" t="s">
        <v>1854</v>
      </c>
      <c r="I817" s="364" t="s">
        <v>1853</v>
      </c>
      <c r="J817" s="364" t="s">
        <v>673</v>
      </c>
      <c r="K817" s="364" t="s">
        <v>668</v>
      </c>
      <c r="L817" s="364" t="s">
        <v>190</v>
      </c>
      <c r="M817" s="364" t="s">
        <v>721</v>
      </c>
      <c r="N817" s="364" t="s">
        <v>654</v>
      </c>
      <c r="O817" s="364" t="s">
        <v>653</v>
      </c>
      <c r="P817" s="364" t="s">
        <v>198</v>
      </c>
      <c r="Q817" s="364" t="s">
        <v>652</v>
      </c>
      <c r="R817" s="364" t="s">
        <v>88</v>
      </c>
      <c r="S817" s="364" t="s">
        <v>88</v>
      </c>
      <c r="T817" s="364" t="s">
        <v>88</v>
      </c>
      <c r="U817" s="364" t="s">
        <v>88</v>
      </c>
      <c r="V817" s="364" t="s">
        <v>88</v>
      </c>
      <c r="W817" s="364" t="s">
        <v>88</v>
      </c>
      <c r="X817" s="364" t="s">
        <v>88</v>
      </c>
      <c r="Y817" s="364" t="s">
        <v>88</v>
      </c>
      <c r="Z817" s="364" t="s">
        <v>720</v>
      </c>
      <c r="AA817" s="364" t="s">
        <v>649</v>
      </c>
      <c r="AB817" s="364" t="s">
        <v>649</v>
      </c>
      <c r="AC817" s="364" t="s">
        <v>649</v>
      </c>
      <c r="AD817" s="364" t="s">
        <v>88</v>
      </c>
      <c r="AE817" s="364" t="s">
        <v>88</v>
      </c>
      <c r="AF817" s="364" t="s">
        <v>88</v>
      </c>
      <c r="AG817" s="364" t="s">
        <v>88</v>
      </c>
      <c r="AH817" s="364" t="s">
        <v>88</v>
      </c>
      <c r="AI817" s="364" t="s">
        <v>1155</v>
      </c>
      <c r="AJ817" s="364" t="s">
        <v>710</v>
      </c>
      <c r="AK817" s="364" t="s">
        <v>647</v>
      </c>
      <c r="AL817" s="364" t="s">
        <v>88</v>
      </c>
      <c r="AM817" s="364" t="s">
        <v>668</v>
      </c>
      <c r="AN817" s="364" t="s">
        <v>644</v>
      </c>
    </row>
    <row r="818" spans="1:40" x14ac:dyDescent="0.3">
      <c r="A818" s="364" t="s">
        <v>1855</v>
      </c>
      <c r="B818" s="364" t="s">
        <v>661</v>
      </c>
      <c r="C818" s="364" t="s">
        <v>677</v>
      </c>
      <c r="D818" s="364" t="s">
        <v>90</v>
      </c>
      <c r="E818" s="364" t="s">
        <v>1826</v>
      </c>
      <c r="F818" s="364" t="s">
        <v>1826</v>
      </c>
      <c r="G818" s="364" t="s">
        <v>658</v>
      </c>
      <c r="H818" s="364" t="s">
        <v>1854</v>
      </c>
      <c r="I818" s="364" t="s">
        <v>1853</v>
      </c>
      <c r="J818" s="364" t="s">
        <v>673</v>
      </c>
      <c r="K818" s="364" t="s">
        <v>668</v>
      </c>
      <c r="L818" s="364" t="s">
        <v>190</v>
      </c>
      <c r="M818" s="364" t="s">
        <v>56</v>
      </c>
      <c r="N818" s="364" t="s">
        <v>654</v>
      </c>
      <c r="O818" s="364" t="s">
        <v>653</v>
      </c>
      <c r="P818" s="364" t="s">
        <v>198</v>
      </c>
      <c r="Q818" s="364" t="s">
        <v>652</v>
      </c>
      <c r="R818" s="364" t="s">
        <v>88</v>
      </c>
      <c r="S818" s="364" t="s">
        <v>88</v>
      </c>
      <c r="T818" s="364" t="s">
        <v>88</v>
      </c>
      <c r="U818" s="364" t="s">
        <v>88</v>
      </c>
      <c r="V818" s="364" t="s">
        <v>88</v>
      </c>
      <c r="W818" s="364" t="s">
        <v>88</v>
      </c>
      <c r="X818" s="364" t="s">
        <v>88</v>
      </c>
      <c r="Y818" s="364" t="s">
        <v>88</v>
      </c>
      <c r="Z818" s="364" t="s">
        <v>1165</v>
      </c>
      <c r="AA818" s="364" t="s">
        <v>1164</v>
      </c>
      <c r="AB818" s="364" t="s">
        <v>649</v>
      </c>
      <c r="AC818" s="364" t="s">
        <v>649</v>
      </c>
      <c r="AD818" s="364" t="s">
        <v>88</v>
      </c>
      <c r="AE818" s="364" t="s">
        <v>88</v>
      </c>
      <c r="AF818" s="364" t="s">
        <v>88</v>
      </c>
      <c r="AG818" s="364" t="s">
        <v>88</v>
      </c>
      <c r="AH818" s="364" t="s">
        <v>88</v>
      </c>
      <c r="AI818" s="364" t="s">
        <v>1155</v>
      </c>
      <c r="AJ818" s="364" t="s">
        <v>710</v>
      </c>
      <c r="AK818" s="364" t="s">
        <v>647</v>
      </c>
      <c r="AL818" s="364" t="s">
        <v>88</v>
      </c>
      <c r="AM818" s="364" t="s">
        <v>668</v>
      </c>
      <c r="AN818" s="364" t="s">
        <v>644</v>
      </c>
    </row>
    <row r="819" spans="1:40" x14ac:dyDescent="0.3">
      <c r="A819" s="364" t="s">
        <v>1852</v>
      </c>
      <c r="B819" s="364" t="s">
        <v>661</v>
      </c>
      <c r="C819" s="364" t="s">
        <v>677</v>
      </c>
      <c r="D819" s="364" t="s">
        <v>87</v>
      </c>
      <c r="E819" s="364" t="s">
        <v>1826</v>
      </c>
      <c r="F819" s="364" t="s">
        <v>1826</v>
      </c>
      <c r="G819" s="364" t="s">
        <v>658</v>
      </c>
      <c r="H819" s="364" t="s">
        <v>1851</v>
      </c>
      <c r="I819" s="364" t="s">
        <v>1850</v>
      </c>
      <c r="J819" s="364" t="s">
        <v>673</v>
      </c>
      <c r="K819" s="364" t="s">
        <v>668</v>
      </c>
      <c r="L819" s="364" t="s">
        <v>190</v>
      </c>
      <c r="M819" s="364" t="s">
        <v>59</v>
      </c>
      <c r="N819" s="364" t="s">
        <v>654</v>
      </c>
      <c r="O819" s="364" t="s">
        <v>653</v>
      </c>
      <c r="P819" s="364" t="s">
        <v>198</v>
      </c>
      <c r="Q819" s="364" t="s">
        <v>652</v>
      </c>
      <c r="R819" s="364" t="s">
        <v>88</v>
      </c>
      <c r="S819" s="364" t="s">
        <v>88</v>
      </c>
      <c r="T819" s="364" t="s">
        <v>88</v>
      </c>
      <c r="U819" s="364" t="s">
        <v>88</v>
      </c>
      <c r="V819" s="364" t="s">
        <v>88</v>
      </c>
      <c r="W819" s="364" t="s">
        <v>88</v>
      </c>
      <c r="X819" s="364" t="s">
        <v>88</v>
      </c>
      <c r="Y819" s="364" t="s">
        <v>88</v>
      </c>
      <c r="Z819" s="364" t="s">
        <v>672</v>
      </c>
      <c r="AA819" s="364" t="s">
        <v>671</v>
      </c>
      <c r="AB819" s="364" t="s">
        <v>649</v>
      </c>
      <c r="AC819" s="364" t="s">
        <v>649</v>
      </c>
      <c r="AD819" s="364" t="s">
        <v>88</v>
      </c>
      <c r="AE819" s="364" t="s">
        <v>88</v>
      </c>
      <c r="AF819" s="364" t="s">
        <v>88</v>
      </c>
      <c r="AG819" s="364" t="s">
        <v>88</v>
      </c>
      <c r="AH819" s="364" t="s">
        <v>88</v>
      </c>
      <c r="AI819" s="364" t="s">
        <v>1199</v>
      </c>
      <c r="AJ819" s="364" t="s">
        <v>670</v>
      </c>
      <c r="AK819" s="364" t="s">
        <v>669</v>
      </c>
      <c r="AL819" s="364" t="s">
        <v>88</v>
      </c>
      <c r="AM819" s="364" t="s">
        <v>668</v>
      </c>
      <c r="AN819" s="364" t="s">
        <v>644</v>
      </c>
    </row>
    <row r="820" spans="1:40" x14ac:dyDescent="0.3">
      <c r="A820" s="364" t="s">
        <v>1849</v>
      </c>
      <c r="B820" s="364" t="s">
        <v>661</v>
      </c>
      <c r="C820" s="364" t="s">
        <v>677</v>
      </c>
      <c r="D820" s="364" t="s">
        <v>87</v>
      </c>
      <c r="E820" s="364" t="s">
        <v>1843</v>
      </c>
      <c r="F820" s="364" t="s">
        <v>1843</v>
      </c>
      <c r="G820" s="364" t="s">
        <v>658</v>
      </c>
      <c r="H820" s="364" t="s">
        <v>684</v>
      </c>
      <c r="I820" s="364" t="s">
        <v>1842</v>
      </c>
      <c r="J820" s="364" t="s">
        <v>673</v>
      </c>
      <c r="K820" s="364" t="s">
        <v>668</v>
      </c>
      <c r="L820" s="364" t="s">
        <v>190</v>
      </c>
      <c r="M820" s="364" t="s">
        <v>59</v>
      </c>
      <c r="N820" s="364" t="s">
        <v>654</v>
      </c>
      <c r="O820" s="364" t="s">
        <v>653</v>
      </c>
      <c r="P820" s="364" t="s">
        <v>198</v>
      </c>
      <c r="Q820" s="364" t="s">
        <v>652</v>
      </c>
      <c r="R820" s="364" t="s">
        <v>88</v>
      </c>
      <c r="S820" s="364" t="s">
        <v>88</v>
      </c>
      <c r="T820" s="364" t="s">
        <v>88</v>
      </c>
      <c r="U820" s="364" t="s">
        <v>88</v>
      </c>
      <c r="V820" s="364" t="s">
        <v>88</v>
      </c>
      <c r="W820" s="364" t="s">
        <v>88</v>
      </c>
      <c r="X820" s="364" t="s">
        <v>88</v>
      </c>
      <c r="Y820" s="364" t="s">
        <v>88</v>
      </c>
      <c r="Z820" s="364" t="s">
        <v>672</v>
      </c>
      <c r="AA820" s="364" t="s">
        <v>671</v>
      </c>
      <c r="AB820" s="364" t="s">
        <v>649</v>
      </c>
      <c r="AC820" s="364" t="s">
        <v>649</v>
      </c>
      <c r="AD820" s="364" t="s">
        <v>88</v>
      </c>
      <c r="AE820" s="364" t="s">
        <v>88</v>
      </c>
      <c r="AF820" s="364" t="s">
        <v>88</v>
      </c>
      <c r="AG820" s="364" t="s">
        <v>88</v>
      </c>
      <c r="AH820" s="364" t="s">
        <v>88</v>
      </c>
      <c r="AI820" s="364" t="s">
        <v>1199</v>
      </c>
      <c r="AJ820" s="364" t="s">
        <v>670</v>
      </c>
      <c r="AK820" s="364" t="s">
        <v>669</v>
      </c>
      <c r="AL820" s="364" t="s">
        <v>88</v>
      </c>
      <c r="AM820" s="364" t="s">
        <v>668</v>
      </c>
      <c r="AN820" s="364" t="s">
        <v>644</v>
      </c>
    </row>
    <row r="821" spans="1:40" x14ac:dyDescent="0.3">
      <c r="A821" s="364" t="s">
        <v>1848</v>
      </c>
      <c r="B821" s="364" t="s">
        <v>661</v>
      </c>
      <c r="C821" s="364" t="s">
        <v>677</v>
      </c>
      <c r="D821" s="364" t="s">
        <v>170</v>
      </c>
      <c r="E821" s="364" t="s">
        <v>1826</v>
      </c>
      <c r="F821" s="364" t="s">
        <v>1826</v>
      </c>
      <c r="G821" s="364" t="s">
        <v>658</v>
      </c>
      <c r="H821" s="364" t="s">
        <v>992</v>
      </c>
      <c r="I821" s="364" t="s">
        <v>826</v>
      </c>
      <c r="J821" s="364" t="s">
        <v>673</v>
      </c>
      <c r="K821" s="364" t="s">
        <v>668</v>
      </c>
      <c r="L821" s="364" t="s">
        <v>190</v>
      </c>
      <c r="M821" s="364" t="s">
        <v>164</v>
      </c>
      <c r="N821" s="364" t="s">
        <v>654</v>
      </c>
      <c r="O821" s="364" t="s">
        <v>653</v>
      </c>
      <c r="P821" s="364" t="s">
        <v>198</v>
      </c>
      <c r="Q821" s="364" t="s">
        <v>652</v>
      </c>
      <c r="R821" s="364" t="s">
        <v>88</v>
      </c>
      <c r="S821" s="364" t="s">
        <v>88</v>
      </c>
      <c r="T821" s="364" t="s">
        <v>88</v>
      </c>
      <c r="U821" s="364" t="s">
        <v>88</v>
      </c>
      <c r="V821" s="364" t="s">
        <v>88</v>
      </c>
      <c r="W821" s="364" t="s">
        <v>88</v>
      </c>
      <c r="X821" s="364" t="s">
        <v>88</v>
      </c>
      <c r="Y821" s="364" t="s">
        <v>88</v>
      </c>
      <c r="Z821" s="364" t="s">
        <v>825</v>
      </c>
      <c r="AA821" s="364" t="s">
        <v>649</v>
      </c>
      <c r="AB821" s="364" t="s">
        <v>649</v>
      </c>
      <c r="AC821" s="364" t="s">
        <v>649</v>
      </c>
      <c r="AD821" s="364" t="s">
        <v>88</v>
      </c>
      <c r="AE821" s="364" t="s">
        <v>88</v>
      </c>
      <c r="AF821" s="364" t="s">
        <v>88</v>
      </c>
      <c r="AG821" s="364" t="s">
        <v>88</v>
      </c>
      <c r="AH821" s="364" t="s">
        <v>88</v>
      </c>
      <c r="AI821" s="364" t="s">
        <v>1199</v>
      </c>
      <c r="AJ821" s="364" t="s">
        <v>670</v>
      </c>
      <c r="AK821" s="364" t="s">
        <v>687</v>
      </c>
      <c r="AL821" s="364" t="s">
        <v>88</v>
      </c>
      <c r="AM821" s="364" t="s">
        <v>668</v>
      </c>
      <c r="AN821" s="364" t="s">
        <v>644</v>
      </c>
    </row>
    <row r="822" spans="1:40" x14ac:dyDescent="0.3">
      <c r="A822" s="364" t="s">
        <v>1847</v>
      </c>
      <c r="B822" s="364" t="s">
        <v>661</v>
      </c>
      <c r="C822" s="364" t="s">
        <v>677</v>
      </c>
      <c r="D822" s="364" t="s">
        <v>87</v>
      </c>
      <c r="E822" s="364" t="s">
        <v>1826</v>
      </c>
      <c r="F822" s="364" t="s">
        <v>1826</v>
      </c>
      <c r="G822" s="364" t="s">
        <v>658</v>
      </c>
      <c r="H822" s="364" t="s">
        <v>992</v>
      </c>
      <c r="I822" s="364" t="s">
        <v>1846</v>
      </c>
      <c r="J822" s="364" t="s">
        <v>673</v>
      </c>
      <c r="K822" s="364" t="s">
        <v>668</v>
      </c>
      <c r="L822" s="364" t="s">
        <v>190</v>
      </c>
      <c r="M822" s="364" t="s">
        <v>60</v>
      </c>
      <c r="N822" s="364" t="s">
        <v>654</v>
      </c>
      <c r="O822" s="364" t="s">
        <v>653</v>
      </c>
      <c r="P822" s="364" t="s">
        <v>198</v>
      </c>
      <c r="Q822" s="364" t="s">
        <v>652</v>
      </c>
      <c r="R822" s="364" t="s">
        <v>88</v>
      </c>
      <c r="S822" s="364" t="s">
        <v>88</v>
      </c>
      <c r="T822" s="364" t="s">
        <v>88</v>
      </c>
      <c r="U822" s="364" t="s">
        <v>88</v>
      </c>
      <c r="V822" s="364" t="s">
        <v>88</v>
      </c>
      <c r="W822" s="364" t="s">
        <v>88</v>
      </c>
      <c r="X822" s="364" t="s">
        <v>88</v>
      </c>
      <c r="Y822" s="364" t="s">
        <v>88</v>
      </c>
      <c r="Z822" s="364" t="s">
        <v>709</v>
      </c>
      <c r="AA822" s="364" t="s">
        <v>708</v>
      </c>
      <c r="AB822" s="364" t="s">
        <v>649</v>
      </c>
      <c r="AC822" s="364" t="s">
        <v>649</v>
      </c>
      <c r="AD822" s="364" t="s">
        <v>88</v>
      </c>
      <c r="AE822" s="364" t="s">
        <v>88</v>
      </c>
      <c r="AF822" s="364" t="s">
        <v>88</v>
      </c>
      <c r="AG822" s="364" t="s">
        <v>88</v>
      </c>
      <c r="AH822" s="364" t="s">
        <v>88</v>
      </c>
      <c r="AI822" s="364" t="s">
        <v>1199</v>
      </c>
      <c r="AJ822" s="364" t="s">
        <v>670</v>
      </c>
      <c r="AK822" s="364" t="s">
        <v>669</v>
      </c>
      <c r="AL822" s="364" t="s">
        <v>88</v>
      </c>
      <c r="AM822" s="364" t="s">
        <v>668</v>
      </c>
      <c r="AN822" s="364" t="s">
        <v>644</v>
      </c>
    </row>
    <row r="823" spans="1:40" x14ac:dyDescent="0.3">
      <c r="A823" s="364" t="s">
        <v>1845</v>
      </c>
      <c r="B823" s="364" t="s">
        <v>661</v>
      </c>
      <c r="C823" s="364" t="s">
        <v>677</v>
      </c>
      <c r="D823" s="364" t="s">
        <v>87</v>
      </c>
      <c r="E823" s="364" t="s">
        <v>1843</v>
      </c>
      <c r="F823" s="364" t="s">
        <v>1843</v>
      </c>
      <c r="G823" s="364" t="s">
        <v>658</v>
      </c>
      <c r="H823" s="364" t="s">
        <v>684</v>
      </c>
      <c r="I823" s="364" t="s">
        <v>1842</v>
      </c>
      <c r="J823" s="364" t="s">
        <v>673</v>
      </c>
      <c r="K823" s="364" t="s">
        <v>668</v>
      </c>
      <c r="L823" s="364" t="s">
        <v>190</v>
      </c>
      <c r="M823" s="364" t="s">
        <v>60</v>
      </c>
      <c r="N823" s="364" t="s">
        <v>654</v>
      </c>
      <c r="O823" s="364" t="s">
        <v>653</v>
      </c>
      <c r="P823" s="364" t="s">
        <v>198</v>
      </c>
      <c r="Q823" s="364" t="s">
        <v>652</v>
      </c>
      <c r="R823" s="364" t="s">
        <v>88</v>
      </c>
      <c r="S823" s="364" t="s">
        <v>88</v>
      </c>
      <c r="T823" s="364" t="s">
        <v>88</v>
      </c>
      <c r="U823" s="364" t="s">
        <v>88</v>
      </c>
      <c r="V823" s="364" t="s">
        <v>88</v>
      </c>
      <c r="W823" s="364" t="s">
        <v>88</v>
      </c>
      <c r="X823" s="364" t="s">
        <v>88</v>
      </c>
      <c r="Y823" s="364" t="s">
        <v>88</v>
      </c>
      <c r="Z823" s="364" t="s">
        <v>709</v>
      </c>
      <c r="AA823" s="364" t="s">
        <v>708</v>
      </c>
      <c r="AB823" s="364" t="s">
        <v>649</v>
      </c>
      <c r="AC823" s="364" t="s">
        <v>649</v>
      </c>
      <c r="AD823" s="364" t="s">
        <v>88</v>
      </c>
      <c r="AE823" s="364" t="s">
        <v>88</v>
      </c>
      <c r="AF823" s="364" t="s">
        <v>88</v>
      </c>
      <c r="AG823" s="364" t="s">
        <v>88</v>
      </c>
      <c r="AH823" s="364" t="s">
        <v>88</v>
      </c>
      <c r="AI823" s="364" t="s">
        <v>1199</v>
      </c>
      <c r="AJ823" s="364" t="s">
        <v>670</v>
      </c>
      <c r="AK823" s="364" t="s">
        <v>669</v>
      </c>
      <c r="AL823" s="364" t="s">
        <v>88</v>
      </c>
      <c r="AM823" s="364" t="s">
        <v>668</v>
      </c>
      <c r="AN823" s="364" t="s">
        <v>644</v>
      </c>
    </row>
    <row r="824" spans="1:40" x14ac:dyDescent="0.3">
      <c r="A824" s="364" t="s">
        <v>1844</v>
      </c>
      <c r="B824" s="364" t="s">
        <v>661</v>
      </c>
      <c r="C824" s="364" t="s">
        <v>677</v>
      </c>
      <c r="D824" s="364" t="s">
        <v>87</v>
      </c>
      <c r="E824" s="364" t="s">
        <v>1843</v>
      </c>
      <c r="F824" s="364" t="s">
        <v>1843</v>
      </c>
      <c r="G824" s="364" t="s">
        <v>658</v>
      </c>
      <c r="H824" s="364" t="s">
        <v>684</v>
      </c>
      <c r="I824" s="364" t="s">
        <v>1842</v>
      </c>
      <c r="J824" s="364" t="s">
        <v>673</v>
      </c>
      <c r="K824" s="364" t="s">
        <v>668</v>
      </c>
      <c r="L824" s="364" t="s">
        <v>190</v>
      </c>
      <c r="M824" s="364" t="s">
        <v>58</v>
      </c>
      <c r="N824" s="364" t="s">
        <v>654</v>
      </c>
      <c r="O824" s="364" t="s">
        <v>653</v>
      </c>
      <c r="P824" s="364" t="s">
        <v>198</v>
      </c>
      <c r="Q824" s="364" t="s">
        <v>652</v>
      </c>
      <c r="R824" s="364" t="s">
        <v>88</v>
      </c>
      <c r="S824" s="364" t="s">
        <v>88</v>
      </c>
      <c r="T824" s="364" t="s">
        <v>88</v>
      </c>
      <c r="U824" s="364" t="s">
        <v>88</v>
      </c>
      <c r="V824" s="364" t="s">
        <v>88</v>
      </c>
      <c r="W824" s="364" t="s">
        <v>88</v>
      </c>
      <c r="X824" s="364" t="s">
        <v>88</v>
      </c>
      <c r="Y824" s="364" t="s">
        <v>88</v>
      </c>
      <c r="Z824" s="364" t="s">
        <v>702</v>
      </c>
      <c r="AA824" s="364" t="s">
        <v>701</v>
      </c>
      <c r="AB824" s="364" t="s">
        <v>649</v>
      </c>
      <c r="AC824" s="364" t="s">
        <v>649</v>
      </c>
      <c r="AD824" s="364" t="s">
        <v>88</v>
      </c>
      <c r="AE824" s="364" t="s">
        <v>88</v>
      </c>
      <c r="AF824" s="364" t="s">
        <v>88</v>
      </c>
      <c r="AG824" s="364" t="s">
        <v>88</v>
      </c>
      <c r="AH824" s="364" t="s">
        <v>88</v>
      </c>
      <c r="AI824" s="364" t="s">
        <v>1199</v>
      </c>
      <c r="AJ824" s="364" t="s">
        <v>670</v>
      </c>
      <c r="AK824" s="364" t="s">
        <v>669</v>
      </c>
      <c r="AL824" s="364" t="s">
        <v>88</v>
      </c>
      <c r="AM824" s="364" t="s">
        <v>668</v>
      </c>
      <c r="AN824" s="364" t="s">
        <v>644</v>
      </c>
    </row>
    <row r="825" spans="1:40" x14ac:dyDescent="0.3">
      <c r="A825" s="364" t="s">
        <v>1841</v>
      </c>
      <c r="B825" s="364" t="s">
        <v>661</v>
      </c>
      <c r="C825" s="364" t="s">
        <v>677</v>
      </c>
      <c r="D825" s="364" t="s">
        <v>87</v>
      </c>
      <c r="E825" s="364" t="s">
        <v>889</v>
      </c>
      <c r="F825" s="364" t="s">
        <v>889</v>
      </c>
      <c r="G825" s="364" t="s">
        <v>658</v>
      </c>
      <c r="H825" s="364" t="s">
        <v>1840</v>
      </c>
      <c r="I825" s="364" t="s">
        <v>1839</v>
      </c>
      <c r="J825" s="364" t="s">
        <v>673</v>
      </c>
      <c r="K825" s="364" t="s">
        <v>668</v>
      </c>
      <c r="L825" s="364" t="s">
        <v>190</v>
      </c>
      <c r="M825" s="364" t="s">
        <v>60</v>
      </c>
      <c r="N825" s="364" t="s">
        <v>654</v>
      </c>
      <c r="O825" s="364" t="s">
        <v>653</v>
      </c>
      <c r="P825" s="364" t="s">
        <v>198</v>
      </c>
      <c r="Q825" s="364" t="s">
        <v>652</v>
      </c>
      <c r="R825" s="364" t="s">
        <v>88</v>
      </c>
      <c r="S825" s="364" t="s">
        <v>88</v>
      </c>
      <c r="T825" s="364" t="s">
        <v>88</v>
      </c>
      <c r="U825" s="364" t="s">
        <v>88</v>
      </c>
      <c r="V825" s="364" t="s">
        <v>88</v>
      </c>
      <c r="W825" s="364" t="s">
        <v>88</v>
      </c>
      <c r="X825" s="364" t="s">
        <v>88</v>
      </c>
      <c r="Y825" s="364" t="s">
        <v>88</v>
      </c>
      <c r="Z825" s="364" t="s">
        <v>709</v>
      </c>
      <c r="AA825" s="364" t="s">
        <v>708</v>
      </c>
      <c r="AB825" s="364" t="s">
        <v>649</v>
      </c>
      <c r="AC825" s="364" t="s">
        <v>649</v>
      </c>
      <c r="AD825" s="364" t="s">
        <v>88</v>
      </c>
      <c r="AE825" s="364" t="s">
        <v>88</v>
      </c>
      <c r="AF825" s="364" t="s">
        <v>88</v>
      </c>
      <c r="AG825" s="364" t="s">
        <v>88</v>
      </c>
      <c r="AH825" s="364" t="s">
        <v>88</v>
      </c>
      <c r="AI825" s="364" t="s">
        <v>1199</v>
      </c>
      <c r="AJ825" s="364" t="s">
        <v>670</v>
      </c>
      <c r="AK825" s="364" t="s">
        <v>687</v>
      </c>
      <c r="AL825" s="364" t="s">
        <v>88</v>
      </c>
      <c r="AM825" s="364" t="s">
        <v>668</v>
      </c>
      <c r="AN825" s="364" t="s">
        <v>644</v>
      </c>
    </row>
    <row r="826" spans="1:40" x14ac:dyDescent="0.3">
      <c r="A826" s="364" t="s">
        <v>1838</v>
      </c>
      <c r="B826" s="364" t="s">
        <v>661</v>
      </c>
      <c r="C826" s="364" t="s">
        <v>677</v>
      </c>
      <c r="D826" s="364" t="s">
        <v>87</v>
      </c>
      <c r="E826" s="364" t="s">
        <v>1779</v>
      </c>
      <c r="F826" s="364" t="s">
        <v>1779</v>
      </c>
      <c r="G826" s="364" t="s">
        <v>658</v>
      </c>
      <c r="H826" s="364" t="s">
        <v>1785</v>
      </c>
      <c r="I826" s="364" t="s">
        <v>1837</v>
      </c>
      <c r="J826" s="364" t="s">
        <v>673</v>
      </c>
      <c r="K826" s="364" t="s">
        <v>668</v>
      </c>
      <c r="L826" s="364" t="s">
        <v>190</v>
      </c>
      <c r="M826" s="364" t="s">
        <v>60</v>
      </c>
      <c r="N826" s="364" t="s">
        <v>654</v>
      </c>
      <c r="O826" s="364" t="s">
        <v>653</v>
      </c>
      <c r="P826" s="364" t="s">
        <v>198</v>
      </c>
      <c r="Q826" s="364" t="s">
        <v>652</v>
      </c>
      <c r="R826" s="364" t="s">
        <v>88</v>
      </c>
      <c r="S826" s="364" t="s">
        <v>88</v>
      </c>
      <c r="T826" s="364" t="s">
        <v>88</v>
      </c>
      <c r="U826" s="364" t="s">
        <v>88</v>
      </c>
      <c r="V826" s="364" t="s">
        <v>88</v>
      </c>
      <c r="W826" s="364" t="s">
        <v>88</v>
      </c>
      <c r="X826" s="364" t="s">
        <v>88</v>
      </c>
      <c r="Y826" s="364" t="s">
        <v>88</v>
      </c>
      <c r="Z826" s="364" t="s">
        <v>709</v>
      </c>
      <c r="AA826" s="364" t="s">
        <v>708</v>
      </c>
      <c r="AB826" s="364" t="s">
        <v>649</v>
      </c>
      <c r="AC826" s="364" t="s">
        <v>649</v>
      </c>
      <c r="AD826" s="364" t="s">
        <v>88</v>
      </c>
      <c r="AE826" s="364" t="s">
        <v>88</v>
      </c>
      <c r="AF826" s="364" t="s">
        <v>88</v>
      </c>
      <c r="AG826" s="364" t="s">
        <v>88</v>
      </c>
      <c r="AH826" s="364" t="s">
        <v>88</v>
      </c>
      <c r="AI826" s="364" t="s">
        <v>1199</v>
      </c>
      <c r="AJ826" s="364" t="s">
        <v>670</v>
      </c>
      <c r="AK826" s="364" t="s">
        <v>687</v>
      </c>
      <c r="AL826" s="364" t="s">
        <v>88</v>
      </c>
      <c r="AM826" s="364" t="s">
        <v>668</v>
      </c>
      <c r="AN826" s="364" t="s">
        <v>644</v>
      </c>
    </row>
    <row r="827" spans="1:40" x14ac:dyDescent="0.3">
      <c r="A827" s="364" t="s">
        <v>1836</v>
      </c>
      <c r="B827" s="364" t="s">
        <v>661</v>
      </c>
      <c r="C827" s="364" t="s">
        <v>677</v>
      </c>
      <c r="D827" s="364" t="s">
        <v>87</v>
      </c>
      <c r="E827" s="364" t="s">
        <v>1779</v>
      </c>
      <c r="F827" s="364" t="s">
        <v>1779</v>
      </c>
      <c r="G827" s="364" t="s">
        <v>658</v>
      </c>
      <c r="H827" s="364" t="s">
        <v>1835</v>
      </c>
      <c r="I827" s="364" t="s">
        <v>1834</v>
      </c>
      <c r="J827" s="364" t="s">
        <v>673</v>
      </c>
      <c r="K827" s="364" t="s">
        <v>668</v>
      </c>
      <c r="L827" s="364" t="s">
        <v>190</v>
      </c>
      <c r="M827" s="364" t="s">
        <v>59</v>
      </c>
      <c r="N827" s="364" t="s">
        <v>654</v>
      </c>
      <c r="O827" s="364" t="s">
        <v>653</v>
      </c>
      <c r="P827" s="364" t="s">
        <v>198</v>
      </c>
      <c r="Q827" s="364" t="s">
        <v>652</v>
      </c>
      <c r="R827" s="364" t="s">
        <v>88</v>
      </c>
      <c r="S827" s="364" t="s">
        <v>88</v>
      </c>
      <c r="T827" s="364" t="s">
        <v>88</v>
      </c>
      <c r="U827" s="364" t="s">
        <v>88</v>
      </c>
      <c r="V827" s="364" t="s">
        <v>88</v>
      </c>
      <c r="W827" s="364" t="s">
        <v>88</v>
      </c>
      <c r="X827" s="364" t="s">
        <v>88</v>
      </c>
      <c r="Y827" s="364" t="s">
        <v>88</v>
      </c>
      <c r="Z827" s="364" t="s">
        <v>672</v>
      </c>
      <c r="AA827" s="364" t="s">
        <v>671</v>
      </c>
      <c r="AB827" s="364" t="s">
        <v>649</v>
      </c>
      <c r="AC827" s="364" t="s">
        <v>649</v>
      </c>
      <c r="AD827" s="364" t="s">
        <v>88</v>
      </c>
      <c r="AE827" s="364" t="s">
        <v>88</v>
      </c>
      <c r="AF827" s="364" t="s">
        <v>88</v>
      </c>
      <c r="AG827" s="364" t="s">
        <v>88</v>
      </c>
      <c r="AH827" s="364" t="s">
        <v>88</v>
      </c>
      <c r="AI827" s="364" t="s">
        <v>1199</v>
      </c>
      <c r="AJ827" s="364" t="s">
        <v>670</v>
      </c>
      <c r="AK827" s="364" t="s">
        <v>669</v>
      </c>
      <c r="AL827" s="364" t="s">
        <v>88</v>
      </c>
      <c r="AM827" s="364" t="s">
        <v>668</v>
      </c>
      <c r="AN827" s="364" t="s">
        <v>644</v>
      </c>
    </row>
    <row r="828" spans="1:40" x14ac:dyDescent="0.3">
      <c r="A828" s="364" t="s">
        <v>1833</v>
      </c>
      <c r="B828" s="364" t="s">
        <v>661</v>
      </c>
      <c r="C828" s="364" t="s">
        <v>677</v>
      </c>
      <c r="D828" s="364" t="s">
        <v>170</v>
      </c>
      <c r="E828" s="364" t="s">
        <v>1779</v>
      </c>
      <c r="F828" s="364" t="s">
        <v>1779</v>
      </c>
      <c r="G828" s="364" t="s">
        <v>658</v>
      </c>
      <c r="H828" s="364" t="s">
        <v>1832</v>
      </c>
      <c r="I828" s="364" t="s">
        <v>1831</v>
      </c>
      <c r="J828" s="364" t="s">
        <v>673</v>
      </c>
      <c r="K828" s="364" t="s">
        <v>668</v>
      </c>
      <c r="L828" s="364" t="s">
        <v>190</v>
      </c>
      <c r="M828" s="364" t="s">
        <v>164</v>
      </c>
      <c r="N828" s="364" t="s">
        <v>654</v>
      </c>
      <c r="O828" s="364" t="s">
        <v>653</v>
      </c>
      <c r="P828" s="364" t="s">
        <v>198</v>
      </c>
      <c r="Q828" s="364" t="s">
        <v>652</v>
      </c>
      <c r="R828" s="364" t="s">
        <v>88</v>
      </c>
      <c r="S828" s="364" t="s">
        <v>88</v>
      </c>
      <c r="T828" s="364" t="s">
        <v>88</v>
      </c>
      <c r="U828" s="364" t="s">
        <v>88</v>
      </c>
      <c r="V828" s="364" t="s">
        <v>88</v>
      </c>
      <c r="W828" s="364" t="s">
        <v>88</v>
      </c>
      <c r="X828" s="364" t="s">
        <v>88</v>
      </c>
      <c r="Y828" s="364" t="s">
        <v>88</v>
      </c>
      <c r="Z828" s="364" t="s">
        <v>825</v>
      </c>
      <c r="AA828" s="364" t="s">
        <v>649</v>
      </c>
      <c r="AB828" s="364" t="s">
        <v>649</v>
      </c>
      <c r="AC828" s="364" t="s">
        <v>649</v>
      </c>
      <c r="AD828" s="364" t="s">
        <v>88</v>
      </c>
      <c r="AE828" s="364" t="s">
        <v>88</v>
      </c>
      <c r="AF828" s="364" t="s">
        <v>88</v>
      </c>
      <c r="AG828" s="364" t="s">
        <v>88</v>
      </c>
      <c r="AH828" s="364" t="s">
        <v>88</v>
      </c>
      <c r="AI828" s="364" t="s">
        <v>1199</v>
      </c>
      <c r="AJ828" s="364" t="s">
        <v>670</v>
      </c>
      <c r="AK828" s="364" t="s">
        <v>687</v>
      </c>
      <c r="AL828" s="364" t="s">
        <v>88</v>
      </c>
      <c r="AM828" s="364" t="s">
        <v>668</v>
      </c>
      <c r="AN828" s="364" t="s">
        <v>644</v>
      </c>
    </row>
    <row r="829" spans="1:40" x14ac:dyDescent="0.3">
      <c r="A829" s="364" t="s">
        <v>1830</v>
      </c>
      <c r="B829" s="364" t="s">
        <v>661</v>
      </c>
      <c r="C829" s="364" t="s">
        <v>677</v>
      </c>
      <c r="D829" s="364" t="s">
        <v>87</v>
      </c>
      <c r="E829" s="364" t="s">
        <v>1779</v>
      </c>
      <c r="F829" s="364" t="s">
        <v>1779</v>
      </c>
      <c r="G829" s="364" t="s">
        <v>658</v>
      </c>
      <c r="H829" s="364" t="s">
        <v>1829</v>
      </c>
      <c r="I829" s="364" t="s">
        <v>1828</v>
      </c>
      <c r="J829" s="364" t="s">
        <v>673</v>
      </c>
      <c r="K829" s="364" t="s">
        <v>668</v>
      </c>
      <c r="L829" s="364" t="s">
        <v>190</v>
      </c>
      <c r="M829" s="364" t="s">
        <v>58</v>
      </c>
      <c r="N829" s="364" t="s">
        <v>654</v>
      </c>
      <c r="O829" s="364" t="s">
        <v>653</v>
      </c>
      <c r="P829" s="364" t="s">
        <v>198</v>
      </c>
      <c r="Q829" s="364" t="s">
        <v>652</v>
      </c>
      <c r="R829" s="364" t="s">
        <v>88</v>
      </c>
      <c r="S829" s="364" t="s">
        <v>88</v>
      </c>
      <c r="T829" s="364" t="s">
        <v>88</v>
      </c>
      <c r="U829" s="364" t="s">
        <v>88</v>
      </c>
      <c r="V829" s="364" t="s">
        <v>88</v>
      </c>
      <c r="W829" s="364" t="s">
        <v>88</v>
      </c>
      <c r="X829" s="364" t="s">
        <v>88</v>
      </c>
      <c r="Y829" s="364" t="s">
        <v>88</v>
      </c>
      <c r="Z829" s="364" t="s">
        <v>702</v>
      </c>
      <c r="AA829" s="364" t="s">
        <v>701</v>
      </c>
      <c r="AB829" s="364" t="s">
        <v>649</v>
      </c>
      <c r="AC829" s="364" t="s">
        <v>649</v>
      </c>
      <c r="AD829" s="364" t="s">
        <v>88</v>
      </c>
      <c r="AE829" s="364" t="s">
        <v>88</v>
      </c>
      <c r="AF829" s="364" t="s">
        <v>88</v>
      </c>
      <c r="AG829" s="364" t="s">
        <v>88</v>
      </c>
      <c r="AH829" s="364" t="s">
        <v>88</v>
      </c>
      <c r="AI829" s="364" t="s">
        <v>1199</v>
      </c>
      <c r="AJ829" s="364" t="s">
        <v>670</v>
      </c>
      <c r="AK829" s="364" t="s">
        <v>669</v>
      </c>
      <c r="AL829" s="364" t="s">
        <v>88</v>
      </c>
      <c r="AM829" s="364" t="s">
        <v>668</v>
      </c>
      <c r="AN829" s="364" t="s">
        <v>644</v>
      </c>
    </row>
    <row r="830" spans="1:40" x14ac:dyDescent="0.3">
      <c r="A830" s="364" t="s">
        <v>1830</v>
      </c>
      <c r="B830" s="364" t="s">
        <v>661</v>
      </c>
      <c r="C830" s="364" t="s">
        <v>677</v>
      </c>
      <c r="D830" s="364" t="s">
        <v>87</v>
      </c>
      <c r="E830" s="364" t="s">
        <v>1779</v>
      </c>
      <c r="F830" s="364" t="s">
        <v>1779</v>
      </c>
      <c r="G830" s="364" t="s">
        <v>658</v>
      </c>
      <c r="H830" s="364" t="s">
        <v>1829</v>
      </c>
      <c r="I830" s="364" t="s">
        <v>1828</v>
      </c>
      <c r="J830" s="364" t="s">
        <v>673</v>
      </c>
      <c r="K830" s="364" t="s">
        <v>668</v>
      </c>
      <c r="L830" s="364" t="s">
        <v>190</v>
      </c>
      <c r="M830" s="364" t="s">
        <v>166</v>
      </c>
      <c r="N830" s="364" t="s">
        <v>654</v>
      </c>
      <c r="O830" s="364" t="s">
        <v>653</v>
      </c>
      <c r="P830" s="364" t="s">
        <v>198</v>
      </c>
      <c r="Q830" s="364" t="s">
        <v>652</v>
      </c>
      <c r="R830" s="364" t="s">
        <v>88</v>
      </c>
      <c r="S830" s="364" t="s">
        <v>88</v>
      </c>
      <c r="T830" s="364" t="s">
        <v>88</v>
      </c>
      <c r="U830" s="364" t="s">
        <v>88</v>
      </c>
      <c r="V830" s="364" t="s">
        <v>88</v>
      </c>
      <c r="W830" s="364" t="s">
        <v>88</v>
      </c>
      <c r="X830" s="364" t="s">
        <v>88</v>
      </c>
      <c r="Y830" s="364" t="s">
        <v>88</v>
      </c>
      <c r="Z830" s="364" t="s">
        <v>877</v>
      </c>
      <c r="AA830" s="364" t="s">
        <v>876</v>
      </c>
      <c r="AB830" s="364" t="s">
        <v>649</v>
      </c>
      <c r="AC830" s="364" t="s">
        <v>649</v>
      </c>
      <c r="AD830" s="364" t="s">
        <v>88</v>
      </c>
      <c r="AE830" s="364" t="s">
        <v>88</v>
      </c>
      <c r="AF830" s="364" t="s">
        <v>88</v>
      </c>
      <c r="AG830" s="364" t="s">
        <v>88</v>
      </c>
      <c r="AH830" s="364" t="s">
        <v>88</v>
      </c>
      <c r="AI830" s="364" t="s">
        <v>1199</v>
      </c>
      <c r="AJ830" s="364" t="s">
        <v>670</v>
      </c>
      <c r="AK830" s="364" t="s">
        <v>669</v>
      </c>
      <c r="AL830" s="364" t="s">
        <v>88</v>
      </c>
      <c r="AM830" s="364" t="s">
        <v>668</v>
      </c>
      <c r="AN830" s="364" t="s">
        <v>644</v>
      </c>
    </row>
    <row r="831" spans="1:40" x14ac:dyDescent="0.3">
      <c r="A831" s="364" t="s">
        <v>1827</v>
      </c>
      <c r="B831" s="364" t="s">
        <v>661</v>
      </c>
      <c r="C831" s="364" t="s">
        <v>677</v>
      </c>
      <c r="D831" s="364" t="s">
        <v>87</v>
      </c>
      <c r="E831" s="364" t="s">
        <v>1826</v>
      </c>
      <c r="F831" s="364" t="s">
        <v>1826</v>
      </c>
      <c r="G831" s="364" t="s">
        <v>658</v>
      </c>
      <c r="H831" s="364" t="s">
        <v>684</v>
      </c>
      <c r="I831" s="364" t="s">
        <v>1825</v>
      </c>
      <c r="J831" s="364" t="s">
        <v>673</v>
      </c>
      <c r="K831" s="364" t="s">
        <v>668</v>
      </c>
      <c r="L831" s="364" t="s">
        <v>190</v>
      </c>
      <c r="M831" s="364" t="s">
        <v>58</v>
      </c>
      <c r="N831" s="364" t="s">
        <v>654</v>
      </c>
      <c r="O831" s="364" t="s">
        <v>653</v>
      </c>
      <c r="P831" s="364" t="s">
        <v>198</v>
      </c>
      <c r="Q831" s="364" t="s">
        <v>652</v>
      </c>
      <c r="R831" s="364" t="s">
        <v>88</v>
      </c>
      <c r="S831" s="364" t="s">
        <v>88</v>
      </c>
      <c r="T831" s="364" t="s">
        <v>88</v>
      </c>
      <c r="U831" s="364" t="s">
        <v>88</v>
      </c>
      <c r="V831" s="364" t="s">
        <v>88</v>
      </c>
      <c r="W831" s="364" t="s">
        <v>88</v>
      </c>
      <c r="X831" s="364" t="s">
        <v>88</v>
      </c>
      <c r="Y831" s="364" t="s">
        <v>88</v>
      </c>
      <c r="Z831" s="364" t="s">
        <v>702</v>
      </c>
      <c r="AA831" s="364" t="s">
        <v>701</v>
      </c>
      <c r="AB831" s="364" t="s">
        <v>649</v>
      </c>
      <c r="AC831" s="364" t="s">
        <v>649</v>
      </c>
      <c r="AD831" s="364" t="s">
        <v>88</v>
      </c>
      <c r="AE831" s="364" t="s">
        <v>88</v>
      </c>
      <c r="AF831" s="364" t="s">
        <v>88</v>
      </c>
      <c r="AG831" s="364" t="s">
        <v>88</v>
      </c>
      <c r="AH831" s="364" t="s">
        <v>88</v>
      </c>
      <c r="AI831" s="364" t="s">
        <v>1199</v>
      </c>
      <c r="AJ831" s="364" t="s">
        <v>670</v>
      </c>
      <c r="AK831" s="364" t="s">
        <v>669</v>
      </c>
      <c r="AL831" s="364" t="s">
        <v>88</v>
      </c>
      <c r="AM831" s="364" t="s">
        <v>668</v>
      </c>
      <c r="AN831" s="364" t="s">
        <v>644</v>
      </c>
    </row>
    <row r="832" spans="1:40" x14ac:dyDescent="0.3">
      <c r="A832" s="364" t="s">
        <v>1824</v>
      </c>
      <c r="B832" s="364" t="s">
        <v>661</v>
      </c>
      <c r="C832" s="364" t="s">
        <v>677</v>
      </c>
      <c r="D832" s="364" t="s">
        <v>90</v>
      </c>
      <c r="E832" s="364" t="s">
        <v>1779</v>
      </c>
      <c r="F832" s="364" t="s">
        <v>1779</v>
      </c>
      <c r="G832" s="364" t="s">
        <v>658</v>
      </c>
      <c r="H832" s="364" t="s">
        <v>1823</v>
      </c>
      <c r="I832" s="364" t="s">
        <v>1822</v>
      </c>
      <c r="J832" s="364" t="s">
        <v>673</v>
      </c>
      <c r="K832" s="364" t="s">
        <v>668</v>
      </c>
      <c r="L832" s="364" t="s">
        <v>190</v>
      </c>
      <c r="M832" s="364" t="s">
        <v>54</v>
      </c>
      <c r="N832" s="364" t="s">
        <v>654</v>
      </c>
      <c r="O832" s="364" t="s">
        <v>653</v>
      </c>
      <c r="P832" s="364" t="s">
        <v>198</v>
      </c>
      <c r="Q832" s="364" t="s">
        <v>652</v>
      </c>
      <c r="R832" s="364" t="s">
        <v>88</v>
      </c>
      <c r="S832" s="364" t="s">
        <v>88</v>
      </c>
      <c r="T832" s="364" t="s">
        <v>88</v>
      </c>
      <c r="U832" s="364" t="s">
        <v>88</v>
      </c>
      <c r="V832" s="364" t="s">
        <v>88</v>
      </c>
      <c r="W832" s="364" t="s">
        <v>88</v>
      </c>
      <c r="X832" s="364" t="s">
        <v>88</v>
      </c>
      <c r="Y832" s="364" t="s">
        <v>88</v>
      </c>
      <c r="Z832" s="364" t="s">
        <v>1265</v>
      </c>
      <c r="AA832" s="364" t="s">
        <v>649</v>
      </c>
      <c r="AB832" s="364" t="s">
        <v>649</v>
      </c>
      <c r="AC832" s="364" t="s">
        <v>649</v>
      </c>
      <c r="AD832" s="364" t="s">
        <v>88</v>
      </c>
      <c r="AE832" s="364" t="s">
        <v>88</v>
      </c>
      <c r="AF832" s="364" t="s">
        <v>88</v>
      </c>
      <c r="AG832" s="364" t="s">
        <v>88</v>
      </c>
      <c r="AH832" s="364" t="s">
        <v>88</v>
      </c>
      <c r="AI832" s="364" t="s">
        <v>1155</v>
      </c>
      <c r="AJ832" s="364" t="s">
        <v>710</v>
      </c>
      <c r="AK832" s="364" t="s">
        <v>647</v>
      </c>
      <c r="AL832" s="364" t="s">
        <v>88</v>
      </c>
      <c r="AM832" s="364" t="s">
        <v>668</v>
      </c>
      <c r="AN832" s="364" t="s">
        <v>644</v>
      </c>
    </row>
    <row r="833" spans="1:40" x14ac:dyDescent="0.3">
      <c r="A833" s="364" t="s">
        <v>1824</v>
      </c>
      <c r="B833" s="364" t="s">
        <v>661</v>
      </c>
      <c r="C833" s="364" t="s">
        <v>677</v>
      </c>
      <c r="D833" s="364" t="s">
        <v>90</v>
      </c>
      <c r="E833" s="364" t="s">
        <v>1779</v>
      </c>
      <c r="F833" s="364" t="s">
        <v>1779</v>
      </c>
      <c r="G833" s="364" t="s">
        <v>658</v>
      </c>
      <c r="H833" s="364" t="s">
        <v>1823</v>
      </c>
      <c r="I833" s="364" t="s">
        <v>1822</v>
      </c>
      <c r="J833" s="364" t="s">
        <v>673</v>
      </c>
      <c r="K833" s="364" t="s">
        <v>668</v>
      </c>
      <c r="L833" s="364" t="s">
        <v>190</v>
      </c>
      <c r="M833" s="364" t="s">
        <v>250</v>
      </c>
      <c r="N833" s="364" t="s">
        <v>654</v>
      </c>
      <c r="O833" s="364" t="s">
        <v>653</v>
      </c>
      <c r="P833" s="364" t="s">
        <v>198</v>
      </c>
      <c r="Q833" s="364" t="s">
        <v>652</v>
      </c>
      <c r="R833" s="364" t="s">
        <v>88</v>
      </c>
      <c r="S833" s="364" t="s">
        <v>88</v>
      </c>
      <c r="T833" s="364" t="s">
        <v>88</v>
      </c>
      <c r="U833" s="364" t="s">
        <v>88</v>
      </c>
      <c r="V833" s="364" t="s">
        <v>88</v>
      </c>
      <c r="W833" s="364" t="s">
        <v>88</v>
      </c>
      <c r="X833" s="364" t="s">
        <v>88</v>
      </c>
      <c r="Y833" s="364" t="s">
        <v>88</v>
      </c>
      <c r="Z833" s="364" t="s">
        <v>1821</v>
      </c>
      <c r="AA833" s="364" t="s">
        <v>649</v>
      </c>
      <c r="AB833" s="364" t="s">
        <v>649</v>
      </c>
      <c r="AC833" s="364" t="s">
        <v>649</v>
      </c>
      <c r="AD833" s="364" t="s">
        <v>88</v>
      </c>
      <c r="AE833" s="364" t="s">
        <v>88</v>
      </c>
      <c r="AF833" s="364" t="s">
        <v>88</v>
      </c>
      <c r="AG833" s="364" t="s">
        <v>88</v>
      </c>
      <c r="AH833" s="364" t="s">
        <v>88</v>
      </c>
      <c r="AI833" s="364" t="s">
        <v>1155</v>
      </c>
      <c r="AJ833" s="364" t="s">
        <v>710</v>
      </c>
      <c r="AK833" s="364" t="s">
        <v>647</v>
      </c>
      <c r="AL833" s="364" t="s">
        <v>88</v>
      </c>
      <c r="AM833" s="364" t="s">
        <v>668</v>
      </c>
      <c r="AN833" s="364" t="s">
        <v>644</v>
      </c>
    </row>
    <row r="834" spans="1:40" x14ac:dyDescent="0.3">
      <c r="A834" s="364" t="s">
        <v>1824</v>
      </c>
      <c r="B834" s="364" t="s">
        <v>661</v>
      </c>
      <c r="C834" s="364" t="s">
        <v>677</v>
      </c>
      <c r="D834" s="364" t="s">
        <v>90</v>
      </c>
      <c r="E834" s="364" t="s">
        <v>1779</v>
      </c>
      <c r="F834" s="364" t="s">
        <v>1779</v>
      </c>
      <c r="G834" s="364" t="s">
        <v>658</v>
      </c>
      <c r="H834" s="364" t="s">
        <v>1823</v>
      </c>
      <c r="I834" s="364" t="s">
        <v>1822</v>
      </c>
      <c r="J834" s="364" t="s">
        <v>673</v>
      </c>
      <c r="K834" s="364" t="s">
        <v>668</v>
      </c>
      <c r="L834" s="364" t="s">
        <v>190</v>
      </c>
      <c r="M834" s="364" t="s">
        <v>718</v>
      </c>
      <c r="N834" s="364" t="s">
        <v>654</v>
      </c>
      <c r="O834" s="364" t="s">
        <v>653</v>
      </c>
      <c r="P834" s="364" t="s">
        <v>198</v>
      </c>
      <c r="Q834" s="364" t="s">
        <v>652</v>
      </c>
      <c r="R834" s="364" t="s">
        <v>88</v>
      </c>
      <c r="S834" s="364" t="s">
        <v>88</v>
      </c>
      <c r="T834" s="364" t="s">
        <v>88</v>
      </c>
      <c r="U834" s="364" t="s">
        <v>88</v>
      </c>
      <c r="V834" s="364" t="s">
        <v>88</v>
      </c>
      <c r="W834" s="364" t="s">
        <v>88</v>
      </c>
      <c r="X834" s="364" t="s">
        <v>88</v>
      </c>
      <c r="Y834" s="364" t="s">
        <v>88</v>
      </c>
      <c r="Z834" s="364" t="s">
        <v>717</v>
      </c>
      <c r="AA834" s="364" t="s">
        <v>649</v>
      </c>
      <c r="AB834" s="364" t="s">
        <v>649</v>
      </c>
      <c r="AC834" s="364" t="s">
        <v>649</v>
      </c>
      <c r="AD834" s="364" t="s">
        <v>88</v>
      </c>
      <c r="AE834" s="364" t="s">
        <v>88</v>
      </c>
      <c r="AF834" s="364" t="s">
        <v>88</v>
      </c>
      <c r="AG834" s="364" t="s">
        <v>88</v>
      </c>
      <c r="AH834" s="364" t="s">
        <v>88</v>
      </c>
      <c r="AI834" s="364" t="s">
        <v>1155</v>
      </c>
      <c r="AJ834" s="364" t="s">
        <v>710</v>
      </c>
      <c r="AK834" s="364" t="s">
        <v>647</v>
      </c>
      <c r="AL834" s="364" t="s">
        <v>88</v>
      </c>
      <c r="AM834" s="364" t="s">
        <v>668</v>
      </c>
      <c r="AN834" s="364" t="s">
        <v>644</v>
      </c>
    </row>
    <row r="835" spans="1:40" x14ac:dyDescent="0.3">
      <c r="A835" s="364" t="s">
        <v>1824</v>
      </c>
      <c r="B835" s="364" t="s">
        <v>661</v>
      </c>
      <c r="C835" s="364" t="s">
        <v>677</v>
      </c>
      <c r="D835" s="364" t="s">
        <v>90</v>
      </c>
      <c r="E835" s="364" t="s">
        <v>1779</v>
      </c>
      <c r="F835" s="364" t="s">
        <v>1779</v>
      </c>
      <c r="G835" s="364" t="s">
        <v>658</v>
      </c>
      <c r="H835" s="364" t="s">
        <v>1823</v>
      </c>
      <c r="I835" s="364" t="s">
        <v>1822</v>
      </c>
      <c r="J835" s="364" t="s">
        <v>673</v>
      </c>
      <c r="K835" s="364" t="s">
        <v>668</v>
      </c>
      <c r="L835" s="364" t="s">
        <v>190</v>
      </c>
      <c r="M835" s="364" t="s">
        <v>713</v>
      </c>
      <c r="N835" s="364" t="s">
        <v>654</v>
      </c>
      <c r="O835" s="364" t="s">
        <v>653</v>
      </c>
      <c r="P835" s="364" t="s">
        <v>198</v>
      </c>
      <c r="Q835" s="364" t="s">
        <v>652</v>
      </c>
      <c r="R835" s="364" t="s">
        <v>88</v>
      </c>
      <c r="S835" s="364" t="s">
        <v>88</v>
      </c>
      <c r="T835" s="364" t="s">
        <v>88</v>
      </c>
      <c r="U835" s="364" t="s">
        <v>88</v>
      </c>
      <c r="V835" s="364" t="s">
        <v>88</v>
      </c>
      <c r="W835" s="364" t="s">
        <v>88</v>
      </c>
      <c r="X835" s="364" t="s">
        <v>88</v>
      </c>
      <c r="Y835" s="364" t="s">
        <v>88</v>
      </c>
      <c r="Z835" s="364" t="s">
        <v>712</v>
      </c>
      <c r="AA835" s="364" t="s">
        <v>711</v>
      </c>
      <c r="AB835" s="364" t="s">
        <v>649</v>
      </c>
      <c r="AC835" s="364" t="s">
        <v>649</v>
      </c>
      <c r="AD835" s="364" t="s">
        <v>88</v>
      </c>
      <c r="AE835" s="364" t="s">
        <v>88</v>
      </c>
      <c r="AF835" s="364" t="s">
        <v>88</v>
      </c>
      <c r="AG835" s="364" t="s">
        <v>88</v>
      </c>
      <c r="AH835" s="364" t="s">
        <v>88</v>
      </c>
      <c r="AI835" s="364" t="s">
        <v>1155</v>
      </c>
      <c r="AJ835" s="364" t="s">
        <v>710</v>
      </c>
      <c r="AK835" s="364" t="s">
        <v>647</v>
      </c>
      <c r="AL835" s="364" t="s">
        <v>88</v>
      </c>
      <c r="AM835" s="364" t="s">
        <v>668</v>
      </c>
      <c r="AN835" s="364" t="s">
        <v>644</v>
      </c>
    </row>
    <row r="836" spans="1:40" x14ac:dyDescent="0.3">
      <c r="A836" s="364" t="s">
        <v>1824</v>
      </c>
      <c r="B836" s="364" t="s">
        <v>661</v>
      </c>
      <c r="C836" s="364" t="s">
        <v>677</v>
      </c>
      <c r="D836" s="364" t="s">
        <v>90</v>
      </c>
      <c r="E836" s="364" t="s">
        <v>1779</v>
      </c>
      <c r="F836" s="364" t="s">
        <v>1779</v>
      </c>
      <c r="G836" s="364" t="s">
        <v>658</v>
      </c>
      <c r="H836" s="364" t="s">
        <v>1823</v>
      </c>
      <c r="I836" s="364" t="s">
        <v>1822</v>
      </c>
      <c r="J836" s="364" t="s">
        <v>673</v>
      </c>
      <c r="K836" s="364" t="s">
        <v>668</v>
      </c>
      <c r="L836" s="364" t="s">
        <v>190</v>
      </c>
      <c r="M836" s="364" t="s">
        <v>61</v>
      </c>
      <c r="N836" s="364" t="s">
        <v>654</v>
      </c>
      <c r="O836" s="364" t="s">
        <v>653</v>
      </c>
      <c r="P836" s="364" t="s">
        <v>198</v>
      </c>
      <c r="Q836" s="364" t="s">
        <v>652</v>
      </c>
      <c r="R836" s="364" t="s">
        <v>88</v>
      </c>
      <c r="S836" s="364" t="s">
        <v>88</v>
      </c>
      <c r="T836" s="364" t="s">
        <v>88</v>
      </c>
      <c r="U836" s="364" t="s">
        <v>88</v>
      </c>
      <c r="V836" s="364" t="s">
        <v>88</v>
      </c>
      <c r="W836" s="364" t="s">
        <v>88</v>
      </c>
      <c r="X836" s="364" t="s">
        <v>88</v>
      </c>
      <c r="Y836" s="364" t="s">
        <v>88</v>
      </c>
      <c r="Z836" s="364" t="s">
        <v>1021</v>
      </c>
      <c r="AA836" s="364" t="s">
        <v>671</v>
      </c>
      <c r="AB836" s="364" t="s">
        <v>649</v>
      </c>
      <c r="AC836" s="364" t="s">
        <v>649</v>
      </c>
      <c r="AD836" s="364" t="s">
        <v>88</v>
      </c>
      <c r="AE836" s="364" t="s">
        <v>88</v>
      </c>
      <c r="AF836" s="364" t="s">
        <v>88</v>
      </c>
      <c r="AG836" s="364" t="s">
        <v>88</v>
      </c>
      <c r="AH836" s="364" t="s">
        <v>88</v>
      </c>
      <c r="AI836" s="364" t="s">
        <v>1155</v>
      </c>
      <c r="AJ836" s="364" t="s">
        <v>710</v>
      </c>
      <c r="AK836" s="364" t="s">
        <v>647</v>
      </c>
      <c r="AL836" s="364" t="s">
        <v>88</v>
      </c>
      <c r="AM836" s="364" t="s">
        <v>668</v>
      </c>
      <c r="AN836" s="364" t="s">
        <v>644</v>
      </c>
    </row>
    <row r="837" spans="1:40" x14ac:dyDescent="0.3">
      <c r="A837" s="364" t="s">
        <v>1824</v>
      </c>
      <c r="B837" s="364" t="s">
        <v>661</v>
      </c>
      <c r="C837" s="364" t="s">
        <v>677</v>
      </c>
      <c r="D837" s="364" t="s">
        <v>90</v>
      </c>
      <c r="E837" s="364" t="s">
        <v>1779</v>
      </c>
      <c r="F837" s="364" t="s">
        <v>1779</v>
      </c>
      <c r="G837" s="364" t="s">
        <v>658</v>
      </c>
      <c r="H837" s="364" t="s">
        <v>1823</v>
      </c>
      <c r="I837" s="364" t="s">
        <v>1822</v>
      </c>
      <c r="J837" s="364" t="s">
        <v>673</v>
      </c>
      <c r="K837" s="364" t="s">
        <v>668</v>
      </c>
      <c r="L837" s="364" t="s">
        <v>190</v>
      </c>
      <c r="M837" s="364" t="s">
        <v>721</v>
      </c>
      <c r="N837" s="364" t="s">
        <v>654</v>
      </c>
      <c r="O837" s="364" t="s">
        <v>653</v>
      </c>
      <c r="P837" s="364" t="s">
        <v>198</v>
      </c>
      <c r="Q837" s="364" t="s">
        <v>652</v>
      </c>
      <c r="R837" s="364" t="s">
        <v>88</v>
      </c>
      <c r="S837" s="364" t="s">
        <v>88</v>
      </c>
      <c r="T837" s="364" t="s">
        <v>88</v>
      </c>
      <c r="U837" s="364" t="s">
        <v>88</v>
      </c>
      <c r="V837" s="364" t="s">
        <v>88</v>
      </c>
      <c r="W837" s="364" t="s">
        <v>88</v>
      </c>
      <c r="X837" s="364" t="s">
        <v>88</v>
      </c>
      <c r="Y837" s="364" t="s">
        <v>88</v>
      </c>
      <c r="Z837" s="364" t="s">
        <v>720</v>
      </c>
      <c r="AA837" s="364" t="s">
        <v>649</v>
      </c>
      <c r="AB837" s="364" t="s">
        <v>649</v>
      </c>
      <c r="AC837" s="364" t="s">
        <v>649</v>
      </c>
      <c r="AD837" s="364" t="s">
        <v>88</v>
      </c>
      <c r="AE837" s="364" t="s">
        <v>88</v>
      </c>
      <c r="AF837" s="364" t="s">
        <v>88</v>
      </c>
      <c r="AG837" s="364" t="s">
        <v>88</v>
      </c>
      <c r="AH837" s="364" t="s">
        <v>88</v>
      </c>
      <c r="AI837" s="364" t="s">
        <v>1155</v>
      </c>
      <c r="AJ837" s="364" t="s">
        <v>710</v>
      </c>
      <c r="AK837" s="364" t="s">
        <v>647</v>
      </c>
      <c r="AL837" s="364" t="s">
        <v>88</v>
      </c>
      <c r="AM837" s="364" t="s">
        <v>668</v>
      </c>
      <c r="AN837" s="364" t="s">
        <v>644</v>
      </c>
    </row>
    <row r="838" spans="1:40" x14ac:dyDescent="0.3">
      <c r="A838" s="364" t="s">
        <v>1824</v>
      </c>
      <c r="B838" s="364" t="s">
        <v>661</v>
      </c>
      <c r="C838" s="364" t="s">
        <v>677</v>
      </c>
      <c r="D838" s="364" t="s">
        <v>90</v>
      </c>
      <c r="E838" s="364" t="s">
        <v>1779</v>
      </c>
      <c r="F838" s="364" t="s">
        <v>1779</v>
      </c>
      <c r="G838" s="364" t="s">
        <v>658</v>
      </c>
      <c r="H838" s="364" t="s">
        <v>1823</v>
      </c>
      <c r="I838" s="364" t="s">
        <v>1822</v>
      </c>
      <c r="J838" s="364" t="s">
        <v>673</v>
      </c>
      <c r="K838" s="364" t="s">
        <v>668</v>
      </c>
      <c r="L838" s="364" t="s">
        <v>190</v>
      </c>
      <c r="M838" s="364" t="s">
        <v>56</v>
      </c>
      <c r="N838" s="364" t="s">
        <v>654</v>
      </c>
      <c r="O838" s="364" t="s">
        <v>653</v>
      </c>
      <c r="P838" s="364" t="s">
        <v>198</v>
      </c>
      <c r="Q838" s="364" t="s">
        <v>652</v>
      </c>
      <c r="R838" s="364" t="s">
        <v>88</v>
      </c>
      <c r="S838" s="364" t="s">
        <v>88</v>
      </c>
      <c r="T838" s="364" t="s">
        <v>88</v>
      </c>
      <c r="U838" s="364" t="s">
        <v>88</v>
      </c>
      <c r="V838" s="364" t="s">
        <v>88</v>
      </c>
      <c r="W838" s="364" t="s">
        <v>88</v>
      </c>
      <c r="X838" s="364" t="s">
        <v>88</v>
      </c>
      <c r="Y838" s="364" t="s">
        <v>88</v>
      </c>
      <c r="Z838" s="364" t="s">
        <v>1165</v>
      </c>
      <c r="AA838" s="364" t="s">
        <v>1164</v>
      </c>
      <c r="AB838" s="364" t="s">
        <v>649</v>
      </c>
      <c r="AC838" s="364" t="s">
        <v>649</v>
      </c>
      <c r="AD838" s="364" t="s">
        <v>88</v>
      </c>
      <c r="AE838" s="364" t="s">
        <v>88</v>
      </c>
      <c r="AF838" s="364" t="s">
        <v>88</v>
      </c>
      <c r="AG838" s="364" t="s">
        <v>88</v>
      </c>
      <c r="AH838" s="364" t="s">
        <v>88</v>
      </c>
      <c r="AI838" s="364" t="s">
        <v>1155</v>
      </c>
      <c r="AJ838" s="364" t="s">
        <v>710</v>
      </c>
      <c r="AK838" s="364" t="s">
        <v>647</v>
      </c>
      <c r="AL838" s="364" t="s">
        <v>88</v>
      </c>
      <c r="AM838" s="364" t="s">
        <v>668</v>
      </c>
      <c r="AN838" s="364" t="s">
        <v>644</v>
      </c>
    </row>
    <row r="839" spans="1:40" x14ac:dyDescent="0.3">
      <c r="A839" s="364" t="s">
        <v>1820</v>
      </c>
      <c r="B839" s="364" t="s">
        <v>661</v>
      </c>
      <c r="C839" s="364" t="s">
        <v>677</v>
      </c>
      <c r="D839" s="364" t="s">
        <v>90</v>
      </c>
      <c r="E839" s="364" t="s">
        <v>889</v>
      </c>
      <c r="F839" s="364" t="s">
        <v>889</v>
      </c>
      <c r="G839" s="364" t="s">
        <v>658</v>
      </c>
      <c r="H839" s="364" t="s">
        <v>1819</v>
      </c>
      <c r="I839" s="364" t="s">
        <v>1818</v>
      </c>
      <c r="J839" s="364" t="s">
        <v>673</v>
      </c>
      <c r="K839" s="364" t="s">
        <v>668</v>
      </c>
      <c r="L839" s="364" t="s">
        <v>190</v>
      </c>
      <c r="M839" s="364" t="s">
        <v>54</v>
      </c>
      <c r="N839" s="364" t="s">
        <v>654</v>
      </c>
      <c r="O839" s="364" t="s">
        <v>653</v>
      </c>
      <c r="P839" s="364" t="s">
        <v>198</v>
      </c>
      <c r="Q839" s="364" t="s">
        <v>652</v>
      </c>
      <c r="R839" s="364" t="s">
        <v>88</v>
      </c>
      <c r="S839" s="364" t="s">
        <v>88</v>
      </c>
      <c r="T839" s="364" t="s">
        <v>88</v>
      </c>
      <c r="U839" s="364" t="s">
        <v>88</v>
      </c>
      <c r="V839" s="364" t="s">
        <v>88</v>
      </c>
      <c r="W839" s="364" t="s">
        <v>88</v>
      </c>
      <c r="X839" s="364" t="s">
        <v>88</v>
      </c>
      <c r="Y839" s="364" t="s">
        <v>88</v>
      </c>
      <c r="Z839" s="364" t="s">
        <v>1265</v>
      </c>
      <c r="AA839" s="364" t="s">
        <v>649</v>
      </c>
      <c r="AB839" s="364" t="s">
        <v>649</v>
      </c>
      <c r="AC839" s="364" t="s">
        <v>649</v>
      </c>
      <c r="AD839" s="364" t="s">
        <v>88</v>
      </c>
      <c r="AE839" s="364" t="s">
        <v>88</v>
      </c>
      <c r="AF839" s="364" t="s">
        <v>88</v>
      </c>
      <c r="AG839" s="364" t="s">
        <v>88</v>
      </c>
      <c r="AH839" s="364" t="s">
        <v>88</v>
      </c>
      <c r="AI839" s="364" t="s">
        <v>1155</v>
      </c>
      <c r="AJ839" s="364" t="s">
        <v>710</v>
      </c>
      <c r="AK839" s="364" t="s">
        <v>647</v>
      </c>
      <c r="AL839" s="364" t="s">
        <v>88</v>
      </c>
      <c r="AM839" s="364" t="s">
        <v>668</v>
      </c>
      <c r="AN839" s="364" t="s">
        <v>644</v>
      </c>
    </row>
    <row r="840" spans="1:40" x14ac:dyDescent="0.3">
      <c r="A840" s="364" t="s">
        <v>1820</v>
      </c>
      <c r="B840" s="364" t="s">
        <v>661</v>
      </c>
      <c r="C840" s="364" t="s">
        <v>677</v>
      </c>
      <c r="D840" s="364" t="s">
        <v>90</v>
      </c>
      <c r="E840" s="364" t="s">
        <v>889</v>
      </c>
      <c r="F840" s="364" t="s">
        <v>889</v>
      </c>
      <c r="G840" s="364" t="s">
        <v>658</v>
      </c>
      <c r="H840" s="364" t="s">
        <v>1819</v>
      </c>
      <c r="I840" s="364" t="s">
        <v>1818</v>
      </c>
      <c r="J840" s="364" t="s">
        <v>673</v>
      </c>
      <c r="K840" s="364" t="s">
        <v>668</v>
      </c>
      <c r="L840" s="364" t="s">
        <v>190</v>
      </c>
      <c r="M840" s="364" t="s">
        <v>250</v>
      </c>
      <c r="N840" s="364" t="s">
        <v>654</v>
      </c>
      <c r="O840" s="364" t="s">
        <v>653</v>
      </c>
      <c r="P840" s="364" t="s">
        <v>198</v>
      </c>
      <c r="Q840" s="364" t="s">
        <v>652</v>
      </c>
      <c r="R840" s="364" t="s">
        <v>88</v>
      </c>
      <c r="S840" s="364" t="s">
        <v>88</v>
      </c>
      <c r="T840" s="364" t="s">
        <v>88</v>
      </c>
      <c r="U840" s="364" t="s">
        <v>88</v>
      </c>
      <c r="V840" s="364" t="s">
        <v>88</v>
      </c>
      <c r="W840" s="364" t="s">
        <v>88</v>
      </c>
      <c r="X840" s="364" t="s">
        <v>88</v>
      </c>
      <c r="Y840" s="364" t="s">
        <v>88</v>
      </c>
      <c r="Z840" s="364" t="s">
        <v>1821</v>
      </c>
      <c r="AA840" s="364" t="s">
        <v>649</v>
      </c>
      <c r="AB840" s="364" t="s">
        <v>649</v>
      </c>
      <c r="AC840" s="364" t="s">
        <v>649</v>
      </c>
      <c r="AD840" s="364" t="s">
        <v>88</v>
      </c>
      <c r="AE840" s="364" t="s">
        <v>88</v>
      </c>
      <c r="AF840" s="364" t="s">
        <v>88</v>
      </c>
      <c r="AG840" s="364" t="s">
        <v>88</v>
      </c>
      <c r="AH840" s="364" t="s">
        <v>88</v>
      </c>
      <c r="AI840" s="364" t="s">
        <v>1155</v>
      </c>
      <c r="AJ840" s="364" t="s">
        <v>710</v>
      </c>
      <c r="AK840" s="364" t="s">
        <v>647</v>
      </c>
      <c r="AL840" s="364" t="s">
        <v>88</v>
      </c>
      <c r="AM840" s="364" t="s">
        <v>668</v>
      </c>
      <c r="AN840" s="364" t="s">
        <v>644</v>
      </c>
    </row>
    <row r="841" spans="1:40" x14ac:dyDescent="0.3">
      <c r="A841" s="364" t="s">
        <v>1820</v>
      </c>
      <c r="B841" s="364" t="s">
        <v>661</v>
      </c>
      <c r="C841" s="364" t="s">
        <v>677</v>
      </c>
      <c r="D841" s="364" t="s">
        <v>90</v>
      </c>
      <c r="E841" s="364" t="s">
        <v>889</v>
      </c>
      <c r="F841" s="364" t="s">
        <v>889</v>
      </c>
      <c r="G841" s="364" t="s">
        <v>658</v>
      </c>
      <c r="H841" s="364" t="s">
        <v>1819</v>
      </c>
      <c r="I841" s="364" t="s">
        <v>1818</v>
      </c>
      <c r="J841" s="364" t="s">
        <v>673</v>
      </c>
      <c r="K841" s="364" t="s">
        <v>668</v>
      </c>
      <c r="L841" s="364" t="s">
        <v>190</v>
      </c>
      <c r="M841" s="364" t="s">
        <v>718</v>
      </c>
      <c r="N841" s="364" t="s">
        <v>654</v>
      </c>
      <c r="O841" s="364" t="s">
        <v>653</v>
      </c>
      <c r="P841" s="364" t="s">
        <v>198</v>
      </c>
      <c r="Q841" s="364" t="s">
        <v>652</v>
      </c>
      <c r="R841" s="364" t="s">
        <v>88</v>
      </c>
      <c r="S841" s="364" t="s">
        <v>88</v>
      </c>
      <c r="T841" s="364" t="s">
        <v>88</v>
      </c>
      <c r="U841" s="364" t="s">
        <v>88</v>
      </c>
      <c r="V841" s="364" t="s">
        <v>88</v>
      </c>
      <c r="W841" s="364" t="s">
        <v>88</v>
      </c>
      <c r="X841" s="364" t="s">
        <v>88</v>
      </c>
      <c r="Y841" s="364" t="s">
        <v>88</v>
      </c>
      <c r="Z841" s="364" t="s">
        <v>717</v>
      </c>
      <c r="AA841" s="364" t="s">
        <v>649</v>
      </c>
      <c r="AB841" s="364" t="s">
        <v>649</v>
      </c>
      <c r="AC841" s="364" t="s">
        <v>649</v>
      </c>
      <c r="AD841" s="364" t="s">
        <v>88</v>
      </c>
      <c r="AE841" s="364" t="s">
        <v>88</v>
      </c>
      <c r="AF841" s="364" t="s">
        <v>88</v>
      </c>
      <c r="AG841" s="364" t="s">
        <v>88</v>
      </c>
      <c r="AH841" s="364" t="s">
        <v>88</v>
      </c>
      <c r="AI841" s="364" t="s">
        <v>1155</v>
      </c>
      <c r="AJ841" s="364" t="s">
        <v>710</v>
      </c>
      <c r="AK841" s="364" t="s">
        <v>647</v>
      </c>
      <c r="AL841" s="364" t="s">
        <v>88</v>
      </c>
      <c r="AM841" s="364" t="s">
        <v>668</v>
      </c>
      <c r="AN841" s="364" t="s">
        <v>644</v>
      </c>
    </row>
    <row r="842" spans="1:40" x14ac:dyDescent="0.3">
      <c r="A842" s="364" t="s">
        <v>1820</v>
      </c>
      <c r="B842" s="364" t="s">
        <v>661</v>
      </c>
      <c r="C842" s="364" t="s">
        <v>677</v>
      </c>
      <c r="D842" s="364" t="s">
        <v>90</v>
      </c>
      <c r="E842" s="364" t="s">
        <v>889</v>
      </c>
      <c r="F842" s="364" t="s">
        <v>889</v>
      </c>
      <c r="G842" s="364" t="s">
        <v>658</v>
      </c>
      <c r="H842" s="364" t="s">
        <v>1819</v>
      </c>
      <c r="I842" s="364" t="s">
        <v>1818</v>
      </c>
      <c r="J842" s="364" t="s">
        <v>673</v>
      </c>
      <c r="K842" s="364" t="s">
        <v>668</v>
      </c>
      <c r="L842" s="364" t="s">
        <v>190</v>
      </c>
      <c r="M842" s="364" t="s">
        <v>713</v>
      </c>
      <c r="N842" s="364" t="s">
        <v>654</v>
      </c>
      <c r="O842" s="364" t="s">
        <v>653</v>
      </c>
      <c r="P842" s="364" t="s">
        <v>198</v>
      </c>
      <c r="Q842" s="364" t="s">
        <v>652</v>
      </c>
      <c r="R842" s="364" t="s">
        <v>88</v>
      </c>
      <c r="S842" s="364" t="s">
        <v>88</v>
      </c>
      <c r="T842" s="364" t="s">
        <v>88</v>
      </c>
      <c r="U842" s="364" t="s">
        <v>88</v>
      </c>
      <c r="V842" s="364" t="s">
        <v>88</v>
      </c>
      <c r="W842" s="364" t="s">
        <v>88</v>
      </c>
      <c r="X842" s="364" t="s">
        <v>88</v>
      </c>
      <c r="Y842" s="364" t="s">
        <v>88</v>
      </c>
      <c r="Z842" s="364" t="s">
        <v>712</v>
      </c>
      <c r="AA842" s="364" t="s">
        <v>711</v>
      </c>
      <c r="AB842" s="364" t="s">
        <v>649</v>
      </c>
      <c r="AC842" s="364" t="s">
        <v>649</v>
      </c>
      <c r="AD842" s="364" t="s">
        <v>88</v>
      </c>
      <c r="AE842" s="364" t="s">
        <v>88</v>
      </c>
      <c r="AF842" s="364" t="s">
        <v>88</v>
      </c>
      <c r="AG842" s="364" t="s">
        <v>88</v>
      </c>
      <c r="AH842" s="364" t="s">
        <v>88</v>
      </c>
      <c r="AI842" s="364" t="s">
        <v>1155</v>
      </c>
      <c r="AJ842" s="364" t="s">
        <v>710</v>
      </c>
      <c r="AK842" s="364" t="s">
        <v>647</v>
      </c>
      <c r="AL842" s="364" t="s">
        <v>88</v>
      </c>
      <c r="AM842" s="364" t="s">
        <v>668</v>
      </c>
      <c r="AN842" s="364" t="s">
        <v>644</v>
      </c>
    </row>
    <row r="843" spans="1:40" x14ac:dyDescent="0.3">
      <c r="A843" s="364" t="s">
        <v>1820</v>
      </c>
      <c r="B843" s="364" t="s">
        <v>661</v>
      </c>
      <c r="C843" s="364" t="s">
        <v>677</v>
      </c>
      <c r="D843" s="364" t="s">
        <v>90</v>
      </c>
      <c r="E843" s="364" t="s">
        <v>889</v>
      </c>
      <c r="F843" s="364" t="s">
        <v>889</v>
      </c>
      <c r="G843" s="364" t="s">
        <v>658</v>
      </c>
      <c r="H843" s="364" t="s">
        <v>1819</v>
      </c>
      <c r="I843" s="364" t="s">
        <v>1818</v>
      </c>
      <c r="J843" s="364" t="s">
        <v>673</v>
      </c>
      <c r="K843" s="364" t="s">
        <v>668</v>
      </c>
      <c r="L843" s="364" t="s">
        <v>190</v>
      </c>
      <c r="M843" s="364" t="s">
        <v>61</v>
      </c>
      <c r="N843" s="364" t="s">
        <v>654</v>
      </c>
      <c r="O843" s="364" t="s">
        <v>653</v>
      </c>
      <c r="P843" s="364" t="s">
        <v>198</v>
      </c>
      <c r="Q843" s="364" t="s">
        <v>652</v>
      </c>
      <c r="R843" s="364" t="s">
        <v>88</v>
      </c>
      <c r="S843" s="364" t="s">
        <v>88</v>
      </c>
      <c r="T843" s="364" t="s">
        <v>88</v>
      </c>
      <c r="U843" s="364" t="s">
        <v>88</v>
      </c>
      <c r="V843" s="364" t="s">
        <v>88</v>
      </c>
      <c r="W843" s="364" t="s">
        <v>88</v>
      </c>
      <c r="X843" s="364" t="s">
        <v>88</v>
      </c>
      <c r="Y843" s="364" t="s">
        <v>88</v>
      </c>
      <c r="Z843" s="364" t="s">
        <v>1021</v>
      </c>
      <c r="AA843" s="364" t="s">
        <v>671</v>
      </c>
      <c r="AB843" s="364" t="s">
        <v>649</v>
      </c>
      <c r="AC843" s="364" t="s">
        <v>649</v>
      </c>
      <c r="AD843" s="364" t="s">
        <v>88</v>
      </c>
      <c r="AE843" s="364" t="s">
        <v>88</v>
      </c>
      <c r="AF843" s="364" t="s">
        <v>88</v>
      </c>
      <c r="AG843" s="364" t="s">
        <v>88</v>
      </c>
      <c r="AH843" s="364" t="s">
        <v>88</v>
      </c>
      <c r="AI843" s="364" t="s">
        <v>1155</v>
      </c>
      <c r="AJ843" s="364" t="s">
        <v>710</v>
      </c>
      <c r="AK843" s="364" t="s">
        <v>647</v>
      </c>
      <c r="AL843" s="364" t="s">
        <v>88</v>
      </c>
      <c r="AM843" s="364" t="s">
        <v>668</v>
      </c>
      <c r="AN843" s="364" t="s">
        <v>644</v>
      </c>
    </row>
    <row r="844" spans="1:40" x14ac:dyDescent="0.3">
      <c r="A844" s="364" t="s">
        <v>1820</v>
      </c>
      <c r="B844" s="364" t="s">
        <v>661</v>
      </c>
      <c r="C844" s="364" t="s">
        <v>677</v>
      </c>
      <c r="D844" s="364" t="s">
        <v>90</v>
      </c>
      <c r="E844" s="364" t="s">
        <v>889</v>
      </c>
      <c r="F844" s="364" t="s">
        <v>889</v>
      </c>
      <c r="G844" s="364" t="s">
        <v>658</v>
      </c>
      <c r="H844" s="364" t="s">
        <v>1819</v>
      </c>
      <c r="I844" s="364" t="s">
        <v>1818</v>
      </c>
      <c r="J844" s="364" t="s">
        <v>673</v>
      </c>
      <c r="K844" s="364" t="s">
        <v>668</v>
      </c>
      <c r="L844" s="364" t="s">
        <v>190</v>
      </c>
      <c r="M844" s="364" t="s">
        <v>721</v>
      </c>
      <c r="N844" s="364" t="s">
        <v>654</v>
      </c>
      <c r="O844" s="364" t="s">
        <v>653</v>
      </c>
      <c r="P844" s="364" t="s">
        <v>198</v>
      </c>
      <c r="Q844" s="364" t="s">
        <v>652</v>
      </c>
      <c r="R844" s="364" t="s">
        <v>88</v>
      </c>
      <c r="S844" s="364" t="s">
        <v>88</v>
      </c>
      <c r="T844" s="364" t="s">
        <v>88</v>
      </c>
      <c r="U844" s="364" t="s">
        <v>88</v>
      </c>
      <c r="V844" s="364" t="s">
        <v>88</v>
      </c>
      <c r="W844" s="364" t="s">
        <v>88</v>
      </c>
      <c r="X844" s="364" t="s">
        <v>88</v>
      </c>
      <c r="Y844" s="364" t="s">
        <v>88</v>
      </c>
      <c r="Z844" s="364" t="s">
        <v>720</v>
      </c>
      <c r="AA844" s="364" t="s">
        <v>649</v>
      </c>
      <c r="AB844" s="364" t="s">
        <v>649</v>
      </c>
      <c r="AC844" s="364" t="s">
        <v>649</v>
      </c>
      <c r="AD844" s="364" t="s">
        <v>88</v>
      </c>
      <c r="AE844" s="364" t="s">
        <v>88</v>
      </c>
      <c r="AF844" s="364" t="s">
        <v>88</v>
      </c>
      <c r="AG844" s="364" t="s">
        <v>88</v>
      </c>
      <c r="AH844" s="364" t="s">
        <v>88</v>
      </c>
      <c r="AI844" s="364" t="s">
        <v>1155</v>
      </c>
      <c r="AJ844" s="364" t="s">
        <v>710</v>
      </c>
      <c r="AK844" s="364" t="s">
        <v>647</v>
      </c>
      <c r="AL844" s="364" t="s">
        <v>88</v>
      </c>
      <c r="AM844" s="364" t="s">
        <v>668</v>
      </c>
      <c r="AN844" s="364" t="s">
        <v>644</v>
      </c>
    </row>
    <row r="845" spans="1:40" x14ac:dyDescent="0.3">
      <c r="A845" s="364" t="s">
        <v>1820</v>
      </c>
      <c r="B845" s="364" t="s">
        <v>661</v>
      </c>
      <c r="C845" s="364" t="s">
        <v>677</v>
      </c>
      <c r="D845" s="364" t="s">
        <v>90</v>
      </c>
      <c r="E845" s="364" t="s">
        <v>889</v>
      </c>
      <c r="F845" s="364" t="s">
        <v>889</v>
      </c>
      <c r="G845" s="364" t="s">
        <v>658</v>
      </c>
      <c r="H845" s="364" t="s">
        <v>1819</v>
      </c>
      <c r="I845" s="364" t="s">
        <v>1818</v>
      </c>
      <c r="J845" s="364" t="s">
        <v>673</v>
      </c>
      <c r="K845" s="364" t="s">
        <v>668</v>
      </c>
      <c r="L845" s="364" t="s">
        <v>190</v>
      </c>
      <c r="M845" s="364" t="s">
        <v>56</v>
      </c>
      <c r="N845" s="364" t="s">
        <v>654</v>
      </c>
      <c r="O845" s="364" t="s">
        <v>653</v>
      </c>
      <c r="P845" s="364" t="s">
        <v>198</v>
      </c>
      <c r="Q845" s="364" t="s">
        <v>652</v>
      </c>
      <c r="R845" s="364" t="s">
        <v>88</v>
      </c>
      <c r="S845" s="364" t="s">
        <v>88</v>
      </c>
      <c r="T845" s="364" t="s">
        <v>88</v>
      </c>
      <c r="U845" s="364" t="s">
        <v>88</v>
      </c>
      <c r="V845" s="364" t="s">
        <v>88</v>
      </c>
      <c r="W845" s="364" t="s">
        <v>88</v>
      </c>
      <c r="X845" s="364" t="s">
        <v>88</v>
      </c>
      <c r="Y845" s="364" t="s">
        <v>88</v>
      </c>
      <c r="Z845" s="364" t="s">
        <v>1165</v>
      </c>
      <c r="AA845" s="364" t="s">
        <v>1164</v>
      </c>
      <c r="AB845" s="364" t="s">
        <v>649</v>
      </c>
      <c r="AC845" s="364" t="s">
        <v>649</v>
      </c>
      <c r="AD845" s="364" t="s">
        <v>88</v>
      </c>
      <c r="AE845" s="364" t="s">
        <v>88</v>
      </c>
      <c r="AF845" s="364" t="s">
        <v>88</v>
      </c>
      <c r="AG845" s="364" t="s">
        <v>88</v>
      </c>
      <c r="AH845" s="364" t="s">
        <v>88</v>
      </c>
      <c r="AI845" s="364" t="s">
        <v>1155</v>
      </c>
      <c r="AJ845" s="364" t="s">
        <v>710</v>
      </c>
      <c r="AK845" s="364" t="s">
        <v>647</v>
      </c>
      <c r="AL845" s="364" t="s">
        <v>88</v>
      </c>
      <c r="AM845" s="364" t="s">
        <v>668</v>
      </c>
      <c r="AN845" s="364" t="s">
        <v>644</v>
      </c>
    </row>
    <row r="846" spans="1:40" x14ac:dyDescent="0.3">
      <c r="A846" s="364" t="s">
        <v>1817</v>
      </c>
      <c r="B846" s="364" t="s">
        <v>661</v>
      </c>
      <c r="C846" s="364" t="s">
        <v>677</v>
      </c>
      <c r="D846" s="364" t="s">
        <v>87</v>
      </c>
      <c r="E846" s="364" t="s">
        <v>889</v>
      </c>
      <c r="F846" s="364" t="s">
        <v>889</v>
      </c>
      <c r="G846" s="364" t="s">
        <v>658</v>
      </c>
      <c r="H846" s="364" t="s">
        <v>1816</v>
      </c>
      <c r="I846" s="364" t="s">
        <v>939</v>
      </c>
      <c r="J846" s="364" t="s">
        <v>673</v>
      </c>
      <c r="K846" s="364" t="s">
        <v>668</v>
      </c>
      <c r="L846" s="364" t="s">
        <v>190</v>
      </c>
      <c r="M846" s="364" t="s">
        <v>58</v>
      </c>
      <c r="N846" s="364" t="s">
        <v>654</v>
      </c>
      <c r="O846" s="364" t="s">
        <v>653</v>
      </c>
      <c r="P846" s="364" t="s">
        <v>198</v>
      </c>
      <c r="Q846" s="364" t="s">
        <v>652</v>
      </c>
      <c r="R846" s="364" t="s">
        <v>88</v>
      </c>
      <c r="S846" s="364" t="s">
        <v>88</v>
      </c>
      <c r="T846" s="364" t="s">
        <v>88</v>
      </c>
      <c r="U846" s="364" t="s">
        <v>88</v>
      </c>
      <c r="V846" s="364" t="s">
        <v>88</v>
      </c>
      <c r="W846" s="364" t="s">
        <v>88</v>
      </c>
      <c r="X846" s="364" t="s">
        <v>88</v>
      </c>
      <c r="Y846" s="364" t="s">
        <v>88</v>
      </c>
      <c r="Z846" s="364" t="s">
        <v>702</v>
      </c>
      <c r="AA846" s="364" t="s">
        <v>701</v>
      </c>
      <c r="AB846" s="364" t="s">
        <v>649</v>
      </c>
      <c r="AC846" s="364" t="s">
        <v>649</v>
      </c>
      <c r="AD846" s="364" t="s">
        <v>88</v>
      </c>
      <c r="AE846" s="364" t="s">
        <v>88</v>
      </c>
      <c r="AF846" s="364" t="s">
        <v>88</v>
      </c>
      <c r="AG846" s="364" t="s">
        <v>88</v>
      </c>
      <c r="AH846" s="364" t="s">
        <v>88</v>
      </c>
      <c r="AI846" s="364" t="s">
        <v>1199</v>
      </c>
      <c r="AJ846" s="364" t="s">
        <v>670</v>
      </c>
      <c r="AK846" s="364" t="s">
        <v>669</v>
      </c>
      <c r="AL846" s="364" t="s">
        <v>88</v>
      </c>
      <c r="AM846" s="364" t="s">
        <v>668</v>
      </c>
      <c r="AN846" s="364" t="s">
        <v>644</v>
      </c>
    </row>
    <row r="847" spans="1:40" x14ac:dyDescent="0.3">
      <c r="A847" s="364" t="s">
        <v>1817</v>
      </c>
      <c r="B847" s="364" t="s">
        <v>661</v>
      </c>
      <c r="C847" s="364" t="s">
        <v>677</v>
      </c>
      <c r="D847" s="364" t="s">
        <v>87</v>
      </c>
      <c r="E847" s="364" t="s">
        <v>889</v>
      </c>
      <c r="F847" s="364" t="s">
        <v>889</v>
      </c>
      <c r="G847" s="364" t="s">
        <v>658</v>
      </c>
      <c r="H847" s="364" t="s">
        <v>1816</v>
      </c>
      <c r="I847" s="364" t="s">
        <v>939</v>
      </c>
      <c r="J847" s="364" t="s">
        <v>673</v>
      </c>
      <c r="K847" s="364" t="s">
        <v>668</v>
      </c>
      <c r="L847" s="364" t="s">
        <v>190</v>
      </c>
      <c r="M847" s="364" t="s">
        <v>166</v>
      </c>
      <c r="N847" s="364" t="s">
        <v>654</v>
      </c>
      <c r="O847" s="364" t="s">
        <v>653</v>
      </c>
      <c r="P847" s="364" t="s">
        <v>198</v>
      </c>
      <c r="Q847" s="364" t="s">
        <v>652</v>
      </c>
      <c r="R847" s="364" t="s">
        <v>88</v>
      </c>
      <c r="S847" s="364" t="s">
        <v>88</v>
      </c>
      <c r="T847" s="364" t="s">
        <v>88</v>
      </c>
      <c r="U847" s="364" t="s">
        <v>88</v>
      </c>
      <c r="V847" s="364" t="s">
        <v>88</v>
      </c>
      <c r="W847" s="364" t="s">
        <v>88</v>
      </c>
      <c r="X847" s="364" t="s">
        <v>88</v>
      </c>
      <c r="Y847" s="364" t="s">
        <v>88</v>
      </c>
      <c r="Z847" s="364" t="s">
        <v>877</v>
      </c>
      <c r="AA847" s="364" t="s">
        <v>876</v>
      </c>
      <c r="AB847" s="364" t="s">
        <v>649</v>
      </c>
      <c r="AC847" s="364" t="s">
        <v>649</v>
      </c>
      <c r="AD847" s="364" t="s">
        <v>88</v>
      </c>
      <c r="AE847" s="364" t="s">
        <v>88</v>
      </c>
      <c r="AF847" s="364" t="s">
        <v>88</v>
      </c>
      <c r="AG847" s="364" t="s">
        <v>88</v>
      </c>
      <c r="AH847" s="364" t="s">
        <v>88</v>
      </c>
      <c r="AI847" s="364" t="s">
        <v>1199</v>
      </c>
      <c r="AJ847" s="364" t="s">
        <v>670</v>
      </c>
      <c r="AK847" s="364" t="s">
        <v>669</v>
      </c>
      <c r="AL847" s="364" t="s">
        <v>88</v>
      </c>
      <c r="AM847" s="364" t="s">
        <v>668</v>
      </c>
      <c r="AN847" s="364" t="s">
        <v>644</v>
      </c>
    </row>
    <row r="848" spans="1:40" x14ac:dyDescent="0.3">
      <c r="A848" s="364" t="s">
        <v>1815</v>
      </c>
      <c r="B848" s="364" t="s">
        <v>661</v>
      </c>
      <c r="C848" s="364" t="s">
        <v>677</v>
      </c>
      <c r="D848" s="364" t="s">
        <v>87</v>
      </c>
      <c r="E848" s="364" t="s">
        <v>889</v>
      </c>
      <c r="F848" s="364" t="s">
        <v>889</v>
      </c>
      <c r="G848" s="364" t="s">
        <v>658</v>
      </c>
      <c r="H848" s="364" t="s">
        <v>1814</v>
      </c>
      <c r="I848" s="364" t="s">
        <v>1813</v>
      </c>
      <c r="J848" s="364" t="s">
        <v>673</v>
      </c>
      <c r="K848" s="364" t="s">
        <v>668</v>
      </c>
      <c r="L848" s="364" t="s">
        <v>190</v>
      </c>
      <c r="M848" s="364" t="s">
        <v>59</v>
      </c>
      <c r="N848" s="364" t="s">
        <v>654</v>
      </c>
      <c r="O848" s="364" t="s">
        <v>653</v>
      </c>
      <c r="P848" s="364" t="s">
        <v>198</v>
      </c>
      <c r="Q848" s="364" t="s">
        <v>652</v>
      </c>
      <c r="R848" s="364" t="s">
        <v>88</v>
      </c>
      <c r="S848" s="364" t="s">
        <v>88</v>
      </c>
      <c r="T848" s="364" t="s">
        <v>88</v>
      </c>
      <c r="U848" s="364" t="s">
        <v>88</v>
      </c>
      <c r="V848" s="364" t="s">
        <v>88</v>
      </c>
      <c r="W848" s="364" t="s">
        <v>88</v>
      </c>
      <c r="X848" s="364" t="s">
        <v>88</v>
      </c>
      <c r="Y848" s="364" t="s">
        <v>88</v>
      </c>
      <c r="Z848" s="364" t="s">
        <v>672</v>
      </c>
      <c r="AA848" s="364" t="s">
        <v>671</v>
      </c>
      <c r="AB848" s="364" t="s">
        <v>649</v>
      </c>
      <c r="AC848" s="364" t="s">
        <v>649</v>
      </c>
      <c r="AD848" s="364" t="s">
        <v>88</v>
      </c>
      <c r="AE848" s="364" t="s">
        <v>88</v>
      </c>
      <c r="AF848" s="364" t="s">
        <v>88</v>
      </c>
      <c r="AG848" s="364" t="s">
        <v>88</v>
      </c>
      <c r="AH848" s="364" t="s">
        <v>88</v>
      </c>
      <c r="AI848" s="364" t="s">
        <v>1199</v>
      </c>
      <c r="AJ848" s="364" t="s">
        <v>670</v>
      </c>
      <c r="AK848" s="364" t="s">
        <v>669</v>
      </c>
      <c r="AL848" s="364" t="s">
        <v>88</v>
      </c>
      <c r="AM848" s="364" t="s">
        <v>668</v>
      </c>
      <c r="AN848" s="364" t="s">
        <v>644</v>
      </c>
    </row>
    <row r="849" spans="1:40" x14ac:dyDescent="0.3">
      <c r="A849" s="364" t="s">
        <v>1812</v>
      </c>
      <c r="B849" s="364" t="s">
        <v>661</v>
      </c>
      <c r="C849" s="364" t="s">
        <v>677</v>
      </c>
      <c r="D849" s="364" t="s">
        <v>87</v>
      </c>
      <c r="E849" s="364" t="s">
        <v>1801</v>
      </c>
      <c r="F849" s="364" t="s">
        <v>1801</v>
      </c>
      <c r="G849" s="364" t="s">
        <v>658</v>
      </c>
      <c r="H849" s="364" t="s">
        <v>1078</v>
      </c>
      <c r="I849" s="364" t="s">
        <v>1811</v>
      </c>
      <c r="J849" s="364" t="s">
        <v>673</v>
      </c>
      <c r="K849" s="364" t="s">
        <v>668</v>
      </c>
      <c r="L849" s="364" t="s">
        <v>190</v>
      </c>
      <c r="M849" s="364" t="s">
        <v>59</v>
      </c>
      <c r="N849" s="364" t="s">
        <v>654</v>
      </c>
      <c r="O849" s="364" t="s">
        <v>653</v>
      </c>
      <c r="P849" s="364" t="s">
        <v>198</v>
      </c>
      <c r="Q849" s="364" t="s">
        <v>652</v>
      </c>
      <c r="R849" s="364" t="s">
        <v>88</v>
      </c>
      <c r="S849" s="364" t="s">
        <v>88</v>
      </c>
      <c r="T849" s="364" t="s">
        <v>88</v>
      </c>
      <c r="U849" s="364" t="s">
        <v>88</v>
      </c>
      <c r="V849" s="364" t="s">
        <v>88</v>
      </c>
      <c r="W849" s="364" t="s">
        <v>88</v>
      </c>
      <c r="X849" s="364" t="s">
        <v>88</v>
      </c>
      <c r="Y849" s="364" t="s">
        <v>88</v>
      </c>
      <c r="Z849" s="364" t="s">
        <v>672</v>
      </c>
      <c r="AA849" s="364" t="s">
        <v>671</v>
      </c>
      <c r="AB849" s="364" t="s">
        <v>649</v>
      </c>
      <c r="AC849" s="364" t="s">
        <v>649</v>
      </c>
      <c r="AD849" s="364" t="s">
        <v>88</v>
      </c>
      <c r="AE849" s="364" t="s">
        <v>88</v>
      </c>
      <c r="AF849" s="364" t="s">
        <v>88</v>
      </c>
      <c r="AG849" s="364" t="s">
        <v>88</v>
      </c>
      <c r="AH849" s="364" t="s">
        <v>88</v>
      </c>
      <c r="AI849" s="364" t="s">
        <v>1199</v>
      </c>
      <c r="AJ849" s="364" t="s">
        <v>670</v>
      </c>
      <c r="AK849" s="364" t="s">
        <v>669</v>
      </c>
      <c r="AL849" s="364" t="s">
        <v>88</v>
      </c>
      <c r="AM849" s="364" t="s">
        <v>668</v>
      </c>
      <c r="AN849" s="364" t="s">
        <v>644</v>
      </c>
    </row>
    <row r="850" spans="1:40" x14ac:dyDescent="0.3">
      <c r="A850" s="364" t="s">
        <v>1810</v>
      </c>
      <c r="B850" s="364" t="s">
        <v>661</v>
      </c>
      <c r="C850" s="364" t="s">
        <v>677</v>
      </c>
      <c r="D850" s="364" t="s">
        <v>87</v>
      </c>
      <c r="E850" s="364" t="s">
        <v>1801</v>
      </c>
      <c r="F850" s="364" t="s">
        <v>1801</v>
      </c>
      <c r="G850" s="364" t="s">
        <v>658</v>
      </c>
      <c r="H850" s="364" t="s">
        <v>1809</v>
      </c>
      <c r="I850" s="364" t="s">
        <v>939</v>
      </c>
      <c r="J850" s="364" t="s">
        <v>673</v>
      </c>
      <c r="K850" s="364" t="s">
        <v>668</v>
      </c>
      <c r="L850" s="364" t="s">
        <v>190</v>
      </c>
      <c r="M850" s="364" t="s">
        <v>58</v>
      </c>
      <c r="N850" s="364" t="s">
        <v>654</v>
      </c>
      <c r="O850" s="364" t="s">
        <v>653</v>
      </c>
      <c r="P850" s="364" t="s">
        <v>198</v>
      </c>
      <c r="Q850" s="364" t="s">
        <v>652</v>
      </c>
      <c r="R850" s="364" t="s">
        <v>88</v>
      </c>
      <c r="S850" s="364" t="s">
        <v>88</v>
      </c>
      <c r="T850" s="364" t="s">
        <v>88</v>
      </c>
      <c r="U850" s="364" t="s">
        <v>88</v>
      </c>
      <c r="V850" s="364" t="s">
        <v>88</v>
      </c>
      <c r="W850" s="364" t="s">
        <v>88</v>
      </c>
      <c r="X850" s="364" t="s">
        <v>88</v>
      </c>
      <c r="Y850" s="364" t="s">
        <v>88</v>
      </c>
      <c r="Z850" s="364" t="s">
        <v>702</v>
      </c>
      <c r="AA850" s="364" t="s">
        <v>701</v>
      </c>
      <c r="AB850" s="364" t="s">
        <v>649</v>
      </c>
      <c r="AC850" s="364" t="s">
        <v>649</v>
      </c>
      <c r="AD850" s="364" t="s">
        <v>88</v>
      </c>
      <c r="AE850" s="364" t="s">
        <v>88</v>
      </c>
      <c r="AF850" s="364" t="s">
        <v>88</v>
      </c>
      <c r="AG850" s="364" t="s">
        <v>88</v>
      </c>
      <c r="AH850" s="364" t="s">
        <v>88</v>
      </c>
      <c r="AI850" s="364" t="s">
        <v>1199</v>
      </c>
      <c r="AJ850" s="364" t="s">
        <v>670</v>
      </c>
      <c r="AK850" s="364" t="s">
        <v>669</v>
      </c>
      <c r="AL850" s="364" t="s">
        <v>88</v>
      </c>
      <c r="AM850" s="364" t="s">
        <v>668</v>
      </c>
      <c r="AN850" s="364" t="s">
        <v>644</v>
      </c>
    </row>
    <row r="851" spans="1:40" x14ac:dyDescent="0.3">
      <c r="A851" s="364" t="s">
        <v>1810</v>
      </c>
      <c r="B851" s="364" t="s">
        <v>661</v>
      </c>
      <c r="C851" s="364" t="s">
        <v>677</v>
      </c>
      <c r="D851" s="364" t="s">
        <v>87</v>
      </c>
      <c r="E851" s="364" t="s">
        <v>1801</v>
      </c>
      <c r="F851" s="364" t="s">
        <v>1801</v>
      </c>
      <c r="G851" s="364" t="s">
        <v>658</v>
      </c>
      <c r="H851" s="364" t="s">
        <v>1809</v>
      </c>
      <c r="I851" s="364" t="s">
        <v>939</v>
      </c>
      <c r="J851" s="364" t="s">
        <v>673</v>
      </c>
      <c r="K851" s="364" t="s">
        <v>668</v>
      </c>
      <c r="L851" s="364" t="s">
        <v>190</v>
      </c>
      <c r="M851" s="364" t="s">
        <v>166</v>
      </c>
      <c r="N851" s="364" t="s">
        <v>654</v>
      </c>
      <c r="O851" s="364" t="s">
        <v>653</v>
      </c>
      <c r="P851" s="364" t="s">
        <v>198</v>
      </c>
      <c r="Q851" s="364" t="s">
        <v>652</v>
      </c>
      <c r="R851" s="364" t="s">
        <v>88</v>
      </c>
      <c r="S851" s="364" t="s">
        <v>88</v>
      </c>
      <c r="T851" s="364" t="s">
        <v>88</v>
      </c>
      <c r="U851" s="364" t="s">
        <v>88</v>
      </c>
      <c r="V851" s="364" t="s">
        <v>88</v>
      </c>
      <c r="W851" s="364" t="s">
        <v>88</v>
      </c>
      <c r="X851" s="364" t="s">
        <v>88</v>
      </c>
      <c r="Y851" s="364" t="s">
        <v>88</v>
      </c>
      <c r="Z851" s="364" t="s">
        <v>877</v>
      </c>
      <c r="AA851" s="364" t="s">
        <v>876</v>
      </c>
      <c r="AB851" s="364" t="s">
        <v>649</v>
      </c>
      <c r="AC851" s="364" t="s">
        <v>649</v>
      </c>
      <c r="AD851" s="364" t="s">
        <v>88</v>
      </c>
      <c r="AE851" s="364" t="s">
        <v>88</v>
      </c>
      <c r="AF851" s="364" t="s">
        <v>88</v>
      </c>
      <c r="AG851" s="364" t="s">
        <v>88</v>
      </c>
      <c r="AH851" s="364" t="s">
        <v>88</v>
      </c>
      <c r="AI851" s="364" t="s">
        <v>1199</v>
      </c>
      <c r="AJ851" s="364" t="s">
        <v>670</v>
      </c>
      <c r="AK851" s="364" t="s">
        <v>669</v>
      </c>
      <c r="AL851" s="364" t="s">
        <v>88</v>
      </c>
      <c r="AM851" s="364" t="s">
        <v>668</v>
      </c>
      <c r="AN851" s="364" t="s">
        <v>644</v>
      </c>
    </row>
    <row r="852" spans="1:40" x14ac:dyDescent="0.3">
      <c r="A852" s="364" t="s">
        <v>1808</v>
      </c>
      <c r="B852" s="364" t="s">
        <v>661</v>
      </c>
      <c r="C852" s="364" t="s">
        <v>677</v>
      </c>
      <c r="D852" s="364" t="s">
        <v>87</v>
      </c>
      <c r="E852" s="364" t="s">
        <v>1801</v>
      </c>
      <c r="F852" s="364" t="s">
        <v>1801</v>
      </c>
      <c r="G852" s="364" t="s">
        <v>658</v>
      </c>
      <c r="H852" s="364" t="s">
        <v>1807</v>
      </c>
      <c r="I852" s="364" t="s">
        <v>1806</v>
      </c>
      <c r="J852" s="364" t="s">
        <v>673</v>
      </c>
      <c r="K852" s="364" t="s">
        <v>668</v>
      </c>
      <c r="L852" s="364" t="s">
        <v>190</v>
      </c>
      <c r="M852" s="364" t="s">
        <v>60</v>
      </c>
      <c r="N852" s="364" t="s">
        <v>654</v>
      </c>
      <c r="O852" s="364" t="s">
        <v>653</v>
      </c>
      <c r="P852" s="364" t="s">
        <v>198</v>
      </c>
      <c r="Q852" s="364" t="s">
        <v>652</v>
      </c>
      <c r="R852" s="364" t="s">
        <v>88</v>
      </c>
      <c r="S852" s="364" t="s">
        <v>88</v>
      </c>
      <c r="T852" s="364" t="s">
        <v>88</v>
      </c>
      <c r="U852" s="364" t="s">
        <v>88</v>
      </c>
      <c r="V852" s="364" t="s">
        <v>88</v>
      </c>
      <c r="W852" s="364" t="s">
        <v>88</v>
      </c>
      <c r="X852" s="364" t="s">
        <v>88</v>
      </c>
      <c r="Y852" s="364" t="s">
        <v>88</v>
      </c>
      <c r="Z852" s="364" t="s">
        <v>709</v>
      </c>
      <c r="AA852" s="364" t="s">
        <v>708</v>
      </c>
      <c r="AB852" s="364" t="s">
        <v>649</v>
      </c>
      <c r="AC852" s="364" t="s">
        <v>649</v>
      </c>
      <c r="AD852" s="364" t="s">
        <v>88</v>
      </c>
      <c r="AE852" s="364" t="s">
        <v>88</v>
      </c>
      <c r="AF852" s="364" t="s">
        <v>88</v>
      </c>
      <c r="AG852" s="364" t="s">
        <v>88</v>
      </c>
      <c r="AH852" s="364" t="s">
        <v>88</v>
      </c>
      <c r="AI852" s="364" t="s">
        <v>1199</v>
      </c>
      <c r="AJ852" s="364" t="s">
        <v>670</v>
      </c>
      <c r="AK852" s="364" t="s">
        <v>687</v>
      </c>
      <c r="AL852" s="364" t="s">
        <v>88</v>
      </c>
      <c r="AM852" s="364" t="s">
        <v>668</v>
      </c>
      <c r="AN852" s="364" t="s">
        <v>644</v>
      </c>
    </row>
    <row r="853" spans="1:40" x14ac:dyDescent="0.3">
      <c r="A853" s="364" t="s">
        <v>1805</v>
      </c>
      <c r="B853" s="364" t="s">
        <v>661</v>
      </c>
      <c r="C853" s="364" t="s">
        <v>677</v>
      </c>
      <c r="D853" s="364" t="s">
        <v>170</v>
      </c>
      <c r="E853" s="364" t="s">
        <v>1801</v>
      </c>
      <c r="F853" s="364" t="s">
        <v>1801</v>
      </c>
      <c r="G853" s="364" t="s">
        <v>658</v>
      </c>
      <c r="H853" s="364" t="s">
        <v>1804</v>
      </c>
      <c r="I853" s="364" t="s">
        <v>1803</v>
      </c>
      <c r="J853" s="364" t="s">
        <v>673</v>
      </c>
      <c r="K853" s="364" t="s">
        <v>668</v>
      </c>
      <c r="L853" s="364" t="s">
        <v>190</v>
      </c>
      <c r="M853" s="364" t="s">
        <v>164</v>
      </c>
      <c r="N853" s="364" t="s">
        <v>654</v>
      </c>
      <c r="O853" s="364" t="s">
        <v>653</v>
      </c>
      <c r="P853" s="364" t="s">
        <v>198</v>
      </c>
      <c r="Q853" s="364" t="s">
        <v>652</v>
      </c>
      <c r="R853" s="364" t="s">
        <v>88</v>
      </c>
      <c r="S853" s="364" t="s">
        <v>88</v>
      </c>
      <c r="T853" s="364" t="s">
        <v>88</v>
      </c>
      <c r="U853" s="364" t="s">
        <v>88</v>
      </c>
      <c r="V853" s="364" t="s">
        <v>88</v>
      </c>
      <c r="W853" s="364" t="s">
        <v>88</v>
      </c>
      <c r="X853" s="364" t="s">
        <v>88</v>
      </c>
      <c r="Y853" s="364" t="s">
        <v>88</v>
      </c>
      <c r="Z853" s="364" t="s">
        <v>825</v>
      </c>
      <c r="AA853" s="364" t="s">
        <v>649</v>
      </c>
      <c r="AB853" s="364" t="s">
        <v>649</v>
      </c>
      <c r="AC853" s="364" t="s">
        <v>649</v>
      </c>
      <c r="AD853" s="364" t="s">
        <v>88</v>
      </c>
      <c r="AE853" s="364" t="s">
        <v>88</v>
      </c>
      <c r="AF853" s="364" t="s">
        <v>88</v>
      </c>
      <c r="AG853" s="364" t="s">
        <v>88</v>
      </c>
      <c r="AH853" s="364" t="s">
        <v>88</v>
      </c>
      <c r="AI853" s="364" t="s">
        <v>1199</v>
      </c>
      <c r="AJ853" s="364" t="s">
        <v>670</v>
      </c>
      <c r="AK853" s="364" t="s">
        <v>687</v>
      </c>
      <c r="AL853" s="364" t="s">
        <v>88</v>
      </c>
      <c r="AM853" s="364" t="s">
        <v>668</v>
      </c>
      <c r="AN853" s="364" t="s">
        <v>644</v>
      </c>
    </row>
    <row r="854" spans="1:40" x14ac:dyDescent="0.3">
      <c r="A854" s="364" t="s">
        <v>1802</v>
      </c>
      <c r="B854" s="364" t="s">
        <v>661</v>
      </c>
      <c r="C854" s="364" t="s">
        <v>677</v>
      </c>
      <c r="D854" s="364" t="s">
        <v>90</v>
      </c>
      <c r="E854" s="364" t="s">
        <v>1801</v>
      </c>
      <c r="F854" s="364" t="s">
        <v>1801</v>
      </c>
      <c r="G854" s="364" t="s">
        <v>658</v>
      </c>
      <c r="H854" s="364" t="s">
        <v>1800</v>
      </c>
      <c r="I854" s="364" t="s">
        <v>1799</v>
      </c>
      <c r="J854" s="364" t="s">
        <v>673</v>
      </c>
      <c r="K854" s="364" t="s">
        <v>668</v>
      </c>
      <c r="L854" s="364" t="s">
        <v>190</v>
      </c>
      <c r="M854" s="364" t="s">
        <v>1168</v>
      </c>
      <c r="N854" s="364" t="s">
        <v>654</v>
      </c>
      <c r="O854" s="364" t="s">
        <v>653</v>
      </c>
      <c r="P854" s="364" t="s">
        <v>198</v>
      </c>
      <c r="Q854" s="364" t="s">
        <v>652</v>
      </c>
      <c r="R854" s="364" t="s">
        <v>88</v>
      </c>
      <c r="S854" s="364" t="s">
        <v>88</v>
      </c>
      <c r="T854" s="364" t="s">
        <v>88</v>
      </c>
      <c r="U854" s="364" t="s">
        <v>88</v>
      </c>
      <c r="V854" s="364" t="s">
        <v>88</v>
      </c>
      <c r="W854" s="364" t="s">
        <v>88</v>
      </c>
      <c r="X854" s="364" t="s">
        <v>88</v>
      </c>
      <c r="Y854" s="364" t="s">
        <v>88</v>
      </c>
      <c r="Z854" s="364" t="s">
        <v>1167</v>
      </c>
      <c r="AA854" s="364" t="s">
        <v>1166</v>
      </c>
      <c r="AB854" s="364" t="s">
        <v>649</v>
      </c>
      <c r="AC854" s="364" t="s">
        <v>649</v>
      </c>
      <c r="AD854" s="364" t="s">
        <v>88</v>
      </c>
      <c r="AE854" s="364" t="s">
        <v>88</v>
      </c>
      <c r="AF854" s="364" t="s">
        <v>88</v>
      </c>
      <c r="AG854" s="364" t="s">
        <v>88</v>
      </c>
      <c r="AH854" s="364" t="s">
        <v>88</v>
      </c>
      <c r="AI854" s="364" t="s">
        <v>1155</v>
      </c>
      <c r="AJ854" s="364" t="s">
        <v>710</v>
      </c>
      <c r="AK854" s="364" t="s">
        <v>647</v>
      </c>
      <c r="AL854" s="364" t="s">
        <v>88</v>
      </c>
      <c r="AM854" s="364" t="s">
        <v>668</v>
      </c>
      <c r="AN854" s="364" t="s">
        <v>644</v>
      </c>
    </row>
    <row r="855" spans="1:40" x14ac:dyDescent="0.3">
      <c r="A855" s="364" t="s">
        <v>1802</v>
      </c>
      <c r="B855" s="364" t="s">
        <v>661</v>
      </c>
      <c r="C855" s="364" t="s">
        <v>677</v>
      </c>
      <c r="D855" s="364" t="s">
        <v>90</v>
      </c>
      <c r="E855" s="364" t="s">
        <v>1801</v>
      </c>
      <c r="F855" s="364" t="s">
        <v>1801</v>
      </c>
      <c r="G855" s="364" t="s">
        <v>658</v>
      </c>
      <c r="H855" s="364" t="s">
        <v>1800</v>
      </c>
      <c r="I855" s="364" t="s">
        <v>1799</v>
      </c>
      <c r="J855" s="364" t="s">
        <v>673</v>
      </c>
      <c r="K855" s="364" t="s">
        <v>668</v>
      </c>
      <c r="L855" s="364" t="s">
        <v>190</v>
      </c>
      <c r="M855" s="364" t="s">
        <v>718</v>
      </c>
      <c r="N855" s="364" t="s">
        <v>654</v>
      </c>
      <c r="O855" s="364" t="s">
        <v>653</v>
      </c>
      <c r="P855" s="364" t="s">
        <v>198</v>
      </c>
      <c r="Q855" s="364" t="s">
        <v>652</v>
      </c>
      <c r="R855" s="364" t="s">
        <v>88</v>
      </c>
      <c r="S855" s="364" t="s">
        <v>88</v>
      </c>
      <c r="T855" s="364" t="s">
        <v>88</v>
      </c>
      <c r="U855" s="364" t="s">
        <v>88</v>
      </c>
      <c r="V855" s="364" t="s">
        <v>88</v>
      </c>
      <c r="W855" s="364" t="s">
        <v>88</v>
      </c>
      <c r="X855" s="364" t="s">
        <v>88</v>
      </c>
      <c r="Y855" s="364" t="s">
        <v>88</v>
      </c>
      <c r="Z855" s="364" t="s">
        <v>717</v>
      </c>
      <c r="AA855" s="364" t="s">
        <v>649</v>
      </c>
      <c r="AB855" s="364" t="s">
        <v>649</v>
      </c>
      <c r="AC855" s="364" t="s">
        <v>649</v>
      </c>
      <c r="AD855" s="364" t="s">
        <v>88</v>
      </c>
      <c r="AE855" s="364" t="s">
        <v>88</v>
      </c>
      <c r="AF855" s="364" t="s">
        <v>88</v>
      </c>
      <c r="AG855" s="364" t="s">
        <v>88</v>
      </c>
      <c r="AH855" s="364" t="s">
        <v>88</v>
      </c>
      <c r="AI855" s="364" t="s">
        <v>1155</v>
      </c>
      <c r="AJ855" s="364" t="s">
        <v>710</v>
      </c>
      <c r="AK855" s="364" t="s">
        <v>647</v>
      </c>
      <c r="AL855" s="364" t="s">
        <v>88</v>
      </c>
      <c r="AM855" s="364" t="s">
        <v>668</v>
      </c>
      <c r="AN855" s="364" t="s">
        <v>644</v>
      </c>
    </row>
    <row r="856" spans="1:40" x14ac:dyDescent="0.3">
      <c r="A856" s="364" t="s">
        <v>1802</v>
      </c>
      <c r="B856" s="364" t="s">
        <v>661</v>
      </c>
      <c r="C856" s="364" t="s">
        <v>677</v>
      </c>
      <c r="D856" s="364" t="s">
        <v>90</v>
      </c>
      <c r="E856" s="364" t="s">
        <v>1801</v>
      </c>
      <c r="F856" s="364" t="s">
        <v>1801</v>
      </c>
      <c r="G856" s="364" t="s">
        <v>658</v>
      </c>
      <c r="H856" s="364" t="s">
        <v>1800</v>
      </c>
      <c r="I856" s="364" t="s">
        <v>1799</v>
      </c>
      <c r="J856" s="364" t="s">
        <v>673</v>
      </c>
      <c r="K856" s="364" t="s">
        <v>668</v>
      </c>
      <c r="L856" s="364" t="s">
        <v>190</v>
      </c>
      <c r="M856" s="364" t="s">
        <v>713</v>
      </c>
      <c r="N856" s="364" t="s">
        <v>654</v>
      </c>
      <c r="O856" s="364" t="s">
        <v>653</v>
      </c>
      <c r="P856" s="364" t="s">
        <v>198</v>
      </c>
      <c r="Q856" s="364" t="s">
        <v>652</v>
      </c>
      <c r="R856" s="364" t="s">
        <v>88</v>
      </c>
      <c r="S856" s="364" t="s">
        <v>88</v>
      </c>
      <c r="T856" s="364" t="s">
        <v>88</v>
      </c>
      <c r="U856" s="364" t="s">
        <v>88</v>
      </c>
      <c r="V856" s="364" t="s">
        <v>88</v>
      </c>
      <c r="W856" s="364" t="s">
        <v>88</v>
      </c>
      <c r="X856" s="364" t="s">
        <v>88</v>
      </c>
      <c r="Y856" s="364" t="s">
        <v>88</v>
      </c>
      <c r="Z856" s="364" t="s">
        <v>712</v>
      </c>
      <c r="AA856" s="364" t="s">
        <v>711</v>
      </c>
      <c r="AB856" s="364" t="s">
        <v>649</v>
      </c>
      <c r="AC856" s="364" t="s">
        <v>649</v>
      </c>
      <c r="AD856" s="364" t="s">
        <v>88</v>
      </c>
      <c r="AE856" s="364" t="s">
        <v>88</v>
      </c>
      <c r="AF856" s="364" t="s">
        <v>88</v>
      </c>
      <c r="AG856" s="364" t="s">
        <v>88</v>
      </c>
      <c r="AH856" s="364" t="s">
        <v>88</v>
      </c>
      <c r="AI856" s="364" t="s">
        <v>1155</v>
      </c>
      <c r="AJ856" s="364" t="s">
        <v>710</v>
      </c>
      <c r="AK856" s="364" t="s">
        <v>647</v>
      </c>
      <c r="AL856" s="364" t="s">
        <v>88</v>
      </c>
      <c r="AM856" s="364" t="s">
        <v>668</v>
      </c>
      <c r="AN856" s="364" t="s">
        <v>644</v>
      </c>
    </row>
    <row r="857" spans="1:40" x14ac:dyDescent="0.3">
      <c r="A857" s="364" t="s">
        <v>1802</v>
      </c>
      <c r="B857" s="364" t="s">
        <v>661</v>
      </c>
      <c r="C857" s="364" t="s">
        <v>677</v>
      </c>
      <c r="D857" s="364" t="s">
        <v>90</v>
      </c>
      <c r="E857" s="364" t="s">
        <v>1801</v>
      </c>
      <c r="F857" s="364" t="s">
        <v>1801</v>
      </c>
      <c r="G857" s="364" t="s">
        <v>658</v>
      </c>
      <c r="H857" s="364" t="s">
        <v>1800</v>
      </c>
      <c r="I857" s="364" t="s">
        <v>1799</v>
      </c>
      <c r="J857" s="364" t="s">
        <v>673</v>
      </c>
      <c r="K857" s="364" t="s">
        <v>668</v>
      </c>
      <c r="L857" s="364" t="s">
        <v>190</v>
      </c>
      <c r="M857" s="364" t="s">
        <v>61</v>
      </c>
      <c r="N857" s="364" t="s">
        <v>654</v>
      </c>
      <c r="O857" s="364" t="s">
        <v>653</v>
      </c>
      <c r="P857" s="364" t="s">
        <v>198</v>
      </c>
      <c r="Q857" s="364" t="s">
        <v>652</v>
      </c>
      <c r="R857" s="364" t="s">
        <v>88</v>
      </c>
      <c r="S857" s="364" t="s">
        <v>88</v>
      </c>
      <c r="T857" s="364" t="s">
        <v>88</v>
      </c>
      <c r="U857" s="364" t="s">
        <v>88</v>
      </c>
      <c r="V857" s="364" t="s">
        <v>88</v>
      </c>
      <c r="W857" s="364" t="s">
        <v>88</v>
      </c>
      <c r="X857" s="364" t="s">
        <v>88</v>
      </c>
      <c r="Y857" s="364" t="s">
        <v>88</v>
      </c>
      <c r="Z857" s="364" t="s">
        <v>1021</v>
      </c>
      <c r="AA857" s="364" t="s">
        <v>671</v>
      </c>
      <c r="AB857" s="364" t="s">
        <v>649</v>
      </c>
      <c r="AC857" s="364" t="s">
        <v>649</v>
      </c>
      <c r="AD857" s="364" t="s">
        <v>88</v>
      </c>
      <c r="AE857" s="364" t="s">
        <v>88</v>
      </c>
      <c r="AF857" s="364" t="s">
        <v>88</v>
      </c>
      <c r="AG857" s="364" t="s">
        <v>88</v>
      </c>
      <c r="AH857" s="364" t="s">
        <v>88</v>
      </c>
      <c r="AI857" s="364" t="s">
        <v>1155</v>
      </c>
      <c r="AJ857" s="364" t="s">
        <v>710</v>
      </c>
      <c r="AK857" s="364" t="s">
        <v>647</v>
      </c>
      <c r="AL857" s="364" t="s">
        <v>88</v>
      </c>
      <c r="AM857" s="364" t="s">
        <v>668</v>
      </c>
      <c r="AN857" s="364" t="s">
        <v>644</v>
      </c>
    </row>
    <row r="858" spans="1:40" x14ac:dyDescent="0.3">
      <c r="A858" s="364" t="s">
        <v>1802</v>
      </c>
      <c r="B858" s="364" t="s">
        <v>661</v>
      </c>
      <c r="C858" s="364" t="s">
        <v>677</v>
      </c>
      <c r="D858" s="364" t="s">
        <v>90</v>
      </c>
      <c r="E858" s="364" t="s">
        <v>1801</v>
      </c>
      <c r="F858" s="364" t="s">
        <v>1801</v>
      </c>
      <c r="G858" s="364" t="s">
        <v>658</v>
      </c>
      <c r="H858" s="364" t="s">
        <v>1800</v>
      </c>
      <c r="I858" s="364" t="s">
        <v>1799</v>
      </c>
      <c r="J858" s="364" t="s">
        <v>673</v>
      </c>
      <c r="K858" s="364" t="s">
        <v>668</v>
      </c>
      <c r="L858" s="364" t="s">
        <v>190</v>
      </c>
      <c r="M858" s="364" t="s">
        <v>721</v>
      </c>
      <c r="N858" s="364" t="s">
        <v>654</v>
      </c>
      <c r="O858" s="364" t="s">
        <v>653</v>
      </c>
      <c r="P858" s="364" t="s">
        <v>198</v>
      </c>
      <c r="Q858" s="364" t="s">
        <v>652</v>
      </c>
      <c r="R858" s="364" t="s">
        <v>88</v>
      </c>
      <c r="S858" s="364" t="s">
        <v>88</v>
      </c>
      <c r="T858" s="364" t="s">
        <v>88</v>
      </c>
      <c r="U858" s="364" t="s">
        <v>88</v>
      </c>
      <c r="V858" s="364" t="s">
        <v>88</v>
      </c>
      <c r="W858" s="364" t="s">
        <v>88</v>
      </c>
      <c r="X858" s="364" t="s">
        <v>88</v>
      </c>
      <c r="Y858" s="364" t="s">
        <v>88</v>
      </c>
      <c r="Z858" s="364" t="s">
        <v>720</v>
      </c>
      <c r="AA858" s="364" t="s">
        <v>649</v>
      </c>
      <c r="AB858" s="364" t="s">
        <v>649</v>
      </c>
      <c r="AC858" s="364" t="s">
        <v>649</v>
      </c>
      <c r="AD858" s="364" t="s">
        <v>88</v>
      </c>
      <c r="AE858" s="364" t="s">
        <v>88</v>
      </c>
      <c r="AF858" s="364" t="s">
        <v>88</v>
      </c>
      <c r="AG858" s="364" t="s">
        <v>88</v>
      </c>
      <c r="AH858" s="364" t="s">
        <v>88</v>
      </c>
      <c r="AI858" s="364" t="s">
        <v>1155</v>
      </c>
      <c r="AJ858" s="364" t="s">
        <v>710</v>
      </c>
      <c r="AK858" s="364" t="s">
        <v>647</v>
      </c>
      <c r="AL858" s="364" t="s">
        <v>88</v>
      </c>
      <c r="AM858" s="364" t="s">
        <v>668</v>
      </c>
      <c r="AN858" s="364" t="s">
        <v>644</v>
      </c>
    </row>
    <row r="859" spans="1:40" x14ac:dyDescent="0.3">
      <c r="A859" s="364" t="s">
        <v>1802</v>
      </c>
      <c r="B859" s="364" t="s">
        <v>661</v>
      </c>
      <c r="C859" s="364" t="s">
        <v>677</v>
      </c>
      <c r="D859" s="364" t="s">
        <v>90</v>
      </c>
      <c r="E859" s="364" t="s">
        <v>1801</v>
      </c>
      <c r="F859" s="364" t="s">
        <v>1801</v>
      </c>
      <c r="G859" s="364" t="s">
        <v>658</v>
      </c>
      <c r="H859" s="364" t="s">
        <v>1800</v>
      </c>
      <c r="I859" s="364" t="s">
        <v>1799</v>
      </c>
      <c r="J859" s="364" t="s">
        <v>673</v>
      </c>
      <c r="K859" s="364" t="s">
        <v>668</v>
      </c>
      <c r="L859" s="364" t="s">
        <v>190</v>
      </c>
      <c r="M859" s="364" t="s">
        <v>56</v>
      </c>
      <c r="N859" s="364" t="s">
        <v>654</v>
      </c>
      <c r="O859" s="364" t="s">
        <v>653</v>
      </c>
      <c r="P859" s="364" t="s">
        <v>198</v>
      </c>
      <c r="Q859" s="364" t="s">
        <v>652</v>
      </c>
      <c r="R859" s="364" t="s">
        <v>88</v>
      </c>
      <c r="S859" s="364" t="s">
        <v>88</v>
      </c>
      <c r="T859" s="364" t="s">
        <v>88</v>
      </c>
      <c r="U859" s="364" t="s">
        <v>88</v>
      </c>
      <c r="V859" s="364" t="s">
        <v>88</v>
      </c>
      <c r="W859" s="364" t="s">
        <v>88</v>
      </c>
      <c r="X859" s="364" t="s">
        <v>88</v>
      </c>
      <c r="Y859" s="364" t="s">
        <v>88</v>
      </c>
      <c r="Z859" s="364" t="s">
        <v>1165</v>
      </c>
      <c r="AA859" s="364" t="s">
        <v>1164</v>
      </c>
      <c r="AB859" s="364" t="s">
        <v>649</v>
      </c>
      <c r="AC859" s="364" t="s">
        <v>649</v>
      </c>
      <c r="AD859" s="364" t="s">
        <v>88</v>
      </c>
      <c r="AE859" s="364" t="s">
        <v>88</v>
      </c>
      <c r="AF859" s="364" t="s">
        <v>88</v>
      </c>
      <c r="AG859" s="364" t="s">
        <v>88</v>
      </c>
      <c r="AH859" s="364" t="s">
        <v>88</v>
      </c>
      <c r="AI859" s="364" t="s">
        <v>1155</v>
      </c>
      <c r="AJ859" s="364" t="s">
        <v>710</v>
      </c>
      <c r="AK859" s="364" t="s">
        <v>647</v>
      </c>
      <c r="AL859" s="364" t="s">
        <v>88</v>
      </c>
      <c r="AM859" s="364" t="s">
        <v>668</v>
      </c>
      <c r="AN859" s="364" t="s">
        <v>644</v>
      </c>
    </row>
    <row r="860" spans="1:40" x14ac:dyDescent="0.3">
      <c r="A860" s="364" t="s">
        <v>1798</v>
      </c>
      <c r="B860" s="364" t="s">
        <v>661</v>
      </c>
      <c r="C860" s="364" t="s">
        <v>677</v>
      </c>
      <c r="D860" s="364" t="s">
        <v>87</v>
      </c>
      <c r="E860" s="364" t="s">
        <v>941</v>
      </c>
      <c r="F860" s="364" t="s">
        <v>941</v>
      </c>
      <c r="G860" s="364" t="s">
        <v>658</v>
      </c>
      <c r="H860" s="364" t="s">
        <v>1785</v>
      </c>
      <c r="I860" s="364" t="s">
        <v>1486</v>
      </c>
      <c r="J860" s="364" t="s">
        <v>673</v>
      </c>
      <c r="K860" s="364" t="s">
        <v>668</v>
      </c>
      <c r="L860" s="364" t="s">
        <v>190</v>
      </c>
      <c r="M860" s="364" t="s">
        <v>60</v>
      </c>
      <c r="N860" s="364" t="s">
        <v>654</v>
      </c>
      <c r="O860" s="364" t="s">
        <v>653</v>
      </c>
      <c r="P860" s="364" t="s">
        <v>198</v>
      </c>
      <c r="Q860" s="364" t="s">
        <v>652</v>
      </c>
      <c r="R860" s="364" t="s">
        <v>88</v>
      </c>
      <c r="S860" s="364" t="s">
        <v>88</v>
      </c>
      <c r="T860" s="364" t="s">
        <v>88</v>
      </c>
      <c r="U860" s="364" t="s">
        <v>88</v>
      </c>
      <c r="V860" s="364" t="s">
        <v>88</v>
      </c>
      <c r="W860" s="364" t="s">
        <v>88</v>
      </c>
      <c r="X860" s="364" t="s">
        <v>88</v>
      </c>
      <c r="Y860" s="364" t="s">
        <v>88</v>
      </c>
      <c r="Z860" s="364" t="s">
        <v>709</v>
      </c>
      <c r="AA860" s="364" t="s">
        <v>708</v>
      </c>
      <c r="AB860" s="364" t="s">
        <v>649</v>
      </c>
      <c r="AC860" s="364" t="s">
        <v>649</v>
      </c>
      <c r="AD860" s="364" t="s">
        <v>88</v>
      </c>
      <c r="AE860" s="364" t="s">
        <v>88</v>
      </c>
      <c r="AF860" s="364" t="s">
        <v>88</v>
      </c>
      <c r="AG860" s="364" t="s">
        <v>88</v>
      </c>
      <c r="AH860" s="364" t="s">
        <v>88</v>
      </c>
      <c r="AI860" s="364" t="s">
        <v>1199</v>
      </c>
      <c r="AJ860" s="364" t="s">
        <v>670</v>
      </c>
      <c r="AK860" s="364" t="s">
        <v>687</v>
      </c>
      <c r="AL860" s="364" t="s">
        <v>88</v>
      </c>
      <c r="AM860" s="364" t="s">
        <v>668</v>
      </c>
      <c r="AN860" s="364" t="s">
        <v>644</v>
      </c>
    </row>
    <row r="861" spans="1:40" x14ac:dyDescent="0.3">
      <c r="A861" s="364" t="s">
        <v>1797</v>
      </c>
      <c r="B861" s="364" t="s">
        <v>661</v>
      </c>
      <c r="C861" s="364" t="s">
        <v>677</v>
      </c>
      <c r="D861" s="364" t="s">
        <v>170</v>
      </c>
      <c r="E861" s="364" t="s">
        <v>941</v>
      </c>
      <c r="F861" s="364" t="s">
        <v>941</v>
      </c>
      <c r="G861" s="364" t="s">
        <v>658</v>
      </c>
      <c r="H861" s="364" t="s">
        <v>1796</v>
      </c>
      <c r="I861" s="364" t="s">
        <v>887</v>
      </c>
      <c r="J861" s="364" t="s">
        <v>673</v>
      </c>
      <c r="K861" s="364" t="s">
        <v>668</v>
      </c>
      <c r="L861" s="364" t="s">
        <v>190</v>
      </c>
      <c r="M861" s="364" t="s">
        <v>164</v>
      </c>
      <c r="N861" s="364" t="s">
        <v>654</v>
      </c>
      <c r="O861" s="364" t="s">
        <v>653</v>
      </c>
      <c r="P861" s="364" t="s">
        <v>198</v>
      </c>
      <c r="Q861" s="364" t="s">
        <v>652</v>
      </c>
      <c r="R861" s="364" t="s">
        <v>88</v>
      </c>
      <c r="S861" s="364" t="s">
        <v>88</v>
      </c>
      <c r="T861" s="364" t="s">
        <v>88</v>
      </c>
      <c r="U861" s="364" t="s">
        <v>88</v>
      </c>
      <c r="V861" s="364" t="s">
        <v>88</v>
      </c>
      <c r="W861" s="364" t="s">
        <v>88</v>
      </c>
      <c r="X861" s="364" t="s">
        <v>88</v>
      </c>
      <c r="Y861" s="364" t="s">
        <v>88</v>
      </c>
      <c r="Z861" s="364" t="s">
        <v>825</v>
      </c>
      <c r="AA861" s="364" t="s">
        <v>649</v>
      </c>
      <c r="AB861" s="364" t="s">
        <v>649</v>
      </c>
      <c r="AC861" s="364" t="s">
        <v>649</v>
      </c>
      <c r="AD861" s="364" t="s">
        <v>88</v>
      </c>
      <c r="AE861" s="364" t="s">
        <v>88</v>
      </c>
      <c r="AF861" s="364" t="s">
        <v>88</v>
      </c>
      <c r="AG861" s="364" t="s">
        <v>88</v>
      </c>
      <c r="AH861" s="364" t="s">
        <v>88</v>
      </c>
      <c r="AI861" s="364" t="s">
        <v>1199</v>
      </c>
      <c r="AJ861" s="364" t="s">
        <v>670</v>
      </c>
      <c r="AK861" s="364" t="s">
        <v>687</v>
      </c>
      <c r="AL861" s="364" t="s">
        <v>88</v>
      </c>
      <c r="AM861" s="364" t="s">
        <v>668</v>
      </c>
      <c r="AN861" s="364" t="s">
        <v>644</v>
      </c>
    </row>
    <row r="862" spans="1:40" x14ac:dyDescent="0.3">
      <c r="A862" s="364" t="s">
        <v>1795</v>
      </c>
      <c r="B862" s="364" t="s">
        <v>661</v>
      </c>
      <c r="C862" s="364" t="s">
        <v>677</v>
      </c>
      <c r="D862" s="364" t="s">
        <v>87</v>
      </c>
      <c r="E862" s="364" t="s">
        <v>941</v>
      </c>
      <c r="F862" s="364" t="s">
        <v>941</v>
      </c>
      <c r="G862" s="364" t="s">
        <v>658</v>
      </c>
      <c r="H862" s="364" t="s">
        <v>1078</v>
      </c>
      <c r="I862" s="364" t="s">
        <v>674</v>
      </c>
      <c r="J862" s="364" t="s">
        <v>673</v>
      </c>
      <c r="K862" s="364" t="s">
        <v>668</v>
      </c>
      <c r="L862" s="364" t="s">
        <v>190</v>
      </c>
      <c r="M862" s="364" t="s">
        <v>59</v>
      </c>
      <c r="N862" s="364" t="s">
        <v>654</v>
      </c>
      <c r="O862" s="364" t="s">
        <v>653</v>
      </c>
      <c r="P862" s="364" t="s">
        <v>198</v>
      </c>
      <c r="Q862" s="364" t="s">
        <v>652</v>
      </c>
      <c r="R862" s="364" t="s">
        <v>88</v>
      </c>
      <c r="S862" s="364" t="s">
        <v>88</v>
      </c>
      <c r="T862" s="364" t="s">
        <v>88</v>
      </c>
      <c r="U862" s="364" t="s">
        <v>88</v>
      </c>
      <c r="V862" s="364" t="s">
        <v>88</v>
      </c>
      <c r="W862" s="364" t="s">
        <v>88</v>
      </c>
      <c r="X862" s="364" t="s">
        <v>88</v>
      </c>
      <c r="Y862" s="364" t="s">
        <v>88</v>
      </c>
      <c r="Z862" s="364" t="s">
        <v>672</v>
      </c>
      <c r="AA862" s="364" t="s">
        <v>671</v>
      </c>
      <c r="AB862" s="364" t="s">
        <v>649</v>
      </c>
      <c r="AC862" s="364" t="s">
        <v>649</v>
      </c>
      <c r="AD862" s="364" t="s">
        <v>88</v>
      </c>
      <c r="AE862" s="364" t="s">
        <v>88</v>
      </c>
      <c r="AF862" s="364" t="s">
        <v>88</v>
      </c>
      <c r="AG862" s="364" t="s">
        <v>88</v>
      </c>
      <c r="AH862" s="364" t="s">
        <v>88</v>
      </c>
      <c r="AI862" s="364" t="s">
        <v>1199</v>
      </c>
      <c r="AJ862" s="364" t="s">
        <v>670</v>
      </c>
      <c r="AK862" s="364" t="s">
        <v>669</v>
      </c>
      <c r="AL862" s="364" t="s">
        <v>88</v>
      </c>
      <c r="AM862" s="364" t="s">
        <v>668</v>
      </c>
      <c r="AN862" s="364" t="s">
        <v>644</v>
      </c>
    </row>
    <row r="863" spans="1:40" x14ac:dyDescent="0.3">
      <c r="A863" s="364" t="s">
        <v>1794</v>
      </c>
      <c r="B863" s="364" t="s">
        <v>661</v>
      </c>
      <c r="C863" s="364" t="s">
        <v>677</v>
      </c>
      <c r="D863" s="364" t="s">
        <v>87</v>
      </c>
      <c r="E863" s="364" t="s">
        <v>941</v>
      </c>
      <c r="F863" s="364" t="s">
        <v>941</v>
      </c>
      <c r="G863" s="364" t="s">
        <v>658</v>
      </c>
      <c r="H863" s="364" t="s">
        <v>1793</v>
      </c>
      <c r="I863" s="364" t="s">
        <v>939</v>
      </c>
      <c r="J863" s="364" t="s">
        <v>673</v>
      </c>
      <c r="K863" s="364" t="s">
        <v>668</v>
      </c>
      <c r="L863" s="364" t="s">
        <v>190</v>
      </c>
      <c r="M863" s="364" t="s">
        <v>166</v>
      </c>
      <c r="N863" s="364" t="s">
        <v>654</v>
      </c>
      <c r="O863" s="364" t="s">
        <v>653</v>
      </c>
      <c r="P863" s="364" t="s">
        <v>198</v>
      </c>
      <c r="Q863" s="364" t="s">
        <v>652</v>
      </c>
      <c r="R863" s="364" t="s">
        <v>88</v>
      </c>
      <c r="S863" s="364" t="s">
        <v>88</v>
      </c>
      <c r="T863" s="364" t="s">
        <v>88</v>
      </c>
      <c r="U863" s="364" t="s">
        <v>88</v>
      </c>
      <c r="V863" s="364" t="s">
        <v>88</v>
      </c>
      <c r="W863" s="364" t="s">
        <v>88</v>
      </c>
      <c r="X863" s="364" t="s">
        <v>88</v>
      </c>
      <c r="Y863" s="364" t="s">
        <v>88</v>
      </c>
      <c r="Z863" s="364" t="s">
        <v>877</v>
      </c>
      <c r="AA863" s="364" t="s">
        <v>876</v>
      </c>
      <c r="AB863" s="364" t="s">
        <v>649</v>
      </c>
      <c r="AC863" s="364" t="s">
        <v>649</v>
      </c>
      <c r="AD863" s="364" t="s">
        <v>88</v>
      </c>
      <c r="AE863" s="364" t="s">
        <v>88</v>
      </c>
      <c r="AF863" s="364" t="s">
        <v>88</v>
      </c>
      <c r="AG863" s="364" t="s">
        <v>88</v>
      </c>
      <c r="AH863" s="364" t="s">
        <v>88</v>
      </c>
      <c r="AI863" s="364" t="s">
        <v>1199</v>
      </c>
      <c r="AJ863" s="364" t="s">
        <v>670</v>
      </c>
      <c r="AK863" s="364" t="s">
        <v>669</v>
      </c>
      <c r="AL863" s="364" t="s">
        <v>88</v>
      </c>
      <c r="AM863" s="364" t="s">
        <v>668</v>
      </c>
      <c r="AN863" s="364" t="s">
        <v>644</v>
      </c>
    </row>
    <row r="864" spans="1:40" x14ac:dyDescent="0.3">
      <c r="A864" s="364" t="s">
        <v>1792</v>
      </c>
      <c r="B864" s="364" t="s">
        <v>661</v>
      </c>
      <c r="C864" s="364" t="s">
        <v>677</v>
      </c>
      <c r="D864" s="364" t="s">
        <v>87</v>
      </c>
      <c r="E864" s="364" t="s">
        <v>1719</v>
      </c>
      <c r="F864" s="364" t="s">
        <v>1719</v>
      </c>
      <c r="G864" s="364" t="s">
        <v>658</v>
      </c>
      <c r="H864" s="364" t="s">
        <v>1078</v>
      </c>
      <c r="I864" s="364" t="s">
        <v>674</v>
      </c>
      <c r="J864" s="364" t="s">
        <v>673</v>
      </c>
      <c r="K864" s="364" t="s">
        <v>668</v>
      </c>
      <c r="L864" s="364" t="s">
        <v>190</v>
      </c>
      <c r="M864" s="364" t="s">
        <v>59</v>
      </c>
      <c r="N864" s="364" t="s">
        <v>654</v>
      </c>
      <c r="O864" s="364" t="s">
        <v>653</v>
      </c>
      <c r="P864" s="364" t="s">
        <v>198</v>
      </c>
      <c r="Q864" s="364" t="s">
        <v>652</v>
      </c>
      <c r="R864" s="364" t="s">
        <v>88</v>
      </c>
      <c r="S864" s="364" t="s">
        <v>88</v>
      </c>
      <c r="T864" s="364" t="s">
        <v>88</v>
      </c>
      <c r="U864" s="364" t="s">
        <v>88</v>
      </c>
      <c r="V864" s="364" t="s">
        <v>88</v>
      </c>
      <c r="W864" s="364" t="s">
        <v>88</v>
      </c>
      <c r="X864" s="364" t="s">
        <v>88</v>
      </c>
      <c r="Y864" s="364" t="s">
        <v>88</v>
      </c>
      <c r="Z864" s="364" t="s">
        <v>672</v>
      </c>
      <c r="AA864" s="364" t="s">
        <v>671</v>
      </c>
      <c r="AB864" s="364" t="s">
        <v>649</v>
      </c>
      <c r="AC864" s="364" t="s">
        <v>649</v>
      </c>
      <c r="AD864" s="364" t="s">
        <v>88</v>
      </c>
      <c r="AE864" s="364" t="s">
        <v>88</v>
      </c>
      <c r="AF864" s="364" t="s">
        <v>88</v>
      </c>
      <c r="AG864" s="364" t="s">
        <v>88</v>
      </c>
      <c r="AH864" s="364" t="s">
        <v>88</v>
      </c>
      <c r="AI864" s="364" t="s">
        <v>1199</v>
      </c>
      <c r="AJ864" s="364" t="s">
        <v>670</v>
      </c>
      <c r="AK864" s="364" t="s">
        <v>669</v>
      </c>
      <c r="AL864" s="364" t="s">
        <v>88</v>
      </c>
      <c r="AM864" s="364" t="s">
        <v>668</v>
      </c>
      <c r="AN864" s="364" t="s">
        <v>644</v>
      </c>
    </row>
    <row r="865" spans="1:40" x14ac:dyDescent="0.3">
      <c r="A865" s="364" t="s">
        <v>1791</v>
      </c>
      <c r="B865" s="364" t="s">
        <v>661</v>
      </c>
      <c r="C865" s="364" t="s">
        <v>677</v>
      </c>
      <c r="D865" s="364" t="s">
        <v>87</v>
      </c>
      <c r="E865" s="364" t="s">
        <v>1719</v>
      </c>
      <c r="F865" s="364" t="s">
        <v>1719</v>
      </c>
      <c r="G865" s="364" t="s">
        <v>658</v>
      </c>
      <c r="H865" s="364" t="s">
        <v>1790</v>
      </c>
      <c r="I865" s="364" t="s">
        <v>1789</v>
      </c>
      <c r="J865" s="364" t="s">
        <v>673</v>
      </c>
      <c r="K865" s="364" t="s">
        <v>668</v>
      </c>
      <c r="L865" s="364" t="s">
        <v>190</v>
      </c>
      <c r="M865" s="364" t="s">
        <v>58</v>
      </c>
      <c r="N865" s="364" t="s">
        <v>654</v>
      </c>
      <c r="O865" s="364" t="s">
        <v>653</v>
      </c>
      <c r="P865" s="364" t="s">
        <v>198</v>
      </c>
      <c r="Q865" s="364" t="s">
        <v>652</v>
      </c>
      <c r="R865" s="364" t="s">
        <v>88</v>
      </c>
      <c r="S865" s="364" t="s">
        <v>88</v>
      </c>
      <c r="T865" s="364" t="s">
        <v>88</v>
      </c>
      <c r="U865" s="364" t="s">
        <v>88</v>
      </c>
      <c r="V865" s="364" t="s">
        <v>88</v>
      </c>
      <c r="W865" s="364" t="s">
        <v>88</v>
      </c>
      <c r="X865" s="364" t="s">
        <v>88</v>
      </c>
      <c r="Y865" s="364" t="s">
        <v>88</v>
      </c>
      <c r="Z865" s="364" t="s">
        <v>702</v>
      </c>
      <c r="AA865" s="364" t="s">
        <v>701</v>
      </c>
      <c r="AB865" s="364" t="s">
        <v>649</v>
      </c>
      <c r="AC865" s="364" t="s">
        <v>649</v>
      </c>
      <c r="AD865" s="364" t="s">
        <v>88</v>
      </c>
      <c r="AE865" s="364" t="s">
        <v>88</v>
      </c>
      <c r="AF865" s="364" t="s">
        <v>88</v>
      </c>
      <c r="AG865" s="364" t="s">
        <v>88</v>
      </c>
      <c r="AH865" s="364" t="s">
        <v>88</v>
      </c>
      <c r="AI865" s="364" t="s">
        <v>1199</v>
      </c>
      <c r="AJ865" s="364" t="s">
        <v>670</v>
      </c>
      <c r="AK865" s="364" t="s">
        <v>669</v>
      </c>
      <c r="AL865" s="364" t="s">
        <v>88</v>
      </c>
      <c r="AM865" s="364" t="s">
        <v>668</v>
      </c>
      <c r="AN865" s="364" t="s">
        <v>644</v>
      </c>
    </row>
    <row r="866" spans="1:40" x14ac:dyDescent="0.3">
      <c r="A866" s="364" t="s">
        <v>1791</v>
      </c>
      <c r="B866" s="364" t="s">
        <v>661</v>
      </c>
      <c r="C866" s="364" t="s">
        <v>677</v>
      </c>
      <c r="D866" s="364" t="s">
        <v>87</v>
      </c>
      <c r="E866" s="364" t="s">
        <v>1719</v>
      </c>
      <c r="F866" s="364" t="s">
        <v>1719</v>
      </c>
      <c r="G866" s="364" t="s">
        <v>658</v>
      </c>
      <c r="H866" s="364" t="s">
        <v>1790</v>
      </c>
      <c r="I866" s="364" t="s">
        <v>1789</v>
      </c>
      <c r="J866" s="364" t="s">
        <v>673</v>
      </c>
      <c r="K866" s="364" t="s">
        <v>668</v>
      </c>
      <c r="L866" s="364" t="s">
        <v>190</v>
      </c>
      <c r="M866" s="364" t="s">
        <v>166</v>
      </c>
      <c r="N866" s="364" t="s">
        <v>654</v>
      </c>
      <c r="O866" s="364" t="s">
        <v>653</v>
      </c>
      <c r="P866" s="364" t="s">
        <v>198</v>
      </c>
      <c r="Q866" s="364" t="s">
        <v>652</v>
      </c>
      <c r="R866" s="364" t="s">
        <v>88</v>
      </c>
      <c r="S866" s="364" t="s">
        <v>88</v>
      </c>
      <c r="T866" s="364" t="s">
        <v>88</v>
      </c>
      <c r="U866" s="364" t="s">
        <v>88</v>
      </c>
      <c r="V866" s="364" t="s">
        <v>88</v>
      </c>
      <c r="W866" s="364" t="s">
        <v>88</v>
      </c>
      <c r="X866" s="364" t="s">
        <v>88</v>
      </c>
      <c r="Y866" s="364" t="s">
        <v>88</v>
      </c>
      <c r="Z866" s="364" t="s">
        <v>877</v>
      </c>
      <c r="AA866" s="364" t="s">
        <v>876</v>
      </c>
      <c r="AB866" s="364" t="s">
        <v>649</v>
      </c>
      <c r="AC866" s="364" t="s">
        <v>649</v>
      </c>
      <c r="AD866" s="364" t="s">
        <v>88</v>
      </c>
      <c r="AE866" s="364" t="s">
        <v>88</v>
      </c>
      <c r="AF866" s="364" t="s">
        <v>88</v>
      </c>
      <c r="AG866" s="364" t="s">
        <v>88</v>
      </c>
      <c r="AH866" s="364" t="s">
        <v>88</v>
      </c>
      <c r="AI866" s="364" t="s">
        <v>1199</v>
      </c>
      <c r="AJ866" s="364" t="s">
        <v>670</v>
      </c>
      <c r="AK866" s="364" t="s">
        <v>669</v>
      </c>
      <c r="AL866" s="364" t="s">
        <v>88</v>
      </c>
      <c r="AM866" s="364" t="s">
        <v>668</v>
      </c>
      <c r="AN866" s="364" t="s">
        <v>644</v>
      </c>
    </row>
    <row r="867" spans="1:40" x14ac:dyDescent="0.3">
      <c r="A867" s="364" t="s">
        <v>1788</v>
      </c>
      <c r="B867" s="364" t="s">
        <v>661</v>
      </c>
      <c r="C867" s="364" t="s">
        <v>677</v>
      </c>
      <c r="D867" s="364" t="s">
        <v>170</v>
      </c>
      <c r="E867" s="364" t="s">
        <v>1719</v>
      </c>
      <c r="F867" s="364" t="s">
        <v>1719</v>
      </c>
      <c r="G867" s="364" t="s">
        <v>658</v>
      </c>
      <c r="H867" s="364" t="s">
        <v>1787</v>
      </c>
      <c r="I867" s="364" t="s">
        <v>910</v>
      </c>
      <c r="J867" s="364" t="s">
        <v>673</v>
      </c>
      <c r="K867" s="364" t="s">
        <v>668</v>
      </c>
      <c r="L867" s="364" t="s">
        <v>190</v>
      </c>
      <c r="M867" s="364" t="s">
        <v>164</v>
      </c>
      <c r="N867" s="364" t="s">
        <v>654</v>
      </c>
      <c r="O867" s="364" t="s">
        <v>653</v>
      </c>
      <c r="P867" s="364" t="s">
        <v>198</v>
      </c>
      <c r="Q867" s="364" t="s">
        <v>652</v>
      </c>
      <c r="R867" s="364" t="s">
        <v>88</v>
      </c>
      <c r="S867" s="364" t="s">
        <v>88</v>
      </c>
      <c r="T867" s="364" t="s">
        <v>88</v>
      </c>
      <c r="U867" s="364" t="s">
        <v>88</v>
      </c>
      <c r="V867" s="364" t="s">
        <v>88</v>
      </c>
      <c r="W867" s="364" t="s">
        <v>88</v>
      </c>
      <c r="X867" s="364" t="s">
        <v>88</v>
      </c>
      <c r="Y867" s="364" t="s">
        <v>88</v>
      </c>
      <c r="Z867" s="364" t="s">
        <v>825</v>
      </c>
      <c r="AA867" s="364" t="s">
        <v>649</v>
      </c>
      <c r="AB867" s="364" t="s">
        <v>649</v>
      </c>
      <c r="AC867" s="364" t="s">
        <v>649</v>
      </c>
      <c r="AD867" s="364" t="s">
        <v>88</v>
      </c>
      <c r="AE867" s="364" t="s">
        <v>88</v>
      </c>
      <c r="AF867" s="364" t="s">
        <v>88</v>
      </c>
      <c r="AG867" s="364" t="s">
        <v>88</v>
      </c>
      <c r="AH867" s="364" t="s">
        <v>88</v>
      </c>
      <c r="AI867" s="364" t="s">
        <v>1199</v>
      </c>
      <c r="AJ867" s="364" t="s">
        <v>670</v>
      </c>
      <c r="AK867" s="364" t="s">
        <v>687</v>
      </c>
      <c r="AL867" s="364" t="s">
        <v>88</v>
      </c>
      <c r="AM867" s="364" t="s">
        <v>668</v>
      </c>
      <c r="AN867" s="364" t="s">
        <v>644</v>
      </c>
    </row>
    <row r="868" spans="1:40" x14ac:dyDescent="0.3">
      <c r="A868" s="364" t="s">
        <v>1786</v>
      </c>
      <c r="B868" s="364" t="s">
        <v>661</v>
      </c>
      <c r="C868" s="364" t="s">
        <v>677</v>
      </c>
      <c r="D868" s="364" t="s">
        <v>87</v>
      </c>
      <c r="E868" s="364" t="s">
        <v>1719</v>
      </c>
      <c r="F868" s="364" t="s">
        <v>1719</v>
      </c>
      <c r="G868" s="364" t="s">
        <v>658</v>
      </c>
      <c r="H868" s="364" t="s">
        <v>1785</v>
      </c>
      <c r="I868" s="364" t="s">
        <v>1784</v>
      </c>
      <c r="J868" s="364" t="s">
        <v>673</v>
      </c>
      <c r="K868" s="364" t="s">
        <v>668</v>
      </c>
      <c r="L868" s="364" t="s">
        <v>190</v>
      </c>
      <c r="M868" s="364" t="s">
        <v>60</v>
      </c>
      <c r="N868" s="364" t="s">
        <v>654</v>
      </c>
      <c r="O868" s="364" t="s">
        <v>653</v>
      </c>
      <c r="P868" s="364" t="s">
        <v>198</v>
      </c>
      <c r="Q868" s="364" t="s">
        <v>652</v>
      </c>
      <c r="R868" s="364" t="s">
        <v>88</v>
      </c>
      <c r="S868" s="364" t="s">
        <v>88</v>
      </c>
      <c r="T868" s="364" t="s">
        <v>88</v>
      </c>
      <c r="U868" s="364" t="s">
        <v>88</v>
      </c>
      <c r="V868" s="364" t="s">
        <v>88</v>
      </c>
      <c r="W868" s="364" t="s">
        <v>88</v>
      </c>
      <c r="X868" s="364" t="s">
        <v>88</v>
      </c>
      <c r="Y868" s="364" t="s">
        <v>88</v>
      </c>
      <c r="Z868" s="364" t="s">
        <v>709</v>
      </c>
      <c r="AA868" s="364" t="s">
        <v>708</v>
      </c>
      <c r="AB868" s="364" t="s">
        <v>649</v>
      </c>
      <c r="AC868" s="364" t="s">
        <v>649</v>
      </c>
      <c r="AD868" s="364" t="s">
        <v>88</v>
      </c>
      <c r="AE868" s="364" t="s">
        <v>88</v>
      </c>
      <c r="AF868" s="364" t="s">
        <v>88</v>
      </c>
      <c r="AG868" s="364" t="s">
        <v>88</v>
      </c>
      <c r="AH868" s="364" t="s">
        <v>88</v>
      </c>
      <c r="AI868" s="364" t="s">
        <v>1199</v>
      </c>
      <c r="AJ868" s="364" t="s">
        <v>670</v>
      </c>
      <c r="AK868" s="364" t="s">
        <v>687</v>
      </c>
      <c r="AL868" s="364" t="s">
        <v>88</v>
      </c>
      <c r="AM868" s="364" t="s">
        <v>668</v>
      </c>
      <c r="AN868" s="364" t="s">
        <v>644</v>
      </c>
    </row>
    <row r="869" spans="1:40" x14ac:dyDescent="0.3">
      <c r="A869" s="364" t="s">
        <v>1783</v>
      </c>
      <c r="B869" s="364" t="s">
        <v>661</v>
      </c>
      <c r="C869" s="364" t="s">
        <v>1160</v>
      </c>
      <c r="D869" s="364" t="s">
        <v>87</v>
      </c>
      <c r="E869" s="364" t="s">
        <v>676</v>
      </c>
      <c r="F869" s="364" t="s">
        <v>676</v>
      </c>
      <c r="G869" s="364" t="s">
        <v>658</v>
      </c>
      <c r="H869" s="364" t="s">
        <v>1782</v>
      </c>
      <c r="I869" s="364" t="s">
        <v>88</v>
      </c>
      <c r="J869" s="364" t="s">
        <v>88</v>
      </c>
      <c r="K869" s="364" t="s">
        <v>88</v>
      </c>
      <c r="L869" s="364" t="s">
        <v>88</v>
      </c>
      <c r="M869" s="364" t="s">
        <v>138</v>
      </c>
      <c r="N869" s="364" t="s">
        <v>654</v>
      </c>
      <c r="O869" s="364" t="s">
        <v>653</v>
      </c>
      <c r="P869" s="364" t="s">
        <v>88</v>
      </c>
      <c r="Q869" s="364" t="s">
        <v>88</v>
      </c>
      <c r="R869" s="364" t="s">
        <v>88</v>
      </c>
      <c r="S869" s="364" t="s">
        <v>88</v>
      </c>
      <c r="T869" s="364" t="s">
        <v>88</v>
      </c>
      <c r="U869" s="364" t="s">
        <v>88</v>
      </c>
      <c r="V869" s="364" t="s">
        <v>88</v>
      </c>
      <c r="W869" s="364" t="s">
        <v>88</v>
      </c>
      <c r="X869" s="364" t="s">
        <v>88</v>
      </c>
      <c r="Y869" s="364" t="s">
        <v>88</v>
      </c>
      <c r="Z869" s="364" t="s">
        <v>88</v>
      </c>
      <c r="AA869" s="364" t="s">
        <v>649</v>
      </c>
      <c r="AB869" s="364" t="s">
        <v>88</v>
      </c>
      <c r="AC869" s="364" t="s">
        <v>88</v>
      </c>
      <c r="AD869" s="364" t="s">
        <v>88</v>
      </c>
      <c r="AE869" s="364" t="s">
        <v>88</v>
      </c>
      <c r="AF869" s="364" t="s">
        <v>88</v>
      </c>
      <c r="AG869" s="364" t="s">
        <v>88</v>
      </c>
      <c r="AH869" s="364" t="s">
        <v>88</v>
      </c>
      <c r="AI869" s="364" t="s">
        <v>1781</v>
      </c>
      <c r="AJ869" s="364" t="s">
        <v>793</v>
      </c>
      <c r="AK869" s="364" t="s">
        <v>88</v>
      </c>
      <c r="AL869" s="364" t="s">
        <v>88</v>
      </c>
      <c r="AM869" s="364" t="s">
        <v>88</v>
      </c>
      <c r="AN869" s="364" t="s">
        <v>792</v>
      </c>
    </row>
    <row r="870" spans="1:40" x14ac:dyDescent="0.3">
      <c r="A870" s="364" t="s">
        <v>1780</v>
      </c>
      <c r="B870" s="364" t="s">
        <v>661</v>
      </c>
      <c r="C870" s="364" t="s">
        <v>1160</v>
      </c>
      <c r="D870" s="364" t="s">
        <v>87</v>
      </c>
      <c r="E870" s="364" t="s">
        <v>1779</v>
      </c>
      <c r="F870" s="364" t="s">
        <v>676</v>
      </c>
      <c r="G870" s="364" t="s">
        <v>658</v>
      </c>
      <c r="H870" s="364" t="s">
        <v>1778</v>
      </c>
      <c r="I870" s="364" t="s">
        <v>88</v>
      </c>
      <c r="J870" s="364" t="s">
        <v>88</v>
      </c>
      <c r="K870" s="364" t="s">
        <v>88</v>
      </c>
      <c r="L870" s="364" t="s">
        <v>88</v>
      </c>
      <c r="M870" s="364" t="s">
        <v>138</v>
      </c>
      <c r="N870" s="364" t="s">
        <v>654</v>
      </c>
      <c r="O870" s="364" t="s">
        <v>653</v>
      </c>
      <c r="P870" s="364" t="s">
        <v>88</v>
      </c>
      <c r="Q870" s="364" t="s">
        <v>88</v>
      </c>
      <c r="R870" s="364" t="s">
        <v>88</v>
      </c>
      <c r="S870" s="364" t="s">
        <v>88</v>
      </c>
      <c r="T870" s="364" t="s">
        <v>88</v>
      </c>
      <c r="U870" s="364" t="s">
        <v>88</v>
      </c>
      <c r="V870" s="364" t="s">
        <v>88</v>
      </c>
      <c r="W870" s="364" t="s">
        <v>88</v>
      </c>
      <c r="X870" s="364" t="s">
        <v>88</v>
      </c>
      <c r="Y870" s="364" t="s">
        <v>88</v>
      </c>
      <c r="Z870" s="364" t="s">
        <v>88</v>
      </c>
      <c r="AA870" s="364" t="s">
        <v>649</v>
      </c>
      <c r="AB870" s="364" t="s">
        <v>88</v>
      </c>
      <c r="AC870" s="364" t="s">
        <v>88</v>
      </c>
      <c r="AD870" s="364" t="s">
        <v>88</v>
      </c>
      <c r="AE870" s="364" t="s">
        <v>88</v>
      </c>
      <c r="AF870" s="364" t="s">
        <v>88</v>
      </c>
      <c r="AG870" s="364" t="s">
        <v>88</v>
      </c>
      <c r="AH870" s="364" t="s">
        <v>88</v>
      </c>
      <c r="AI870" s="364" t="s">
        <v>1777</v>
      </c>
      <c r="AJ870" s="364" t="s">
        <v>793</v>
      </c>
      <c r="AK870" s="364" t="s">
        <v>88</v>
      </c>
      <c r="AL870" s="364" t="s">
        <v>88</v>
      </c>
      <c r="AM870" s="364" t="s">
        <v>88</v>
      </c>
      <c r="AN870" s="364" t="s">
        <v>792</v>
      </c>
    </row>
    <row r="871" spans="1:40" x14ac:dyDescent="0.3">
      <c r="A871" s="364" t="s">
        <v>1776</v>
      </c>
      <c r="B871" s="364" t="s">
        <v>661</v>
      </c>
      <c r="C871" s="364" t="s">
        <v>1420</v>
      </c>
      <c r="D871" s="364" t="s">
        <v>87</v>
      </c>
      <c r="E871" s="364" t="s">
        <v>1746</v>
      </c>
      <c r="F871" s="364" t="s">
        <v>685</v>
      </c>
      <c r="G871" s="364" t="s">
        <v>658</v>
      </c>
      <c r="H871" s="364" t="s">
        <v>1775</v>
      </c>
      <c r="I871" s="364" t="s">
        <v>1774</v>
      </c>
      <c r="J871" s="364" t="s">
        <v>198</v>
      </c>
      <c r="K871" s="364" t="s">
        <v>645</v>
      </c>
      <c r="L871" s="364" t="s">
        <v>188</v>
      </c>
      <c r="M871" s="364" t="s">
        <v>696</v>
      </c>
      <c r="N871" s="364" t="s">
        <v>654</v>
      </c>
      <c r="O871" s="364" t="s">
        <v>653</v>
      </c>
      <c r="P871" s="364" t="s">
        <v>198</v>
      </c>
      <c r="Q871" s="364" t="s">
        <v>652</v>
      </c>
      <c r="R871" s="364" t="s">
        <v>88</v>
      </c>
      <c r="S871" s="364" t="s">
        <v>88</v>
      </c>
      <c r="T871" s="364" t="s">
        <v>88</v>
      </c>
      <c r="U871" s="364" t="s">
        <v>88</v>
      </c>
      <c r="V871" s="364" t="s">
        <v>88</v>
      </c>
      <c r="W871" s="364" t="s">
        <v>88</v>
      </c>
      <c r="X871" s="364" t="s">
        <v>88</v>
      </c>
      <c r="Y871" s="364" t="s">
        <v>88</v>
      </c>
      <c r="Z871" s="364" t="s">
        <v>695</v>
      </c>
      <c r="AA871" s="364" t="s">
        <v>694</v>
      </c>
      <c r="AB871" s="364" t="s">
        <v>1773</v>
      </c>
      <c r="AC871" s="364" t="s">
        <v>1773</v>
      </c>
      <c r="AD871" s="364" t="s">
        <v>1773</v>
      </c>
      <c r="AE871" s="364" t="s">
        <v>88</v>
      </c>
      <c r="AF871" s="364" t="s">
        <v>1416</v>
      </c>
      <c r="AG871" s="364" t="s">
        <v>1415</v>
      </c>
      <c r="AH871" s="364" t="s">
        <v>1456</v>
      </c>
      <c r="AI871" s="364" t="s">
        <v>1772</v>
      </c>
      <c r="AJ871" s="364" t="s">
        <v>1446</v>
      </c>
      <c r="AK871" s="364" t="s">
        <v>669</v>
      </c>
      <c r="AL871" s="364" t="s">
        <v>1412</v>
      </c>
      <c r="AM871" s="364" t="s">
        <v>645</v>
      </c>
      <c r="AN871" s="364" t="s">
        <v>1411</v>
      </c>
    </row>
    <row r="872" spans="1:40" x14ac:dyDescent="0.3">
      <c r="A872" s="364" t="s">
        <v>1771</v>
      </c>
      <c r="B872" s="364" t="s">
        <v>661</v>
      </c>
      <c r="C872" s="364" t="s">
        <v>677</v>
      </c>
      <c r="D872" s="364" t="s">
        <v>170</v>
      </c>
      <c r="E872" s="364" t="s">
        <v>1715</v>
      </c>
      <c r="F872" s="364" t="s">
        <v>1715</v>
      </c>
      <c r="G872" s="364" t="s">
        <v>658</v>
      </c>
      <c r="H872" s="364" t="s">
        <v>1764</v>
      </c>
      <c r="I872" s="364" t="s">
        <v>1770</v>
      </c>
      <c r="J872" s="364" t="s">
        <v>673</v>
      </c>
      <c r="K872" s="364" t="s">
        <v>668</v>
      </c>
      <c r="L872" s="364" t="s">
        <v>190</v>
      </c>
      <c r="M872" s="364" t="s">
        <v>164</v>
      </c>
      <c r="N872" s="364" t="s">
        <v>654</v>
      </c>
      <c r="O872" s="364" t="s">
        <v>653</v>
      </c>
      <c r="P872" s="364" t="s">
        <v>198</v>
      </c>
      <c r="Q872" s="364" t="s">
        <v>652</v>
      </c>
      <c r="R872" s="364" t="s">
        <v>88</v>
      </c>
      <c r="S872" s="364" t="s">
        <v>88</v>
      </c>
      <c r="T872" s="364" t="s">
        <v>88</v>
      </c>
      <c r="U872" s="364" t="s">
        <v>88</v>
      </c>
      <c r="V872" s="364" t="s">
        <v>88</v>
      </c>
      <c r="W872" s="364" t="s">
        <v>88</v>
      </c>
      <c r="X872" s="364" t="s">
        <v>88</v>
      </c>
      <c r="Y872" s="364" t="s">
        <v>88</v>
      </c>
      <c r="Z872" s="364" t="s">
        <v>825</v>
      </c>
      <c r="AA872" s="364" t="s">
        <v>649</v>
      </c>
      <c r="AB872" s="364" t="s">
        <v>649</v>
      </c>
      <c r="AC872" s="364" t="s">
        <v>649</v>
      </c>
      <c r="AD872" s="364" t="s">
        <v>88</v>
      </c>
      <c r="AE872" s="364" t="s">
        <v>88</v>
      </c>
      <c r="AF872" s="364" t="s">
        <v>88</v>
      </c>
      <c r="AG872" s="364" t="s">
        <v>88</v>
      </c>
      <c r="AH872" s="364" t="s">
        <v>88</v>
      </c>
      <c r="AI872" s="364" t="s">
        <v>1199</v>
      </c>
      <c r="AJ872" s="364" t="s">
        <v>670</v>
      </c>
      <c r="AK872" s="364" t="s">
        <v>687</v>
      </c>
      <c r="AL872" s="364" t="s">
        <v>88</v>
      </c>
      <c r="AM872" s="364" t="s">
        <v>668</v>
      </c>
      <c r="AN872" s="364" t="s">
        <v>644</v>
      </c>
    </row>
    <row r="873" spans="1:40" x14ac:dyDescent="0.3">
      <c r="A873" s="364" t="s">
        <v>1769</v>
      </c>
      <c r="B873" s="364" t="s">
        <v>661</v>
      </c>
      <c r="C873" s="364" t="s">
        <v>677</v>
      </c>
      <c r="D873" s="364" t="s">
        <v>170</v>
      </c>
      <c r="E873" s="364" t="s">
        <v>1713</v>
      </c>
      <c r="F873" s="364" t="s">
        <v>1713</v>
      </c>
      <c r="G873" s="364" t="s">
        <v>658</v>
      </c>
      <c r="H873" s="364" t="s">
        <v>1764</v>
      </c>
      <c r="I873" s="364" t="s">
        <v>1768</v>
      </c>
      <c r="J873" s="364" t="s">
        <v>673</v>
      </c>
      <c r="K873" s="364" t="s">
        <v>668</v>
      </c>
      <c r="L873" s="364" t="s">
        <v>190</v>
      </c>
      <c r="M873" s="364" t="s">
        <v>164</v>
      </c>
      <c r="N873" s="364" t="s">
        <v>654</v>
      </c>
      <c r="O873" s="364" t="s">
        <v>653</v>
      </c>
      <c r="P873" s="364" t="s">
        <v>198</v>
      </c>
      <c r="Q873" s="364" t="s">
        <v>652</v>
      </c>
      <c r="R873" s="364" t="s">
        <v>88</v>
      </c>
      <c r="S873" s="364" t="s">
        <v>88</v>
      </c>
      <c r="T873" s="364" t="s">
        <v>88</v>
      </c>
      <c r="U873" s="364" t="s">
        <v>88</v>
      </c>
      <c r="V873" s="364" t="s">
        <v>88</v>
      </c>
      <c r="W873" s="364" t="s">
        <v>88</v>
      </c>
      <c r="X873" s="364" t="s">
        <v>88</v>
      </c>
      <c r="Y873" s="364" t="s">
        <v>88</v>
      </c>
      <c r="Z873" s="364" t="s">
        <v>825</v>
      </c>
      <c r="AA873" s="364" t="s">
        <v>649</v>
      </c>
      <c r="AB873" s="364" t="s">
        <v>649</v>
      </c>
      <c r="AC873" s="364" t="s">
        <v>649</v>
      </c>
      <c r="AD873" s="364" t="s">
        <v>88</v>
      </c>
      <c r="AE873" s="364" t="s">
        <v>88</v>
      </c>
      <c r="AF873" s="364" t="s">
        <v>88</v>
      </c>
      <c r="AG873" s="364" t="s">
        <v>88</v>
      </c>
      <c r="AH873" s="364" t="s">
        <v>88</v>
      </c>
      <c r="AI873" s="364" t="s">
        <v>1199</v>
      </c>
      <c r="AJ873" s="364" t="s">
        <v>670</v>
      </c>
      <c r="AK873" s="364" t="s">
        <v>687</v>
      </c>
      <c r="AL873" s="364" t="s">
        <v>88</v>
      </c>
      <c r="AM873" s="364" t="s">
        <v>668</v>
      </c>
      <c r="AN873" s="364" t="s">
        <v>644</v>
      </c>
    </row>
    <row r="874" spans="1:40" x14ac:dyDescent="0.3">
      <c r="A874" s="364" t="s">
        <v>1767</v>
      </c>
      <c r="B874" s="364" t="s">
        <v>661</v>
      </c>
      <c r="C874" s="364" t="s">
        <v>677</v>
      </c>
      <c r="D874" s="364" t="s">
        <v>87</v>
      </c>
      <c r="E874" s="364" t="s">
        <v>1715</v>
      </c>
      <c r="F874" s="364" t="s">
        <v>1715</v>
      </c>
      <c r="G874" s="364" t="s">
        <v>658</v>
      </c>
      <c r="H874" s="364" t="s">
        <v>1764</v>
      </c>
      <c r="I874" s="364" t="s">
        <v>1766</v>
      </c>
      <c r="J874" s="364" t="s">
        <v>673</v>
      </c>
      <c r="K874" s="364" t="s">
        <v>668</v>
      </c>
      <c r="L874" s="364" t="s">
        <v>190</v>
      </c>
      <c r="M874" s="364" t="s">
        <v>58</v>
      </c>
      <c r="N874" s="364" t="s">
        <v>654</v>
      </c>
      <c r="O874" s="364" t="s">
        <v>653</v>
      </c>
      <c r="P874" s="364" t="s">
        <v>198</v>
      </c>
      <c r="Q874" s="364" t="s">
        <v>652</v>
      </c>
      <c r="R874" s="364" t="s">
        <v>88</v>
      </c>
      <c r="S874" s="364" t="s">
        <v>88</v>
      </c>
      <c r="T874" s="364" t="s">
        <v>88</v>
      </c>
      <c r="U874" s="364" t="s">
        <v>88</v>
      </c>
      <c r="V874" s="364" t="s">
        <v>88</v>
      </c>
      <c r="W874" s="364" t="s">
        <v>88</v>
      </c>
      <c r="X874" s="364" t="s">
        <v>88</v>
      </c>
      <c r="Y874" s="364" t="s">
        <v>88</v>
      </c>
      <c r="Z874" s="364" t="s">
        <v>702</v>
      </c>
      <c r="AA874" s="364" t="s">
        <v>701</v>
      </c>
      <c r="AB874" s="364" t="s">
        <v>649</v>
      </c>
      <c r="AC874" s="364" t="s">
        <v>649</v>
      </c>
      <c r="AD874" s="364" t="s">
        <v>88</v>
      </c>
      <c r="AE874" s="364" t="s">
        <v>88</v>
      </c>
      <c r="AF874" s="364" t="s">
        <v>88</v>
      </c>
      <c r="AG874" s="364" t="s">
        <v>88</v>
      </c>
      <c r="AH874" s="364" t="s">
        <v>88</v>
      </c>
      <c r="AI874" s="364" t="s">
        <v>1199</v>
      </c>
      <c r="AJ874" s="364" t="s">
        <v>670</v>
      </c>
      <c r="AK874" s="364" t="s">
        <v>669</v>
      </c>
      <c r="AL874" s="364" t="s">
        <v>88</v>
      </c>
      <c r="AM874" s="364" t="s">
        <v>668</v>
      </c>
      <c r="AN874" s="364" t="s">
        <v>644</v>
      </c>
    </row>
    <row r="875" spans="1:40" x14ac:dyDescent="0.3">
      <c r="A875" s="364" t="s">
        <v>1767</v>
      </c>
      <c r="B875" s="364" t="s">
        <v>661</v>
      </c>
      <c r="C875" s="364" t="s">
        <v>677</v>
      </c>
      <c r="D875" s="364" t="s">
        <v>87</v>
      </c>
      <c r="E875" s="364" t="s">
        <v>1715</v>
      </c>
      <c r="F875" s="364" t="s">
        <v>1715</v>
      </c>
      <c r="G875" s="364" t="s">
        <v>658</v>
      </c>
      <c r="H875" s="364" t="s">
        <v>1764</v>
      </c>
      <c r="I875" s="364" t="s">
        <v>1766</v>
      </c>
      <c r="J875" s="364" t="s">
        <v>673</v>
      </c>
      <c r="K875" s="364" t="s">
        <v>668</v>
      </c>
      <c r="L875" s="364" t="s">
        <v>190</v>
      </c>
      <c r="M875" s="364" t="s">
        <v>166</v>
      </c>
      <c r="N875" s="364" t="s">
        <v>654</v>
      </c>
      <c r="O875" s="364" t="s">
        <v>653</v>
      </c>
      <c r="P875" s="364" t="s">
        <v>198</v>
      </c>
      <c r="Q875" s="364" t="s">
        <v>652</v>
      </c>
      <c r="R875" s="364" t="s">
        <v>88</v>
      </c>
      <c r="S875" s="364" t="s">
        <v>88</v>
      </c>
      <c r="T875" s="364" t="s">
        <v>88</v>
      </c>
      <c r="U875" s="364" t="s">
        <v>88</v>
      </c>
      <c r="V875" s="364" t="s">
        <v>88</v>
      </c>
      <c r="W875" s="364" t="s">
        <v>88</v>
      </c>
      <c r="X875" s="364" t="s">
        <v>88</v>
      </c>
      <c r="Y875" s="364" t="s">
        <v>88</v>
      </c>
      <c r="Z875" s="364" t="s">
        <v>877</v>
      </c>
      <c r="AA875" s="364" t="s">
        <v>876</v>
      </c>
      <c r="AB875" s="364" t="s">
        <v>649</v>
      </c>
      <c r="AC875" s="364" t="s">
        <v>649</v>
      </c>
      <c r="AD875" s="364" t="s">
        <v>88</v>
      </c>
      <c r="AE875" s="364" t="s">
        <v>88</v>
      </c>
      <c r="AF875" s="364" t="s">
        <v>88</v>
      </c>
      <c r="AG875" s="364" t="s">
        <v>88</v>
      </c>
      <c r="AH875" s="364" t="s">
        <v>88</v>
      </c>
      <c r="AI875" s="364" t="s">
        <v>1199</v>
      </c>
      <c r="AJ875" s="364" t="s">
        <v>670</v>
      </c>
      <c r="AK875" s="364" t="s">
        <v>669</v>
      </c>
      <c r="AL875" s="364" t="s">
        <v>88</v>
      </c>
      <c r="AM875" s="364" t="s">
        <v>668</v>
      </c>
      <c r="AN875" s="364" t="s">
        <v>644</v>
      </c>
    </row>
    <row r="876" spans="1:40" x14ac:dyDescent="0.3">
      <c r="A876" s="364" t="s">
        <v>1765</v>
      </c>
      <c r="B876" s="364" t="s">
        <v>661</v>
      </c>
      <c r="C876" s="364" t="s">
        <v>677</v>
      </c>
      <c r="D876" s="364" t="s">
        <v>87</v>
      </c>
      <c r="E876" s="364" t="s">
        <v>1713</v>
      </c>
      <c r="F876" s="364" t="s">
        <v>1713</v>
      </c>
      <c r="G876" s="364" t="s">
        <v>658</v>
      </c>
      <c r="H876" s="364" t="s">
        <v>1764</v>
      </c>
      <c r="I876" s="364" t="s">
        <v>1763</v>
      </c>
      <c r="J876" s="364" t="s">
        <v>673</v>
      </c>
      <c r="K876" s="364" t="s">
        <v>668</v>
      </c>
      <c r="L876" s="364" t="s">
        <v>190</v>
      </c>
      <c r="M876" s="364" t="s">
        <v>58</v>
      </c>
      <c r="N876" s="364" t="s">
        <v>654</v>
      </c>
      <c r="O876" s="364" t="s">
        <v>653</v>
      </c>
      <c r="P876" s="364" t="s">
        <v>198</v>
      </c>
      <c r="Q876" s="364" t="s">
        <v>652</v>
      </c>
      <c r="R876" s="364" t="s">
        <v>88</v>
      </c>
      <c r="S876" s="364" t="s">
        <v>88</v>
      </c>
      <c r="T876" s="364" t="s">
        <v>88</v>
      </c>
      <c r="U876" s="364" t="s">
        <v>88</v>
      </c>
      <c r="V876" s="364" t="s">
        <v>88</v>
      </c>
      <c r="W876" s="364" t="s">
        <v>88</v>
      </c>
      <c r="X876" s="364" t="s">
        <v>88</v>
      </c>
      <c r="Y876" s="364" t="s">
        <v>88</v>
      </c>
      <c r="Z876" s="364" t="s">
        <v>702</v>
      </c>
      <c r="AA876" s="364" t="s">
        <v>701</v>
      </c>
      <c r="AB876" s="364" t="s">
        <v>649</v>
      </c>
      <c r="AC876" s="364" t="s">
        <v>649</v>
      </c>
      <c r="AD876" s="364" t="s">
        <v>88</v>
      </c>
      <c r="AE876" s="364" t="s">
        <v>88</v>
      </c>
      <c r="AF876" s="364" t="s">
        <v>88</v>
      </c>
      <c r="AG876" s="364" t="s">
        <v>88</v>
      </c>
      <c r="AH876" s="364" t="s">
        <v>88</v>
      </c>
      <c r="AI876" s="364" t="s">
        <v>1199</v>
      </c>
      <c r="AJ876" s="364" t="s">
        <v>670</v>
      </c>
      <c r="AK876" s="364" t="s">
        <v>669</v>
      </c>
      <c r="AL876" s="364" t="s">
        <v>88</v>
      </c>
      <c r="AM876" s="364" t="s">
        <v>668</v>
      </c>
      <c r="AN876" s="364" t="s">
        <v>644</v>
      </c>
    </row>
    <row r="877" spans="1:40" x14ac:dyDescent="0.3">
      <c r="A877" s="364" t="s">
        <v>1765</v>
      </c>
      <c r="B877" s="364" t="s">
        <v>661</v>
      </c>
      <c r="C877" s="364" t="s">
        <v>677</v>
      </c>
      <c r="D877" s="364" t="s">
        <v>87</v>
      </c>
      <c r="E877" s="364" t="s">
        <v>1713</v>
      </c>
      <c r="F877" s="364" t="s">
        <v>1713</v>
      </c>
      <c r="G877" s="364" t="s">
        <v>658</v>
      </c>
      <c r="H877" s="364" t="s">
        <v>1764</v>
      </c>
      <c r="I877" s="364" t="s">
        <v>1763</v>
      </c>
      <c r="J877" s="364" t="s">
        <v>673</v>
      </c>
      <c r="K877" s="364" t="s">
        <v>668</v>
      </c>
      <c r="L877" s="364" t="s">
        <v>190</v>
      </c>
      <c r="M877" s="364" t="s">
        <v>166</v>
      </c>
      <c r="N877" s="364" t="s">
        <v>654</v>
      </c>
      <c r="O877" s="364" t="s">
        <v>653</v>
      </c>
      <c r="P877" s="364" t="s">
        <v>198</v>
      </c>
      <c r="Q877" s="364" t="s">
        <v>652</v>
      </c>
      <c r="R877" s="364" t="s">
        <v>88</v>
      </c>
      <c r="S877" s="364" t="s">
        <v>88</v>
      </c>
      <c r="T877" s="364" t="s">
        <v>88</v>
      </c>
      <c r="U877" s="364" t="s">
        <v>88</v>
      </c>
      <c r="V877" s="364" t="s">
        <v>88</v>
      </c>
      <c r="W877" s="364" t="s">
        <v>88</v>
      </c>
      <c r="X877" s="364" t="s">
        <v>88</v>
      </c>
      <c r="Y877" s="364" t="s">
        <v>88</v>
      </c>
      <c r="Z877" s="364" t="s">
        <v>877</v>
      </c>
      <c r="AA877" s="364" t="s">
        <v>876</v>
      </c>
      <c r="AB877" s="364" t="s">
        <v>649</v>
      </c>
      <c r="AC877" s="364" t="s">
        <v>649</v>
      </c>
      <c r="AD877" s="364" t="s">
        <v>88</v>
      </c>
      <c r="AE877" s="364" t="s">
        <v>88</v>
      </c>
      <c r="AF877" s="364" t="s">
        <v>88</v>
      </c>
      <c r="AG877" s="364" t="s">
        <v>88</v>
      </c>
      <c r="AH877" s="364" t="s">
        <v>88</v>
      </c>
      <c r="AI877" s="364" t="s">
        <v>1199</v>
      </c>
      <c r="AJ877" s="364" t="s">
        <v>670</v>
      </c>
      <c r="AK877" s="364" t="s">
        <v>669</v>
      </c>
      <c r="AL877" s="364" t="s">
        <v>88</v>
      </c>
      <c r="AM877" s="364" t="s">
        <v>668</v>
      </c>
      <c r="AN877" s="364" t="s">
        <v>644</v>
      </c>
    </row>
    <row r="878" spans="1:40" x14ac:dyDescent="0.3">
      <c r="A878" s="364" t="s">
        <v>1762</v>
      </c>
      <c r="B878" s="364" t="s">
        <v>661</v>
      </c>
      <c r="C878" s="364" t="s">
        <v>677</v>
      </c>
      <c r="D878" s="364" t="s">
        <v>87</v>
      </c>
      <c r="E878" s="364" t="s">
        <v>676</v>
      </c>
      <c r="F878" s="364" t="s">
        <v>676</v>
      </c>
      <c r="G878" s="364" t="s">
        <v>658</v>
      </c>
      <c r="H878" s="364" t="s">
        <v>1761</v>
      </c>
      <c r="I878" s="364" t="s">
        <v>1760</v>
      </c>
      <c r="J878" s="364" t="s">
        <v>673</v>
      </c>
      <c r="K878" s="364" t="s">
        <v>668</v>
      </c>
      <c r="L878" s="364" t="s">
        <v>190</v>
      </c>
      <c r="M878" s="364" t="s">
        <v>58</v>
      </c>
      <c r="N878" s="364" t="s">
        <v>654</v>
      </c>
      <c r="O878" s="364" t="s">
        <v>653</v>
      </c>
      <c r="P878" s="364" t="s">
        <v>198</v>
      </c>
      <c r="Q878" s="364" t="s">
        <v>652</v>
      </c>
      <c r="R878" s="364" t="s">
        <v>88</v>
      </c>
      <c r="S878" s="364" t="s">
        <v>88</v>
      </c>
      <c r="T878" s="364" t="s">
        <v>88</v>
      </c>
      <c r="U878" s="364" t="s">
        <v>88</v>
      </c>
      <c r="V878" s="364" t="s">
        <v>88</v>
      </c>
      <c r="W878" s="364" t="s">
        <v>88</v>
      </c>
      <c r="X878" s="364" t="s">
        <v>88</v>
      </c>
      <c r="Y878" s="364" t="s">
        <v>88</v>
      </c>
      <c r="Z878" s="364" t="s">
        <v>702</v>
      </c>
      <c r="AA878" s="364" t="s">
        <v>701</v>
      </c>
      <c r="AB878" s="364" t="s">
        <v>649</v>
      </c>
      <c r="AC878" s="364" t="s">
        <v>649</v>
      </c>
      <c r="AD878" s="364" t="s">
        <v>88</v>
      </c>
      <c r="AE878" s="364" t="s">
        <v>88</v>
      </c>
      <c r="AF878" s="364" t="s">
        <v>88</v>
      </c>
      <c r="AG878" s="364" t="s">
        <v>88</v>
      </c>
      <c r="AH878" s="364" t="s">
        <v>88</v>
      </c>
      <c r="AI878" s="364" t="s">
        <v>1199</v>
      </c>
      <c r="AJ878" s="364" t="s">
        <v>670</v>
      </c>
      <c r="AK878" s="364" t="s">
        <v>669</v>
      </c>
      <c r="AL878" s="364" t="s">
        <v>88</v>
      </c>
      <c r="AM878" s="364" t="s">
        <v>668</v>
      </c>
      <c r="AN878" s="364" t="s">
        <v>644</v>
      </c>
    </row>
    <row r="879" spans="1:40" x14ac:dyDescent="0.3">
      <c r="A879" s="364" t="s">
        <v>1762</v>
      </c>
      <c r="B879" s="364" t="s">
        <v>661</v>
      </c>
      <c r="C879" s="364" t="s">
        <v>677</v>
      </c>
      <c r="D879" s="364" t="s">
        <v>87</v>
      </c>
      <c r="E879" s="364" t="s">
        <v>676</v>
      </c>
      <c r="F879" s="364" t="s">
        <v>676</v>
      </c>
      <c r="G879" s="364" t="s">
        <v>658</v>
      </c>
      <c r="H879" s="364" t="s">
        <v>1761</v>
      </c>
      <c r="I879" s="364" t="s">
        <v>1760</v>
      </c>
      <c r="J879" s="364" t="s">
        <v>673</v>
      </c>
      <c r="K879" s="364" t="s">
        <v>668</v>
      </c>
      <c r="L879" s="364" t="s">
        <v>190</v>
      </c>
      <c r="M879" s="364" t="s">
        <v>166</v>
      </c>
      <c r="N879" s="364" t="s">
        <v>654</v>
      </c>
      <c r="O879" s="364" t="s">
        <v>653</v>
      </c>
      <c r="P879" s="364" t="s">
        <v>198</v>
      </c>
      <c r="Q879" s="364" t="s">
        <v>652</v>
      </c>
      <c r="R879" s="364" t="s">
        <v>88</v>
      </c>
      <c r="S879" s="364" t="s">
        <v>88</v>
      </c>
      <c r="T879" s="364" t="s">
        <v>88</v>
      </c>
      <c r="U879" s="364" t="s">
        <v>88</v>
      </c>
      <c r="V879" s="364" t="s">
        <v>88</v>
      </c>
      <c r="W879" s="364" t="s">
        <v>88</v>
      </c>
      <c r="X879" s="364" t="s">
        <v>88</v>
      </c>
      <c r="Y879" s="364" t="s">
        <v>88</v>
      </c>
      <c r="Z879" s="364" t="s">
        <v>877</v>
      </c>
      <c r="AA879" s="364" t="s">
        <v>876</v>
      </c>
      <c r="AB879" s="364" t="s">
        <v>649</v>
      </c>
      <c r="AC879" s="364" t="s">
        <v>649</v>
      </c>
      <c r="AD879" s="364" t="s">
        <v>88</v>
      </c>
      <c r="AE879" s="364" t="s">
        <v>88</v>
      </c>
      <c r="AF879" s="364" t="s">
        <v>88</v>
      </c>
      <c r="AG879" s="364" t="s">
        <v>88</v>
      </c>
      <c r="AH879" s="364" t="s">
        <v>88</v>
      </c>
      <c r="AI879" s="364" t="s">
        <v>1199</v>
      </c>
      <c r="AJ879" s="364" t="s">
        <v>670</v>
      </c>
      <c r="AK879" s="364" t="s">
        <v>669</v>
      </c>
      <c r="AL879" s="364" t="s">
        <v>88</v>
      </c>
      <c r="AM879" s="364" t="s">
        <v>668</v>
      </c>
      <c r="AN879" s="364" t="s">
        <v>644</v>
      </c>
    </row>
    <row r="880" spans="1:40" x14ac:dyDescent="0.3">
      <c r="A880" s="364" t="s">
        <v>1759</v>
      </c>
      <c r="B880" s="364" t="s">
        <v>661</v>
      </c>
      <c r="C880" s="364" t="s">
        <v>677</v>
      </c>
      <c r="D880" s="364" t="s">
        <v>170</v>
      </c>
      <c r="E880" s="364" t="s">
        <v>676</v>
      </c>
      <c r="F880" s="364" t="s">
        <v>676</v>
      </c>
      <c r="G880" s="364" t="s">
        <v>658</v>
      </c>
      <c r="H880" s="364" t="s">
        <v>1758</v>
      </c>
      <c r="I880" s="364" t="s">
        <v>1757</v>
      </c>
      <c r="J880" s="364" t="s">
        <v>673</v>
      </c>
      <c r="K880" s="364" t="s">
        <v>668</v>
      </c>
      <c r="L880" s="364" t="s">
        <v>190</v>
      </c>
      <c r="M880" s="364" t="s">
        <v>164</v>
      </c>
      <c r="N880" s="364" t="s">
        <v>654</v>
      </c>
      <c r="O880" s="364" t="s">
        <v>653</v>
      </c>
      <c r="P880" s="364" t="s">
        <v>198</v>
      </c>
      <c r="Q880" s="364" t="s">
        <v>652</v>
      </c>
      <c r="R880" s="364" t="s">
        <v>88</v>
      </c>
      <c r="S880" s="364" t="s">
        <v>88</v>
      </c>
      <c r="T880" s="364" t="s">
        <v>88</v>
      </c>
      <c r="U880" s="364" t="s">
        <v>88</v>
      </c>
      <c r="V880" s="364" t="s">
        <v>88</v>
      </c>
      <c r="W880" s="364" t="s">
        <v>88</v>
      </c>
      <c r="X880" s="364" t="s">
        <v>88</v>
      </c>
      <c r="Y880" s="364" t="s">
        <v>88</v>
      </c>
      <c r="Z880" s="364" t="s">
        <v>825</v>
      </c>
      <c r="AA880" s="364" t="s">
        <v>649</v>
      </c>
      <c r="AB880" s="364" t="s">
        <v>649</v>
      </c>
      <c r="AC880" s="364" t="s">
        <v>649</v>
      </c>
      <c r="AD880" s="364" t="s">
        <v>88</v>
      </c>
      <c r="AE880" s="364" t="s">
        <v>88</v>
      </c>
      <c r="AF880" s="364" t="s">
        <v>88</v>
      </c>
      <c r="AG880" s="364" t="s">
        <v>88</v>
      </c>
      <c r="AH880" s="364" t="s">
        <v>88</v>
      </c>
      <c r="AI880" s="364" t="s">
        <v>1199</v>
      </c>
      <c r="AJ880" s="364" t="s">
        <v>670</v>
      </c>
      <c r="AK880" s="364" t="s">
        <v>687</v>
      </c>
      <c r="AL880" s="364" t="s">
        <v>88</v>
      </c>
      <c r="AM880" s="364" t="s">
        <v>668</v>
      </c>
      <c r="AN880" s="364" t="s">
        <v>644</v>
      </c>
    </row>
    <row r="881" spans="1:40" x14ac:dyDescent="0.3">
      <c r="A881" s="364" t="s">
        <v>1756</v>
      </c>
      <c r="B881" s="364" t="s">
        <v>661</v>
      </c>
      <c r="C881" s="364" t="s">
        <v>677</v>
      </c>
      <c r="D881" s="364" t="s">
        <v>87</v>
      </c>
      <c r="E881" s="364" t="s">
        <v>676</v>
      </c>
      <c r="F881" s="364" t="s">
        <v>676</v>
      </c>
      <c r="G881" s="364" t="s">
        <v>658</v>
      </c>
      <c r="H881" s="364" t="s">
        <v>1755</v>
      </c>
      <c r="I881" s="364" t="s">
        <v>1754</v>
      </c>
      <c r="J881" s="364" t="s">
        <v>673</v>
      </c>
      <c r="K881" s="364" t="s">
        <v>668</v>
      </c>
      <c r="L881" s="364" t="s">
        <v>190</v>
      </c>
      <c r="M881" s="364" t="s">
        <v>60</v>
      </c>
      <c r="N881" s="364" t="s">
        <v>654</v>
      </c>
      <c r="O881" s="364" t="s">
        <v>653</v>
      </c>
      <c r="P881" s="364" t="s">
        <v>198</v>
      </c>
      <c r="Q881" s="364" t="s">
        <v>652</v>
      </c>
      <c r="R881" s="364" t="s">
        <v>88</v>
      </c>
      <c r="S881" s="364" t="s">
        <v>88</v>
      </c>
      <c r="T881" s="364" t="s">
        <v>88</v>
      </c>
      <c r="U881" s="364" t="s">
        <v>88</v>
      </c>
      <c r="V881" s="364" t="s">
        <v>88</v>
      </c>
      <c r="W881" s="364" t="s">
        <v>88</v>
      </c>
      <c r="X881" s="364" t="s">
        <v>88</v>
      </c>
      <c r="Y881" s="364" t="s">
        <v>88</v>
      </c>
      <c r="Z881" s="364" t="s">
        <v>709</v>
      </c>
      <c r="AA881" s="364" t="s">
        <v>708</v>
      </c>
      <c r="AB881" s="364" t="s">
        <v>649</v>
      </c>
      <c r="AC881" s="364" t="s">
        <v>649</v>
      </c>
      <c r="AD881" s="364" t="s">
        <v>88</v>
      </c>
      <c r="AE881" s="364" t="s">
        <v>88</v>
      </c>
      <c r="AF881" s="364" t="s">
        <v>88</v>
      </c>
      <c r="AG881" s="364" t="s">
        <v>88</v>
      </c>
      <c r="AH881" s="364" t="s">
        <v>88</v>
      </c>
      <c r="AI881" s="364" t="s">
        <v>1199</v>
      </c>
      <c r="AJ881" s="364" t="s">
        <v>670</v>
      </c>
      <c r="AK881" s="364" t="s">
        <v>687</v>
      </c>
      <c r="AL881" s="364" t="s">
        <v>88</v>
      </c>
      <c r="AM881" s="364" t="s">
        <v>668</v>
      </c>
      <c r="AN881" s="364" t="s">
        <v>644</v>
      </c>
    </row>
    <row r="882" spans="1:40" x14ac:dyDescent="0.3">
      <c r="A882" s="364" t="s">
        <v>1747</v>
      </c>
      <c r="B882" s="364" t="s">
        <v>661</v>
      </c>
      <c r="C882" s="364" t="s">
        <v>1420</v>
      </c>
      <c r="D882" s="364" t="s">
        <v>90</v>
      </c>
      <c r="E882" s="364" t="s">
        <v>1746</v>
      </c>
      <c r="F882" s="364" t="s">
        <v>685</v>
      </c>
      <c r="G882" s="364" t="s">
        <v>658</v>
      </c>
      <c r="H882" s="364" t="s">
        <v>1745</v>
      </c>
      <c r="I882" s="364" t="s">
        <v>1744</v>
      </c>
      <c r="J882" s="364" t="s">
        <v>673</v>
      </c>
      <c r="K882" s="364" t="s">
        <v>668</v>
      </c>
      <c r="L882" s="364" t="s">
        <v>190</v>
      </c>
      <c r="M882" s="364" t="s">
        <v>242</v>
      </c>
      <c r="N882" s="364" t="s">
        <v>654</v>
      </c>
      <c r="O882" s="364" t="s">
        <v>653</v>
      </c>
      <c r="P882" s="364" t="s">
        <v>198</v>
      </c>
      <c r="Q882" s="364" t="s">
        <v>652</v>
      </c>
      <c r="R882" s="364" t="s">
        <v>88</v>
      </c>
      <c r="S882" s="364" t="s">
        <v>88</v>
      </c>
      <c r="T882" s="364" t="s">
        <v>88</v>
      </c>
      <c r="U882" s="364" t="s">
        <v>88</v>
      </c>
      <c r="V882" s="364" t="s">
        <v>88</v>
      </c>
      <c r="W882" s="364" t="s">
        <v>88</v>
      </c>
      <c r="X882" s="364" t="s">
        <v>88</v>
      </c>
      <c r="Y882" s="364" t="s">
        <v>88</v>
      </c>
      <c r="Z882" s="364" t="s">
        <v>1157</v>
      </c>
      <c r="AA882" s="364" t="s">
        <v>1156</v>
      </c>
      <c r="AB882" s="364" t="s">
        <v>1753</v>
      </c>
      <c r="AC882" s="364" t="s">
        <v>1753</v>
      </c>
      <c r="AD882" s="364" t="s">
        <v>1753</v>
      </c>
      <c r="AE882" s="364" t="s">
        <v>88</v>
      </c>
      <c r="AF882" s="364" t="s">
        <v>1416</v>
      </c>
      <c r="AG882" s="364" t="s">
        <v>1415</v>
      </c>
      <c r="AH882" s="364" t="s">
        <v>1414</v>
      </c>
      <c r="AI882" s="364" t="s">
        <v>1741</v>
      </c>
      <c r="AJ882" s="364" t="s">
        <v>995</v>
      </c>
      <c r="AK882" s="364" t="s">
        <v>647</v>
      </c>
      <c r="AL882" s="364" t="s">
        <v>1412</v>
      </c>
      <c r="AM882" s="364" t="s">
        <v>668</v>
      </c>
      <c r="AN882" s="364" t="s">
        <v>1411</v>
      </c>
    </row>
    <row r="883" spans="1:40" x14ac:dyDescent="0.3">
      <c r="A883" s="364" t="s">
        <v>1747</v>
      </c>
      <c r="B883" s="364" t="s">
        <v>661</v>
      </c>
      <c r="C883" s="364" t="s">
        <v>1420</v>
      </c>
      <c r="D883" s="364" t="s">
        <v>90</v>
      </c>
      <c r="E883" s="364" t="s">
        <v>1746</v>
      </c>
      <c r="F883" s="364" t="s">
        <v>685</v>
      </c>
      <c r="G883" s="364" t="s">
        <v>658</v>
      </c>
      <c r="H883" s="364" t="s">
        <v>1745</v>
      </c>
      <c r="I883" s="364" t="s">
        <v>1744</v>
      </c>
      <c r="J883" s="364" t="s">
        <v>673</v>
      </c>
      <c r="K883" s="364" t="s">
        <v>668</v>
      </c>
      <c r="L883" s="364" t="s">
        <v>190</v>
      </c>
      <c r="M883" s="364" t="s">
        <v>54</v>
      </c>
      <c r="N883" s="364" t="s">
        <v>654</v>
      </c>
      <c r="O883" s="364" t="s">
        <v>653</v>
      </c>
      <c r="P883" s="364" t="s">
        <v>198</v>
      </c>
      <c r="Q883" s="364" t="s">
        <v>652</v>
      </c>
      <c r="R883" s="364" t="s">
        <v>88</v>
      </c>
      <c r="S883" s="364" t="s">
        <v>88</v>
      </c>
      <c r="T883" s="364" t="s">
        <v>88</v>
      </c>
      <c r="U883" s="364" t="s">
        <v>88</v>
      </c>
      <c r="V883" s="364" t="s">
        <v>88</v>
      </c>
      <c r="W883" s="364" t="s">
        <v>88</v>
      </c>
      <c r="X883" s="364" t="s">
        <v>88</v>
      </c>
      <c r="Y883" s="364" t="s">
        <v>88</v>
      </c>
      <c r="Z883" s="364" t="s">
        <v>1265</v>
      </c>
      <c r="AA883" s="364" t="s">
        <v>649</v>
      </c>
      <c r="AB883" s="364" t="s">
        <v>1752</v>
      </c>
      <c r="AC883" s="364" t="s">
        <v>1752</v>
      </c>
      <c r="AD883" s="364" t="s">
        <v>1752</v>
      </c>
      <c r="AE883" s="364" t="s">
        <v>88</v>
      </c>
      <c r="AF883" s="364" t="s">
        <v>1416</v>
      </c>
      <c r="AG883" s="364" t="s">
        <v>1415</v>
      </c>
      <c r="AH883" s="364" t="s">
        <v>1751</v>
      </c>
      <c r="AI883" s="364" t="s">
        <v>1741</v>
      </c>
      <c r="AJ883" s="364" t="s">
        <v>995</v>
      </c>
      <c r="AK883" s="364" t="s">
        <v>647</v>
      </c>
      <c r="AL883" s="364" t="s">
        <v>1412</v>
      </c>
      <c r="AM883" s="364" t="s">
        <v>668</v>
      </c>
      <c r="AN883" s="364" t="s">
        <v>1411</v>
      </c>
    </row>
    <row r="884" spans="1:40" x14ac:dyDescent="0.3">
      <c r="A884" s="364" t="s">
        <v>1747</v>
      </c>
      <c r="B884" s="364" t="s">
        <v>661</v>
      </c>
      <c r="C884" s="364" t="s">
        <v>1420</v>
      </c>
      <c r="D884" s="364" t="s">
        <v>90</v>
      </c>
      <c r="E884" s="364" t="s">
        <v>1746</v>
      </c>
      <c r="F884" s="364" t="s">
        <v>685</v>
      </c>
      <c r="G884" s="364" t="s">
        <v>658</v>
      </c>
      <c r="H884" s="364" t="s">
        <v>1745</v>
      </c>
      <c r="I884" s="364" t="s">
        <v>1744</v>
      </c>
      <c r="J884" s="364" t="s">
        <v>673</v>
      </c>
      <c r="K884" s="364" t="s">
        <v>668</v>
      </c>
      <c r="L884" s="364" t="s">
        <v>190</v>
      </c>
      <c r="M884" s="364" t="s">
        <v>63</v>
      </c>
      <c r="N884" s="364" t="s">
        <v>654</v>
      </c>
      <c r="O884" s="364" t="s">
        <v>653</v>
      </c>
      <c r="P884" s="364" t="s">
        <v>198</v>
      </c>
      <c r="Q884" s="364" t="s">
        <v>652</v>
      </c>
      <c r="R884" s="364" t="s">
        <v>88</v>
      </c>
      <c r="S884" s="364" t="s">
        <v>88</v>
      </c>
      <c r="T884" s="364" t="s">
        <v>88</v>
      </c>
      <c r="U884" s="364" t="s">
        <v>88</v>
      </c>
      <c r="V884" s="364" t="s">
        <v>88</v>
      </c>
      <c r="W884" s="364" t="s">
        <v>88</v>
      </c>
      <c r="X884" s="364" t="s">
        <v>88</v>
      </c>
      <c r="Y884" s="364" t="s">
        <v>88</v>
      </c>
      <c r="Z884" s="364" t="s">
        <v>1750</v>
      </c>
      <c r="AA884" s="364" t="s">
        <v>671</v>
      </c>
      <c r="AB884" s="364" t="s">
        <v>1749</v>
      </c>
      <c r="AC884" s="364" t="s">
        <v>1749</v>
      </c>
      <c r="AD884" s="364" t="s">
        <v>1749</v>
      </c>
      <c r="AE884" s="364" t="s">
        <v>88</v>
      </c>
      <c r="AF884" s="364" t="s">
        <v>1416</v>
      </c>
      <c r="AG884" s="364" t="s">
        <v>1415</v>
      </c>
      <c r="AH884" s="364" t="s">
        <v>1748</v>
      </c>
      <c r="AI884" s="364" t="s">
        <v>1741</v>
      </c>
      <c r="AJ884" s="364" t="s">
        <v>995</v>
      </c>
      <c r="AK884" s="364" t="s">
        <v>647</v>
      </c>
      <c r="AL884" s="364" t="s">
        <v>1412</v>
      </c>
      <c r="AM884" s="364" t="s">
        <v>668</v>
      </c>
      <c r="AN884" s="364" t="s">
        <v>1411</v>
      </c>
    </row>
    <row r="885" spans="1:40" x14ac:dyDescent="0.3">
      <c r="A885" s="364" t="s">
        <v>1747</v>
      </c>
      <c r="B885" s="364" t="s">
        <v>661</v>
      </c>
      <c r="C885" s="364" t="s">
        <v>1420</v>
      </c>
      <c r="D885" s="364" t="s">
        <v>90</v>
      </c>
      <c r="E885" s="364" t="s">
        <v>1746</v>
      </c>
      <c r="F885" s="364" t="s">
        <v>685</v>
      </c>
      <c r="G885" s="364" t="s">
        <v>658</v>
      </c>
      <c r="H885" s="364" t="s">
        <v>1745</v>
      </c>
      <c r="I885" s="364" t="s">
        <v>1744</v>
      </c>
      <c r="J885" s="364" t="s">
        <v>673</v>
      </c>
      <c r="K885" s="364" t="s">
        <v>668</v>
      </c>
      <c r="L885" s="364" t="s">
        <v>190</v>
      </c>
      <c r="M885" s="364" t="s">
        <v>56</v>
      </c>
      <c r="N885" s="364" t="s">
        <v>654</v>
      </c>
      <c r="O885" s="364" t="s">
        <v>653</v>
      </c>
      <c r="P885" s="364" t="s">
        <v>198</v>
      </c>
      <c r="Q885" s="364" t="s">
        <v>652</v>
      </c>
      <c r="R885" s="364" t="s">
        <v>88</v>
      </c>
      <c r="S885" s="364" t="s">
        <v>88</v>
      </c>
      <c r="T885" s="364" t="s">
        <v>88</v>
      </c>
      <c r="U885" s="364" t="s">
        <v>88</v>
      </c>
      <c r="V885" s="364" t="s">
        <v>88</v>
      </c>
      <c r="W885" s="364" t="s">
        <v>88</v>
      </c>
      <c r="X885" s="364" t="s">
        <v>88</v>
      </c>
      <c r="Y885" s="364" t="s">
        <v>88</v>
      </c>
      <c r="Z885" s="364" t="s">
        <v>1165</v>
      </c>
      <c r="AA885" s="364" t="s">
        <v>1164</v>
      </c>
      <c r="AB885" s="364" t="s">
        <v>1743</v>
      </c>
      <c r="AC885" s="364" t="s">
        <v>1743</v>
      </c>
      <c r="AD885" s="364" t="s">
        <v>1743</v>
      </c>
      <c r="AE885" s="364" t="s">
        <v>88</v>
      </c>
      <c r="AF885" s="364" t="s">
        <v>1416</v>
      </c>
      <c r="AG885" s="364" t="s">
        <v>1415</v>
      </c>
      <c r="AH885" s="364" t="s">
        <v>1742</v>
      </c>
      <c r="AI885" s="364" t="s">
        <v>1741</v>
      </c>
      <c r="AJ885" s="364" t="s">
        <v>995</v>
      </c>
      <c r="AK885" s="364" t="s">
        <v>647</v>
      </c>
      <c r="AL885" s="364" t="s">
        <v>1412</v>
      </c>
      <c r="AM885" s="364" t="s">
        <v>668</v>
      </c>
      <c r="AN885" s="364" t="s">
        <v>1411</v>
      </c>
    </row>
    <row r="886" spans="1:40" x14ac:dyDescent="0.3">
      <c r="A886" s="364" t="s">
        <v>1740</v>
      </c>
      <c r="B886" s="364" t="s">
        <v>661</v>
      </c>
      <c r="C886" s="364" t="s">
        <v>677</v>
      </c>
      <c r="D886" s="364" t="s">
        <v>87</v>
      </c>
      <c r="E886" s="364" t="s">
        <v>1056</v>
      </c>
      <c r="F886" s="364" t="s">
        <v>1056</v>
      </c>
      <c r="G886" s="364" t="s">
        <v>658</v>
      </c>
      <c r="H886" s="364" t="s">
        <v>1739</v>
      </c>
      <c r="I886" s="364" t="s">
        <v>1738</v>
      </c>
      <c r="J886" s="364" t="s">
        <v>673</v>
      </c>
      <c r="K886" s="364" t="s">
        <v>668</v>
      </c>
      <c r="L886" s="364" t="s">
        <v>190</v>
      </c>
      <c r="M886" s="364" t="s">
        <v>58</v>
      </c>
      <c r="N886" s="364" t="s">
        <v>654</v>
      </c>
      <c r="O886" s="364" t="s">
        <v>653</v>
      </c>
      <c r="P886" s="364" t="s">
        <v>198</v>
      </c>
      <c r="Q886" s="364" t="s">
        <v>652</v>
      </c>
      <c r="R886" s="364" t="s">
        <v>88</v>
      </c>
      <c r="S886" s="364" t="s">
        <v>88</v>
      </c>
      <c r="T886" s="364" t="s">
        <v>88</v>
      </c>
      <c r="U886" s="364" t="s">
        <v>88</v>
      </c>
      <c r="V886" s="364" t="s">
        <v>88</v>
      </c>
      <c r="W886" s="364" t="s">
        <v>88</v>
      </c>
      <c r="X886" s="364" t="s">
        <v>88</v>
      </c>
      <c r="Y886" s="364" t="s">
        <v>88</v>
      </c>
      <c r="Z886" s="364" t="s">
        <v>702</v>
      </c>
      <c r="AA886" s="364" t="s">
        <v>701</v>
      </c>
      <c r="AB886" s="364" t="s">
        <v>649</v>
      </c>
      <c r="AC886" s="364" t="s">
        <v>649</v>
      </c>
      <c r="AD886" s="364" t="s">
        <v>88</v>
      </c>
      <c r="AE886" s="364" t="s">
        <v>88</v>
      </c>
      <c r="AF886" s="364" t="s">
        <v>88</v>
      </c>
      <c r="AG886" s="364" t="s">
        <v>88</v>
      </c>
      <c r="AH886" s="364" t="s">
        <v>88</v>
      </c>
      <c r="AI886" s="364" t="s">
        <v>1199</v>
      </c>
      <c r="AJ886" s="364" t="s">
        <v>670</v>
      </c>
      <c r="AK886" s="364" t="s">
        <v>669</v>
      </c>
      <c r="AL886" s="364" t="s">
        <v>88</v>
      </c>
      <c r="AM886" s="364" t="s">
        <v>668</v>
      </c>
      <c r="AN886" s="364" t="s">
        <v>644</v>
      </c>
    </row>
    <row r="887" spans="1:40" x14ac:dyDescent="0.3">
      <c r="A887" s="364" t="s">
        <v>1740</v>
      </c>
      <c r="B887" s="364" t="s">
        <v>661</v>
      </c>
      <c r="C887" s="364" t="s">
        <v>677</v>
      </c>
      <c r="D887" s="364" t="s">
        <v>87</v>
      </c>
      <c r="E887" s="364" t="s">
        <v>1056</v>
      </c>
      <c r="F887" s="364" t="s">
        <v>1056</v>
      </c>
      <c r="G887" s="364" t="s">
        <v>658</v>
      </c>
      <c r="H887" s="364" t="s">
        <v>1739</v>
      </c>
      <c r="I887" s="364" t="s">
        <v>1738</v>
      </c>
      <c r="J887" s="364" t="s">
        <v>673</v>
      </c>
      <c r="K887" s="364" t="s">
        <v>668</v>
      </c>
      <c r="L887" s="364" t="s">
        <v>190</v>
      </c>
      <c r="M887" s="364" t="s">
        <v>166</v>
      </c>
      <c r="N887" s="364" t="s">
        <v>654</v>
      </c>
      <c r="O887" s="364" t="s">
        <v>653</v>
      </c>
      <c r="P887" s="364" t="s">
        <v>198</v>
      </c>
      <c r="Q887" s="364" t="s">
        <v>652</v>
      </c>
      <c r="R887" s="364" t="s">
        <v>88</v>
      </c>
      <c r="S887" s="364" t="s">
        <v>88</v>
      </c>
      <c r="T887" s="364" t="s">
        <v>88</v>
      </c>
      <c r="U887" s="364" t="s">
        <v>88</v>
      </c>
      <c r="V887" s="364" t="s">
        <v>88</v>
      </c>
      <c r="W887" s="364" t="s">
        <v>88</v>
      </c>
      <c r="X887" s="364" t="s">
        <v>88</v>
      </c>
      <c r="Y887" s="364" t="s">
        <v>88</v>
      </c>
      <c r="Z887" s="364" t="s">
        <v>877</v>
      </c>
      <c r="AA887" s="364" t="s">
        <v>876</v>
      </c>
      <c r="AB887" s="364" t="s">
        <v>649</v>
      </c>
      <c r="AC887" s="364" t="s">
        <v>649</v>
      </c>
      <c r="AD887" s="364" t="s">
        <v>88</v>
      </c>
      <c r="AE887" s="364" t="s">
        <v>88</v>
      </c>
      <c r="AF887" s="364" t="s">
        <v>88</v>
      </c>
      <c r="AG887" s="364" t="s">
        <v>88</v>
      </c>
      <c r="AH887" s="364" t="s">
        <v>88</v>
      </c>
      <c r="AI887" s="364" t="s">
        <v>1199</v>
      </c>
      <c r="AJ887" s="364" t="s">
        <v>670</v>
      </c>
      <c r="AK887" s="364" t="s">
        <v>669</v>
      </c>
      <c r="AL887" s="364" t="s">
        <v>88</v>
      </c>
      <c r="AM887" s="364" t="s">
        <v>668</v>
      </c>
      <c r="AN887" s="364" t="s">
        <v>644</v>
      </c>
    </row>
    <row r="888" spans="1:40" x14ac:dyDescent="0.3">
      <c r="A888" s="364" t="s">
        <v>1737</v>
      </c>
      <c r="B888" s="364" t="s">
        <v>661</v>
      </c>
      <c r="C888" s="364" t="s">
        <v>677</v>
      </c>
      <c r="D888" s="364" t="s">
        <v>170</v>
      </c>
      <c r="E888" s="364" t="s">
        <v>1056</v>
      </c>
      <c r="F888" s="364" t="s">
        <v>1056</v>
      </c>
      <c r="G888" s="364" t="s">
        <v>658</v>
      </c>
      <c r="H888" s="364" t="s">
        <v>1736</v>
      </c>
      <c r="I888" s="364" t="s">
        <v>1735</v>
      </c>
      <c r="J888" s="364" t="s">
        <v>673</v>
      </c>
      <c r="K888" s="364" t="s">
        <v>668</v>
      </c>
      <c r="L888" s="364" t="s">
        <v>190</v>
      </c>
      <c r="M888" s="364" t="s">
        <v>164</v>
      </c>
      <c r="N888" s="364" t="s">
        <v>654</v>
      </c>
      <c r="O888" s="364" t="s">
        <v>653</v>
      </c>
      <c r="P888" s="364" t="s">
        <v>198</v>
      </c>
      <c r="Q888" s="364" t="s">
        <v>652</v>
      </c>
      <c r="R888" s="364" t="s">
        <v>88</v>
      </c>
      <c r="S888" s="364" t="s">
        <v>88</v>
      </c>
      <c r="T888" s="364" t="s">
        <v>88</v>
      </c>
      <c r="U888" s="364" t="s">
        <v>88</v>
      </c>
      <c r="V888" s="364" t="s">
        <v>88</v>
      </c>
      <c r="W888" s="364" t="s">
        <v>88</v>
      </c>
      <c r="X888" s="364" t="s">
        <v>88</v>
      </c>
      <c r="Y888" s="364" t="s">
        <v>88</v>
      </c>
      <c r="Z888" s="364" t="s">
        <v>825</v>
      </c>
      <c r="AA888" s="364" t="s">
        <v>649</v>
      </c>
      <c r="AB888" s="364" t="s">
        <v>649</v>
      </c>
      <c r="AC888" s="364" t="s">
        <v>649</v>
      </c>
      <c r="AD888" s="364" t="s">
        <v>88</v>
      </c>
      <c r="AE888" s="364" t="s">
        <v>88</v>
      </c>
      <c r="AF888" s="364" t="s">
        <v>88</v>
      </c>
      <c r="AG888" s="364" t="s">
        <v>88</v>
      </c>
      <c r="AH888" s="364" t="s">
        <v>88</v>
      </c>
      <c r="AI888" s="364" t="s">
        <v>1199</v>
      </c>
      <c r="AJ888" s="364" t="s">
        <v>670</v>
      </c>
      <c r="AK888" s="364" t="s">
        <v>687</v>
      </c>
      <c r="AL888" s="364" t="s">
        <v>88</v>
      </c>
      <c r="AM888" s="364" t="s">
        <v>668</v>
      </c>
      <c r="AN888" s="364" t="s">
        <v>644</v>
      </c>
    </row>
    <row r="889" spans="1:40" x14ac:dyDescent="0.3">
      <c r="A889" s="364" t="s">
        <v>1734</v>
      </c>
      <c r="B889" s="364" t="s">
        <v>661</v>
      </c>
      <c r="C889" s="364" t="s">
        <v>677</v>
      </c>
      <c r="D889" s="364" t="s">
        <v>87</v>
      </c>
      <c r="E889" s="364" t="s">
        <v>1685</v>
      </c>
      <c r="F889" s="364" t="s">
        <v>1685</v>
      </c>
      <c r="G889" s="364" t="s">
        <v>658</v>
      </c>
      <c r="H889" s="364" t="s">
        <v>1733</v>
      </c>
      <c r="I889" s="364" t="s">
        <v>1732</v>
      </c>
      <c r="J889" s="364" t="s">
        <v>673</v>
      </c>
      <c r="K889" s="364" t="s">
        <v>668</v>
      </c>
      <c r="L889" s="364" t="s">
        <v>190</v>
      </c>
      <c r="M889" s="364" t="s">
        <v>60</v>
      </c>
      <c r="N889" s="364" t="s">
        <v>654</v>
      </c>
      <c r="O889" s="364" t="s">
        <v>653</v>
      </c>
      <c r="P889" s="364" t="s">
        <v>198</v>
      </c>
      <c r="Q889" s="364" t="s">
        <v>652</v>
      </c>
      <c r="R889" s="364" t="s">
        <v>88</v>
      </c>
      <c r="S889" s="364" t="s">
        <v>88</v>
      </c>
      <c r="T889" s="364" t="s">
        <v>88</v>
      </c>
      <c r="U889" s="364" t="s">
        <v>88</v>
      </c>
      <c r="V889" s="364" t="s">
        <v>88</v>
      </c>
      <c r="W889" s="364" t="s">
        <v>88</v>
      </c>
      <c r="X889" s="364" t="s">
        <v>88</v>
      </c>
      <c r="Y889" s="364" t="s">
        <v>88</v>
      </c>
      <c r="Z889" s="364" t="s">
        <v>709</v>
      </c>
      <c r="AA889" s="364" t="s">
        <v>708</v>
      </c>
      <c r="AB889" s="364" t="s">
        <v>649</v>
      </c>
      <c r="AC889" s="364" t="s">
        <v>649</v>
      </c>
      <c r="AD889" s="364" t="s">
        <v>88</v>
      </c>
      <c r="AE889" s="364" t="s">
        <v>88</v>
      </c>
      <c r="AF889" s="364" t="s">
        <v>88</v>
      </c>
      <c r="AG889" s="364" t="s">
        <v>88</v>
      </c>
      <c r="AH889" s="364" t="s">
        <v>88</v>
      </c>
      <c r="AI889" s="364" t="s">
        <v>1199</v>
      </c>
      <c r="AJ889" s="364" t="s">
        <v>670</v>
      </c>
      <c r="AK889" s="364" t="s">
        <v>669</v>
      </c>
      <c r="AL889" s="364" t="s">
        <v>88</v>
      </c>
      <c r="AM889" s="364" t="s">
        <v>668</v>
      </c>
      <c r="AN889" s="364" t="s">
        <v>644</v>
      </c>
    </row>
    <row r="890" spans="1:40" x14ac:dyDescent="0.3">
      <c r="A890" s="364" t="s">
        <v>1731</v>
      </c>
      <c r="B890" s="364" t="s">
        <v>661</v>
      </c>
      <c r="C890" s="364" t="s">
        <v>677</v>
      </c>
      <c r="D890" s="364" t="s">
        <v>87</v>
      </c>
      <c r="E890" s="364" t="s">
        <v>1685</v>
      </c>
      <c r="F890" s="364" t="s">
        <v>1685</v>
      </c>
      <c r="G890" s="364" t="s">
        <v>658</v>
      </c>
      <c r="H890" s="364" t="s">
        <v>1730</v>
      </c>
      <c r="I890" s="364" t="s">
        <v>674</v>
      </c>
      <c r="J890" s="364" t="s">
        <v>673</v>
      </c>
      <c r="K890" s="364" t="s">
        <v>668</v>
      </c>
      <c r="L890" s="364" t="s">
        <v>190</v>
      </c>
      <c r="M890" s="364" t="s">
        <v>59</v>
      </c>
      <c r="N890" s="364" t="s">
        <v>654</v>
      </c>
      <c r="O890" s="364" t="s">
        <v>653</v>
      </c>
      <c r="P890" s="364" t="s">
        <v>198</v>
      </c>
      <c r="Q890" s="364" t="s">
        <v>652</v>
      </c>
      <c r="R890" s="364" t="s">
        <v>88</v>
      </c>
      <c r="S890" s="364" t="s">
        <v>88</v>
      </c>
      <c r="T890" s="364" t="s">
        <v>88</v>
      </c>
      <c r="U890" s="364" t="s">
        <v>88</v>
      </c>
      <c r="V890" s="364" t="s">
        <v>88</v>
      </c>
      <c r="W890" s="364" t="s">
        <v>88</v>
      </c>
      <c r="X890" s="364" t="s">
        <v>88</v>
      </c>
      <c r="Y890" s="364" t="s">
        <v>88</v>
      </c>
      <c r="Z890" s="364" t="s">
        <v>672</v>
      </c>
      <c r="AA890" s="364" t="s">
        <v>671</v>
      </c>
      <c r="AB890" s="364" t="s">
        <v>649</v>
      </c>
      <c r="AC890" s="364" t="s">
        <v>649</v>
      </c>
      <c r="AD890" s="364" t="s">
        <v>88</v>
      </c>
      <c r="AE890" s="364" t="s">
        <v>88</v>
      </c>
      <c r="AF890" s="364" t="s">
        <v>88</v>
      </c>
      <c r="AG890" s="364" t="s">
        <v>88</v>
      </c>
      <c r="AH890" s="364" t="s">
        <v>88</v>
      </c>
      <c r="AI890" s="364" t="s">
        <v>1199</v>
      </c>
      <c r="AJ890" s="364" t="s">
        <v>670</v>
      </c>
      <c r="AK890" s="364" t="s">
        <v>669</v>
      </c>
      <c r="AL890" s="364" t="s">
        <v>88</v>
      </c>
      <c r="AM890" s="364" t="s">
        <v>668</v>
      </c>
      <c r="AN890" s="364" t="s">
        <v>644</v>
      </c>
    </row>
    <row r="891" spans="1:40" x14ac:dyDescent="0.3">
      <c r="A891" s="364" t="s">
        <v>1729</v>
      </c>
      <c r="B891" s="364" t="s">
        <v>661</v>
      </c>
      <c r="C891" s="364" t="s">
        <v>677</v>
      </c>
      <c r="D891" s="364" t="s">
        <v>87</v>
      </c>
      <c r="E891" s="364" t="s">
        <v>1685</v>
      </c>
      <c r="F891" s="364" t="s">
        <v>1685</v>
      </c>
      <c r="G891" s="364" t="s">
        <v>658</v>
      </c>
      <c r="H891" s="364" t="s">
        <v>1728</v>
      </c>
      <c r="I891" s="364" t="s">
        <v>1727</v>
      </c>
      <c r="J891" s="364" t="s">
        <v>673</v>
      </c>
      <c r="K891" s="364" t="s">
        <v>668</v>
      </c>
      <c r="L891" s="364" t="s">
        <v>190</v>
      </c>
      <c r="M891" s="364" t="s">
        <v>58</v>
      </c>
      <c r="N891" s="364" t="s">
        <v>654</v>
      </c>
      <c r="O891" s="364" t="s">
        <v>653</v>
      </c>
      <c r="P891" s="364" t="s">
        <v>198</v>
      </c>
      <c r="Q891" s="364" t="s">
        <v>652</v>
      </c>
      <c r="R891" s="364" t="s">
        <v>88</v>
      </c>
      <c r="S891" s="364" t="s">
        <v>88</v>
      </c>
      <c r="T891" s="364" t="s">
        <v>88</v>
      </c>
      <c r="U891" s="364" t="s">
        <v>88</v>
      </c>
      <c r="V891" s="364" t="s">
        <v>88</v>
      </c>
      <c r="W891" s="364" t="s">
        <v>88</v>
      </c>
      <c r="X891" s="364" t="s">
        <v>88</v>
      </c>
      <c r="Y891" s="364" t="s">
        <v>88</v>
      </c>
      <c r="Z891" s="364" t="s">
        <v>702</v>
      </c>
      <c r="AA891" s="364" t="s">
        <v>701</v>
      </c>
      <c r="AB891" s="364" t="s">
        <v>649</v>
      </c>
      <c r="AC891" s="364" t="s">
        <v>649</v>
      </c>
      <c r="AD891" s="364" t="s">
        <v>88</v>
      </c>
      <c r="AE891" s="364" t="s">
        <v>88</v>
      </c>
      <c r="AF891" s="364" t="s">
        <v>88</v>
      </c>
      <c r="AG891" s="364" t="s">
        <v>88</v>
      </c>
      <c r="AH891" s="364" t="s">
        <v>88</v>
      </c>
      <c r="AI891" s="364" t="s">
        <v>1199</v>
      </c>
      <c r="AJ891" s="364" t="s">
        <v>670</v>
      </c>
      <c r="AK891" s="364" t="s">
        <v>669</v>
      </c>
      <c r="AL891" s="364" t="s">
        <v>88</v>
      </c>
      <c r="AM891" s="364" t="s">
        <v>668</v>
      </c>
      <c r="AN891" s="364" t="s">
        <v>644</v>
      </c>
    </row>
    <row r="892" spans="1:40" x14ac:dyDescent="0.3">
      <c r="A892" s="364" t="s">
        <v>1729</v>
      </c>
      <c r="B892" s="364" t="s">
        <v>661</v>
      </c>
      <c r="C892" s="364" t="s">
        <v>677</v>
      </c>
      <c r="D892" s="364" t="s">
        <v>87</v>
      </c>
      <c r="E892" s="364" t="s">
        <v>1685</v>
      </c>
      <c r="F892" s="364" t="s">
        <v>1685</v>
      </c>
      <c r="G892" s="364" t="s">
        <v>658</v>
      </c>
      <c r="H892" s="364" t="s">
        <v>1728</v>
      </c>
      <c r="I892" s="364" t="s">
        <v>1727</v>
      </c>
      <c r="J892" s="364" t="s">
        <v>673</v>
      </c>
      <c r="K892" s="364" t="s">
        <v>668</v>
      </c>
      <c r="L892" s="364" t="s">
        <v>190</v>
      </c>
      <c r="M892" s="364" t="s">
        <v>166</v>
      </c>
      <c r="N892" s="364" t="s">
        <v>654</v>
      </c>
      <c r="O892" s="364" t="s">
        <v>653</v>
      </c>
      <c r="P892" s="364" t="s">
        <v>198</v>
      </c>
      <c r="Q892" s="364" t="s">
        <v>652</v>
      </c>
      <c r="R892" s="364" t="s">
        <v>88</v>
      </c>
      <c r="S892" s="364" t="s">
        <v>88</v>
      </c>
      <c r="T892" s="364" t="s">
        <v>88</v>
      </c>
      <c r="U892" s="364" t="s">
        <v>88</v>
      </c>
      <c r="V892" s="364" t="s">
        <v>88</v>
      </c>
      <c r="W892" s="364" t="s">
        <v>88</v>
      </c>
      <c r="X892" s="364" t="s">
        <v>88</v>
      </c>
      <c r="Y892" s="364" t="s">
        <v>88</v>
      </c>
      <c r="Z892" s="364" t="s">
        <v>877</v>
      </c>
      <c r="AA892" s="364" t="s">
        <v>876</v>
      </c>
      <c r="AB892" s="364" t="s">
        <v>649</v>
      </c>
      <c r="AC892" s="364" t="s">
        <v>649</v>
      </c>
      <c r="AD892" s="364" t="s">
        <v>88</v>
      </c>
      <c r="AE892" s="364" t="s">
        <v>88</v>
      </c>
      <c r="AF892" s="364" t="s">
        <v>88</v>
      </c>
      <c r="AG892" s="364" t="s">
        <v>88</v>
      </c>
      <c r="AH892" s="364" t="s">
        <v>88</v>
      </c>
      <c r="AI892" s="364" t="s">
        <v>1199</v>
      </c>
      <c r="AJ892" s="364" t="s">
        <v>670</v>
      </c>
      <c r="AK892" s="364" t="s">
        <v>669</v>
      </c>
      <c r="AL892" s="364" t="s">
        <v>88</v>
      </c>
      <c r="AM892" s="364" t="s">
        <v>668</v>
      </c>
      <c r="AN892" s="364" t="s">
        <v>644</v>
      </c>
    </row>
    <row r="893" spans="1:40" x14ac:dyDescent="0.3">
      <c r="A893" s="364" t="s">
        <v>1726</v>
      </c>
      <c r="B893" s="364" t="s">
        <v>661</v>
      </c>
      <c r="C893" s="364" t="s">
        <v>677</v>
      </c>
      <c r="D893" s="364" t="s">
        <v>170</v>
      </c>
      <c r="E893" s="364" t="s">
        <v>1685</v>
      </c>
      <c r="F893" s="364" t="s">
        <v>1685</v>
      </c>
      <c r="G893" s="364" t="s">
        <v>658</v>
      </c>
      <c r="H893" s="364" t="s">
        <v>1725</v>
      </c>
      <c r="I893" s="364" t="s">
        <v>1724</v>
      </c>
      <c r="J893" s="364" t="s">
        <v>673</v>
      </c>
      <c r="K893" s="364" t="s">
        <v>668</v>
      </c>
      <c r="L893" s="364" t="s">
        <v>190</v>
      </c>
      <c r="M893" s="364" t="s">
        <v>164</v>
      </c>
      <c r="N893" s="364" t="s">
        <v>654</v>
      </c>
      <c r="O893" s="364" t="s">
        <v>653</v>
      </c>
      <c r="P893" s="364" t="s">
        <v>198</v>
      </c>
      <c r="Q893" s="364" t="s">
        <v>652</v>
      </c>
      <c r="R893" s="364" t="s">
        <v>88</v>
      </c>
      <c r="S893" s="364" t="s">
        <v>88</v>
      </c>
      <c r="T893" s="364" t="s">
        <v>88</v>
      </c>
      <c r="U893" s="364" t="s">
        <v>88</v>
      </c>
      <c r="V893" s="364" t="s">
        <v>88</v>
      </c>
      <c r="W893" s="364" t="s">
        <v>88</v>
      </c>
      <c r="X893" s="364" t="s">
        <v>88</v>
      </c>
      <c r="Y893" s="364" t="s">
        <v>88</v>
      </c>
      <c r="Z893" s="364" t="s">
        <v>825</v>
      </c>
      <c r="AA893" s="364" t="s">
        <v>649</v>
      </c>
      <c r="AB893" s="364" t="s">
        <v>649</v>
      </c>
      <c r="AC893" s="364" t="s">
        <v>649</v>
      </c>
      <c r="AD893" s="364" t="s">
        <v>88</v>
      </c>
      <c r="AE893" s="364" t="s">
        <v>88</v>
      </c>
      <c r="AF893" s="364" t="s">
        <v>88</v>
      </c>
      <c r="AG893" s="364" t="s">
        <v>88</v>
      </c>
      <c r="AH893" s="364" t="s">
        <v>88</v>
      </c>
      <c r="AI893" s="364" t="s">
        <v>1199</v>
      </c>
      <c r="AJ893" s="364" t="s">
        <v>670</v>
      </c>
      <c r="AK893" s="364" t="s">
        <v>687</v>
      </c>
      <c r="AL893" s="364" t="s">
        <v>88</v>
      </c>
      <c r="AM893" s="364" t="s">
        <v>668</v>
      </c>
      <c r="AN893" s="364" t="s">
        <v>644</v>
      </c>
    </row>
    <row r="894" spans="1:40" x14ac:dyDescent="0.3">
      <c r="A894" s="364" t="s">
        <v>1723</v>
      </c>
      <c r="B894" s="364" t="s">
        <v>661</v>
      </c>
      <c r="C894" s="364" t="s">
        <v>677</v>
      </c>
      <c r="D894" s="364" t="s">
        <v>90</v>
      </c>
      <c r="E894" s="364" t="s">
        <v>941</v>
      </c>
      <c r="F894" s="364" t="s">
        <v>941</v>
      </c>
      <c r="G894" s="364" t="s">
        <v>658</v>
      </c>
      <c r="H894" s="364" t="s">
        <v>1722</v>
      </c>
      <c r="I894" s="364" t="s">
        <v>1721</v>
      </c>
      <c r="J894" s="364" t="s">
        <v>673</v>
      </c>
      <c r="K894" s="364" t="s">
        <v>668</v>
      </c>
      <c r="L894" s="364" t="s">
        <v>190</v>
      </c>
      <c r="M894" s="364" t="s">
        <v>1168</v>
      </c>
      <c r="N894" s="364" t="s">
        <v>654</v>
      </c>
      <c r="O894" s="364" t="s">
        <v>653</v>
      </c>
      <c r="P894" s="364" t="s">
        <v>198</v>
      </c>
      <c r="Q894" s="364" t="s">
        <v>652</v>
      </c>
      <c r="R894" s="364" t="s">
        <v>88</v>
      </c>
      <c r="S894" s="364" t="s">
        <v>88</v>
      </c>
      <c r="T894" s="364" t="s">
        <v>88</v>
      </c>
      <c r="U894" s="364" t="s">
        <v>88</v>
      </c>
      <c r="V894" s="364" t="s">
        <v>88</v>
      </c>
      <c r="W894" s="364" t="s">
        <v>88</v>
      </c>
      <c r="X894" s="364" t="s">
        <v>88</v>
      </c>
      <c r="Y894" s="364" t="s">
        <v>88</v>
      </c>
      <c r="Z894" s="364" t="s">
        <v>1167</v>
      </c>
      <c r="AA894" s="364" t="s">
        <v>1166</v>
      </c>
      <c r="AB894" s="364" t="s">
        <v>649</v>
      </c>
      <c r="AC894" s="364" t="s">
        <v>649</v>
      </c>
      <c r="AD894" s="364" t="s">
        <v>88</v>
      </c>
      <c r="AE894" s="364" t="s">
        <v>88</v>
      </c>
      <c r="AF894" s="364" t="s">
        <v>88</v>
      </c>
      <c r="AG894" s="364" t="s">
        <v>88</v>
      </c>
      <c r="AH894" s="364" t="s">
        <v>88</v>
      </c>
      <c r="AI894" s="364" t="s">
        <v>1155</v>
      </c>
      <c r="AJ894" s="364" t="s">
        <v>710</v>
      </c>
      <c r="AK894" s="364" t="s">
        <v>647</v>
      </c>
      <c r="AL894" s="364" t="s">
        <v>88</v>
      </c>
      <c r="AM894" s="364" t="s">
        <v>668</v>
      </c>
      <c r="AN894" s="364" t="s">
        <v>644</v>
      </c>
    </row>
    <row r="895" spans="1:40" x14ac:dyDescent="0.3">
      <c r="A895" s="364" t="s">
        <v>1723</v>
      </c>
      <c r="B895" s="364" t="s">
        <v>661</v>
      </c>
      <c r="C895" s="364" t="s">
        <v>677</v>
      </c>
      <c r="D895" s="364" t="s">
        <v>90</v>
      </c>
      <c r="E895" s="364" t="s">
        <v>941</v>
      </c>
      <c r="F895" s="364" t="s">
        <v>941</v>
      </c>
      <c r="G895" s="364" t="s">
        <v>658</v>
      </c>
      <c r="H895" s="364" t="s">
        <v>1722</v>
      </c>
      <c r="I895" s="364" t="s">
        <v>1721</v>
      </c>
      <c r="J895" s="364" t="s">
        <v>673</v>
      </c>
      <c r="K895" s="364" t="s">
        <v>668</v>
      </c>
      <c r="L895" s="364" t="s">
        <v>190</v>
      </c>
      <c r="M895" s="364" t="s">
        <v>718</v>
      </c>
      <c r="N895" s="364" t="s">
        <v>654</v>
      </c>
      <c r="O895" s="364" t="s">
        <v>653</v>
      </c>
      <c r="P895" s="364" t="s">
        <v>198</v>
      </c>
      <c r="Q895" s="364" t="s">
        <v>652</v>
      </c>
      <c r="R895" s="364" t="s">
        <v>88</v>
      </c>
      <c r="S895" s="364" t="s">
        <v>88</v>
      </c>
      <c r="T895" s="364" t="s">
        <v>88</v>
      </c>
      <c r="U895" s="364" t="s">
        <v>88</v>
      </c>
      <c r="V895" s="364" t="s">
        <v>88</v>
      </c>
      <c r="W895" s="364" t="s">
        <v>88</v>
      </c>
      <c r="X895" s="364" t="s">
        <v>88</v>
      </c>
      <c r="Y895" s="364" t="s">
        <v>88</v>
      </c>
      <c r="Z895" s="364" t="s">
        <v>717</v>
      </c>
      <c r="AA895" s="364" t="s">
        <v>649</v>
      </c>
      <c r="AB895" s="364" t="s">
        <v>649</v>
      </c>
      <c r="AC895" s="364" t="s">
        <v>649</v>
      </c>
      <c r="AD895" s="364" t="s">
        <v>88</v>
      </c>
      <c r="AE895" s="364" t="s">
        <v>88</v>
      </c>
      <c r="AF895" s="364" t="s">
        <v>88</v>
      </c>
      <c r="AG895" s="364" t="s">
        <v>88</v>
      </c>
      <c r="AH895" s="364" t="s">
        <v>88</v>
      </c>
      <c r="AI895" s="364" t="s">
        <v>1155</v>
      </c>
      <c r="AJ895" s="364" t="s">
        <v>710</v>
      </c>
      <c r="AK895" s="364" t="s">
        <v>647</v>
      </c>
      <c r="AL895" s="364" t="s">
        <v>88</v>
      </c>
      <c r="AM895" s="364" t="s">
        <v>668</v>
      </c>
      <c r="AN895" s="364" t="s">
        <v>644</v>
      </c>
    </row>
    <row r="896" spans="1:40" x14ac:dyDescent="0.3">
      <c r="A896" s="364" t="s">
        <v>1723</v>
      </c>
      <c r="B896" s="364" t="s">
        <v>661</v>
      </c>
      <c r="C896" s="364" t="s">
        <v>677</v>
      </c>
      <c r="D896" s="364" t="s">
        <v>90</v>
      </c>
      <c r="E896" s="364" t="s">
        <v>941</v>
      </c>
      <c r="F896" s="364" t="s">
        <v>941</v>
      </c>
      <c r="G896" s="364" t="s">
        <v>658</v>
      </c>
      <c r="H896" s="364" t="s">
        <v>1722</v>
      </c>
      <c r="I896" s="364" t="s">
        <v>1721</v>
      </c>
      <c r="J896" s="364" t="s">
        <v>673</v>
      </c>
      <c r="K896" s="364" t="s">
        <v>668</v>
      </c>
      <c r="L896" s="364" t="s">
        <v>190</v>
      </c>
      <c r="M896" s="364" t="s">
        <v>713</v>
      </c>
      <c r="N896" s="364" t="s">
        <v>654</v>
      </c>
      <c r="O896" s="364" t="s">
        <v>653</v>
      </c>
      <c r="P896" s="364" t="s">
        <v>198</v>
      </c>
      <c r="Q896" s="364" t="s">
        <v>652</v>
      </c>
      <c r="R896" s="364" t="s">
        <v>88</v>
      </c>
      <c r="S896" s="364" t="s">
        <v>88</v>
      </c>
      <c r="T896" s="364" t="s">
        <v>88</v>
      </c>
      <c r="U896" s="364" t="s">
        <v>88</v>
      </c>
      <c r="V896" s="364" t="s">
        <v>88</v>
      </c>
      <c r="W896" s="364" t="s">
        <v>88</v>
      </c>
      <c r="X896" s="364" t="s">
        <v>88</v>
      </c>
      <c r="Y896" s="364" t="s">
        <v>88</v>
      </c>
      <c r="Z896" s="364" t="s">
        <v>712</v>
      </c>
      <c r="AA896" s="364" t="s">
        <v>711</v>
      </c>
      <c r="AB896" s="364" t="s">
        <v>649</v>
      </c>
      <c r="AC896" s="364" t="s">
        <v>649</v>
      </c>
      <c r="AD896" s="364" t="s">
        <v>88</v>
      </c>
      <c r="AE896" s="364" t="s">
        <v>88</v>
      </c>
      <c r="AF896" s="364" t="s">
        <v>88</v>
      </c>
      <c r="AG896" s="364" t="s">
        <v>88</v>
      </c>
      <c r="AH896" s="364" t="s">
        <v>88</v>
      </c>
      <c r="AI896" s="364" t="s">
        <v>1155</v>
      </c>
      <c r="AJ896" s="364" t="s">
        <v>710</v>
      </c>
      <c r="AK896" s="364" t="s">
        <v>647</v>
      </c>
      <c r="AL896" s="364" t="s">
        <v>88</v>
      </c>
      <c r="AM896" s="364" t="s">
        <v>668</v>
      </c>
      <c r="AN896" s="364" t="s">
        <v>644</v>
      </c>
    </row>
    <row r="897" spans="1:40" x14ac:dyDescent="0.3">
      <c r="A897" s="364" t="s">
        <v>1723</v>
      </c>
      <c r="B897" s="364" t="s">
        <v>661</v>
      </c>
      <c r="C897" s="364" t="s">
        <v>677</v>
      </c>
      <c r="D897" s="364" t="s">
        <v>90</v>
      </c>
      <c r="E897" s="364" t="s">
        <v>941</v>
      </c>
      <c r="F897" s="364" t="s">
        <v>941</v>
      </c>
      <c r="G897" s="364" t="s">
        <v>658</v>
      </c>
      <c r="H897" s="364" t="s">
        <v>1722</v>
      </c>
      <c r="I897" s="364" t="s">
        <v>1721</v>
      </c>
      <c r="J897" s="364" t="s">
        <v>673</v>
      </c>
      <c r="K897" s="364" t="s">
        <v>668</v>
      </c>
      <c r="L897" s="364" t="s">
        <v>190</v>
      </c>
      <c r="M897" s="364" t="s">
        <v>61</v>
      </c>
      <c r="N897" s="364" t="s">
        <v>654</v>
      </c>
      <c r="O897" s="364" t="s">
        <v>653</v>
      </c>
      <c r="P897" s="364" t="s">
        <v>198</v>
      </c>
      <c r="Q897" s="364" t="s">
        <v>652</v>
      </c>
      <c r="R897" s="364" t="s">
        <v>88</v>
      </c>
      <c r="S897" s="364" t="s">
        <v>88</v>
      </c>
      <c r="T897" s="364" t="s">
        <v>88</v>
      </c>
      <c r="U897" s="364" t="s">
        <v>88</v>
      </c>
      <c r="V897" s="364" t="s">
        <v>88</v>
      </c>
      <c r="W897" s="364" t="s">
        <v>88</v>
      </c>
      <c r="X897" s="364" t="s">
        <v>88</v>
      </c>
      <c r="Y897" s="364" t="s">
        <v>88</v>
      </c>
      <c r="Z897" s="364" t="s">
        <v>1021</v>
      </c>
      <c r="AA897" s="364" t="s">
        <v>671</v>
      </c>
      <c r="AB897" s="364" t="s">
        <v>649</v>
      </c>
      <c r="AC897" s="364" t="s">
        <v>649</v>
      </c>
      <c r="AD897" s="364" t="s">
        <v>88</v>
      </c>
      <c r="AE897" s="364" t="s">
        <v>88</v>
      </c>
      <c r="AF897" s="364" t="s">
        <v>88</v>
      </c>
      <c r="AG897" s="364" t="s">
        <v>88</v>
      </c>
      <c r="AH897" s="364" t="s">
        <v>88</v>
      </c>
      <c r="AI897" s="364" t="s">
        <v>1155</v>
      </c>
      <c r="AJ897" s="364" t="s">
        <v>710</v>
      </c>
      <c r="AK897" s="364" t="s">
        <v>647</v>
      </c>
      <c r="AL897" s="364" t="s">
        <v>88</v>
      </c>
      <c r="AM897" s="364" t="s">
        <v>668</v>
      </c>
      <c r="AN897" s="364" t="s">
        <v>644</v>
      </c>
    </row>
    <row r="898" spans="1:40" x14ac:dyDescent="0.3">
      <c r="A898" s="364" t="s">
        <v>1723</v>
      </c>
      <c r="B898" s="364" t="s">
        <v>661</v>
      </c>
      <c r="C898" s="364" t="s">
        <v>677</v>
      </c>
      <c r="D898" s="364" t="s">
        <v>90</v>
      </c>
      <c r="E898" s="364" t="s">
        <v>941</v>
      </c>
      <c r="F898" s="364" t="s">
        <v>941</v>
      </c>
      <c r="G898" s="364" t="s">
        <v>658</v>
      </c>
      <c r="H898" s="364" t="s">
        <v>1722</v>
      </c>
      <c r="I898" s="364" t="s">
        <v>1721</v>
      </c>
      <c r="J898" s="364" t="s">
        <v>673</v>
      </c>
      <c r="K898" s="364" t="s">
        <v>668</v>
      </c>
      <c r="L898" s="364" t="s">
        <v>190</v>
      </c>
      <c r="M898" s="364" t="s">
        <v>721</v>
      </c>
      <c r="N898" s="364" t="s">
        <v>654</v>
      </c>
      <c r="O898" s="364" t="s">
        <v>653</v>
      </c>
      <c r="P898" s="364" t="s">
        <v>198</v>
      </c>
      <c r="Q898" s="364" t="s">
        <v>652</v>
      </c>
      <c r="R898" s="364" t="s">
        <v>88</v>
      </c>
      <c r="S898" s="364" t="s">
        <v>88</v>
      </c>
      <c r="T898" s="364" t="s">
        <v>88</v>
      </c>
      <c r="U898" s="364" t="s">
        <v>88</v>
      </c>
      <c r="V898" s="364" t="s">
        <v>88</v>
      </c>
      <c r="W898" s="364" t="s">
        <v>88</v>
      </c>
      <c r="X898" s="364" t="s">
        <v>88</v>
      </c>
      <c r="Y898" s="364" t="s">
        <v>88</v>
      </c>
      <c r="Z898" s="364" t="s">
        <v>720</v>
      </c>
      <c r="AA898" s="364" t="s">
        <v>649</v>
      </c>
      <c r="AB898" s="364" t="s">
        <v>649</v>
      </c>
      <c r="AC898" s="364" t="s">
        <v>649</v>
      </c>
      <c r="AD898" s="364" t="s">
        <v>88</v>
      </c>
      <c r="AE898" s="364" t="s">
        <v>88</v>
      </c>
      <c r="AF898" s="364" t="s">
        <v>88</v>
      </c>
      <c r="AG898" s="364" t="s">
        <v>88</v>
      </c>
      <c r="AH898" s="364" t="s">
        <v>88</v>
      </c>
      <c r="AI898" s="364" t="s">
        <v>1155</v>
      </c>
      <c r="AJ898" s="364" t="s">
        <v>710</v>
      </c>
      <c r="AK898" s="364" t="s">
        <v>647</v>
      </c>
      <c r="AL898" s="364" t="s">
        <v>88</v>
      </c>
      <c r="AM898" s="364" t="s">
        <v>668</v>
      </c>
      <c r="AN898" s="364" t="s">
        <v>644</v>
      </c>
    </row>
    <row r="899" spans="1:40" x14ac:dyDescent="0.3">
      <c r="A899" s="364" t="s">
        <v>1723</v>
      </c>
      <c r="B899" s="364" t="s">
        <v>661</v>
      </c>
      <c r="C899" s="364" t="s">
        <v>677</v>
      </c>
      <c r="D899" s="364" t="s">
        <v>90</v>
      </c>
      <c r="E899" s="364" t="s">
        <v>941</v>
      </c>
      <c r="F899" s="364" t="s">
        <v>941</v>
      </c>
      <c r="G899" s="364" t="s">
        <v>658</v>
      </c>
      <c r="H899" s="364" t="s">
        <v>1722</v>
      </c>
      <c r="I899" s="364" t="s">
        <v>1721</v>
      </c>
      <c r="J899" s="364" t="s">
        <v>673</v>
      </c>
      <c r="K899" s="364" t="s">
        <v>668</v>
      </c>
      <c r="L899" s="364" t="s">
        <v>190</v>
      </c>
      <c r="M899" s="364" t="s">
        <v>56</v>
      </c>
      <c r="N899" s="364" t="s">
        <v>654</v>
      </c>
      <c r="O899" s="364" t="s">
        <v>653</v>
      </c>
      <c r="P899" s="364" t="s">
        <v>198</v>
      </c>
      <c r="Q899" s="364" t="s">
        <v>652</v>
      </c>
      <c r="R899" s="364" t="s">
        <v>88</v>
      </c>
      <c r="S899" s="364" t="s">
        <v>88</v>
      </c>
      <c r="T899" s="364" t="s">
        <v>88</v>
      </c>
      <c r="U899" s="364" t="s">
        <v>88</v>
      </c>
      <c r="V899" s="364" t="s">
        <v>88</v>
      </c>
      <c r="W899" s="364" t="s">
        <v>88</v>
      </c>
      <c r="X899" s="364" t="s">
        <v>88</v>
      </c>
      <c r="Y899" s="364" t="s">
        <v>88</v>
      </c>
      <c r="Z899" s="364" t="s">
        <v>1165</v>
      </c>
      <c r="AA899" s="364" t="s">
        <v>1164</v>
      </c>
      <c r="AB899" s="364" t="s">
        <v>649</v>
      </c>
      <c r="AC899" s="364" t="s">
        <v>649</v>
      </c>
      <c r="AD899" s="364" t="s">
        <v>88</v>
      </c>
      <c r="AE899" s="364" t="s">
        <v>88</v>
      </c>
      <c r="AF899" s="364" t="s">
        <v>88</v>
      </c>
      <c r="AG899" s="364" t="s">
        <v>88</v>
      </c>
      <c r="AH899" s="364" t="s">
        <v>88</v>
      </c>
      <c r="AI899" s="364" t="s">
        <v>1155</v>
      </c>
      <c r="AJ899" s="364" t="s">
        <v>710</v>
      </c>
      <c r="AK899" s="364" t="s">
        <v>647</v>
      </c>
      <c r="AL899" s="364" t="s">
        <v>88</v>
      </c>
      <c r="AM899" s="364" t="s">
        <v>668</v>
      </c>
      <c r="AN899" s="364" t="s">
        <v>644</v>
      </c>
    </row>
    <row r="900" spans="1:40" x14ac:dyDescent="0.3">
      <c r="A900" s="364" t="s">
        <v>1720</v>
      </c>
      <c r="B900" s="364" t="s">
        <v>661</v>
      </c>
      <c r="C900" s="364" t="s">
        <v>677</v>
      </c>
      <c r="D900" s="364" t="s">
        <v>90</v>
      </c>
      <c r="E900" s="364" t="s">
        <v>1719</v>
      </c>
      <c r="F900" s="364" t="s">
        <v>1719</v>
      </c>
      <c r="G900" s="364" t="s">
        <v>658</v>
      </c>
      <c r="H900" s="364" t="s">
        <v>1718</v>
      </c>
      <c r="I900" s="364" t="s">
        <v>1717</v>
      </c>
      <c r="J900" s="364" t="s">
        <v>673</v>
      </c>
      <c r="K900" s="364" t="s">
        <v>668</v>
      </c>
      <c r="L900" s="364" t="s">
        <v>190</v>
      </c>
      <c r="M900" s="364" t="s">
        <v>718</v>
      </c>
      <c r="N900" s="364" t="s">
        <v>654</v>
      </c>
      <c r="O900" s="364" t="s">
        <v>653</v>
      </c>
      <c r="P900" s="364" t="s">
        <v>198</v>
      </c>
      <c r="Q900" s="364" t="s">
        <v>652</v>
      </c>
      <c r="R900" s="364" t="s">
        <v>88</v>
      </c>
      <c r="S900" s="364" t="s">
        <v>88</v>
      </c>
      <c r="T900" s="364" t="s">
        <v>88</v>
      </c>
      <c r="U900" s="364" t="s">
        <v>88</v>
      </c>
      <c r="V900" s="364" t="s">
        <v>88</v>
      </c>
      <c r="W900" s="364" t="s">
        <v>88</v>
      </c>
      <c r="X900" s="364" t="s">
        <v>88</v>
      </c>
      <c r="Y900" s="364" t="s">
        <v>88</v>
      </c>
      <c r="Z900" s="364" t="s">
        <v>717</v>
      </c>
      <c r="AA900" s="364" t="s">
        <v>649</v>
      </c>
      <c r="AB900" s="364" t="s">
        <v>649</v>
      </c>
      <c r="AC900" s="364" t="s">
        <v>649</v>
      </c>
      <c r="AD900" s="364" t="s">
        <v>88</v>
      </c>
      <c r="AE900" s="364" t="s">
        <v>88</v>
      </c>
      <c r="AF900" s="364" t="s">
        <v>88</v>
      </c>
      <c r="AG900" s="364" t="s">
        <v>88</v>
      </c>
      <c r="AH900" s="364" t="s">
        <v>88</v>
      </c>
      <c r="AI900" s="364" t="s">
        <v>1155</v>
      </c>
      <c r="AJ900" s="364" t="s">
        <v>710</v>
      </c>
      <c r="AK900" s="364" t="s">
        <v>647</v>
      </c>
      <c r="AL900" s="364" t="s">
        <v>88</v>
      </c>
      <c r="AM900" s="364" t="s">
        <v>668</v>
      </c>
      <c r="AN900" s="364" t="s">
        <v>644</v>
      </c>
    </row>
    <row r="901" spans="1:40" x14ac:dyDescent="0.3">
      <c r="A901" s="364" t="s">
        <v>1720</v>
      </c>
      <c r="B901" s="364" t="s">
        <v>661</v>
      </c>
      <c r="C901" s="364" t="s">
        <v>677</v>
      </c>
      <c r="D901" s="364" t="s">
        <v>90</v>
      </c>
      <c r="E901" s="364" t="s">
        <v>1719</v>
      </c>
      <c r="F901" s="364" t="s">
        <v>1719</v>
      </c>
      <c r="G901" s="364" t="s">
        <v>658</v>
      </c>
      <c r="H901" s="364" t="s">
        <v>1718</v>
      </c>
      <c r="I901" s="364" t="s">
        <v>1717</v>
      </c>
      <c r="J901" s="364" t="s">
        <v>673</v>
      </c>
      <c r="K901" s="364" t="s">
        <v>668</v>
      </c>
      <c r="L901" s="364" t="s">
        <v>190</v>
      </c>
      <c r="M901" s="364" t="s">
        <v>713</v>
      </c>
      <c r="N901" s="364" t="s">
        <v>654</v>
      </c>
      <c r="O901" s="364" t="s">
        <v>653</v>
      </c>
      <c r="P901" s="364" t="s">
        <v>198</v>
      </c>
      <c r="Q901" s="364" t="s">
        <v>652</v>
      </c>
      <c r="R901" s="364" t="s">
        <v>88</v>
      </c>
      <c r="S901" s="364" t="s">
        <v>88</v>
      </c>
      <c r="T901" s="364" t="s">
        <v>88</v>
      </c>
      <c r="U901" s="364" t="s">
        <v>88</v>
      </c>
      <c r="V901" s="364" t="s">
        <v>88</v>
      </c>
      <c r="W901" s="364" t="s">
        <v>88</v>
      </c>
      <c r="X901" s="364" t="s">
        <v>88</v>
      </c>
      <c r="Y901" s="364" t="s">
        <v>88</v>
      </c>
      <c r="Z901" s="364" t="s">
        <v>712</v>
      </c>
      <c r="AA901" s="364" t="s">
        <v>711</v>
      </c>
      <c r="AB901" s="364" t="s">
        <v>649</v>
      </c>
      <c r="AC901" s="364" t="s">
        <v>649</v>
      </c>
      <c r="AD901" s="364" t="s">
        <v>88</v>
      </c>
      <c r="AE901" s="364" t="s">
        <v>88</v>
      </c>
      <c r="AF901" s="364" t="s">
        <v>88</v>
      </c>
      <c r="AG901" s="364" t="s">
        <v>88</v>
      </c>
      <c r="AH901" s="364" t="s">
        <v>88</v>
      </c>
      <c r="AI901" s="364" t="s">
        <v>1155</v>
      </c>
      <c r="AJ901" s="364" t="s">
        <v>710</v>
      </c>
      <c r="AK901" s="364" t="s">
        <v>647</v>
      </c>
      <c r="AL901" s="364" t="s">
        <v>88</v>
      </c>
      <c r="AM901" s="364" t="s">
        <v>668</v>
      </c>
      <c r="AN901" s="364" t="s">
        <v>644</v>
      </c>
    </row>
    <row r="902" spans="1:40" x14ac:dyDescent="0.3">
      <c r="A902" s="364" t="s">
        <v>1720</v>
      </c>
      <c r="B902" s="364" t="s">
        <v>661</v>
      </c>
      <c r="C902" s="364" t="s">
        <v>677</v>
      </c>
      <c r="D902" s="364" t="s">
        <v>90</v>
      </c>
      <c r="E902" s="364" t="s">
        <v>1719</v>
      </c>
      <c r="F902" s="364" t="s">
        <v>1719</v>
      </c>
      <c r="G902" s="364" t="s">
        <v>658</v>
      </c>
      <c r="H902" s="364" t="s">
        <v>1718</v>
      </c>
      <c r="I902" s="364" t="s">
        <v>1717</v>
      </c>
      <c r="J902" s="364" t="s">
        <v>673</v>
      </c>
      <c r="K902" s="364" t="s">
        <v>668</v>
      </c>
      <c r="L902" s="364" t="s">
        <v>190</v>
      </c>
      <c r="M902" s="364" t="s">
        <v>61</v>
      </c>
      <c r="N902" s="364" t="s">
        <v>654</v>
      </c>
      <c r="O902" s="364" t="s">
        <v>653</v>
      </c>
      <c r="P902" s="364" t="s">
        <v>198</v>
      </c>
      <c r="Q902" s="364" t="s">
        <v>652</v>
      </c>
      <c r="R902" s="364" t="s">
        <v>88</v>
      </c>
      <c r="S902" s="364" t="s">
        <v>88</v>
      </c>
      <c r="T902" s="364" t="s">
        <v>88</v>
      </c>
      <c r="U902" s="364" t="s">
        <v>88</v>
      </c>
      <c r="V902" s="364" t="s">
        <v>88</v>
      </c>
      <c r="W902" s="364" t="s">
        <v>88</v>
      </c>
      <c r="X902" s="364" t="s">
        <v>88</v>
      </c>
      <c r="Y902" s="364" t="s">
        <v>88</v>
      </c>
      <c r="Z902" s="364" t="s">
        <v>1021</v>
      </c>
      <c r="AA902" s="364" t="s">
        <v>671</v>
      </c>
      <c r="AB902" s="364" t="s">
        <v>649</v>
      </c>
      <c r="AC902" s="364" t="s">
        <v>649</v>
      </c>
      <c r="AD902" s="364" t="s">
        <v>88</v>
      </c>
      <c r="AE902" s="364" t="s">
        <v>88</v>
      </c>
      <c r="AF902" s="364" t="s">
        <v>88</v>
      </c>
      <c r="AG902" s="364" t="s">
        <v>88</v>
      </c>
      <c r="AH902" s="364" t="s">
        <v>88</v>
      </c>
      <c r="AI902" s="364" t="s">
        <v>1155</v>
      </c>
      <c r="AJ902" s="364" t="s">
        <v>710</v>
      </c>
      <c r="AK902" s="364" t="s">
        <v>647</v>
      </c>
      <c r="AL902" s="364" t="s">
        <v>88</v>
      </c>
      <c r="AM902" s="364" t="s">
        <v>668</v>
      </c>
      <c r="AN902" s="364" t="s">
        <v>644</v>
      </c>
    </row>
    <row r="903" spans="1:40" x14ac:dyDescent="0.3">
      <c r="A903" s="364" t="s">
        <v>1720</v>
      </c>
      <c r="B903" s="364" t="s">
        <v>661</v>
      </c>
      <c r="C903" s="364" t="s">
        <v>677</v>
      </c>
      <c r="D903" s="364" t="s">
        <v>90</v>
      </c>
      <c r="E903" s="364" t="s">
        <v>1719</v>
      </c>
      <c r="F903" s="364" t="s">
        <v>1719</v>
      </c>
      <c r="G903" s="364" t="s">
        <v>658</v>
      </c>
      <c r="H903" s="364" t="s">
        <v>1718</v>
      </c>
      <c r="I903" s="364" t="s">
        <v>1717</v>
      </c>
      <c r="J903" s="364" t="s">
        <v>673</v>
      </c>
      <c r="K903" s="364" t="s">
        <v>668</v>
      </c>
      <c r="L903" s="364" t="s">
        <v>190</v>
      </c>
      <c r="M903" s="364" t="s">
        <v>721</v>
      </c>
      <c r="N903" s="364" t="s">
        <v>654</v>
      </c>
      <c r="O903" s="364" t="s">
        <v>653</v>
      </c>
      <c r="P903" s="364" t="s">
        <v>198</v>
      </c>
      <c r="Q903" s="364" t="s">
        <v>652</v>
      </c>
      <c r="R903" s="364" t="s">
        <v>88</v>
      </c>
      <c r="S903" s="364" t="s">
        <v>88</v>
      </c>
      <c r="T903" s="364" t="s">
        <v>88</v>
      </c>
      <c r="U903" s="364" t="s">
        <v>88</v>
      </c>
      <c r="V903" s="364" t="s">
        <v>88</v>
      </c>
      <c r="W903" s="364" t="s">
        <v>88</v>
      </c>
      <c r="X903" s="364" t="s">
        <v>88</v>
      </c>
      <c r="Y903" s="364" t="s">
        <v>88</v>
      </c>
      <c r="Z903" s="364" t="s">
        <v>720</v>
      </c>
      <c r="AA903" s="364" t="s">
        <v>649</v>
      </c>
      <c r="AB903" s="364" t="s">
        <v>649</v>
      </c>
      <c r="AC903" s="364" t="s">
        <v>649</v>
      </c>
      <c r="AD903" s="364" t="s">
        <v>88</v>
      </c>
      <c r="AE903" s="364" t="s">
        <v>88</v>
      </c>
      <c r="AF903" s="364" t="s">
        <v>88</v>
      </c>
      <c r="AG903" s="364" t="s">
        <v>88</v>
      </c>
      <c r="AH903" s="364" t="s">
        <v>88</v>
      </c>
      <c r="AI903" s="364" t="s">
        <v>1155</v>
      </c>
      <c r="AJ903" s="364" t="s">
        <v>710</v>
      </c>
      <c r="AK903" s="364" t="s">
        <v>647</v>
      </c>
      <c r="AL903" s="364" t="s">
        <v>88</v>
      </c>
      <c r="AM903" s="364" t="s">
        <v>668</v>
      </c>
      <c r="AN903" s="364" t="s">
        <v>644</v>
      </c>
    </row>
    <row r="904" spans="1:40" x14ac:dyDescent="0.3">
      <c r="A904" s="364" t="s">
        <v>1720</v>
      </c>
      <c r="B904" s="364" t="s">
        <v>661</v>
      </c>
      <c r="C904" s="364" t="s">
        <v>677</v>
      </c>
      <c r="D904" s="364" t="s">
        <v>90</v>
      </c>
      <c r="E904" s="364" t="s">
        <v>1719</v>
      </c>
      <c r="F904" s="364" t="s">
        <v>1719</v>
      </c>
      <c r="G904" s="364" t="s">
        <v>658</v>
      </c>
      <c r="H904" s="364" t="s">
        <v>1718</v>
      </c>
      <c r="I904" s="364" t="s">
        <v>1717</v>
      </c>
      <c r="J904" s="364" t="s">
        <v>673</v>
      </c>
      <c r="K904" s="364" t="s">
        <v>668</v>
      </c>
      <c r="L904" s="364" t="s">
        <v>190</v>
      </c>
      <c r="M904" s="364" t="s">
        <v>56</v>
      </c>
      <c r="N904" s="364" t="s">
        <v>654</v>
      </c>
      <c r="O904" s="364" t="s">
        <v>653</v>
      </c>
      <c r="P904" s="364" t="s">
        <v>198</v>
      </c>
      <c r="Q904" s="364" t="s">
        <v>652</v>
      </c>
      <c r="R904" s="364" t="s">
        <v>88</v>
      </c>
      <c r="S904" s="364" t="s">
        <v>88</v>
      </c>
      <c r="T904" s="364" t="s">
        <v>88</v>
      </c>
      <c r="U904" s="364" t="s">
        <v>88</v>
      </c>
      <c r="V904" s="364" t="s">
        <v>88</v>
      </c>
      <c r="W904" s="364" t="s">
        <v>88</v>
      </c>
      <c r="X904" s="364" t="s">
        <v>88</v>
      </c>
      <c r="Y904" s="364" t="s">
        <v>88</v>
      </c>
      <c r="Z904" s="364" t="s">
        <v>1165</v>
      </c>
      <c r="AA904" s="364" t="s">
        <v>1164</v>
      </c>
      <c r="AB904" s="364" t="s">
        <v>649</v>
      </c>
      <c r="AC904" s="364" t="s">
        <v>649</v>
      </c>
      <c r="AD904" s="364" t="s">
        <v>88</v>
      </c>
      <c r="AE904" s="364" t="s">
        <v>88</v>
      </c>
      <c r="AF904" s="364" t="s">
        <v>88</v>
      </c>
      <c r="AG904" s="364" t="s">
        <v>88</v>
      </c>
      <c r="AH904" s="364" t="s">
        <v>88</v>
      </c>
      <c r="AI904" s="364" t="s">
        <v>1155</v>
      </c>
      <c r="AJ904" s="364" t="s">
        <v>710</v>
      </c>
      <c r="AK904" s="364" t="s">
        <v>647</v>
      </c>
      <c r="AL904" s="364" t="s">
        <v>88</v>
      </c>
      <c r="AM904" s="364" t="s">
        <v>668</v>
      </c>
      <c r="AN904" s="364" t="s">
        <v>644</v>
      </c>
    </row>
    <row r="905" spans="1:40" x14ac:dyDescent="0.3">
      <c r="A905" s="364" t="s">
        <v>1720</v>
      </c>
      <c r="B905" s="364" t="s">
        <v>661</v>
      </c>
      <c r="C905" s="364" t="s">
        <v>677</v>
      </c>
      <c r="D905" s="364" t="s">
        <v>90</v>
      </c>
      <c r="E905" s="364" t="s">
        <v>1719</v>
      </c>
      <c r="F905" s="364" t="s">
        <v>1719</v>
      </c>
      <c r="G905" s="364" t="s">
        <v>658</v>
      </c>
      <c r="H905" s="364" t="s">
        <v>1718</v>
      </c>
      <c r="I905" s="364" t="s">
        <v>1717</v>
      </c>
      <c r="J905" s="364" t="s">
        <v>673</v>
      </c>
      <c r="K905" s="364" t="s">
        <v>668</v>
      </c>
      <c r="L905" s="364" t="s">
        <v>190</v>
      </c>
      <c r="M905" s="364" t="s">
        <v>241</v>
      </c>
      <c r="N905" s="364" t="s">
        <v>654</v>
      </c>
      <c r="O905" s="364" t="s">
        <v>653</v>
      </c>
      <c r="P905" s="364" t="s">
        <v>198</v>
      </c>
      <c r="Q905" s="364" t="s">
        <v>652</v>
      </c>
      <c r="R905" s="364" t="s">
        <v>88</v>
      </c>
      <c r="S905" s="364" t="s">
        <v>88</v>
      </c>
      <c r="T905" s="364" t="s">
        <v>88</v>
      </c>
      <c r="U905" s="364" t="s">
        <v>88</v>
      </c>
      <c r="V905" s="364" t="s">
        <v>88</v>
      </c>
      <c r="W905" s="364" t="s">
        <v>88</v>
      </c>
      <c r="X905" s="364" t="s">
        <v>88</v>
      </c>
      <c r="Y905" s="364" t="s">
        <v>88</v>
      </c>
      <c r="Z905" s="364" t="s">
        <v>1170</v>
      </c>
      <c r="AA905" s="364" t="s">
        <v>1169</v>
      </c>
      <c r="AB905" s="364" t="s">
        <v>649</v>
      </c>
      <c r="AC905" s="364" t="s">
        <v>649</v>
      </c>
      <c r="AD905" s="364" t="s">
        <v>88</v>
      </c>
      <c r="AE905" s="364" t="s">
        <v>88</v>
      </c>
      <c r="AF905" s="364" t="s">
        <v>88</v>
      </c>
      <c r="AG905" s="364" t="s">
        <v>88</v>
      </c>
      <c r="AH905" s="364" t="s">
        <v>88</v>
      </c>
      <c r="AI905" s="364" t="s">
        <v>1155</v>
      </c>
      <c r="AJ905" s="364" t="s">
        <v>710</v>
      </c>
      <c r="AK905" s="364" t="s">
        <v>647</v>
      </c>
      <c r="AL905" s="364" t="s">
        <v>88</v>
      </c>
      <c r="AM905" s="364" t="s">
        <v>668</v>
      </c>
      <c r="AN905" s="364" t="s">
        <v>644</v>
      </c>
    </row>
    <row r="906" spans="1:40" x14ac:dyDescent="0.3">
      <c r="A906" s="364" t="s">
        <v>1716</v>
      </c>
      <c r="B906" s="364" t="s">
        <v>661</v>
      </c>
      <c r="C906" s="364" t="s">
        <v>677</v>
      </c>
      <c r="D906" s="364" t="s">
        <v>90</v>
      </c>
      <c r="E906" s="364" t="s">
        <v>1715</v>
      </c>
      <c r="F906" s="364" t="s">
        <v>1715</v>
      </c>
      <c r="G906" s="364" t="s">
        <v>658</v>
      </c>
      <c r="H906" s="364" t="s">
        <v>1712</v>
      </c>
      <c r="I906" s="364" t="s">
        <v>1297</v>
      </c>
      <c r="J906" s="364" t="s">
        <v>673</v>
      </c>
      <c r="K906" s="364" t="s">
        <v>668</v>
      </c>
      <c r="L906" s="364" t="s">
        <v>190</v>
      </c>
      <c r="M906" s="364" t="s">
        <v>1168</v>
      </c>
      <c r="N906" s="364" t="s">
        <v>654</v>
      </c>
      <c r="O906" s="364" t="s">
        <v>653</v>
      </c>
      <c r="P906" s="364" t="s">
        <v>198</v>
      </c>
      <c r="Q906" s="364" t="s">
        <v>652</v>
      </c>
      <c r="R906" s="364" t="s">
        <v>88</v>
      </c>
      <c r="S906" s="364" t="s">
        <v>88</v>
      </c>
      <c r="T906" s="364" t="s">
        <v>88</v>
      </c>
      <c r="U906" s="364" t="s">
        <v>88</v>
      </c>
      <c r="V906" s="364" t="s">
        <v>88</v>
      </c>
      <c r="W906" s="364" t="s">
        <v>88</v>
      </c>
      <c r="X906" s="364" t="s">
        <v>88</v>
      </c>
      <c r="Y906" s="364" t="s">
        <v>88</v>
      </c>
      <c r="Z906" s="364" t="s">
        <v>1167</v>
      </c>
      <c r="AA906" s="364" t="s">
        <v>1166</v>
      </c>
      <c r="AB906" s="364" t="s">
        <v>649</v>
      </c>
      <c r="AC906" s="364" t="s">
        <v>649</v>
      </c>
      <c r="AD906" s="364" t="s">
        <v>88</v>
      </c>
      <c r="AE906" s="364" t="s">
        <v>88</v>
      </c>
      <c r="AF906" s="364" t="s">
        <v>88</v>
      </c>
      <c r="AG906" s="364" t="s">
        <v>88</v>
      </c>
      <c r="AH906" s="364" t="s">
        <v>88</v>
      </c>
      <c r="AI906" s="364" t="s">
        <v>1155</v>
      </c>
      <c r="AJ906" s="364" t="s">
        <v>710</v>
      </c>
      <c r="AK906" s="364" t="s">
        <v>647</v>
      </c>
      <c r="AL906" s="364" t="s">
        <v>88</v>
      </c>
      <c r="AM906" s="364" t="s">
        <v>668</v>
      </c>
      <c r="AN906" s="364" t="s">
        <v>644</v>
      </c>
    </row>
    <row r="907" spans="1:40" x14ac:dyDescent="0.3">
      <c r="A907" s="364" t="s">
        <v>1716</v>
      </c>
      <c r="B907" s="364" t="s">
        <v>661</v>
      </c>
      <c r="C907" s="364" t="s">
        <v>677</v>
      </c>
      <c r="D907" s="364" t="s">
        <v>90</v>
      </c>
      <c r="E907" s="364" t="s">
        <v>1715</v>
      </c>
      <c r="F907" s="364" t="s">
        <v>1715</v>
      </c>
      <c r="G907" s="364" t="s">
        <v>658</v>
      </c>
      <c r="H907" s="364" t="s">
        <v>1712</v>
      </c>
      <c r="I907" s="364" t="s">
        <v>1297</v>
      </c>
      <c r="J907" s="364" t="s">
        <v>673</v>
      </c>
      <c r="K907" s="364" t="s">
        <v>668</v>
      </c>
      <c r="L907" s="364" t="s">
        <v>190</v>
      </c>
      <c r="M907" s="364" t="s">
        <v>718</v>
      </c>
      <c r="N907" s="364" t="s">
        <v>654</v>
      </c>
      <c r="O907" s="364" t="s">
        <v>653</v>
      </c>
      <c r="P907" s="364" t="s">
        <v>198</v>
      </c>
      <c r="Q907" s="364" t="s">
        <v>652</v>
      </c>
      <c r="R907" s="364" t="s">
        <v>88</v>
      </c>
      <c r="S907" s="364" t="s">
        <v>88</v>
      </c>
      <c r="T907" s="364" t="s">
        <v>88</v>
      </c>
      <c r="U907" s="364" t="s">
        <v>88</v>
      </c>
      <c r="V907" s="364" t="s">
        <v>88</v>
      </c>
      <c r="W907" s="364" t="s">
        <v>88</v>
      </c>
      <c r="X907" s="364" t="s">
        <v>88</v>
      </c>
      <c r="Y907" s="364" t="s">
        <v>88</v>
      </c>
      <c r="Z907" s="364" t="s">
        <v>717</v>
      </c>
      <c r="AA907" s="364" t="s">
        <v>649</v>
      </c>
      <c r="AB907" s="364" t="s">
        <v>649</v>
      </c>
      <c r="AC907" s="364" t="s">
        <v>649</v>
      </c>
      <c r="AD907" s="364" t="s">
        <v>88</v>
      </c>
      <c r="AE907" s="364" t="s">
        <v>88</v>
      </c>
      <c r="AF907" s="364" t="s">
        <v>88</v>
      </c>
      <c r="AG907" s="364" t="s">
        <v>88</v>
      </c>
      <c r="AH907" s="364" t="s">
        <v>88</v>
      </c>
      <c r="AI907" s="364" t="s">
        <v>1155</v>
      </c>
      <c r="AJ907" s="364" t="s">
        <v>710</v>
      </c>
      <c r="AK907" s="364" t="s">
        <v>647</v>
      </c>
      <c r="AL907" s="364" t="s">
        <v>88</v>
      </c>
      <c r="AM907" s="364" t="s">
        <v>668</v>
      </c>
      <c r="AN907" s="364" t="s">
        <v>644</v>
      </c>
    </row>
    <row r="908" spans="1:40" x14ac:dyDescent="0.3">
      <c r="A908" s="364" t="s">
        <v>1716</v>
      </c>
      <c r="B908" s="364" t="s">
        <v>661</v>
      </c>
      <c r="C908" s="364" t="s">
        <v>677</v>
      </c>
      <c r="D908" s="364" t="s">
        <v>90</v>
      </c>
      <c r="E908" s="364" t="s">
        <v>1715</v>
      </c>
      <c r="F908" s="364" t="s">
        <v>1715</v>
      </c>
      <c r="G908" s="364" t="s">
        <v>658</v>
      </c>
      <c r="H908" s="364" t="s">
        <v>1712</v>
      </c>
      <c r="I908" s="364" t="s">
        <v>1297</v>
      </c>
      <c r="J908" s="364" t="s">
        <v>673</v>
      </c>
      <c r="K908" s="364" t="s">
        <v>668</v>
      </c>
      <c r="L908" s="364" t="s">
        <v>190</v>
      </c>
      <c r="M908" s="364" t="s">
        <v>713</v>
      </c>
      <c r="N908" s="364" t="s">
        <v>654</v>
      </c>
      <c r="O908" s="364" t="s">
        <v>653</v>
      </c>
      <c r="P908" s="364" t="s">
        <v>198</v>
      </c>
      <c r="Q908" s="364" t="s">
        <v>652</v>
      </c>
      <c r="R908" s="364" t="s">
        <v>88</v>
      </c>
      <c r="S908" s="364" t="s">
        <v>88</v>
      </c>
      <c r="T908" s="364" t="s">
        <v>88</v>
      </c>
      <c r="U908" s="364" t="s">
        <v>88</v>
      </c>
      <c r="V908" s="364" t="s">
        <v>88</v>
      </c>
      <c r="W908" s="364" t="s">
        <v>88</v>
      </c>
      <c r="X908" s="364" t="s">
        <v>88</v>
      </c>
      <c r="Y908" s="364" t="s">
        <v>88</v>
      </c>
      <c r="Z908" s="364" t="s">
        <v>712</v>
      </c>
      <c r="AA908" s="364" t="s">
        <v>711</v>
      </c>
      <c r="AB908" s="364" t="s">
        <v>649</v>
      </c>
      <c r="AC908" s="364" t="s">
        <v>649</v>
      </c>
      <c r="AD908" s="364" t="s">
        <v>88</v>
      </c>
      <c r="AE908" s="364" t="s">
        <v>88</v>
      </c>
      <c r="AF908" s="364" t="s">
        <v>88</v>
      </c>
      <c r="AG908" s="364" t="s">
        <v>88</v>
      </c>
      <c r="AH908" s="364" t="s">
        <v>88</v>
      </c>
      <c r="AI908" s="364" t="s">
        <v>1155</v>
      </c>
      <c r="AJ908" s="364" t="s">
        <v>710</v>
      </c>
      <c r="AK908" s="364" t="s">
        <v>647</v>
      </c>
      <c r="AL908" s="364" t="s">
        <v>88</v>
      </c>
      <c r="AM908" s="364" t="s">
        <v>668</v>
      </c>
      <c r="AN908" s="364" t="s">
        <v>644</v>
      </c>
    </row>
    <row r="909" spans="1:40" x14ac:dyDescent="0.3">
      <c r="A909" s="364" t="s">
        <v>1716</v>
      </c>
      <c r="B909" s="364" t="s">
        <v>661</v>
      </c>
      <c r="C909" s="364" t="s">
        <v>677</v>
      </c>
      <c r="D909" s="364" t="s">
        <v>90</v>
      </c>
      <c r="E909" s="364" t="s">
        <v>1715</v>
      </c>
      <c r="F909" s="364" t="s">
        <v>1715</v>
      </c>
      <c r="G909" s="364" t="s">
        <v>658</v>
      </c>
      <c r="H909" s="364" t="s">
        <v>1712</v>
      </c>
      <c r="I909" s="364" t="s">
        <v>1297</v>
      </c>
      <c r="J909" s="364" t="s">
        <v>673</v>
      </c>
      <c r="K909" s="364" t="s">
        <v>668</v>
      </c>
      <c r="L909" s="364" t="s">
        <v>190</v>
      </c>
      <c r="M909" s="364" t="s">
        <v>61</v>
      </c>
      <c r="N909" s="364" t="s">
        <v>654</v>
      </c>
      <c r="O909" s="364" t="s">
        <v>653</v>
      </c>
      <c r="P909" s="364" t="s">
        <v>198</v>
      </c>
      <c r="Q909" s="364" t="s">
        <v>652</v>
      </c>
      <c r="R909" s="364" t="s">
        <v>88</v>
      </c>
      <c r="S909" s="364" t="s">
        <v>88</v>
      </c>
      <c r="T909" s="364" t="s">
        <v>88</v>
      </c>
      <c r="U909" s="364" t="s">
        <v>88</v>
      </c>
      <c r="V909" s="364" t="s">
        <v>88</v>
      </c>
      <c r="W909" s="364" t="s">
        <v>88</v>
      </c>
      <c r="X909" s="364" t="s">
        <v>88</v>
      </c>
      <c r="Y909" s="364" t="s">
        <v>88</v>
      </c>
      <c r="Z909" s="364" t="s">
        <v>1021</v>
      </c>
      <c r="AA909" s="364" t="s">
        <v>671</v>
      </c>
      <c r="AB909" s="364" t="s">
        <v>649</v>
      </c>
      <c r="AC909" s="364" t="s">
        <v>649</v>
      </c>
      <c r="AD909" s="364" t="s">
        <v>88</v>
      </c>
      <c r="AE909" s="364" t="s">
        <v>88</v>
      </c>
      <c r="AF909" s="364" t="s">
        <v>88</v>
      </c>
      <c r="AG909" s="364" t="s">
        <v>88</v>
      </c>
      <c r="AH909" s="364" t="s">
        <v>88</v>
      </c>
      <c r="AI909" s="364" t="s">
        <v>1155</v>
      </c>
      <c r="AJ909" s="364" t="s">
        <v>710</v>
      </c>
      <c r="AK909" s="364" t="s">
        <v>647</v>
      </c>
      <c r="AL909" s="364" t="s">
        <v>88</v>
      </c>
      <c r="AM909" s="364" t="s">
        <v>668</v>
      </c>
      <c r="AN909" s="364" t="s">
        <v>644</v>
      </c>
    </row>
    <row r="910" spans="1:40" x14ac:dyDescent="0.3">
      <c r="A910" s="364" t="s">
        <v>1716</v>
      </c>
      <c r="B910" s="364" t="s">
        <v>661</v>
      </c>
      <c r="C910" s="364" t="s">
        <v>677</v>
      </c>
      <c r="D910" s="364" t="s">
        <v>90</v>
      </c>
      <c r="E910" s="364" t="s">
        <v>1715</v>
      </c>
      <c r="F910" s="364" t="s">
        <v>1715</v>
      </c>
      <c r="G910" s="364" t="s">
        <v>658</v>
      </c>
      <c r="H910" s="364" t="s">
        <v>1712</v>
      </c>
      <c r="I910" s="364" t="s">
        <v>1297</v>
      </c>
      <c r="J910" s="364" t="s">
        <v>673</v>
      </c>
      <c r="K910" s="364" t="s">
        <v>668</v>
      </c>
      <c r="L910" s="364" t="s">
        <v>190</v>
      </c>
      <c r="M910" s="364" t="s">
        <v>721</v>
      </c>
      <c r="N910" s="364" t="s">
        <v>654</v>
      </c>
      <c r="O910" s="364" t="s">
        <v>653</v>
      </c>
      <c r="P910" s="364" t="s">
        <v>198</v>
      </c>
      <c r="Q910" s="364" t="s">
        <v>652</v>
      </c>
      <c r="R910" s="364" t="s">
        <v>88</v>
      </c>
      <c r="S910" s="364" t="s">
        <v>88</v>
      </c>
      <c r="T910" s="364" t="s">
        <v>88</v>
      </c>
      <c r="U910" s="364" t="s">
        <v>88</v>
      </c>
      <c r="V910" s="364" t="s">
        <v>88</v>
      </c>
      <c r="W910" s="364" t="s">
        <v>88</v>
      </c>
      <c r="X910" s="364" t="s">
        <v>88</v>
      </c>
      <c r="Y910" s="364" t="s">
        <v>88</v>
      </c>
      <c r="Z910" s="364" t="s">
        <v>720</v>
      </c>
      <c r="AA910" s="364" t="s">
        <v>649</v>
      </c>
      <c r="AB910" s="364" t="s">
        <v>649</v>
      </c>
      <c r="AC910" s="364" t="s">
        <v>649</v>
      </c>
      <c r="AD910" s="364" t="s">
        <v>88</v>
      </c>
      <c r="AE910" s="364" t="s">
        <v>88</v>
      </c>
      <c r="AF910" s="364" t="s">
        <v>88</v>
      </c>
      <c r="AG910" s="364" t="s">
        <v>88</v>
      </c>
      <c r="AH910" s="364" t="s">
        <v>88</v>
      </c>
      <c r="AI910" s="364" t="s">
        <v>1155</v>
      </c>
      <c r="AJ910" s="364" t="s">
        <v>710</v>
      </c>
      <c r="AK910" s="364" t="s">
        <v>647</v>
      </c>
      <c r="AL910" s="364" t="s">
        <v>88</v>
      </c>
      <c r="AM910" s="364" t="s">
        <v>668</v>
      </c>
      <c r="AN910" s="364" t="s">
        <v>644</v>
      </c>
    </row>
    <row r="911" spans="1:40" x14ac:dyDescent="0.3">
      <c r="A911" s="364" t="s">
        <v>1716</v>
      </c>
      <c r="B911" s="364" t="s">
        <v>661</v>
      </c>
      <c r="C911" s="364" t="s">
        <v>677</v>
      </c>
      <c r="D911" s="364" t="s">
        <v>90</v>
      </c>
      <c r="E911" s="364" t="s">
        <v>1715</v>
      </c>
      <c r="F911" s="364" t="s">
        <v>1715</v>
      </c>
      <c r="G911" s="364" t="s">
        <v>658</v>
      </c>
      <c r="H911" s="364" t="s">
        <v>1712</v>
      </c>
      <c r="I911" s="364" t="s">
        <v>1297</v>
      </c>
      <c r="J911" s="364" t="s">
        <v>673</v>
      </c>
      <c r="K911" s="364" t="s">
        <v>668</v>
      </c>
      <c r="L911" s="364" t="s">
        <v>190</v>
      </c>
      <c r="M911" s="364" t="s">
        <v>56</v>
      </c>
      <c r="N911" s="364" t="s">
        <v>654</v>
      </c>
      <c r="O911" s="364" t="s">
        <v>653</v>
      </c>
      <c r="P911" s="364" t="s">
        <v>198</v>
      </c>
      <c r="Q911" s="364" t="s">
        <v>652</v>
      </c>
      <c r="R911" s="364" t="s">
        <v>88</v>
      </c>
      <c r="S911" s="364" t="s">
        <v>88</v>
      </c>
      <c r="T911" s="364" t="s">
        <v>88</v>
      </c>
      <c r="U911" s="364" t="s">
        <v>88</v>
      </c>
      <c r="V911" s="364" t="s">
        <v>88</v>
      </c>
      <c r="W911" s="364" t="s">
        <v>88</v>
      </c>
      <c r="X911" s="364" t="s">
        <v>88</v>
      </c>
      <c r="Y911" s="364" t="s">
        <v>88</v>
      </c>
      <c r="Z911" s="364" t="s">
        <v>1165</v>
      </c>
      <c r="AA911" s="364" t="s">
        <v>1164</v>
      </c>
      <c r="AB911" s="364" t="s">
        <v>649</v>
      </c>
      <c r="AC911" s="364" t="s">
        <v>649</v>
      </c>
      <c r="AD911" s="364" t="s">
        <v>88</v>
      </c>
      <c r="AE911" s="364" t="s">
        <v>88</v>
      </c>
      <c r="AF911" s="364" t="s">
        <v>88</v>
      </c>
      <c r="AG911" s="364" t="s">
        <v>88</v>
      </c>
      <c r="AH911" s="364" t="s">
        <v>88</v>
      </c>
      <c r="AI911" s="364" t="s">
        <v>1155</v>
      </c>
      <c r="AJ911" s="364" t="s">
        <v>710</v>
      </c>
      <c r="AK911" s="364" t="s">
        <v>647</v>
      </c>
      <c r="AL911" s="364" t="s">
        <v>88</v>
      </c>
      <c r="AM911" s="364" t="s">
        <v>668</v>
      </c>
      <c r="AN911" s="364" t="s">
        <v>644</v>
      </c>
    </row>
    <row r="912" spans="1:40" x14ac:dyDescent="0.3">
      <c r="A912" s="364" t="s">
        <v>1714</v>
      </c>
      <c r="B912" s="364" t="s">
        <v>661</v>
      </c>
      <c r="C912" s="364" t="s">
        <v>677</v>
      </c>
      <c r="D912" s="364" t="s">
        <v>90</v>
      </c>
      <c r="E912" s="364" t="s">
        <v>1713</v>
      </c>
      <c r="F912" s="364" t="s">
        <v>1713</v>
      </c>
      <c r="G912" s="364" t="s">
        <v>658</v>
      </c>
      <c r="H912" s="364" t="s">
        <v>1712</v>
      </c>
      <c r="I912" s="364" t="s">
        <v>1294</v>
      </c>
      <c r="J912" s="364" t="s">
        <v>673</v>
      </c>
      <c r="K912" s="364" t="s">
        <v>668</v>
      </c>
      <c r="L912" s="364" t="s">
        <v>190</v>
      </c>
      <c r="M912" s="364" t="s">
        <v>1168</v>
      </c>
      <c r="N912" s="364" t="s">
        <v>654</v>
      </c>
      <c r="O912" s="364" t="s">
        <v>653</v>
      </c>
      <c r="P912" s="364" t="s">
        <v>198</v>
      </c>
      <c r="Q912" s="364" t="s">
        <v>652</v>
      </c>
      <c r="R912" s="364" t="s">
        <v>88</v>
      </c>
      <c r="S912" s="364" t="s">
        <v>88</v>
      </c>
      <c r="T912" s="364" t="s">
        <v>88</v>
      </c>
      <c r="U912" s="364" t="s">
        <v>88</v>
      </c>
      <c r="V912" s="364" t="s">
        <v>88</v>
      </c>
      <c r="W912" s="364" t="s">
        <v>88</v>
      </c>
      <c r="X912" s="364" t="s">
        <v>88</v>
      </c>
      <c r="Y912" s="364" t="s">
        <v>88</v>
      </c>
      <c r="Z912" s="364" t="s">
        <v>1167</v>
      </c>
      <c r="AA912" s="364" t="s">
        <v>1166</v>
      </c>
      <c r="AB912" s="364" t="s">
        <v>649</v>
      </c>
      <c r="AC912" s="364" t="s">
        <v>649</v>
      </c>
      <c r="AD912" s="364" t="s">
        <v>88</v>
      </c>
      <c r="AE912" s="364" t="s">
        <v>88</v>
      </c>
      <c r="AF912" s="364" t="s">
        <v>88</v>
      </c>
      <c r="AG912" s="364" t="s">
        <v>88</v>
      </c>
      <c r="AH912" s="364" t="s">
        <v>88</v>
      </c>
      <c r="AI912" s="364" t="s">
        <v>1155</v>
      </c>
      <c r="AJ912" s="364" t="s">
        <v>710</v>
      </c>
      <c r="AK912" s="364" t="s">
        <v>647</v>
      </c>
      <c r="AL912" s="364" t="s">
        <v>88</v>
      </c>
      <c r="AM912" s="364" t="s">
        <v>668</v>
      </c>
      <c r="AN912" s="364" t="s">
        <v>644</v>
      </c>
    </row>
    <row r="913" spans="1:40" x14ac:dyDescent="0.3">
      <c r="A913" s="364" t="s">
        <v>1714</v>
      </c>
      <c r="B913" s="364" t="s">
        <v>661</v>
      </c>
      <c r="C913" s="364" t="s">
        <v>677</v>
      </c>
      <c r="D913" s="364" t="s">
        <v>90</v>
      </c>
      <c r="E913" s="364" t="s">
        <v>1713</v>
      </c>
      <c r="F913" s="364" t="s">
        <v>1713</v>
      </c>
      <c r="G913" s="364" t="s">
        <v>658</v>
      </c>
      <c r="H913" s="364" t="s">
        <v>1712</v>
      </c>
      <c r="I913" s="364" t="s">
        <v>1294</v>
      </c>
      <c r="J913" s="364" t="s">
        <v>673</v>
      </c>
      <c r="K913" s="364" t="s">
        <v>668</v>
      </c>
      <c r="L913" s="364" t="s">
        <v>190</v>
      </c>
      <c r="M913" s="364" t="s">
        <v>718</v>
      </c>
      <c r="N913" s="364" t="s">
        <v>654</v>
      </c>
      <c r="O913" s="364" t="s">
        <v>653</v>
      </c>
      <c r="P913" s="364" t="s">
        <v>198</v>
      </c>
      <c r="Q913" s="364" t="s">
        <v>652</v>
      </c>
      <c r="R913" s="364" t="s">
        <v>88</v>
      </c>
      <c r="S913" s="364" t="s">
        <v>88</v>
      </c>
      <c r="T913" s="364" t="s">
        <v>88</v>
      </c>
      <c r="U913" s="364" t="s">
        <v>88</v>
      </c>
      <c r="V913" s="364" t="s">
        <v>88</v>
      </c>
      <c r="W913" s="364" t="s">
        <v>88</v>
      </c>
      <c r="X913" s="364" t="s">
        <v>88</v>
      </c>
      <c r="Y913" s="364" t="s">
        <v>88</v>
      </c>
      <c r="Z913" s="364" t="s">
        <v>717</v>
      </c>
      <c r="AA913" s="364" t="s">
        <v>649</v>
      </c>
      <c r="AB913" s="364" t="s">
        <v>649</v>
      </c>
      <c r="AC913" s="364" t="s">
        <v>649</v>
      </c>
      <c r="AD913" s="364" t="s">
        <v>88</v>
      </c>
      <c r="AE913" s="364" t="s">
        <v>88</v>
      </c>
      <c r="AF913" s="364" t="s">
        <v>88</v>
      </c>
      <c r="AG913" s="364" t="s">
        <v>88</v>
      </c>
      <c r="AH913" s="364" t="s">
        <v>88</v>
      </c>
      <c r="AI913" s="364" t="s">
        <v>1155</v>
      </c>
      <c r="AJ913" s="364" t="s">
        <v>710</v>
      </c>
      <c r="AK913" s="364" t="s">
        <v>647</v>
      </c>
      <c r="AL913" s="364" t="s">
        <v>88</v>
      </c>
      <c r="AM913" s="364" t="s">
        <v>668</v>
      </c>
      <c r="AN913" s="364" t="s">
        <v>644</v>
      </c>
    </row>
    <row r="914" spans="1:40" x14ac:dyDescent="0.3">
      <c r="A914" s="364" t="s">
        <v>1714</v>
      </c>
      <c r="B914" s="364" t="s">
        <v>661</v>
      </c>
      <c r="C914" s="364" t="s">
        <v>677</v>
      </c>
      <c r="D914" s="364" t="s">
        <v>90</v>
      </c>
      <c r="E914" s="364" t="s">
        <v>1713</v>
      </c>
      <c r="F914" s="364" t="s">
        <v>1713</v>
      </c>
      <c r="G914" s="364" t="s">
        <v>658</v>
      </c>
      <c r="H914" s="364" t="s">
        <v>1712</v>
      </c>
      <c r="I914" s="364" t="s">
        <v>1294</v>
      </c>
      <c r="J914" s="364" t="s">
        <v>673</v>
      </c>
      <c r="K914" s="364" t="s">
        <v>668</v>
      </c>
      <c r="L914" s="364" t="s">
        <v>190</v>
      </c>
      <c r="M914" s="364" t="s">
        <v>713</v>
      </c>
      <c r="N914" s="364" t="s">
        <v>654</v>
      </c>
      <c r="O914" s="364" t="s">
        <v>653</v>
      </c>
      <c r="P914" s="364" t="s">
        <v>198</v>
      </c>
      <c r="Q914" s="364" t="s">
        <v>652</v>
      </c>
      <c r="R914" s="364" t="s">
        <v>88</v>
      </c>
      <c r="S914" s="364" t="s">
        <v>88</v>
      </c>
      <c r="T914" s="364" t="s">
        <v>88</v>
      </c>
      <c r="U914" s="364" t="s">
        <v>88</v>
      </c>
      <c r="V914" s="364" t="s">
        <v>88</v>
      </c>
      <c r="W914" s="364" t="s">
        <v>88</v>
      </c>
      <c r="X914" s="364" t="s">
        <v>88</v>
      </c>
      <c r="Y914" s="364" t="s">
        <v>88</v>
      </c>
      <c r="Z914" s="364" t="s">
        <v>712</v>
      </c>
      <c r="AA914" s="364" t="s">
        <v>711</v>
      </c>
      <c r="AB914" s="364" t="s">
        <v>649</v>
      </c>
      <c r="AC914" s="364" t="s">
        <v>649</v>
      </c>
      <c r="AD914" s="364" t="s">
        <v>88</v>
      </c>
      <c r="AE914" s="364" t="s">
        <v>88</v>
      </c>
      <c r="AF914" s="364" t="s">
        <v>88</v>
      </c>
      <c r="AG914" s="364" t="s">
        <v>88</v>
      </c>
      <c r="AH914" s="364" t="s">
        <v>88</v>
      </c>
      <c r="AI914" s="364" t="s">
        <v>1155</v>
      </c>
      <c r="AJ914" s="364" t="s">
        <v>710</v>
      </c>
      <c r="AK914" s="364" t="s">
        <v>647</v>
      </c>
      <c r="AL914" s="364" t="s">
        <v>88</v>
      </c>
      <c r="AM914" s="364" t="s">
        <v>668</v>
      </c>
      <c r="AN914" s="364" t="s">
        <v>644</v>
      </c>
    </row>
    <row r="915" spans="1:40" x14ac:dyDescent="0.3">
      <c r="A915" s="364" t="s">
        <v>1714</v>
      </c>
      <c r="B915" s="364" t="s">
        <v>661</v>
      </c>
      <c r="C915" s="364" t="s">
        <v>677</v>
      </c>
      <c r="D915" s="364" t="s">
        <v>90</v>
      </c>
      <c r="E915" s="364" t="s">
        <v>1713</v>
      </c>
      <c r="F915" s="364" t="s">
        <v>1713</v>
      </c>
      <c r="G915" s="364" t="s">
        <v>658</v>
      </c>
      <c r="H915" s="364" t="s">
        <v>1712</v>
      </c>
      <c r="I915" s="364" t="s">
        <v>1294</v>
      </c>
      <c r="J915" s="364" t="s">
        <v>673</v>
      </c>
      <c r="K915" s="364" t="s">
        <v>668</v>
      </c>
      <c r="L915" s="364" t="s">
        <v>190</v>
      </c>
      <c r="M915" s="364" t="s">
        <v>61</v>
      </c>
      <c r="N915" s="364" t="s">
        <v>654</v>
      </c>
      <c r="O915" s="364" t="s">
        <v>653</v>
      </c>
      <c r="P915" s="364" t="s">
        <v>198</v>
      </c>
      <c r="Q915" s="364" t="s">
        <v>652</v>
      </c>
      <c r="R915" s="364" t="s">
        <v>88</v>
      </c>
      <c r="S915" s="364" t="s">
        <v>88</v>
      </c>
      <c r="T915" s="364" t="s">
        <v>88</v>
      </c>
      <c r="U915" s="364" t="s">
        <v>88</v>
      </c>
      <c r="V915" s="364" t="s">
        <v>88</v>
      </c>
      <c r="W915" s="364" t="s">
        <v>88</v>
      </c>
      <c r="X915" s="364" t="s">
        <v>88</v>
      </c>
      <c r="Y915" s="364" t="s">
        <v>88</v>
      </c>
      <c r="Z915" s="364" t="s">
        <v>1021</v>
      </c>
      <c r="AA915" s="364" t="s">
        <v>671</v>
      </c>
      <c r="AB915" s="364" t="s">
        <v>649</v>
      </c>
      <c r="AC915" s="364" t="s">
        <v>649</v>
      </c>
      <c r="AD915" s="364" t="s">
        <v>88</v>
      </c>
      <c r="AE915" s="364" t="s">
        <v>88</v>
      </c>
      <c r="AF915" s="364" t="s">
        <v>88</v>
      </c>
      <c r="AG915" s="364" t="s">
        <v>88</v>
      </c>
      <c r="AH915" s="364" t="s">
        <v>88</v>
      </c>
      <c r="AI915" s="364" t="s">
        <v>1155</v>
      </c>
      <c r="AJ915" s="364" t="s">
        <v>710</v>
      </c>
      <c r="AK915" s="364" t="s">
        <v>647</v>
      </c>
      <c r="AL915" s="364" t="s">
        <v>88</v>
      </c>
      <c r="AM915" s="364" t="s">
        <v>668</v>
      </c>
      <c r="AN915" s="364" t="s">
        <v>644</v>
      </c>
    </row>
    <row r="916" spans="1:40" x14ac:dyDescent="0.3">
      <c r="A916" s="364" t="s">
        <v>1714</v>
      </c>
      <c r="B916" s="364" t="s">
        <v>661</v>
      </c>
      <c r="C916" s="364" t="s">
        <v>677</v>
      </c>
      <c r="D916" s="364" t="s">
        <v>90</v>
      </c>
      <c r="E916" s="364" t="s">
        <v>1713</v>
      </c>
      <c r="F916" s="364" t="s">
        <v>1713</v>
      </c>
      <c r="G916" s="364" t="s">
        <v>658</v>
      </c>
      <c r="H916" s="364" t="s">
        <v>1712</v>
      </c>
      <c r="I916" s="364" t="s">
        <v>1294</v>
      </c>
      <c r="J916" s="364" t="s">
        <v>673</v>
      </c>
      <c r="K916" s="364" t="s">
        <v>668</v>
      </c>
      <c r="L916" s="364" t="s">
        <v>190</v>
      </c>
      <c r="M916" s="364" t="s">
        <v>721</v>
      </c>
      <c r="N916" s="364" t="s">
        <v>654</v>
      </c>
      <c r="O916" s="364" t="s">
        <v>653</v>
      </c>
      <c r="P916" s="364" t="s">
        <v>198</v>
      </c>
      <c r="Q916" s="364" t="s">
        <v>652</v>
      </c>
      <c r="R916" s="364" t="s">
        <v>88</v>
      </c>
      <c r="S916" s="364" t="s">
        <v>88</v>
      </c>
      <c r="T916" s="364" t="s">
        <v>88</v>
      </c>
      <c r="U916" s="364" t="s">
        <v>88</v>
      </c>
      <c r="V916" s="364" t="s">
        <v>88</v>
      </c>
      <c r="W916" s="364" t="s">
        <v>88</v>
      </c>
      <c r="X916" s="364" t="s">
        <v>88</v>
      </c>
      <c r="Y916" s="364" t="s">
        <v>88</v>
      </c>
      <c r="Z916" s="364" t="s">
        <v>720</v>
      </c>
      <c r="AA916" s="364" t="s">
        <v>649</v>
      </c>
      <c r="AB916" s="364" t="s">
        <v>649</v>
      </c>
      <c r="AC916" s="364" t="s">
        <v>649</v>
      </c>
      <c r="AD916" s="364" t="s">
        <v>88</v>
      </c>
      <c r="AE916" s="364" t="s">
        <v>88</v>
      </c>
      <c r="AF916" s="364" t="s">
        <v>88</v>
      </c>
      <c r="AG916" s="364" t="s">
        <v>88</v>
      </c>
      <c r="AH916" s="364" t="s">
        <v>88</v>
      </c>
      <c r="AI916" s="364" t="s">
        <v>1155</v>
      </c>
      <c r="AJ916" s="364" t="s">
        <v>710</v>
      </c>
      <c r="AK916" s="364" t="s">
        <v>647</v>
      </c>
      <c r="AL916" s="364" t="s">
        <v>88</v>
      </c>
      <c r="AM916" s="364" t="s">
        <v>668</v>
      </c>
      <c r="AN916" s="364" t="s">
        <v>644</v>
      </c>
    </row>
    <row r="917" spans="1:40" x14ac:dyDescent="0.3">
      <c r="A917" s="364" t="s">
        <v>1714</v>
      </c>
      <c r="B917" s="364" t="s">
        <v>661</v>
      </c>
      <c r="C917" s="364" t="s">
        <v>677</v>
      </c>
      <c r="D917" s="364" t="s">
        <v>90</v>
      </c>
      <c r="E917" s="364" t="s">
        <v>1713</v>
      </c>
      <c r="F917" s="364" t="s">
        <v>1713</v>
      </c>
      <c r="G917" s="364" t="s">
        <v>658</v>
      </c>
      <c r="H917" s="364" t="s">
        <v>1712</v>
      </c>
      <c r="I917" s="364" t="s">
        <v>1294</v>
      </c>
      <c r="J917" s="364" t="s">
        <v>673</v>
      </c>
      <c r="K917" s="364" t="s">
        <v>668</v>
      </c>
      <c r="L917" s="364" t="s">
        <v>190</v>
      </c>
      <c r="M917" s="364" t="s">
        <v>56</v>
      </c>
      <c r="N917" s="364" t="s">
        <v>654</v>
      </c>
      <c r="O917" s="364" t="s">
        <v>653</v>
      </c>
      <c r="P917" s="364" t="s">
        <v>198</v>
      </c>
      <c r="Q917" s="364" t="s">
        <v>652</v>
      </c>
      <c r="R917" s="364" t="s">
        <v>88</v>
      </c>
      <c r="S917" s="364" t="s">
        <v>88</v>
      </c>
      <c r="T917" s="364" t="s">
        <v>88</v>
      </c>
      <c r="U917" s="364" t="s">
        <v>88</v>
      </c>
      <c r="V917" s="364" t="s">
        <v>88</v>
      </c>
      <c r="W917" s="364" t="s">
        <v>88</v>
      </c>
      <c r="X917" s="364" t="s">
        <v>88</v>
      </c>
      <c r="Y917" s="364" t="s">
        <v>88</v>
      </c>
      <c r="Z917" s="364" t="s">
        <v>1165</v>
      </c>
      <c r="AA917" s="364" t="s">
        <v>1164</v>
      </c>
      <c r="AB917" s="364" t="s">
        <v>649</v>
      </c>
      <c r="AC917" s="364" t="s">
        <v>649</v>
      </c>
      <c r="AD917" s="364" t="s">
        <v>88</v>
      </c>
      <c r="AE917" s="364" t="s">
        <v>88</v>
      </c>
      <c r="AF917" s="364" t="s">
        <v>88</v>
      </c>
      <c r="AG917" s="364" t="s">
        <v>88</v>
      </c>
      <c r="AH917" s="364" t="s">
        <v>88</v>
      </c>
      <c r="AI917" s="364" t="s">
        <v>1155</v>
      </c>
      <c r="AJ917" s="364" t="s">
        <v>710</v>
      </c>
      <c r="AK917" s="364" t="s">
        <v>647</v>
      </c>
      <c r="AL917" s="364" t="s">
        <v>88</v>
      </c>
      <c r="AM917" s="364" t="s">
        <v>668</v>
      </c>
      <c r="AN917" s="364" t="s">
        <v>644</v>
      </c>
    </row>
    <row r="918" spans="1:40" x14ac:dyDescent="0.3">
      <c r="A918" s="364" t="s">
        <v>1711</v>
      </c>
      <c r="B918" s="364" t="s">
        <v>661</v>
      </c>
      <c r="C918" s="364" t="s">
        <v>677</v>
      </c>
      <c r="D918" s="364" t="s">
        <v>170</v>
      </c>
      <c r="E918" s="364" t="s">
        <v>1661</v>
      </c>
      <c r="F918" s="364" t="s">
        <v>1661</v>
      </c>
      <c r="G918" s="364" t="s">
        <v>658</v>
      </c>
      <c r="H918" s="364" t="s">
        <v>1710</v>
      </c>
      <c r="I918" s="364" t="s">
        <v>1083</v>
      </c>
      <c r="J918" s="364" t="s">
        <v>673</v>
      </c>
      <c r="K918" s="364" t="s">
        <v>668</v>
      </c>
      <c r="L918" s="364" t="s">
        <v>190</v>
      </c>
      <c r="M918" s="364" t="s">
        <v>164</v>
      </c>
      <c r="N918" s="364" t="s">
        <v>654</v>
      </c>
      <c r="O918" s="364" t="s">
        <v>653</v>
      </c>
      <c r="P918" s="364" t="s">
        <v>198</v>
      </c>
      <c r="Q918" s="364" t="s">
        <v>652</v>
      </c>
      <c r="R918" s="364" t="s">
        <v>88</v>
      </c>
      <c r="S918" s="364" t="s">
        <v>88</v>
      </c>
      <c r="T918" s="364" t="s">
        <v>88</v>
      </c>
      <c r="U918" s="364" t="s">
        <v>88</v>
      </c>
      <c r="V918" s="364" t="s">
        <v>88</v>
      </c>
      <c r="W918" s="364" t="s">
        <v>88</v>
      </c>
      <c r="X918" s="364" t="s">
        <v>88</v>
      </c>
      <c r="Y918" s="364" t="s">
        <v>88</v>
      </c>
      <c r="Z918" s="364" t="s">
        <v>825</v>
      </c>
      <c r="AA918" s="364" t="s">
        <v>649</v>
      </c>
      <c r="AB918" s="364" t="s">
        <v>649</v>
      </c>
      <c r="AC918" s="364" t="s">
        <v>649</v>
      </c>
      <c r="AD918" s="364" t="s">
        <v>88</v>
      </c>
      <c r="AE918" s="364" t="s">
        <v>88</v>
      </c>
      <c r="AF918" s="364" t="s">
        <v>88</v>
      </c>
      <c r="AG918" s="364" t="s">
        <v>88</v>
      </c>
      <c r="AH918" s="364" t="s">
        <v>88</v>
      </c>
      <c r="AI918" s="364" t="s">
        <v>1199</v>
      </c>
      <c r="AJ918" s="364" t="s">
        <v>670</v>
      </c>
      <c r="AK918" s="364" t="s">
        <v>687</v>
      </c>
      <c r="AL918" s="364" t="s">
        <v>88</v>
      </c>
      <c r="AM918" s="364" t="s">
        <v>668</v>
      </c>
      <c r="AN918" s="364" t="s">
        <v>644</v>
      </c>
    </row>
    <row r="919" spans="1:40" x14ac:dyDescent="0.3">
      <c r="A919" s="364" t="s">
        <v>1709</v>
      </c>
      <c r="B919" s="364" t="s">
        <v>661</v>
      </c>
      <c r="C919" s="364" t="s">
        <v>677</v>
      </c>
      <c r="D919" s="364" t="s">
        <v>87</v>
      </c>
      <c r="E919" s="364" t="s">
        <v>1661</v>
      </c>
      <c r="F919" s="364" t="s">
        <v>1661</v>
      </c>
      <c r="G919" s="364" t="s">
        <v>658</v>
      </c>
      <c r="H919" s="364" t="s">
        <v>1708</v>
      </c>
      <c r="I919" s="364" t="s">
        <v>1707</v>
      </c>
      <c r="J919" s="364" t="s">
        <v>673</v>
      </c>
      <c r="K919" s="364" t="s">
        <v>668</v>
      </c>
      <c r="L919" s="364" t="s">
        <v>190</v>
      </c>
      <c r="M919" s="364" t="s">
        <v>58</v>
      </c>
      <c r="N919" s="364" t="s">
        <v>654</v>
      </c>
      <c r="O919" s="364" t="s">
        <v>653</v>
      </c>
      <c r="P919" s="364" t="s">
        <v>198</v>
      </c>
      <c r="Q919" s="364" t="s">
        <v>652</v>
      </c>
      <c r="R919" s="364" t="s">
        <v>88</v>
      </c>
      <c r="S919" s="364" t="s">
        <v>88</v>
      </c>
      <c r="T919" s="364" t="s">
        <v>88</v>
      </c>
      <c r="U919" s="364" t="s">
        <v>88</v>
      </c>
      <c r="V919" s="364" t="s">
        <v>88</v>
      </c>
      <c r="W919" s="364" t="s">
        <v>88</v>
      </c>
      <c r="X919" s="364" t="s">
        <v>88</v>
      </c>
      <c r="Y919" s="364" t="s">
        <v>88</v>
      </c>
      <c r="Z919" s="364" t="s">
        <v>702</v>
      </c>
      <c r="AA919" s="364" t="s">
        <v>701</v>
      </c>
      <c r="AB919" s="364" t="s">
        <v>649</v>
      </c>
      <c r="AC919" s="364" t="s">
        <v>649</v>
      </c>
      <c r="AD919" s="364" t="s">
        <v>88</v>
      </c>
      <c r="AE919" s="364" t="s">
        <v>88</v>
      </c>
      <c r="AF919" s="364" t="s">
        <v>88</v>
      </c>
      <c r="AG919" s="364" t="s">
        <v>88</v>
      </c>
      <c r="AH919" s="364" t="s">
        <v>88</v>
      </c>
      <c r="AI919" s="364" t="s">
        <v>1199</v>
      </c>
      <c r="AJ919" s="364" t="s">
        <v>670</v>
      </c>
      <c r="AK919" s="364" t="s">
        <v>669</v>
      </c>
      <c r="AL919" s="364" t="s">
        <v>88</v>
      </c>
      <c r="AM919" s="364" t="s">
        <v>668</v>
      </c>
      <c r="AN919" s="364" t="s">
        <v>644</v>
      </c>
    </row>
    <row r="920" spans="1:40" x14ac:dyDescent="0.3">
      <c r="A920" s="364" t="s">
        <v>1709</v>
      </c>
      <c r="B920" s="364" t="s">
        <v>661</v>
      </c>
      <c r="C920" s="364" t="s">
        <v>677</v>
      </c>
      <c r="D920" s="364" t="s">
        <v>87</v>
      </c>
      <c r="E920" s="364" t="s">
        <v>1661</v>
      </c>
      <c r="F920" s="364" t="s">
        <v>1661</v>
      </c>
      <c r="G920" s="364" t="s">
        <v>658</v>
      </c>
      <c r="H920" s="364" t="s">
        <v>1708</v>
      </c>
      <c r="I920" s="364" t="s">
        <v>1707</v>
      </c>
      <c r="J920" s="364" t="s">
        <v>673</v>
      </c>
      <c r="K920" s="364" t="s">
        <v>668</v>
      </c>
      <c r="L920" s="364" t="s">
        <v>190</v>
      </c>
      <c r="M920" s="364" t="s">
        <v>166</v>
      </c>
      <c r="N920" s="364" t="s">
        <v>654</v>
      </c>
      <c r="O920" s="364" t="s">
        <v>653</v>
      </c>
      <c r="P920" s="364" t="s">
        <v>198</v>
      </c>
      <c r="Q920" s="364" t="s">
        <v>652</v>
      </c>
      <c r="R920" s="364" t="s">
        <v>88</v>
      </c>
      <c r="S920" s="364" t="s">
        <v>88</v>
      </c>
      <c r="T920" s="364" t="s">
        <v>88</v>
      </c>
      <c r="U920" s="364" t="s">
        <v>88</v>
      </c>
      <c r="V920" s="364" t="s">
        <v>88</v>
      </c>
      <c r="W920" s="364" t="s">
        <v>88</v>
      </c>
      <c r="X920" s="364" t="s">
        <v>88</v>
      </c>
      <c r="Y920" s="364" t="s">
        <v>88</v>
      </c>
      <c r="Z920" s="364" t="s">
        <v>877</v>
      </c>
      <c r="AA920" s="364" t="s">
        <v>876</v>
      </c>
      <c r="AB920" s="364" t="s">
        <v>649</v>
      </c>
      <c r="AC920" s="364" t="s">
        <v>649</v>
      </c>
      <c r="AD920" s="364" t="s">
        <v>88</v>
      </c>
      <c r="AE920" s="364" t="s">
        <v>88</v>
      </c>
      <c r="AF920" s="364" t="s">
        <v>88</v>
      </c>
      <c r="AG920" s="364" t="s">
        <v>88</v>
      </c>
      <c r="AH920" s="364" t="s">
        <v>88</v>
      </c>
      <c r="AI920" s="364" t="s">
        <v>1199</v>
      </c>
      <c r="AJ920" s="364" t="s">
        <v>670</v>
      </c>
      <c r="AK920" s="364" t="s">
        <v>669</v>
      </c>
      <c r="AL920" s="364" t="s">
        <v>88</v>
      </c>
      <c r="AM920" s="364" t="s">
        <v>668</v>
      </c>
      <c r="AN920" s="364" t="s">
        <v>644</v>
      </c>
    </row>
    <row r="921" spans="1:40" x14ac:dyDescent="0.3">
      <c r="A921" s="364" t="s">
        <v>1706</v>
      </c>
      <c r="B921" s="364" t="s">
        <v>661</v>
      </c>
      <c r="C921" s="364" t="s">
        <v>677</v>
      </c>
      <c r="D921" s="364" t="s">
        <v>87</v>
      </c>
      <c r="E921" s="364" t="s">
        <v>1661</v>
      </c>
      <c r="F921" s="364" t="s">
        <v>1661</v>
      </c>
      <c r="G921" s="364" t="s">
        <v>658</v>
      </c>
      <c r="H921" s="364" t="s">
        <v>1078</v>
      </c>
      <c r="I921" s="364" t="s">
        <v>674</v>
      </c>
      <c r="J921" s="364" t="s">
        <v>673</v>
      </c>
      <c r="K921" s="364" t="s">
        <v>668</v>
      </c>
      <c r="L921" s="364" t="s">
        <v>190</v>
      </c>
      <c r="M921" s="364" t="s">
        <v>59</v>
      </c>
      <c r="N921" s="364" t="s">
        <v>654</v>
      </c>
      <c r="O921" s="364" t="s">
        <v>653</v>
      </c>
      <c r="P921" s="364" t="s">
        <v>198</v>
      </c>
      <c r="Q921" s="364" t="s">
        <v>652</v>
      </c>
      <c r="R921" s="364" t="s">
        <v>88</v>
      </c>
      <c r="S921" s="364" t="s">
        <v>88</v>
      </c>
      <c r="T921" s="364" t="s">
        <v>88</v>
      </c>
      <c r="U921" s="364" t="s">
        <v>88</v>
      </c>
      <c r="V921" s="364" t="s">
        <v>88</v>
      </c>
      <c r="W921" s="364" t="s">
        <v>88</v>
      </c>
      <c r="X921" s="364" t="s">
        <v>88</v>
      </c>
      <c r="Y921" s="364" t="s">
        <v>88</v>
      </c>
      <c r="Z921" s="364" t="s">
        <v>672</v>
      </c>
      <c r="AA921" s="364" t="s">
        <v>671</v>
      </c>
      <c r="AB921" s="364" t="s">
        <v>649</v>
      </c>
      <c r="AC921" s="364" t="s">
        <v>649</v>
      </c>
      <c r="AD921" s="364" t="s">
        <v>88</v>
      </c>
      <c r="AE921" s="364" t="s">
        <v>88</v>
      </c>
      <c r="AF921" s="364" t="s">
        <v>88</v>
      </c>
      <c r="AG921" s="364" t="s">
        <v>88</v>
      </c>
      <c r="AH921" s="364" t="s">
        <v>88</v>
      </c>
      <c r="AI921" s="364" t="s">
        <v>1199</v>
      </c>
      <c r="AJ921" s="364" t="s">
        <v>670</v>
      </c>
      <c r="AK921" s="364" t="s">
        <v>669</v>
      </c>
      <c r="AL921" s="364" t="s">
        <v>88</v>
      </c>
      <c r="AM921" s="364" t="s">
        <v>668</v>
      </c>
      <c r="AN921" s="364" t="s">
        <v>644</v>
      </c>
    </row>
    <row r="922" spans="1:40" x14ac:dyDescent="0.3">
      <c r="A922" s="364" t="s">
        <v>1705</v>
      </c>
      <c r="B922" s="364" t="s">
        <v>661</v>
      </c>
      <c r="C922" s="364" t="s">
        <v>677</v>
      </c>
      <c r="D922" s="364" t="s">
        <v>87</v>
      </c>
      <c r="E922" s="364" t="s">
        <v>1661</v>
      </c>
      <c r="F922" s="364" t="s">
        <v>1661</v>
      </c>
      <c r="G922" s="364" t="s">
        <v>658</v>
      </c>
      <c r="H922" s="364" t="s">
        <v>1704</v>
      </c>
      <c r="I922" s="364" t="s">
        <v>1703</v>
      </c>
      <c r="J922" s="364" t="s">
        <v>673</v>
      </c>
      <c r="K922" s="364" t="s">
        <v>668</v>
      </c>
      <c r="L922" s="364" t="s">
        <v>190</v>
      </c>
      <c r="M922" s="364" t="s">
        <v>60</v>
      </c>
      <c r="N922" s="364" t="s">
        <v>654</v>
      </c>
      <c r="O922" s="364" t="s">
        <v>653</v>
      </c>
      <c r="P922" s="364" t="s">
        <v>198</v>
      </c>
      <c r="Q922" s="364" t="s">
        <v>652</v>
      </c>
      <c r="R922" s="364" t="s">
        <v>88</v>
      </c>
      <c r="S922" s="364" t="s">
        <v>88</v>
      </c>
      <c r="T922" s="364" t="s">
        <v>88</v>
      </c>
      <c r="U922" s="364" t="s">
        <v>88</v>
      </c>
      <c r="V922" s="364" t="s">
        <v>88</v>
      </c>
      <c r="W922" s="364" t="s">
        <v>88</v>
      </c>
      <c r="X922" s="364" t="s">
        <v>88</v>
      </c>
      <c r="Y922" s="364" t="s">
        <v>88</v>
      </c>
      <c r="Z922" s="364" t="s">
        <v>709</v>
      </c>
      <c r="AA922" s="364" t="s">
        <v>708</v>
      </c>
      <c r="AB922" s="364" t="s">
        <v>649</v>
      </c>
      <c r="AC922" s="364" t="s">
        <v>649</v>
      </c>
      <c r="AD922" s="364" t="s">
        <v>88</v>
      </c>
      <c r="AE922" s="364" t="s">
        <v>88</v>
      </c>
      <c r="AF922" s="364" t="s">
        <v>88</v>
      </c>
      <c r="AG922" s="364" t="s">
        <v>88</v>
      </c>
      <c r="AH922" s="364" t="s">
        <v>88</v>
      </c>
      <c r="AI922" s="364" t="s">
        <v>1199</v>
      </c>
      <c r="AJ922" s="364" t="s">
        <v>670</v>
      </c>
      <c r="AK922" s="364" t="s">
        <v>669</v>
      </c>
      <c r="AL922" s="364" t="s">
        <v>88</v>
      </c>
      <c r="AM922" s="364" t="s">
        <v>668</v>
      </c>
      <c r="AN922" s="364" t="s">
        <v>644</v>
      </c>
    </row>
    <row r="923" spans="1:40" x14ac:dyDescent="0.3">
      <c r="A923" s="364" t="s">
        <v>1702</v>
      </c>
      <c r="B923" s="364" t="s">
        <v>661</v>
      </c>
      <c r="C923" s="364" t="s">
        <v>677</v>
      </c>
      <c r="D923" s="364" t="s">
        <v>87</v>
      </c>
      <c r="E923" s="364" t="s">
        <v>1657</v>
      </c>
      <c r="F923" s="364" t="s">
        <v>1657</v>
      </c>
      <c r="G923" s="364" t="s">
        <v>658</v>
      </c>
      <c r="H923" s="364" t="s">
        <v>1701</v>
      </c>
      <c r="I923" s="364" t="s">
        <v>1700</v>
      </c>
      <c r="J923" s="364" t="s">
        <v>673</v>
      </c>
      <c r="K923" s="364" t="s">
        <v>668</v>
      </c>
      <c r="L923" s="364" t="s">
        <v>190</v>
      </c>
      <c r="M923" s="364" t="s">
        <v>60</v>
      </c>
      <c r="N923" s="364" t="s">
        <v>654</v>
      </c>
      <c r="O923" s="364" t="s">
        <v>653</v>
      </c>
      <c r="P923" s="364" t="s">
        <v>198</v>
      </c>
      <c r="Q923" s="364" t="s">
        <v>652</v>
      </c>
      <c r="R923" s="364" t="s">
        <v>88</v>
      </c>
      <c r="S923" s="364" t="s">
        <v>88</v>
      </c>
      <c r="T923" s="364" t="s">
        <v>88</v>
      </c>
      <c r="U923" s="364" t="s">
        <v>88</v>
      </c>
      <c r="V923" s="364" t="s">
        <v>88</v>
      </c>
      <c r="W923" s="364" t="s">
        <v>88</v>
      </c>
      <c r="X923" s="364" t="s">
        <v>88</v>
      </c>
      <c r="Y923" s="364" t="s">
        <v>88</v>
      </c>
      <c r="Z923" s="364" t="s">
        <v>709</v>
      </c>
      <c r="AA923" s="364" t="s">
        <v>708</v>
      </c>
      <c r="AB923" s="364" t="s">
        <v>649</v>
      </c>
      <c r="AC923" s="364" t="s">
        <v>649</v>
      </c>
      <c r="AD923" s="364" t="s">
        <v>88</v>
      </c>
      <c r="AE923" s="364" t="s">
        <v>88</v>
      </c>
      <c r="AF923" s="364" t="s">
        <v>88</v>
      </c>
      <c r="AG923" s="364" t="s">
        <v>88</v>
      </c>
      <c r="AH923" s="364" t="s">
        <v>88</v>
      </c>
      <c r="AI923" s="364" t="s">
        <v>1199</v>
      </c>
      <c r="AJ923" s="364" t="s">
        <v>670</v>
      </c>
      <c r="AK923" s="364" t="s">
        <v>669</v>
      </c>
      <c r="AL923" s="364" t="s">
        <v>88</v>
      </c>
      <c r="AM923" s="364" t="s">
        <v>668</v>
      </c>
      <c r="AN923" s="364" t="s">
        <v>644</v>
      </c>
    </row>
    <row r="924" spans="1:40" x14ac:dyDescent="0.3">
      <c r="A924" s="364" t="s">
        <v>1699</v>
      </c>
      <c r="B924" s="364" t="s">
        <v>661</v>
      </c>
      <c r="C924" s="364" t="s">
        <v>677</v>
      </c>
      <c r="D924" s="364" t="s">
        <v>87</v>
      </c>
      <c r="E924" s="364" t="s">
        <v>1657</v>
      </c>
      <c r="F924" s="364" t="s">
        <v>1657</v>
      </c>
      <c r="G924" s="364" t="s">
        <v>658</v>
      </c>
      <c r="H924" s="364" t="s">
        <v>1078</v>
      </c>
      <c r="I924" s="364" t="s">
        <v>1698</v>
      </c>
      <c r="J924" s="364" t="s">
        <v>673</v>
      </c>
      <c r="K924" s="364" t="s">
        <v>668</v>
      </c>
      <c r="L924" s="364" t="s">
        <v>190</v>
      </c>
      <c r="M924" s="364" t="s">
        <v>59</v>
      </c>
      <c r="N924" s="364" t="s">
        <v>654</v>
      </c>
      <c r="O924" s="364" t="s">
        <v>653</v>
      </c>
      <c r="P924" s="364" t="s">
        <v>198</v>
      </c>
      <c r="Q924" s="364" t="s">
        <v>652</v>
      </c>
      <c r="R924" s="364" t="s">
        <v>88</v>
      </c>
      <c r="S924" s="364" t="s">
        <v>88</v>
      </c>
      <c r="T924" s="364" t="s">
        <v>88</v>
      </c>
      <c r="U924" s="364" t="s">
        <v>88</v>
      </c>
      <c r="V924" s="364" t="s">
        <v>88</v>
      </c>
      <c r="W924" s="364" t="s">
        <v>88</v>
      </c>
      <c r="X924" s="364" t="s">
        <v>88</v>
      </c>
      <c r="Y924" s="364" t="s">
        <v>88</v>
      </c>
      <c r="Z924" s="364" t="s">
        <v>672</v>
      </c>
      <c r="AA924" s="364" t="s">
        <v>671</v>
      </c>
      <c r="AB924" s="364" t="s">
        <v>649</v>
      </c>
      <c r="AC924" s="364" t="s">
        <v>649</v>
      </c>
      <c r="AD924" s="364" t="s">
        <v>88</v>
      </c>
      <c r="AE924" s="364" t="s">
        <v>88</v>
      </c>
      <c r="AF924" s="364" t="s">
        <v>88</v>
      </c>
      <c r="AG924" s="364" t="s">
        <v>88</v>
      </c>
      <c r="AH924" s="364" t="s">
        <v>88</v>
      </c>
      <c r="AI924" s="364" t="s">
        <v>1199</v>
      </c>
      <c r="AJ924" s="364" t="s">
        <v>670</v>
      </c>
      <c r="AK924" s="364" t="s">
        <v>669</v>
      </c>
      <c r="AL924" s="364" t="s">
        <v>88</v>
      </c>
      <c r="AM924" s="364" t="s">
        <v>668</v>
      </c>
      <c r="AN924" s="364" t="s">
        <v>644</v>
      </c>
    </row>
    <row r="925" spans="1:40" x14ac:dyDescent="0.3">
      <c r="A925" s="364" t="s">
        <v>1697</v>
      </c>
      <c r="B925" s="364" t="s">
        <v>661</v>
      </c>
      <c r="C925" s="364" t="s">
        <v>677</v>
      </c>
      <c r="D925" s="364" t="s">
        <v>87</v>
      </c>
      <c r="E925" s="364" t="s">
        <v>1657</v>
      </c>
      <c r="F925" s="364" t="s">
        <v>1657</v>
      </c>
      <c r="G925" s="364" t="s">
        <v>658</v>
      </c>
      <c r="H925" s="364" t="s">
        <v>1696</v>
      </c>
      <c r="I925" s="364" t="s">
        <v>1695</v>
      </c>
      <c r="J925" s="364" t="s">
        <v>673</v>
      </c>
      <c r="K925" s="364" t="s">
        <v>668</v>
      </c>
      <c r="L925" s="364" t="s">
        <v>190</v>
      </c>
      <c r="M925" s="364" t="s">
        <v>58</v>
      </c>
      <c r="N925" s="364" t="s">
        <v>654</v>
      </c>
      <c r="O925" s="364" t="s">
        <v>653</v>
      </c>
      <c r="P925" s="364" t="s">
        <v>198</v>
      </c>
      <c r="Q925" s="364" t="s">
        <v>652</v>
      </c>
      <c r="R925" s="364" t="s">
        <v>88</v>
      </c>
      <c r="S925" s="364" t="s">
        <v>88</v>
      </c>
      <c r="T925" s="364" t="s">
        <v>88</v>
      </c>
      <c r="U925" s="364" t="s">
        <v>88</v>
      </c>
      <c r="V925" s="364" t="s">
        <v>88</v>
      </c>
      <c r="W925" s="364" t="s">
        <v>88</v>
      </c>
      <c r="X925" s="364" t="s">
        <v>88</v>
      </c>
      <c r="Y925" s="364" t="s">
        <v>88</v>
      </c>
      <c r="Z925" s="364" t="s">
        <v>702</v>
      </c>
      <c r="AA925" s="364" t="s">
        <v>701</v>
      </c>
      <c r="AB925" s="364" t="s">
        <v>649</v>
      </c>
      <c r="AC925" s="364" t="s">
        <v>649</v>
      </c>
      <c r="AD925" s="364" t="s">
        <v>88</v>
      </c>
      <c r="AE925" s="364" t="s">
        <v>88</v>
      </c>
      <c r="AF925" s="364" t="s">
        <v>88</v>
      </c>
      <c r="AG925" s="364" t="s">
        <v>88</v>
      </c>
      <c r="AH925" s="364" t="s">
        <v>88</v>
      </c>
      <c r="AI925" s="364" t="s">
        <v>1199</v>
      </c>
      <c r="AJ925" s="364" t="s">
        <v>670</v>
      </c>
      <c r="AK925" s="364" t="s">
        <v>669</v>
      </c>
      <c r="AL925" s="364" t="s">
        <v>88</v>
      </c>
      <c r="AM925" s="364" t="s">
        <v>668</v>
      </c>
      <c r="AN925" s="364" t="s">
        <v>644</v>
      </c>
    </row>
    <row r="926" spans="1:40" x14ac:dyDescent="0.3">
      <c r="A926" s="364" t="s">
        <v>1697</v>
      </c>
      <c r="B926" s="364" t="s">
        <v>661</v>
      </c>
      <c r="C926" s="364" t="s">
        <v>677</v>
      </c>
      <c r="D926" s="364" t="s">
        <v>87</v>
      </c>
      <c r="E926" s="364" t="s">
        <v>1657</v>
      </c>
      <c r="F926" s="364" t="s">
        <v>1657</v>
      </c>
      <c r="G926" s="364" t="s">
        <v>658</v>
      </c>
      <c r="H926" s="364" t="s">
        <v>1696</v>
      </c>
      <c r="I926" s="364" t="s">
        <v>1695</v>
      </c>
      <c r="J926" s="364" t="s">
        <v>673</v>
      </c>
      <c r="K926" s="364" t="s">
        <v>668</v>
      </c>
      <c r="L926" s="364" t="s">
        <v>190</v>
      </c>
      <c r="M926" s="364" t="s">
        <v>166</v>
      </c>
      <c r="N926" s="364" t="s">
        <v>654</v>
      </c>
      <c r="O926" s="364" t="s">
        <v>653</v>
      </c>
      <c r="P926" s="364" t="s">
        <v>198</v>
      </c>
      <c r="Q926" s="364" t="s">
        <v>652</v>
      </c>
      <c r="R926" s="364" t="s">
        <v>88</v>
      </c>
      <c r="S926" s="364" t="s">
        <v>88</v>
      </c>
      <c r="T926" s="364" t="s">
        <v>88</v>
      </c>
      <c r="U926" s="364" t="s">
        <v>88</v>
      </c>
      <c r="V926" s="364" t="s">
        <v>88</v>
      </c>
      <c r="W926" s="364" t="s">
        <v>88</v>
      </c>
      <c r="X926" s="364" t="s">
        <v>88</v>
      </c>
      <c r="Y926" s="364" t="s">
        <v>88</v>
      </c>
      <c r="Z926" s="364" t="s">
        <v>877</v>
      </c>
      <c r="AA926" s="364" t="s">
        <v>876</v>
      </c>
      <c r="AB926" s="364" t="s">
        <v>649</v>
      </c>
      <c r="AC926" s="364" t="s">
        <v>649</v>
      </c>
      <c r="AD926" s="364" t="s">
        <v>88</v>
      </c>
      <c r="AE926" s="364" t="s">
        <v>88</v>
      </c>
      <c r="AF926" s="364" t="s">
        <v>88</v>
      </c>
      <c r="AG926" s="364" t="s">
        <v>88</v>
      </c>
      <c r="AH926" s="364" t="s">
        <v>88</v>
      </c>
      <c r="AI926" s="364" t="s">
        <v>1199</v>
      </c>
      <c r="AJ926" s="364" t="s">
        <v>670</v>
      </c>
      <c r="AK926" s="364" t="s">
        <v>669</v>
      </c>
      <c r="AL926" s="364" t="s">
        <v>88</v>
      </c>
      <c r="AM926" s="364" t="s">
        <v>668</v>
      </c>
      <c r="AN926" s="364" t="s">
        <v>644</v>
      </c>
    </row>
    <row r="927" spans="1:40" x14ac:dyDescent="0.3">
      <c r="A927" s="364" t="s">
        <v>1694</v>
      </c>
      <c r="B927" s="364" t="s">
        <v>661</v>
      </c>
      <c r="C927" s="364" t="s">
        <v>677</v>
      </c>
      <c r="D927" s="364" t="s">
        <v>170</v>
      </c>
      <c r="E927" s="364" t="s">
        <v>1657</v>
      </c>
      <c r="F927" s="364" t="s">
        <v>1657</v>
      </c>
      <c r="G927" s="364" t="s">
        <v>658</v>
      </c>
      <c r="H927" s="364" t="s">
        <v>1693</v>
      </c>
      <c r="I927" s="364" t="s">
        <v>1083</v>
      </c>
      <c r="J927" s="364" t="s">
        <v>673</v>
      </c>
      <c r="K927" s="364" t="s">
        <v>668</v>
      </c>
      <c r="L927" s="364" t="s">
        <v>190</v>
      </c>
      <c r="M927" s="364" t="s">
        <v>164</v>
      </c>
      <c r="N927" s="364" t="s">
        <v>654</v>
      </c>
      <c r="O927" s="364" t="s">
        <v>653</v>
      </c>
      <c r="P927" s="364" t="s">
        <v>198</v>
      </c>
      <c r="Q927" s="364" t="s">
        <v>652</v>
      </c>
      <c r="R927" s="364" t="s">
        <v>88</v>
      </c>
      <c r="S927" s="364" t="s">
        <v>88</v>
      </c>
      <c r="T927" s="364" t="s">
        <v>88</v>
      </c>
      <c r="U927" s="364" t="s">
        <v>88</v>
      </c>
      <c r="V927" s="364" t="s">
        <v>88</v>
      </c>
      <c r="W927" s="364" t="s">
        <v>88</v>
      </c>
      <c r="X927" s="364" t="s">
        <v>88</v>
      </c>
      <c r="Y927" s="364" t="s">
        <v>88</v>
      </c>
      <c r="Z927" s="364" t="s">
        <v>825</v>
      </c>
      <c r="AA927" s="364" t="s">
        <v>649</v>
      </c>
      <c r="AB927" s="364" t="s">
        <v>649</v>
      </c>
      <c r="AC927" s="364" t="s">
        <v>649</v>
      </c>
      <c r="AD927" s="364" t="s">
        <v>88</v>
      </c>
      <c r="AE927" s="364" t="s">
        <v>88</v>
      </c>
      <c r="AF927" s="364" t="s">
        <v>88</v>
      </c>
      <c r="AG927" s="364" t="s">
        <v>88</v>
      </c>
      <c r="AH927" s="364" t="s">
        <v>88</v>
      </c>
      <c r="AI927" s="364" t="s">
        <v>1199</v>
      </c>
      <c r="AJ927" s="364" t="s">
        <v>670</v>
      </c>
      <c r="AK927" s="364" t="s">
        <v>687</v>
      </c>
      <c r="AL927" s="364" t="s">
        <v>88</v>
      </c>
      <c r="AM927" s="364" t="s">
        <v>668</v>
      </c>
      <c r="AN927" s="364" t="s">
        <v>644</v>
      </c>
    </row>
    <row r="928" spans="1:40" x14ac:dyDescent="0.3">
      <c r="A928" s="364" t="s">
        <v>1692</v>
      </c>
      <c r="B928" s="364" t="s">
        <v>661</v>
      </c>
      <c r="C928" s="364" t="s">
        <v>677</v>
      </c>
      <c r="D928" s="364" t="s">
        <v>90</v>
      </c>
      <c r="E928" s="364" t="s">
        <v>676</v>
      </c>
      <c r="F928" s="364" t="s">
        <v>676</v>
      </c>
      <c r="G928" s="364" t="s">
        <v>658</v>
      </c>
      <c r="H928" s="364" t="s">
        <v>1691</v>
      </c>
      <c r="I928" s="364" t="s">
        <v>1690</v>
      </c>
      <c r="J928" s="364" t="s">
        <v>673</v>
      </c>
      <c r="K928" s="364" t="s">
        <v>668</v>
      </c>
      <c r="L928" s="364" t="s">
        <v>190</v>
      </c>
      <c r="M928" s="364" t="s">
        <v>1168</v>
      </c>
      <c r="N928" s="364" t="s">
        <v>654</v>
      </c>
      <c r="O928" s="364" t="s">
        <v>653</v>
      </c>
      <c r="P928" s="364" t="s">
        <v>198</v>
      </c>
      <c r="Q928" s="364" t="s">
        <v>652</v>
      </c>
      <c r="R928" s="364" t="s">
        <v>88</v>
      </c>
      <c r="S928" s="364" t="s">
        <v>88</v>
      </c>
      <c r="T928" s="364" t="s">
        <v>88</v>
      </c>
      <c r="U928" s="364" t="s">
        <v>88</v>
      </c>
      <c r="V928" s="364" t="s">
        <v>88</v>
      </c>
      <c r="W928" s="364" t="s">
        <v>88</v>
      </c>
      <c r="X928" s="364" t="s">
        <v>88</v>
      </c>
      <c r="Y928" s="364" t="s">
        <v>88</v>
      </c>
      <c r="Z928" s="364" t="s">
        <v>1167</v>
      </c>
      <c r="AA928" s="364" t="s">
        <v>1166</v>
      </c>
      <c r="AB928" s="364" t="s">
        <v>649</v>
      </c>
      <c r="AC928" s="364" t="s">
        <v>649</v>
      </c>
      <c r="AD928" s="364" t="s">
        <v>88</v>
      </c>
      <c r="AE928" s="364" t="s">
        <v>88</v>
      </c>
      <c r="AF928" s="364" t="s">
        <v>88</v>
      </c>
      <c r="AG928" s="364" t="s">
        <v>88</v>
      </c>
      <c r="AH928" s="364" t="s">
        <v>88</v>
      </c>
      <c r="AI928" s="364" t="s">
        <v>1155</v>
      </c>
      <c r="AJ928" s="364" t="s">
        <v>710</v>
      </c>
      <c r="AK928" s="364" t="s">
        <v>647</v>
      </c>
      <c r="AL928" s="364" t="s">
        <v>88</v>
      </c>
      <c r="AM928" s="364" t="s">
        <v>668</v>
      </c>
      <c r="AN928" s="364" t="s">
        <v>644</v>
      </c>
    </row>
    <row r="929" spans="1:40" x14ac:dyDescent="0.3">
      <c r="A929" s="364" t="s">
        <v>1692</v>
      </c>
      <c r="B929" s="364" t="s">
        <v>661</v>
      </c>
      <c r="C929" s="364" t="s">
        <v>677</v>
      </c>
      <c r="D929" s="364" t="s">
        <v>90</v>
      </c>
      <c r="E929" s="364" t="s">
        <v>676</v>
      </c>
      <c r="F929" s="364" t="s">
        <v>676</v>
      </c>
      <c r="G929" s="364" t="s">
        <v>658</v>
      </c>
      <c r="H929" s="364" t="s">
        <v>1691</v>
      </c>
      <c r="I929" s="364" t="s">
        <v>1690</v>
      </c>
      <c r="J929" s="364" t="s">
        <v>673</v>
      </c>
      <c r="K929" s="364" t="s">
        <v>668</v>
      </c>
      <c r="L929" s="364" t="s">
        <v>190</v>
      </c>
      <c r="M929" s="364" t="s">
        <v>718</v>
      </c>
      <c r="N929" s="364" t="s">
        <v>654</v>
      </c>
      <c r="O929" s="364" t="s">
        <v>653</v>
      </c>
      <c r="P929" s="364" t="s">
        <v>198</v>
      </c>
      <c r="Q929" s="364" t="s">
        <v>652</v>
      </c>
      <c r="R929" s="364" t="s">
        <v>88</v>
      </c>
      <c r="S929" s="364" t="s">
        <v>88</v>
      </c>
      <c r="T929" s="364" t="s">
        <v>88</v>
      </c>
      <c r="U929" s="364" t="s">
        <v>88</v>
      </c>
      <c r="V929" s="364" t="s">
        <v>88</v>
      </c>
      <c r="W929" s="364" t="s">
        <v>88</v>
      </c>
      <c r="X929" s="364" t="s">
        <v>88</v>
      </c>
      <c r="Y929" s="364" t="s">
        <v>88</v>
      </c>
      <c r="Z929" s="364" t="s">
        <v>717</v>
      </c>
      <c r="AA929" s="364" t="s">
        <v>649</v>
      </c>
      <c r="AB929" s="364" t="s">
        <v>649</v>
      </c>
      <c r="AC929" s="364" t="s">
        <v>649</v>
      </c>
      <c r="AD929" s="364" t="s">
        <v>88</v>
      </c>
      <c r="AE929" s="364" t="s">
        <v>88</v>
      </c>
      <c r="AF929" s="364" t="s">
        <v>88</v>
      </c>
      <c r="AG929" s="364" t="s">
        <v>88</v>
      </c>
      <c r="AH929" s="364" t="s">
        <v>88</v>
      </c>
      <c r="AI929" s="364" t="s">
        <v>1155</v>
      </c>
      <c r="AJ929" s="364" t="s">
        <v>710</v>
      </c>
      <c r="AK929" s="364" t="s">
        <v>647</v>
      </c>
      <c r="AL929" s="364" t="s">
        <v>88</v>
      </c>
      <c r="AM929" s="364" t="s">
        <v>668</v>
      </c>
      <c r="AN929" s="364" t="s">
        <v>644</v>
      </c>
    </row>
    <row r="930" spans="1:40" x14ac:dyDescent="0.3">
      <c r="A930" s="364" t="s">
        <v>1692</v>
      </c>
      <c r="B930" s="364" t="s">
        <v>661</v>
      </c>
      <c r="C930" s="364" t="s">
        <v>677</v>
      </c>
      <c r="D930" s="364" t="s">
        <v>90</v>
      </c>
      <c r="E930" s="364" t="s">
        <v>676</v>
      </c>
      <c r="F930" s="364" t="s">
        <v>676</v>
      </c>
      <c r="G930" s="364" t="s">
        <v>658</v>
      </c>
      <c r="H930" s="364" t="s">
        <v>1691</v>
      </c>
      <c r="I930" s="364" t="s">
        <v>1690</v>
      </c>
      <c r="J930" s="364" t="s">
        <v>673</v>
      </c>
      <c r="K930" s="364" t="s">
        <v>668</v>
      </c>
      <c r="L930" s="364" t="s">
        <v>190</v>
      </c>
      <c r="M930" s="364" t="s">
        <v>713</v>
      </c>
      <c r="N930" s="364" t="s">
        <v>654</v>
      </c>
      <c r="O930" s="364" t="s">
        <v>653</v>
      </c>
      <c r="P930" s="364" t="s">
        <v>198</v>
      </c>
      <c r="Q930" s="364" t="s">
        <v>652</v>
      </c>
      <c r="R930" s="364" t="s">
        <v>88</v>
      </c>
      <c r="S930" s="364" t="s">
        <v>88</v>
      </c>
      <c r="T930" s="364" t="s">
        <v>88</v>
      </c>
      <c r="U930" s="364" t="s">
        <v>88</v>
      </c>
      <c r="V930" s="364" t="s">
        <v>88</v>
      </c>
      <c r="W930" s="364" t="s">
        <v>88</v>
      </c>
      <c r="X930" s="364" t="s">
        <v>88</v>
      </c>
      <c r="Y930" s="364" t="s">
        <v>88</v>
      </c>
      <c r="Z930" s="364" t="s">
        <v>712</v>
      </c>
      <c r="AA930" s="364" t="s">
        <v>711</v>
      </c>
      <c r="AB930" s="364" t="s">
        <v>649</v>
      </c>
      <c r="AC930" s="364" t="s">
        <v>649</v>
      </c>
      <c r="AD930" s="364" t="s">
        <v>88</v>
      </c>
      <c r="AE930" s="364" t="s">
        <v>88</v>
      </c>
      <c r="AF930" s="364" t="s">
        <v>88</v>
      </c>
      <c r="AG930" s="364" t="s">
        <v>88</v>
      </c>
      <c r="AH930" s="364" t="s">
        <v>88</v>
      </c>
      <c r="AI930" s="364" t="s">
        <v>1155</v>
      </c>
      <c r="AJ930" s="364" t="s">
        <v>710</v>
      </c>
      <c r="AK930" s="364" t="s">
        <v>647</v>
      </c>
      <c r="AL930" s="364" t="s">
        <v>88</v>
      </c>
      <c r="AM930" s="364" t="s">
        <v>668</v>
      </c>
      <c r="AN930" s="364" t="s">
        <v>644</v>
      </c>
    </row>
    <row r="931" spans="1:40" x14ac:dyDescent="0.3">
      <c r="A931" s="364" t="s">
        <v>1692</v>
      </c>
      <c r="B931" s="364" t="s">
        <v>661</v>
      </c>
      <c r="C931" s="364" t="s">
        <v>677</v>
      </c>
      <c r="D931" s="364" t="s">
        <v>90</v>
      </c>
      <c r="E931" s="364" t="s">
        <v>676</v>
      </c>
      <c r="F931" s="364" t="s">
        <v>676</v>
      </c>
      <c r="G931" s="364" t="s">
        <v>658</v>
      </c>
      <c r="H931" s="364" t="s">
        <v>1691</v>
      </c>
      <c r="I931" s="364" t="s">
        <v>1690</v>
      </c>
      <c r="J931" s="364" t="s">
        <v>673</v>
      </c>
      <c r="K931" s="364" t="s">
        <v>668</v>
      </c>
      <c r="L931" s="364" t="s">
        <v>190</v>
      </c>
      <c r="M931" s="364" t="s">
        <v>61</v>
      </c>
      <c r="N931" s="364" t="s">
        <v>654</v>
      </c>
      <c r="O931" s="364" t="s">
        <v>653</v>
      </c>
      <c r="P931" s="364" t="s">
        <v>198</v>
      </c>
      <c r="Q931" s="364" t="s">
        <v>652</v>
      </c>
      <c r="R931" s="364" t="s">
        <v>88</v>
      </c>
      <c r="S931" s="364" t="s">
        <v>88</v>
      </c>
      <c r="T931" s="364" t="s">
        <v>88</v>
      </c>
      <c r="U931" s="364" t="s">
        <v>88</v>
      </c>
      <c r="V931" s="364" t="s">
        <v>88</v>
      </c>
      <c r="W931" s="364" t="s">
        <v>88</v>
      </c>
      <c r="X931" s="364" t="s">
        <v>88</v>
      </c>
      <c r="Y931" s="364" t="s">
        <v>88</v>
      </c>
      <c r="Z931" s="364" t="s">
        <v>1021</v>
      </c>
      <c r="AA931" s="364" t="s">
        <v>671</v>
      </c>
      <c r="AB931" s="364" t="s">
        <v>649</v>
      </c>
      <c r="AC931" s="364" t="s">
        <v>649</v>
      </c>
      <c r="AD931" s="364" t="s">
        <v>88</v>
      </c>
      <c r="AE931" s="364" t="s">
        <v>88</v>
      </c>
      <c r="AF931" s="364" t="s">
        <v>88</v>
      </c>
      <c r="AG931" s="364" t="s">
        <v>88</v>
      </c>
      <c r="AH931" s="364" t="s">
        <v>88</v>
      </c>
      <c r="AI931" s="364" t="s">
        <v>1155</v>
      </c>
      <c r="AJ931" s="364" t="s">
        <v>710</v>
      </c>
      <c r="AK931" s="364" t="s">
        <v>647</v>
      </c>
      <c r="AL931" s="364" t="s">
        <v>88</v>
      </c>
      <c r="AM931" s="364" t="s">
        <v>668</v>
      </c>
      <c r="AN931" s="364" t="s">
        <v>644</v>
      </c>
    </row>
    <row r="932" spans="1:40" x14ac:dyDescent="0.3">
      <c r="A932" s="364" t="s">
        <v>1692</v>
      </c>
      <c r="B932" s="364" t="s">
        <v>661</v>
      </c>
      <c r="C932" s="364" t="s">
        <v>677</v>
      </c>
      <c r="D932" s="364" t="s">
        <v>90</v>
      </c>
      <c r="E932" s="364" t="s">
        <v>676</v>
      </c>
      <c r="F932" s="364" t="s">
        <v>676</v>
      </c>
      <c r="G932" s="364" t="s">
        <v>658</v>
      </c>
      <c r="H932" s="364" t="s">
        <v>1691</v>
      </c>
      <c r="I932" s="364" t="s">
        <v>1690</v>
      </c>
      <c r="J932" s="364" t="s">
        <v>673</v>
      </c>
      <c r="K932" s="364" t="s">
        <v>668</v>
      </c>
      <c r="L932" s="364" t="s">
        <v>190</v>
      </c>
      <c r="M932" s="364" t="s">
        <v>721</v>
      </c>
      <c r="N932" s="364" t="s">
        <v>654</v>
      </c>
      <c r="O932" s="364" t="s">
        <v>653</v>
      </c>
      <c r="P932" s="364" t="s">
        <v>198</v>
      </c>
      <c r="Q932" s="364" t="s">
        <v>652</v>
      </c>
      <c r="R932" s="364" t="s">
        <v>88</v>
      </c>
      <c r="S932" s="364" t="s">
        <v>88</v>
      </c>
      <c r="T932" s="364" t="s">
        <v>88</v>
      </c>
      <c r="U932" s="364" t="s">
        <v>88</v>
      </c>
      <c r="V932" s="364" t="s">
        <v>88</v>
      </c>
      <c r="W932" s="364" t="s">
        <v>88</v>
      </c>
      <c r="X932" s="364" t="s">
        <v>88</v>
      </c>
      <c r="Y932" s="364" t="s">
        <v>88</v>
      </c>
      <c r="Z932" s="364" t="s">
        <v>720</v>
      </c>
      <c r="AA932" s="364" t="s">
        <v>649</v>
      </c>
      <c r="AB932" s="364" t="s">
        <v>649</v>
      </c>
      <c r="AC932" s="364" t="s">
        <v>649</v>
      </c>
      <c r="AD932" s="364" t="s">
        <v>88</v>
      </c>
      <c r="AE932" s="364" t="s">
        <v>88</v>
      </c>
      <c r="AF932" s="364" t="s">
        <v>88</v>
      </c>
      <c r="AG932" s="364" t="s">
        <v>88</v>
      </c>
      <c r="AH932" s="364" t="s">
        <v>88</v>
      </c>
      <c r="AI932" s="364" t="s">
        <v>1155</v>
      </c>
      <c r="AJ932" s="364" t="s">
        <v>710</v>
      </c>
      <c r="AK932" s="364" t="s">
        <v>647</v>
      </c>
      <c r="AL932" s="364" t="s">
        <v>88</v>
      </c>
      <c r="AM932" s="364" t="s">
        <v>668</v>
      </c>
      <c r="AN932" s="364" t="s">
        <v>644</v>
      </c>
    </row>
    <row r="933" spans="1:40" x14ac:dyDescent="0.3">
      <c r="A933" s="364" t="s">
        <v>1692</v>
      </c>
      <c r="B933" s="364" t="s">
        <v>661</v>
      </c>
      <c r="C933" s="364" t="s">
        <v>677</v>
      </c>
      <c r="D933" s="364" t="s">
        <v>90</v>
      </c>
      <c r="E933" s="364" t="s">
        <v>676</v>
      </c>
      <c r="F933" s="364" t="s">
        <v>676</v>
      </c>
      <c r="G933" s="364" t="s">
        <v>658</v>
      </c>
      <c r="H933" s="364" t="s">
        <v>1691</v>
      </c>
      <c r="I933" s="364" t="s">
        <v>1690</v>
      </c>
      <c r="J933" s="364" t="s">
        <v>673</v>
      </c>
      <c r="K933" s="364" t="s">
        <v>668</v>
      </c>
      <c r="L933" s="364" t="s">
        <v>190</v>
      </c>
      <c r="M933" s="364" t="s">
        <v>56</v>
      </c>
      <c r="N933" s="364" t="s">
        <v>654</v>
      </c>
      <c r="O933" s="364" t="s">
        <v>653</v>
      </c>
      <c r="P933" s="364" t="s">
        <v>198</v>
      </c>
      <c r="Q933" s="364" t="s">
        <v>652</v>
      </c>
      <c r="R933" s="364" t="s">
        <v>88</v>
      </c>
      <c r="S933" s="364" t="s">
        <v>88</v>
      </c>
      <c r="T933" s="364" t="s">
        <v>88</v>
      </c>
      <c r="U933" s="364" t="s">
        <v>88</v>
      </c>
      <c r="V933" s="364" t="s">
        <v>88</v>
      </c>
      <c r="W933" s="364" t="s">
        <v>88</v>
      </c>
      <c r="X933" s="364" t="s">
        <v>88</v>
      </c>
      <c r="Y933" s="364" t="s">
        <v>88</v>
      </c>
      <c r="Z933" s="364" t="s">
        <v>1165</v>
      </c>
      <c r="AA933" s="364" t="s">
        <v>1164</v>
      </c>
      <c r="AB933" s="364" t="s">
        <v>649</v>
      </c>
      <c r="AC933" s="364" t="s">
        <v>649</v>
      </c>
      <c r="AD933" s="364" t="s">
        <v>88</v>
      </c>
      <c r="AE933" s="364" t="s">
        <v>88</v>
      </c>
      <c r="AF933" s="364" t="s">
        <v>88</v>
      </c>
      <c r="AG933" s="364" t="s">
        <v>88</v>
      </c>
      <c r="AH933" s="364" t="s">
        <v>88</v>
      </c>
      <c r="AI933" s="364" t="s">
        <v>1155</v>
      </c>
      <c r="AJ933" s="364" t="s">
        <v>710</v>
      </c>
      <c r="AK933" s="364" t="s">
        <v>647</v>
      </c>
      <c r="AL933" s="364" t="s">
        <v>88</v>
      </c>
      <c r="AM933" s="364" t="s">
        <v>668</v>
      </c>
      <c r="AN933" s="364" t="s">
        <v>644</v>
      </c>
    </row>
    <row r="934" spans="1:40" x14ac:dyDescent="0.3">
      <c r="A934" s="364" t="s">
        <v>1689</v>
      </c>
      <c r="B934" s="364" t="s">
        <v>661</v>
      </c>
      <c r="C934" s="364" t="s">
        <v>677</v>
      </c>
      <c r="D934" s="364" t="s">
        <v>90</v>
      </c>
      <c r="E934" s="364" t="s">
        <v>1056</v>
      </c>
      <c r="F934" s="364" t="s">
        <v>1056</v>
      </c>
      <c r="G934" s="364" t="s">
        <v>658</v>
      </c>
      <c r="H934" s="364" t="s">
        <v>1688</v>
      </c>
      <c r="I934" s="364" t="s">
        <v>1687</v>
      </c>
      <c r="J934" s="364" t="s">
        <v>673</v>
      </c>
      <c r="K934" s="364" t="s">
        <v>668</v>
      </c>
      <c r="L934" s="364" t="s">
        <v>190</v>
      </c>
      <c r="M934" s="364" t="s">
        <v>1168</v>
      </c>
      <c r="N934" s="364" t="s">
        <v>654</v>
      </c>
      <c r="O934" s="364" t="s">
        <v>653</v>
      </c>
      <c r="P934" s="364" t="s">
        <v>198</v>
      </c>
      <c r="Q934" s="364" t="s">
        <v>652</v>
      </c>
      <c r="R934" s="364" t="s">
        <v>88</v>
      </c>
      <c r="S934" s="364" t="s">
        <v>88</v>
      </c>
      <c r="T934" s="364" t="s">
        <v>88</v>
      </c>
      <c r="U934" s="364" t="s">
        <v>88</v>
      </c>
      <c r="V934" s="364" t="s">
        <v>88</v>
      </c>
      <c r="W934" s="364" t="s">
        <v>88</v>
      </c>
      <c r="X934" s="364" t="s">
        <v>88</v>
      </c>
      <c r="Y934" s="364" t="s">
        <v>88</v>
      </c>
      <c r="Z934" s="364" t="s">
        <v>1167</v>
      </c>
      <c r="AA934" s="364" t="s">
        <v>1166</v>
      </c>
      <c r="AB934" s="364" t="s">
        <v>649</v>
      </c>
      <c r="AC934" s="364" t="s">
        <v>649</v>
      </c>
      <c r="AD934" s="364" t="s">
        <v>88</v>
      </c>
      <c r="AE934" s="364" t="s">
        <v>88</v>
      </c>
      <c r="AF934" s="364" t="s">
        <v>88</v>
      </c>
      <c r="AG934" s="364" t="s">
        <v>88</v>
      </c>
      <c r="AH934" s="364" t="s">
        <v>88</v>
      </c>
      <c r="AI934" s="364" t="s">
        <v>1155</v>
      </c>
      <c r="AJ934" s="364" t="s">
        <v>710</v>
      </c>
      <c r="AK934" s="364" t="s">
        <v>647</v>
      </c>
      <c r="AL934" s="364" t="s">
        <v>88</v>
      </c>
      <c r="AM934" s="364" t="s">
        <v>668</v>
      </c>
      <c r="AN934" s="364" t="s">
        <v>644</v>
      </c>
    </row>
    <row r="935" spans="1:40" x14ac:dyDescent="0.3">
      <c r="A935" s="364" t="s">
        <v>1689</v>
      </c>
      <c r="B935" s="364" t="s">
        <v>661</v>
      </c>
      <c r="C935" s="364" t="s">
        <v>677</v>
      </c>
      <c r="D935" s="364" t="s">
        <v>90</v>
      </c>
      <c r="E935" s="364" t="s">
        <v>1056</v>
      </c>
      <c r="F935" s="364" t="s">
        <v>1056</v>
      </c>
      <c r="G935" s="364" t="s">
        <v>658</v>
      </c>
      <c r="H935" s="364" t="s">
        <v>1688</v>
      </c>
      <c r="I935" s="364" t="s">
        <v>1687</v>
      </c>
      <c r="J935" s="364" t="s">
        <v>673</v>
      </c>
      <c r="K935" s="364" t="s">
        <v>668</v>
      </c>
      <c r="L935" s="364" t="s">
        <v>190</v>
      </c>
      <c r="M935" s="364" t="s">
        <v>718</v>
      </c>
      <c r="N935" s="364" t="s">
        <v>654</v>
      </c>
      <c r="O935" s="364" t="s">
        <v>653</v>
      </c>
      <c r="P935" s="364" t="s">
        <v>198</v>
      </c>
      <c r="Q935" s="364" t="s">
        <v>652</v>
      </c>
      <c r="R935" s="364" t="s">
        <v>88</v>
      </c>
      <c r="S935" s="364" t="s">
        <v>88</v>
      </c>
      <c r="T935" s="364" t="s">
        <v>88</v>
      </c>
      <c r="U935" s="364" t="s">
        <v>88</v>
      </c>
      <c r="V935" s="364" t="s">
        <v>88</v>
      </c>
      <c r="W935" s="364" t="s">
        <v>88</v>
      </c>
      <c r="X935" s="364" t="s">
        <v>88</v>
      </c>
      <c r="Y935" s="364" t="s">
        <v>88</v>
      </c>
      <c r="Z935" s="364" t="s">
        <v>717</v>
      </c>
      <c r="AA935" s="364" t="s">
        <v>649</v>
      </c>
      <c r="AB935" s="364" t="s">
        <v>649</v>
      </c>
      <c r="AC935" s="364" t="s">
        <v>649</v>
      </c>
      <c r="AD935" s="364" t="s">
        <v>88</v>
      </c>
      <c r="AE935" s="364" t="s">
        <v>88</v>
      </c>
      <c r="AF935" s="364" t="s">
        <v>88</v>
      </c>
      <c r="AG935" s="364" t="s">
        <v>88</v>
      </c>
      <c r="AH935" s="364" t="s">
        <v>88</v>
      </c>
      <c r="AI935" s="364" t="s">
        <v>1155</v>
      </c>
      <c r="AJ935" s="364" t="s">
        <v>710</v>
      </c>
      <c r="AK935" s="364" t="s">
        <v>647</v>
      </c>
      <c r="AL935" s="364" t="s">
        <v>88</v>
      </c>
      <c r="AM935" s="364" t="s">
        <v>668</v>
      </c>
      <c r="AN935" s="364" t="s">
        <v>644</v>
      </c>
    </row>
    <row r="936" spans="1:40" x14ac:dyDescent="0.3">
      <c r="A936" s="364" t="s">
        <v>1689</v>
      </c>
      <c r="B936" s="364" t="s">
        <v>661</v>
      </c>
      <c r="C936" s="364" t="s">
        <v>677</v>
      </c>
      <c r="D936" s="364" t="s">
        <v>90</v>
      </c>
      <c r="E936" s="364" t="s">
        <v>1056</v>
      </c>
      <c r="F936" s="364" t="s">
        <v>1056</v>
      </c>
      <c r="G936" s="364" t="s">
        <v>658</v>
      </c>
      <c r="H936" s="364" t="s">
        <v>1688</v>
      </c>
      <c r="I936" s="364" t="s">
        <v>1687</v>
      </c>
      <c r="J936" s="364" t="s">
        <v>673</v>
      </c>
      <c r="K936" s="364" t="s">
        <v>668</v>
      </c>
      <c r="L936" s="364" t="s">
        <v>190</v>
      </c>
      <c r="M936" s="364" t="s">
        <v>713</v>
      </c>
      <c r="N936" s="364" t="s">
        <v>654</v>
      </c>
      <c r="O936" s="364" t="s">
        <v>653</v>
      </c>
      <c r="P936" s="364" t="s">
        <v>198</v>
      </c>
      <c r="Q936" s="364" t="s">
        <v>652</v>
      </c>
      <c r="R936" s="364" t="s">
        <v>88</v>
      </c>
      <c r="S936" s="364" t="s">
        <v>88</v>
      </c>
      <c r="T936" s="364" t="s">
        <v>88</v>
      </c>
      <c r="U936" s="364" t="s">
        <v>88</v>
      </c>
      <c r="V936" s="364" t="s">
        <v>88</v>
      </c>
      <c r="W936" s="364" t="s">
        <v>88</v>
      </c>
      <c r="X936" s="364" t="s">
        <v>88</v>
      </c>
      <c r="Y936" s="364" t="s">
        <v>88</v>
      </c>
      <c r="Z936" s="364" t="s">
        <v>712</v>
      </c>
      <c r="AA936" s="364" t="s">
        <v>711</v>
      </c>
      <c r="AB936" s="364" t="s">
        <v>649</v>
      </c>
      <c r="AC936" s="364" t="s">
        <v>649</v>
      </c>
      <c r="AD936" s="364" t="s">
        <v>88</v>
      </c>
      <c r="AE936" s="364" t="s">
        <v>88</v>
      </c>
      <c r="AF936" s="364" t="s">
        <v>88</v>
      </c>
      <c r="AG936" s="364" t="s">
        <v>88</v>
      </c>
      <c r="AH936" s="364" t="s">
        <v>88</v>
      </c>
      <c r="AI936" s="364" t="s">
        <v>1155</v>
      </c>
      <c r="AJ936" s="364" t="s">
        <v>710</v>
      </c>
      <c r="AK936" s="364" t="s">
        <v>647</v>
      </c>
      <c r="AL936" s="364" t="s">
        <v>88</v>
      </c>
      <c r="AM936" s="364" t="s">
        <v>668</v>
      </c>
      <c r="AN936" s="364" t="s">
        <v>644</v>
      </c>
    </row>
    <row r="937" spans="1:40" x14ac:dyDescent="0.3">
      <c r="A937" s="364" t="s">
        <v>1689</v>
      </c>
      <c r="B937" s="364" t="s">
        <v>661</v>
      </c>
      <c r="C937" s="364" t="s">
        <v>677</v>
      </c>
      <c r="D937" s="364" t="s">
        <v>90</v>
      </c>
      <c r="E937" s="364" t="s">
        <v>1056</v>
      </c>
      <c r="F937" s="364" t="s">
        <v>1056</v>
      </c>
      <c r="G937" s="364" t="s">
        <v>658</v>
      </c>
      <c r="H937" s="364" t="s">
        <v>1688</v>
      </c>
      <c r="I937" s="364" t="s">
        <v>1687</v>
      </c>
      <c r="J937" s="364" t="s">
        <v>673</v>
      </c>
      <c r="K937" s="364" t="s">
        <v>668</v>
      </c>
      <c r="L937" s="364" t="s">
        <v>190</v>
      </c>
      <c r="M937" s="364" t="s">
        <v>61</v>
      </c>
      <c r="N937" s="364" t="s">
        <v>654</v>
      </c>
      <c r="O937" s="364" t="s">
        <v>653</v>
      </c>
      <c r="P937" s="364" t="s">
        <v>198</v>
      </c>
      <c r="Q937" s="364" t="s">
        <v>652</v>
      </c>
      <c r="R937" s="364" t="s">
        <v>88</v>
      </c>
      <c r="S937" s="364" t="s">
        <v>88</v>
      </c>
      <c r="T937" s="364" t="s">
        <v>88</v>
      </c>
      <c r="U937" s="364" t="s">
        <v>88</v>
      </c>
      <c r="V937" s="364" t="s">
        <v>88</v>
      </c>
      <c r="W937" s="364" t="s">
        <v>88</v>
      </c>
      <c r="X937" s="364" t="s">
        <v>88</v>
      </c>
      <c r="Y937" s="364" t="s">
        <v>88</v>
      </c>
      <c r="Z937" s="364" t="s">
        <v>1021</v>
      </c>
      <c r="AA937" s="364" t="s">
        <v>671</v>
      </c>
      <c r="AB937" s="364" t="s">
        <v>649</v>
      </c>
      <c r="AC937" s="364" t="s">
        <v>649</v>
      </c>
      <c r="AD937" s="364" t="s">
        <v>88</v>
      </c>
      <c r="AE937" s="364" t="s">
        <v>88</v>
      </c>
      <c r="AF937" s="364" t="s">
        <v>88</v>
      </c>
      <c r="AG937" s="364" t="s">
        <v>88</v>
      </c>
      <c r="AH937" s="364" t="s">
        <v>88</v>
      </c>
      <c r="AI937" s="364" t="s">
        <v>1155</v>
      </c>
      <c r="AJ937" s="364" t="s">
        <v>710</v>
      </c>
      <c r="AK937" s="364" t="s">
        <v>647</v>
      </c>
      <c r="AL937" s="364" t="s">
        <v>88</v>
      </c>
      <c r="AM937" s="364" t="s">
        <v>668</v>
      </c>
      <c r="AN937" s="364" t="s">
        <v>644</v>
      </c>
    </row>
    <row r="938" spans="1:40" x14ac:dyDescent="0.3">
      <c r="A938" s="364" t="s">
        <v>1689</v>
      </c>
      <c r="B938" s="364" t="s">
        <v>661</v>
      </c>
      <c r="C938" s="364" t="s">
        <v>677</v>
      </c>
      <c r="D938" s="364" t="s">
        <v>90</v>
      </c>
      <c r="E938" s="364" t="s">
        <v>1056</v>
      </c>
      <c r="F938" s="364" t="s">
        <v>1056</v>
      </c>
      <c r="G938" s="364" t="s">
        <v>658</v>
      </c>
      <c r="H938" s="364" t="s">
        <v>1688</v>
      </c>
      <c r="I938" s="364" t="s">
        <v>1687</v>
      </c>
      <c r="J938" s="364" t="s">
        <v>673</v>
      </c>
      <c r="K938" s="364" t="s">
        <v>668</v>
      </c>
      <c r="L938" s="364" t="s">
        <v>190</v>
      </c>
      <c r="M938" s="364" t="s">
        <v>721</v>
      </c>
      <c r="N938" s="364" t="s">
        <v>654</v>
      </c>
      <c r="O938" s="364" t="s">
        <v>653</v>
      </c>
      <c r="P938" s="364" t="s">
        <v>198</v>
      </c>
      <c r="Q938" s="364" t="s">
        <v>652</v>
      </c>
      <c r="R938" s="364" t="s">
        <v>88</v>
      </c>
      <c r="S938" s="364" t="s">
        <v>88</v>
      </c>
      <c r="T938" s="364" t="s">
        <v>88</v>
      </c>
      <c r="U938" s="364" t="s">
        <v>88</v>
      </c>
      <c r="V938" s="364" t="s">
        <v>88</v>
      </c>
      <c r="W938" s="364" t="s">
        <v>88</v>
      </c>
      <c r="X938" s="364" t="s">
        <v>88</v>
      </c>
      <c r="Y938" s="364" t="s">
        <v>88</v>
      </c>
      <c r="Z938" s="364" t="s">
        <v>720</v>
      </c>
      <c r="AA938" s="364" t="s">
        <v>649</v>
      </c>
      <c r="AB938" s="364" t="s">
        <v>649</v>
      </c>
      <c r="AC938" s="364" t="s">
        <v>649</v>
      </c>
      <c r="AD938" s="364" t="s">
        <v>88</v>
      </c>
      <c r="AE938" s="364" t="s">
        <v>88</v>
      </c>
      <c r="AF938" s="364" t="s">
        <v>88</v>
      </c>
      <c r="AG938" s="364" t="s">
        <v>88</v>
      </c>
      <c r="AH938" s="364" t="s">
        <v>88</v>
      </c>
      <c r="AI938" s="364" t="s">
        <v>1155</v>
      </c>
      <c r="AJ938" s="364" t="s">
        <v>710</v>
      </c>
      <c r="AK938" s="364" t="s">
        <v>647</v>
      </c>
      <c r="AL938" s="364" t="s">
        <v>88</v>
      </c>
      <c r="AM938" s="364" t="s">
        <v>668</v>
      </c>
      <c r="AN938" s="364" t="s">
        <v>644</v>
      </c>
    </row>
    <row r="939" spans="1:40" x14ac:dyDescent="0.3">
      <c r="A939" s="364" t="s">
        <v>1689</v>
      </c>
      <c r="B939" s="364" t="s">
        <v>661</v>
      </c>
      <c r="C939" s="364" t="s">
        <v>677</v>
      </c>
      <c r="D939" s="364" t="s">
        <v>90</v>
      </c>
      <c r="E939" s="364" t="s">
        <v>1056</v>
      </c>
      <c r="F939" s="364" t="s">
        <v>1056</v>
      </c>
      <c r="G939" s="364" t="s">
        <v>658</v>
      </c>
      <c r="H939" s="364" t="s">
        <v>1688</v>
      </c>
      <c r="I939" s="364" t="s">
        <v>1687</v>
      </c>
      <c r="J939" s="364" t="s">
        <v>673</v>
      </c>
      <c r="K939" s="364" t="s">
        <v>668</v>
      </c>
      <c r="L939" s="364" t="s">
        <v>190</v>
      </c>
      <c r="M939" s="364" t="s">
        <v>56</v>
      </c>
      <c r="N939" s="364" t="s">
        <v>654</v>
      </c>
      <c r="O939" s="364" t="s">
        <v>653</v>
      </c>
      <c r="P939" s="364" t="s">
        <v>198</v>
      </c>
      <c r="Q939" s="364" t="s">
        <v>652</v>
      </c>
      <c r="R939" s="364" t="s">
        <v>88</v>
      </c>
      <c r="S939" s="364" t="s">
        <v>88</v>
      </c>
      <c r="T939" s="364" t="s">
        <v>88</v>
      </c>
      <c r="U939" s="364" t="s">
        <v>88</v>
      </c>
      <c r="V939" s="364" t="s">
        <v>88</v>
      </c>
      <c r="W939" s="364" t="s">
        <v>88</v>
      </c>
      <c r="X939" s="364" t="s">
        <v>88</v>
      </c>
      <c r="Y939" s="364" t="s">
        <v>88</v>
      </c>
      <c r="Z939" s="364" t="s">
        <v>1165</v>
      </c>
      <c r="AA939" s="364" t="s">
        <v>1164</v>
      </c>
      <c r="AB939" s="364" t="s">
        <v>649</v>
      </c>
      <c r="AC939" s="364" t="s">
        <v>649</v>
      </c>
      <c r="AD939" s="364" t="s">
        <v>88</v>
      </c>
      <c r="AE939" s="364" t="s">
        <v>88</v>
      </c>
      <c r="AF939" s="364" t="s">
        <v>88</v>
      </c>
      <c r="AG939" s="364" t="s">
        <v>88</v>
      </c>
      <c r="AH939" s="364" t="s">
        <v>88</v>
      </c>
      <c r="AI939" s="364" t="s">
        <v>1155</v>
      </c>
      <c r="AJ939" s="364" t="s">
        <v>710</v>
      </c>
      <c r="AK939" s="364" t="s">
        <v>647</v>
      </c>
      <c r="AL939" s="364" t="s">
        <v>88</v>
      </c>
      <c r="AM939" s="364" t="s">
        <v>668</v>
      </c>
      <c r="AN939" s="364" t="s">
        <v>644</v>
      </c>
    </row>
    <row r="940" spans="1:40" x14ac:dyDescent="0.3">
      <c r="A940" s="364" t="s">
        <v>1686</v>
      </c>
      <c r="B940" s="364" t="s">
        <v>661</v>
      </c>
      <c r="C940" s="364" t="s">
        <v>677</v>
      </c>
      <c r="D940" s="364" t="s">
        <v>90</v>
      </c>
      <c r="E940" s="364" t="s">
        <v>1685</v>
      </c>
      <c r="F940" s="364" t="s">
        <v>1685</v>
      </c>
      <c r="G940" s="364" t="s">
        <v>658</v>
      </c>
      <c r="H940" s="364" t="s">
        <v>1684</v>
      </c>
      <c r="I940" s="364" t="s">
        <v>1683</v>
      </c>
      <c r="J940" s="364" t="s">
        <v>673</v>
      </c>
      <c r="K940" s="364" t="s">
        <v>668</v>
      </c>
      <c r="L940" s="364" t="s">
        <v>190</v>
      </c>
      <c r="M940" s="364" t="s">
        <v>1168</v>
      </c>
      <c r="N940" s="364" t="s">
        <v>654</v>
      </c>
      <c r="O940" s="364" t="s">
        <v>653</v>
      </c>
      <c r="P940" s="364" t="s">
        <v>198</v>
      </c>
      <c r="Q940" s="364" t="s">
        <v>652</v>
      </c>
      <c r="R940" s="364" t="s">
        <v>88</v>
      </c>
      <c r="S940" s="364" t="s">
        <v>88</v>
      </c>
      <c r="T940" s="364" t="s">
        <v>88</v>
      </c>
      <c r="U940" s="364" t="s">
        <v>88</v>
      </c>
      <c r="V940" s="364" t="s">
        <v>88</v>
      </c>
      <c r="W940" s="364" t="s">
        <v>88</v>
      </c>
      <c r="X940" s="364" t="s">
        <v>88</v>
      </c>
      <c r="Y940" s="364" t="s">
        <v>88</v>
      </c>
      <c r="Z940" s="364" t="s">
        <v>1167</v>
      </c>
      <c r="AA940" s="364" t="s">
        <v>1166</v>
      </c>
      <c r="AB940" s="364" t="s">
        <v>649</v>
      </c>
      <c r="AC940" s="364" t="s">
        <v>649</v>
      </c>
      <c r="AD940" s="364" t="s">
        <v>88</v>
      </c>
      <c r="AE940" s="364" t="s">
        <v>88</v>
      </c>
      <c r="AF940" s="364" t="s">
        <v>88</v>
      </c>
      <c r="AG940" s="364" t="s">
        <v>88</v>
      </c>
      <c r="AH940" s="364" t="s">
        <v>88</v>
      </c>
      <c r="AI940" s="364" t="s">
        <v>1155</v>
      </c>
      <c r="AJ940" s="364" t="s">
        <v>710</v>
      </c>
      <c r="AK940" s="364" t="s">
        <v>647</v>
      </c>
      <c r="AL940" s="364" t="s">
        <v>88</v>
      </c>
      <c r="AM940" s="364" t="s">
        <v>668</v>
      </c>
      <c r="AN940" s="364" t="s">
        <v>644</v>
      </c>
    </row>
    <row r="941" spans="1:40" x14ac:dyDescent="0.3">
      <c r="A941" s="364" t="s">
        <v>1686</v>
      </c>
      <c r="B941" s="364" t="s">
        <v>661</v>
      </c>
      <c r="C941" s="364" t="s">
        <v>677</v>
      </c>
      <c r="D941" s="364" t="s">
        <v>90</v>
      </c>
      <c r="E941" s="364" t="s">
        <v>1685</v>
      </c>
      <c r="F941" s="364" t="s">
        <v>1685</v>
      </c>
      <c r="G941" s="364" t="s">
        <v>658</v>
      </c>
      <c r="H941" s="364" t="s">
        <v>1684</v>
      </c>
      <c r="I941" s="364" t="s">
        <v>1683</v>
      </c>
      <c r="J941" s="364" t="s">
        <v>673</v>
      </c>
      <c r="K941" s="364" t="s">
        <v>668</v>
      </c>
      <c r="L941" s="364" t="s">
        <v>190</v>
      </c>
      <c r="M941" s="364" t="s">
        <v>718</v>
      </c>
      <c r="N941" s="364" t="s">
        <v>654</v>
      </c>
      <c r="O941" s="364" t="s">
        <v>653</v>
      </c>
      <c r="P941" s="364" t="s">
        <v>198</v>
      </c>
      <c r="Q941" s="364" t="s">
        <v>652</v>
      </c>
      <c r="R941" s="364" t="s">
        <v>88</v>
      </c>
      <c r="S941" s="364" t="s">
        <v>88</v>
      </c>
      <c r="T941" s="364" t="s">
        <v>88</v>
      </c>
      <c r="U941" s="364" t="s">
        <v>88</v>
      </c>
      <c r="V941" s="364" t="s">
        <v>88</v>
      </c>
      <c r="W941" s="364" t="s">
        <v>88</v>
      </c>
      <c r="X941" s="364" t="s">
        <v>88</v>
      </c>
      <c r="Y941" s="364" t="s">
        <v>88</v>
      </c>
      <c r="Z941" s="364" t="s">
        <v>717</v>
      </c>
      <c r="AA941" s="364" t="s">
        <v>649</v>
      </c>
      <c r="AB941" s="364" t="s">
        <v>649</v>
      </c>
      <c r="AC941" s="364" t="s">
        <v>649</v>
      </c>
      <c r="AD941" s="364" t="s">
        <v>88</v>
      </c>
      <c r="AE941" s="364" t="s">
        <v>88</v>
      </c>
      <c r="AF941" s="364" t="s">
        <v>88</v>
      </c>
      <c r="AG941" s="364" t="s">
        <v>88</v>
      </c>
      <c r="AH941" s="364" t="s">
        <v>88</v>
      </c>
      <c r="AI941" s="364" t="s">
        <v>1155</v>
      </c>
      <c r="AJ941" s="364" t="s">
        <v>710</v>
      </c>
      <c r="AK941" s="364" t="s">
        <v>647</v>
      </c>
      <c r="AL941" s="364" t="s">
        <v>88</v>
      </c>
      <c r="AM941" s="364" t="s">
        <v>668</v>
      </c>
      <c r="AN941" s="364" t="s">
        <v>644</v>
      </c>
    </row>
    <row r="942" spans="1:40" x14ac:dyDescent="0.3">
      <c r="A942" s="364" t="s">
        <v>1686</v>
      </c>
      <c r="B942" s="364" t="s">
        <v>661</v>
      </c>
      <c r="C942" s="364" t="s">
        <v>677</v>
      </c>
      <c r="D942" s="364" t="s">
        <v>90</v>
      </c>
      <c r="E942" s="364" t="s">
        <v>1685</v>
      </c>
      <c r="F942" s="364" t="s">
        <v>1685</v>
      </c>
      <c r="G942" s="364" t="s">
        <v>658</v>
      </c>
      <c r="H942" s="364" t="s">
        <v>1684</v>
      </c>
      <c r="I942" s="364" t="s">
        <v>1683</v>
      </c>
      <c r="J942" s="364" t="s">
        <v>673</v>
      </c>
      <c r="K942" s="364" t="s">
        <v>668</v>
      </c>
      <c r="L942" s="364" t="s">
        <v>190</v>
      </c>
      <c r="M942" s="364" t="s">
        <v>713</v>
      </c>
      <c r="N942" s="364" t="s">
        <v>654</v>
      </c>
      <c r="O942" s="364" t="s">
        <v>653</v>
      </c>
      <c r="P942" s="364" t="s">
        <v>198</v>
      </c>
      <c r="Q942" s="364" t="s">
        <v>652</v>
      </c>
      <c r="R942" s="364" t="s">
        <v>88</v>
      </c>
      <c r="S942" s="364" t="s">
        <v>88</v>
      </c>
      <c r="T942" s="364" t="s">
        <v>88</v>
      </c>
      <c r="U942" s="364" t="s">
        <v>88</v>
      </c>
      <c r="V942" s="364" t="s">
        <v>88</v>
      </c>
      <c r="W942" s="364" t="s">
        <v>88</v>
      </c>
      <c r="X942" s="364" t="s">
        <v>88</v>
      </c>
      <c r="Y942" s="364" t="s">
        <v>88</v>
      </c>
      <c r="Z942" s="364" t="s">
        <v>712</v>
      </c>
      <c r="AA942" s="364" t="s">
        <v>711</v>
      </c>
      <c r="AB942" s="364" t="s">
        <v>649</v>
      </c>
      <c r="AC942" s="364" t="s">
        <v>649</v>
      </c>
      <c r="AD942" s="364" t="s">
        <v>88</v>
      </c>
      <c r="AE942" s="364" t="s">
        <v>88</v>
      </c>
      <c r="AF942" s="364" t="s">
        <v>88</v>
      </c>
      <c r="AG942" s="364" t="s">
        <v>88</v>
      </c>
      <c r="AH942" s="364" t="s">
        <v>88</v>
      </c>
      <c r="AI942" s="364" t="s">
        <v>1155</v>
      </c>
      <c r="AJ942" s="364" t="s">
        <v>710</v>
      </c>
      <c r="AK942" s="364" t="s">
        <v>647</v>
      </c>
      <c r="AL942" s="364" t="s">
        <v>88</v>
      </c>
      <c r="AM942" s="364" t="s">
        <v>668</v>
      </c>
      <c r="AN942" s="364" t="s">
        <v>644</v>
      </c>
    </row>
    <row r="943" spans="1:40" x14ac:dyDescent="0.3">
      <c r="A943" s="364" t="s">
        <v>1686</v>
      </c>
      <c r="B943" s="364" t="s">
        <v>661</v>
      </c>
      <c r="C943" s="364" t="s">
        <v>677</v>
      </c>
      <c r="D943" s="364" t="s">
        <v>90</v>
      </c>
      <c r="E943" s="364" t="s">
        <v>1685</v>
      </c>
      <c r="F943" s="364" t="s">
        <v>1685</v>
      </c>
      <c r="G943" s="364" t="s">
        <v>658</v>
      </c>
      <c r="H943" s="364" t="s">
        <v>1684</v>
      </c>
      <c r="I943" s="364" t="s">
        <v>1683</v>
      </c>
      <c r="J943" s="364" t="s">
        <v>673</v>
      </c>
      <c r="K943" s="364" t="s">
        <v>668</v>
      </c>
      <c r="L943" s="364" t="s">
        <v>190</v>
      </c>
      <c r="M943" s="364" t="s">
        <v>61</v>
      </c>
      <c r="N943" s="364" t="s">
        <v>654</v>
      </c>
      <c r="O943" s="364" t="s">
        <v>653</v>
      </c>
      <c r="P943" s="364" t="s">
        <v>198</v>
      </c>
      <c r="Q943" s="364" t="s">
        <v>652</v>
      </c>
      <c r="R943" s="364" t="s">
        <v>88</v>
      </c>
      <c r="S943" s="364" t="s">
        <v>88</v>
      </c>
      <c r="T943" s="364" t="s">
        <v>88</v>
      </c>
      <c r="U943" s="364" t="s">
        <v>88</v>
      </c>
      <c r="V943" s="364" t="s">
        <v>88</v>
      </c>
      <c r="W943" s="364" t="s">
        <v>88</v>
      </c>
      <c r="X943" s="364" t="s">
        <v>88</v>
      </c>
      <c r="Y943" s="364" t="s">
        <v>88</v>
      </c>
      <c r="Z943" s="364" t="s">
        <v>1021</v>
      </c>
      <c r="AA943" s="364" t="s">
        <v>671</v>
      </c>
      <c r="AB943" s="364" t="s">
        <v>649</v>
      </c>
      <c r="AC943" s="364" t="s">
        <v>649</v>
      </c>
      <c r="AD943" s="364" t="s">
        <v>88</v>
      </c>
      <c r="AE943" s="364" t="s">
        <v>88</v>
      </c>
      <c r="AF943" s="364" t="s">
        <v>88</v>
      </c>
      <c r="AG943" s="364" t="s">
        <v>88</v>
      </c>
      <c r="AH943" s="364" t="s">
        <v>88</v>
      </c>
      <c r="AI943" s="364" t="s">
        <v>1155</v>
      </c>
      <c r="AJ943" s="364" t="s">
        <v>710</v>
      </c>
      <c r="AK943" s="364" t="s">
        <v>647</v>
      </c>
      <c r="AL943" s="364" t="s">
        <v>88</v>
      </c>
      <c r="AM943" s="364" t="s">
        <v>668</v>
      </c>
      <c r="AN943" s="364" t="s">
        <v>644</v>
      </c>
    </row>
    <row r="944" spans="1:40" x14ac:dyDescent="0.3">
      <c r="A944" s="364" t="s">
        <v>1686</v>
      </c>
      <c r="B944" s="364" t="s">
        <v>661</v>
      </c>
      <c r="C944" s="364" t="s">
        <v>677</v>
      </c>
      <c r="D944" s="364" t="s">
        <v>90</v>
      </c>
      <c r="E944" s="364" t="s">
        <v>1685</v>
      </c>
      <c r="F944" s="364" t="s">
        <v>1685</v>
      </c>
      <c r="G944" s="364" t="s">
        <v>658</v>
      </c>
      <c r="H944" s="364" t="s">
        <v>1684</v>
      </c>
      <c r="I944" s="364" t="s">
        <v>1683</v>
      </c>
      <c r="J944" s="364" t="s">
        <v>673</v>
      </c>
      <c r="K944" s="364" t="s">
        <v>668</v>
      </c>
      <c r="L944" s="364" t="s">
        <v>190</v>
      </c>
      <c r="M944" s="364" t="s">
        <v>721</v>
      </c>
      <c r="N944" s="364" t="s">
        <v>654</v>
      </c>
      <c r="O944" s="364" t="s">
        <v>653</v>
      </c>
      <c r="P944" s="364" t="s">
        <v>198</v>
      </c>
      <c r="Q944" s="364" t="s">
        <v>652</v>
      </c>
      <c r="R944" s="364" t="s">
        <v>88</v>
      </c>
      <c r="S944" s="364" t="s">
        <v>88</v>
      </c>
      <c r="T944" s="364" t="s">
        <v>88</v>
      </c>
      <c r="U944" s="364" t="s">
        <v>88</v>
      </c>
      <c r="V944" s="364" t="s">
        <v>88</v>
      </c>
      <c r="W944" s="364" t="s">
        <v>88</v>
      </c>
      <c r="X944" s="364" t="s">
        <v>88</v>
      </c>
      <c r="Y944" s="364" t="s">
        <v>88</v>
      </c>
      <c r="Z944" s="364" t="s">
        <v>720</v>
      </c>
      <c r="AA944" s="364" t="s">
        <v>649</v>
      </c>
      <c r="AB944" s="364" t="s">
        <v>649</v>
      </c>
      <c r="AC944" s="364" t="s">
        <v>649</v>
      </c>
      <c r="AD944" s="364" t="s">
        <v>88</v>
      </c>
      <c r="AE944" s="364" t="s">
        <v>88</v>
      </c>
      <c r="AF944" s="364" t="s">
        <v>88</v>
      </c>
      <c r="AG944" s="364" t="s">
        <v>88</v>
      </c>
      <c r="AH944" s="364" t="s">
        <v>88</v>
      </c>
      <c r="AI944" s="364" t="s">
        <v>1155</v>
      </c>
      <c r="AJ944" s="364" t="s">
        <v>710</v>
      </c>
      <c r="AK944" s="364" t="s">
        <v>647</v>
      </c>
      <c r="AL944" s="364" t="s">
        <v>88</v>
      </c>
      <c r="AM944" s="364" t="s">
        <v>668</v>
      </c>
      <c r="AN944" s="364" t="s">
        <v>644</v>
      </c>
    </row>
    <row r="945" spans="1:40" x14ac:dyDescent="0.3">
      <c r="A945" s="364" t="s">
        <v>1686</v>
      </c>
      <c r="B945" s="364" t="s">
        <v>661</v>
      </c>
      <c r="C945" s="364" t="s">
        <v>677</v>
      </c>
      <c r="D945" s="364" t="s">
        <v>90</v>
      </c>
      <c r="E945" s="364" t="s">
        <v>1685</v>
      </c>
      <c r="F945" s="364" t="s">
        <v>1685</v>
      </c>
      <c r="G945" s="364" t="s">
        <v>658</v>
      </c>
      <c r="H945" s="364" t="s">
        <v>1684</v>
      </c>
      <c r="I945" s="364" t="s">
        <v>1683</v>
      </c>
      <c r="J945" s="364" t="s">
        <v>673</v>
      </c>
      <c r="K945" s="364" t="s">
        <v>668</v>
      </c>
      <c r="L945" s="364" t="s">
        <v>190</v>
      </c>
      <c r="M945" s="364" t="s">
        <v>56</v>
      </c>
      <c r="N945" s="364" t="s">
        <v>654</v>
      </c>
      <c r="O945" s="364" t="s">
        <v>653</v>
      </c>
      <c r="P945" s="364" t="s">
        <v>198</v>
      </c>
      <c r="Q945" s="364" t="s">
        <v>652</v>
      </c>
      <c r="R945" s="364" t="s">
        <v>88</v>
      </c>
      <c r="S945" s="364" t="s">
        <v>88</v>
      </c>
      <c r="T945" s="364" t="s">
        <v>88</v>
      </c>
      <c r="U945" s="364" t="s">
        <v>88</v>
      </c>
      <c r="V945" s="364" t="s">
        <v>88</v>
      </c>
      <c r="W945" s="364" t="s">
        <v>88</v>
      </c>
      <c r="X945" s="364" t="s">
        <v>88</v>
      </c>
      <c r="Y945" s="364" t="s">
        <v>88</v>
      </c>
      <c r="Z945" s="364" t="s">
        <v>1165</v>
      </c>
      <c r="AA945" s="364" t="s">
        <v>1164</v>
      </c>
      <c r="AB945" s="364" t="s">
        <v>649</v>
      </c>
      <c r="AC945" s="364" t="s">
        <v>649</v>
      </c>
      <c r="AD945" s="364" t="s">
        <v>88</v>
      </c>
      <c r="AE945" s="364" t="s">
        <v>88</v>
      </c>
      <c r="AF945" s="364" t="s">
        <v>88</v>
      </c>
      <c r="AG945" s="364" t="s">
        <v>88</v>
      </c>
      <c r="AH945" s="364" t="s">
        <v>88</v>
      </c>
      <c r="AI945" s="364" t="s">
        <v>1155</v>
      </c>
      <c r="AJ945" s="364" t="s">
        <v>710</v>
      </c>
      <c r="AK945" s="364" t="s">
        <v>647</v>
      </c>
      <c r="AL945" s="364" t="s">
        <v>88</v>
      </c>
      <c r="AM945" s="364" t="s">
        <v>668</v>
      </c>
      <c r="AN945" s="364" t="s">
        <v>644</v>
      </c>
    </row>
    <row r="946" spans="1:40" x14ac:dyDescent="0.3">
      <c r="A946" s="364" t="s">
        <v>1682</v>
      </c>
      <c r="B946" s="364" t="s">
        <v>661</v>
      </c>
      <c r="C946" s="364" t="s">
        <v>677</v>
      </c>
      <c r="D946" s="364" t="s">
        <v>87</v>
      </c>
      <c r="E946" s="364" t="s">
        <v>728</v>
      </c>
      <c r="F946" s="364" t="s">
        <v>728</v>
      </c>
      <c r="G946" s="364" t="s">
        <v>658</v>
      </c>
      <c r="H946" s="364" t="s">
        <v>1681</v>
      </c>
      <c r="I946" s="364" t="s">
        <v>1680</v>
      </c>
      <c r="J946" s="364" t="s">
        <v>673</v>
      </c>
      <c r="K946" s="364" t="s">
        <v>668</v>
      </c>
      <c r="L946" s="364" t="s">
        <v>190</v>
      </c>
      <c r="M946" s="364" t="s">
        <v>58</v>
      </c>
      <c r="N946" s="364" t="s">
        <v>654</v>
      </c>
      <c r="O946" s="364" t="s">
        <v>653</v>
      </c>
      <c r="P946" s="364" t="s">
        <v>198</v>
      </c>
      <c r="Q946" s="364" t="s">
        <v>652</v>
      </c>
      <c r="R946" s="364" t="s">
        <v>88</v>
      </c>
      <c r="S946" s="364" t="s">
        <v>88</v>
      </c>
      <c r="T946" s="364" t="s">
        <v>88</v>
      </c>
      <c r="U946" s="364" t="s">
        <v>88</v>
      </c>
      <c r="V946" s="364" t="s">
        <v>88</v>
      </c>
      <c r="W946" s="364" t="s">
        <v>88</v>
      </c>
      <c r="X946" s="364" t="s">
        <v>88</v>
      </c>
      <c r="Y946" s="364" t="s">
        <v>88</v>
      </c>
      <c r="Z946" s="364" t="s">
        <v>702</v>
      </c>
      <c r="AA946" s="364" t="s">
        <v>701</v>
      </c>
      <c r="AB946" s="364" t="s">
        <v>649</v>
      </c>
      <c r="AC946" s="364" t="s">
        <v>649</v>
      </c>
      <c r="AD946" s="364" t="s">
        <v>88</v>
      </c>
      <c r="AE946" s="364" t="s">
        <v>88</v>
      </c>
      <c r="AF946" s="364" t="s">
        <v>88</v>
      </c>
      <c r="AG946" s="364" t="s">
        <v>88</v>
      </c>
      <c r="AH946" s="364" t="s">
        <v>88</v>
      </c>
      <c r="AI946" s="364" t="s">
        <v>1199</v>
      </c>
      <c r="AJ946" s="364" t="s">
        <v>670</v>
      </c>
      <c r="AK946" s="364" t="s">
        <v>669</v>
      </c>
      <c r="AL946" s="364" t="s">
        <v>88</v>
      </c>
      <c r="AM946" s="364" t="s">
        <v>668</v>
      </c>
      <c r="AN946" s="364" t="s">
        <v>644</v>
      </c>
    </row>
    <row r="947" spans="1:40" x14ac:dyDescent="0.3">
      <c r="A947" s="364" t="s">
        <v>1682</v>
      </c>
      <c r="B947" s="364" t="s">
        <v>661</v>
      </c>
      <c r="C947" s="364" t="s">
        <v>677</v>
      </c>
      <c r="D947" s="364" t="s">
        <v>87</v>
      </c>
      <c r="E947" s="364" t="s">
        <v>728</v>
      </c>
      <c r="F947" s="364" t="s">
        <v>728</v>
      </c>
      <c r="G947" s="364" t="s">
        <v>658</v>
      </c>
      <c r="H947" s="364" t="s">
        <v>1681</v>
      </c>
      <c r="I947" s="364" t="s">
        <v>1680</v>
      </c>
      <c r="J947" s="364" t="s">
        <v>673</v>
      </c>
      <c r="K947" s="364" t="s">
        <v>668</v>
      </c>
      <c r="L947" s="364" t="s">
        <v>190</v>
      </c>
      <c r="M947" s="364" t="s">
        <v>166</v>
      </c>
      <c r="N947" s="364" t="s">
        <v>654</v>
      </c>
      <c r="O947" s="364" t="s">
        <v>653</v>
      </c>
      <c r="P947" s="364" t="s">
        <v>198</v>
      </c>
      <c r="Q947" s="364" t="s">
        <v>652</v>
      </c>
      <c r="R947" s="364" t="s">
        <v>88</v>
      </c>
      <c r="S947" s="364" t="s">
        <v>88</v>
      </c>
      <c r="T947" s="364" t="s">
        <v>88</v>
      </c>
      <c r="U947" s="364" t="s">
        <v>88</v>
      </c>
      <c r="V947" s="364" t="s">
        <v>88</v>
      </c>
      <c r="W947" s="364" t="s">
        <v>88</v>
      </c>
      <c r="X947" s="364" t="s">
        <v>88</v>
      </c>
      <c r="Y947" s="364" t="s">
        <v>88</v>
      </c>
      <c r="Z947" s="364" t="s">
        <v>877</v>
      </c>
      <c r="AA947" s="364" t="s">
        <v>876</v>
      </c>
      <c r="AB947" s="364" t="s">
        <v>649</v>
      </c>
      <c r="AC947" s="364" t="s">
        <v>649</v>
      </c>
      <c r="AD947" s="364" t="s">
        <v>88</v>
      </c>
      <c r="AE947" s="364" t="s">
        <v>88</v>
      </c>
      <c r="AF947" s="364" t="s">
        <v>88</v>
      </c>
      <c r="AG947" s="364" t="s">
        <v>88</v>
      </c>
      <c r="AH947" s="364" t="s">
        <v>88</v>
      </c>
      <c r="AI947" s="364" t="s">
        <v>1199</v>
      </c>
      <c r="AJ947" s="364" t="s">
        <v>670</v>
      </c>
      <c r="AK947" s="364" t="s">
        <v>669</v>
      </c>
      <c r="AL947" s="364" t="s">
        <v>88</v>
      </c>
      <c r="AM947" s="364" t="s">
        <v>668</v>
      </c>
      <c r="AN947" s="364" t="s">
        <v>644</v>
      </c>
    </row>
    <row r="948" spans="1:40" x14ac:dyDescent="0.3">
      <c r="A948" s="364" t="s">
        <v>1679</v>
      </c>
      <c r="B948" s="364" t="s">
        <v>661</v>
      </c>
      <c r="C948" s="364" t="s">
        <v>677</v>
      </c>
      <c r="D948" s="364" t="s">
        <v>87</v>
      </c>
      <c r="E948" s="364" t="s">
        <v>728</v>
      </c>
      <c r="F948" s="364" t="s">
        <v>728</v>
      </c>
      <c r="G948" s="364" t="s">
        <v>658</v>
      </c>
      <c r="H948" s="364" t="s">
        <v>1678</v>
      </c>
      <c r="I948" s="364" t="s">
        <v>1677</v>
      </c>
      <c r="J948" s="364" t="s">
        <v>673</v>
      </c>
      <c r="K948" s="364" t="s">
        <v>668</v>
      </c>
      <c r="L948" s="364" t="s">
        <v>190</v>
      </c>
      <c r="M948" s="364" t="s">
        <v>59</v>
      </c>
      <c r="N948" s="364" t="s">
        <v>654</v>
      </c>
      <c r="O948" s="364" t="s">
        <v>653</v>
      </c>
      <c r="P948" s="364" t="s">
        <v>198</v>
      </c>
      <c r="Q948" s="364" t="s">
        <v>652</v>
      </c>
      <c r="R948" s="364" t="s">
        <v>88</v>
      </c>
      <c r="S948" s="364" t="s">
        <v>88</v>
      </c>
      <c r="T948" s="364" t="s">
        <v>88</v>
      </c>
      <c r="U948" s="364" t="s">
        <v>88</v>
      </c>
      <c r="V948" s="364" t="s">
        <v>88</v>
      </c>
      <c r="W948" s="364" t="s">
        <v>88</v>
      </c>
      <c r="X948" s="364" t="s">
        <v>88</v>
      </c>
      <c r="Y948" s="364" t="s">
        <v>88</v>
      </c>
      <c r="Z948" s="364" t="s">
        <v>672</v>
      </c>
      <c r="AA948" s="364" t="s">
        <v>671</v>
      </c>
      <c r="AB948" s="364" t="s">
        <v>649</v>
      </c>
      <c r="AC948" s="364" t="s">
        <v>649</v>
      </c>
      <c r="AD948" s="364" t="s">
        <v>88</v>
      </c>
      <c r="AE948" s="364" t="s">
        <v>88</v>
      </c>
      <c r="AF948" s="364" t="s">
        <v>88</v>
      </c>
      <c r="AG948" s="364" t="s">
        <v>88</v>
      </c>
      <c r="AH948" s="364" t="s">
        <v>88</v>
      </c>
      <c r="AI948" s="364" t="s">
        <v>1199</v>
      </c>
      <c r="AJ948" s="364" t="s">
        <v>670</v>
      </c>
      <c r="AK948" s="364" t="s">
        <v>669</v>
      </c>
      <c r="AL948" s="364" t="s">
        <v>88</v>
      </c>
      <c r="AM948" s="364" t="s">
        <v>668</v>
      </c>
      <c r="AN948" s="364" t="s">
        <v>644</v>
      </c>
    </row>
    <row r="949" spans="1:40" x14ac:dyDescent="0.3">
      <c r="A949" s="364" t="s">
        <v>1676</v>
      </c>
      <c r="B949" s="364" t="s">
        <v>661</v>
      </c>
      <c r="C949" s="364" t="s">
        <v>1160</v>
      </c>
      <c r="D949" s="364" t="s">
        <v>87</v>
      </c>
      <c r="E949" s="364" t="s">
        <v>1079</v>
      </c>
      <c r="F949" s="364" t="s">
        <v>1079</v>
      </c>
      <c r="G949" s="364" t="s">
        <v>658</v>
      </c>
      <c r="H949" s="364" t="s">
        <v>1675</v>
      </c>
      <c r="I949" s="364" t="s">
        <v>88</v>
      </c>
      <c r="J949" s="364" t="s">
        <v>88</v>
      </c>
      <c r="K949" s="364" t="s">
        <v>88</v>
      </c>
      <c r="L949" s="364" t="s">
        <v>88</v>
      </c>
      <c r="M949" s="364" t="s">
        <v>138</v>
      </c>
      <c r="N949" s="364" t="s">
        <v>654</v>
      </c>
      <c r="O949" s="364" t="s">
        <v>653</v>
      </c>
      <c r="P949" s="364" t="s">
        <v>88</v>
      </c>
      <c r="Q949" s="364" t="s">
        <v>88</v>
      </c>
      <c r="R949" s="364" t="s">
        <v>88</v>
      </c>
      <c r="S949" s="364" t="s">
        <v>88</v>
      </c>
      <c r="T949" s="364" t="s">
        <v>88</v>
      </c>
      <c r="U949" s="364" t="s">
        <v>88</v>
      </c>
      <c r="V949" s="364" t="s">
        <v>88</v>
      </c>
      <c r="W949" s="364" t="s">
        <v>88</v>
      </c>
      <c r="X949" s="364" t="s">
        <v>88</v>
      </c>
      <c r="Y949" s="364" t="s">
        <v>88</v>
      </c>
      <c r="Z949" s="364" t="s">
        <v>88</v>
      </c>
      <c r="AA949" s="364" t="s">
        <v>649</v>
      </c>
      <c r="AB949" s="364" t="s">
        <v>88</v>
      </c>
      <c r="AC949" s="364" t="s">
        <v>88</v>
      </c>
      <c r="AD949" s="364" t="s">
        <v>88</v>
      </c>
      <c r="AE949" s="364" t="s">
        <v>88</v>
      </c>
      <c r="AF949" s="364" t="s">
        <v>88</v>
      </c>
      <c r="AG949" s="364" t="s">
        <v>88</v>
      </c>
      <c r="AH949" s="364" t="s">
        <v>88</v>
      </c>
      <c r="AI949" s="364" t="s">
        <v>1674</v>
      </c>
      <c r="AJ949" s="364" t="s">
        <v>793</v>
      </c>
      <c r="AK949" s="364" t="s">
        <v>88</v>
      </c>
      <c r="AL949" s="364" t="s">
        <v>88</v>
      </c>
      <c r="AM949" s="364" t="s">
        <v>88</v>
      </c>
      <c r="AN949" s="364" t="s">
        <v>792</v>
      </c>
    </row>
    <row r="950" spans="1:40" x14ac:dyDescent="0.3">
      <c r="A950" s="364" t="s">
        <v>1673</v>
      </c>
      <c r="B950" s="364" t="s">
        <v>661</v>
      </c>
      <c r="C950" s="364" t="s">
        <v>1160</v>
      </c>
      <c r="D950" s="364" t="s">
        <v>87</v>
      </c>
      <c r="E950" s="364" t="s">
        <v>1079</v>
      </c>
      <c r="F950" s="364" t="s">
        <v>1079</v>
      </c>
      <c r="G950" s="364" t="s">
        <v>658</v>
      </c>
      <c r="H950" s="364" t="s">
        <v>1672</v>
      </c>
      <c r="I950" s="364" t="s">
        <v>88</v>
      </c>
      <c r="J950" s="364" t="s">
        <v>88</v>
      </c>
      <c r="K950" s="364" t="s">
        <v>88</v>
      </c>
      <c r="L950" s="364" t="s">
        <v>88</v>
      </c>
      <c r="M950" s="364" t="s">
        <v>138</v>
      </c>
      <c r="N950" s="364" t="s">
        <v>654</v>
      </c>
      <c r="O950" s="364" t="s">
        <v>653</v>
      </c>
      <c r="P950" s="364" t="s">
        <v>88</v>
      </c>
      <c r="Q950" s="364" t="s">
        <v>88</v>
      </c>
      <c r="R950" s="364" t="s">
        <v>88</v>
      </c>
      <c r="S950" s="364" t="s">
        <v>88</v>
      </c>
      <c r="T950" s="364" t="s">
        <v>88</v>
      </c>
      <c r="U950" s="364" t="s">
        <v>88</v>
      </c>
      <c r="V950" s="364" t="s">
        <v>88</v>
      </c>
      <c r="W950" s="364" t="s">
        <v>88</v>
      </c>
      <c r="X950" s="364" t="s">
        <v>88</v>
      </c>
      <c r="Y950" s="364" t="s">
        <v>88</v>
      </c>
      <c r="Z950" s="364" t="s">
        <v>88</v>
      </c>
      <c r="AA950" s="364" t="s">
        <v>649</v>
      </c>
      <c r="AB950" s="364" t="s">
        <v>88</v>
      </c>
      <c r="AC950" s="364" t="s">
        <v>88</v>
      </c>
      <c r="AD950" s="364" t="s">
        <v>88</v>
      </c>
      <c r="AE950" s="364" t="s">
        <v>88</v>
      </c>
      <c r="AF950" s="364" t="s">
        <v>88</v>
      </c>
      <c r="AG950" s="364" t="s">
        <v>88</v>
      </c>
      <c r="AH950" s="364" t="s">
        <v>88</v>
      </c>
      <c r="AI950" s="364" t="s">
        <v>1671</v>
      </c>
      <c r="AJ950" s="364" t="s">
        <v>793</v>
      </c>
      <c r="AK950" s="364" t="s">
        <v>88</v>
      </c>
      <c r="AL950" s="364" t="s">
        <v>88</v>
      </c>
      <c r="AM950" s="364" t="s">
        <v>88</v>
      </c>
      <c r="AN950" s="364" t="s">
        <v>792</v>
      </c>
    </row>
    <row r="951" spans="1:40" x14ac:dyDescent="0.3">
      <c r="A951" s="364" t="s">
        <v>1670</v>
      </c>
      <c r="B951" s="364" t="s">
        <v>661</v>
      </c>
      <c r="C951" s="364" t="s">
        <v>677</v>
      </c>
      <c r="D951" s="364" t="s">
        <v>170</v>
      </c>
      <c r="E951" s="364" t="s">
        <v>1079</v>
      </c>
      <c r="F951" s="364" t="s">
        <v>1079</v>
      </c>
      <c r="G951" s="364" t="s">
        <v>658</v>
      </c>
      <c r="H951" s="364" t="s">
        <v>1669</v>
      </c>
      <c r="I951" s="364" t="s">
        <v>1668</v>
      </c>
      <c r="J951" s="364" t="s">
        <v>673</v>
      </c>
      <c r="K951" s="364" t="s">
        <v>668</v>
      </c>
      <c r="L951" s="364" t="s">
        <v>190</v>
      </c>
      <c r="M951" s="364" t="s">
        <v>164</v>
      </c>
      <c r="N951" s="364" t="s">
        <v>654</v>
      </c>
      <c r="O951" s="364" t="s">
        <v>653</v>
      </c>
      <c r="P951" s="364" t="s">
        <v>198</v>
      </c>
      <c r="Q951" s="364" t="s">
        <v>652</v>
      </c>
      <c r="R951" s="364" t="s">
        <v>88</v>
      </c>
      <c r="S951" s="364" t="s">
        <v>88</v>
      </c>
      <c r="T951" s="364" t="s">
        <v>88</v>
      </c>
      <c r="U951" s="364" t="s">
        <v>88</v>
      </c>
      <c r="V951" s="364" t="s">
        <v>88</v>
      </c>
      <c r="W951" s="364" t="s">
        <v>88</v>
      </c>
      <c r="X951" s="364" t="s">
        <v>88</v>
      </c>
      <c r="Y951" s="364" t="s">
        <v>88</v>
      </c>
      <c r="Z951" s="364" t="s">
        <v>825</v>
      </c>
      <c r="AA951" s="364" t="s">
        <v>649</v>
      </c>
      <c r="AB951" s="364" t="s">
        <v>649</v>
      </c>
      <c r="AC951" s="364" t="s">
        <v>649</v>
      </c>
      <c r="AD951" s="364" t="s">
        <v>88</v>
      </c>
      <c r="AE951" s="364" t="s">
        <v>88</v>
      </c>
      <c r="AF951" s="364" t="s">
        <v>88</v>
      </c>
      <c r="AG951" s="364" t="s">
        <v>88</v>
      </c>
      <c r="AH951" s="364" t="s">
        <v>88</v>
      </c>
      <c r="AI951" s="364" t="s">
        <v>1199</v>
      </c>
      <c r="AJ951" s="364" t="s">
        <v>670</v>
      </c>
      <c r="AK951" s="364" t="s">
        <v>687</v>
      </c>
      <c r="AL951" s="364" t="s">
        <v>88</v>
      </c>
      <c r="AM951" s="364" t="s">
        <v>668</v>
      </c>
      <c r="AN951" s="364" t="s">
        <v>644</v>
      </c>
    </row>
    <row r="952" spans="1:40" x14ac:dyDescent="0.3">
      <c r="A952" s="364" t="s">
        <v>1667</v>
      </c>
      <c r="B952" s="364" t="s">
        <v>661</v>
      </c>
      <c r="C952" s="364" t="s">
        <v>677</v>
      </c>
      <c r="D952" s="364" t="s">
        <v>87</v>
      </c>
      <c r="E952" s="364" t="s">
        <v>1079</v>
      </c>
      <c r="F952" s="364" t="s">
        <v>1079</v>
      </c>
      <c r="G952" s="364" t="s">
        <v>658</v>
      </c>
      <c r="H952" s="364" t="s">
        <v>1666</v>
      </c>
      <c r="I952" s="364" t="s">
        <v>1665</v>
      </c>
      <c r="J952" s="364" t="s">
        <v>673</v>
      </c>
      <c r="K952" s="364" t="s">
        <v>668</v>
      </c>
      <c r="L952" s="364" t="s">
        <v>190</v>
      </c>
      <c r="M952" s="364" t="s">
        <v>58</v>
      </c>
      <c r="N952" s="364" t="s">
        <v>654</v>
      </c>
      <c r="O952" s="364" t="s">
        <v>653</v>
      </c>
      <c r="P952" s="364" t="s">
        <v>198</v>
      </c>
      <c r="Q952" s="364" t="s">
        <v>652</v>
      </c>
      <c r="R952" s="364" t="s">
        <v>88</v>
      </c>
      <c r="S952" s="364" t="s">
        <v>88</v>
      </c>
      <c r="T952" s="364" t="s">
        <v>88</v>
      </c>
      <c r="U952" s="364" t="s">
        <v>88</v>
      </c>
      <c r="V952" s="364" t="s">
        <v>88</v>
      </c>
      <c r="W952" s="364" t="s">
        <v>88</v>
      </c>
      <c r="X952" s="364" t="s">
        <v>88</v>
      </c>
      <c r="Y952" s="364" t="s">
        <v>88</v>
      </c>
      <c r="Z952" s="364" t="s">
        <v>702</v>
      </c>
      <c r="AA952" s="364" t="s">
        <v>701</v>
      </c>
      <c r="AB952" s="364" t="s">
        <v>649</v>
      </c>
      <c r="AC952" s="364" t="s">
        <v>649</v>
      </c>
      <c r="AD952" s="364" t="s">
        <v>88</v>
      </c>
      <c r="AE952" s="364" t="s">
        <v>88</v>
      </c>
      <c r="AF952" s="364" t="s">
        <v>88</v>
      </c>
      <c r="AG952" s="364" t="s">
        <v>88</v>
      </c>
      <c r="AH952" s="364" t="s">
        <v>88</v>
      </c>
      <c r="AI952" s="364" t="s">
        <v>1199</v>
      </c>
      <c r="AJ952" s="364" t="s">
        <v>670</v>
      </c>
      <c r="AK952" s="364" t="s">
        <v>669</v>
      </c>
      <c r="AL952" s="364" t="s">
        <v>88</v>
      </c>
      <c r="AM952" s="364" t="s">
        <v>668</v>
      </c>
      <c r="AN952" s="364" t="s">
        <v>644</v>
      </c>
    </row>
    <row r="953" spans="1:40" x14ac:dyDescent="0.3">
      <c r="A953" s="364" t="s">
        <v>1667</v>
      </c>
      <c r="B953" s="364" t="s">
        <v>661</v>
      </c>
      <c r="C953" s="364" t="s">
        <v>677</v>
      </c>
      <c r="D953" s="364" t="s">
        <v>87</v>
      </c>
      <c r="E953" s="364" t="s">
        <v>1079</v>
      </c>
      <c r="F953" s="364" t="s">
        <v>1079</v>
      </c>
      <c r="G953" s="364" t="s">
        <v>658</v>
      </c>
      <c r="H953" s="364" t="s">
        <v>1666</v>
      </c>
      <c r="I953" s="364" t="s">
        <v>1665</v>
      </c>
      <c r="J953" s="364" t="s">
        <v>673</v>
      </c>
      <c r="K953" s="364" t="s">
        <v>668</v>
      </c>
      <c r="L953" s="364" t="s">
        <v>190</v>
      </c>
      <c r="M953" s="364" t="s">
        <v>166</v>
      </c>
      <c r="N953" s="364" t="s">
        <v>654</v>
      </c>
      <c r="O953" s="364" t="s">
        <v>653</v>
      </c>
      <c r="P953" s="364" t="s">
        <v>198</v>
      </c>
      <c r="Q953" s="364" t="s">
        <v>652</v>
      </c>
      <c r="R953" s="364" t="s">
        <v>88</v>
      </c>
      <c r="S953" s="364" t="s">
        <v>88</v>
      </c>
      <c r="T953" s="364" t="s">
        <v>88</v>
      </c>
      <c r="U953" s="364" t="s">
        <v>88</v>
      </c>
      <c r="V953" s="364" t="s">
        <v>88</v>
      </c>
      <c r="W953" s="364" t="s">
        <v>88</v>
      </c>
      <c r="X953" s="364" t="s">
        <v>88</v>
      </c>
      <c r="Y953" s="364" t="s">
        <v>88</v>
      </c>
      <c r="Z953" s="364" t="s">
        <v>877</v>
      </c>
      <c r="AA953" s="364" t="s">
        <v>876</v>
      </c>
      <c r="AB953" s="364" t="s">
        <v>649</v>
      </c>
      <c r="AC953" s="364" t="s">
        <v>649</v>
      </c>
      <c r="AD953" s="364" t="s">
        <v>88</v>
      </c>
      <c r="AE953" s="364" t="s">
        <v>88</v>
      </c>
      <c r="AF953" s="364" t="s">
        <v>88</v>
      </c>
      <c r="AG953" s="364" t="s">
        <v>88</v>
      </c>
      <c r="AH953" s="364" t="s">
        <v>88</v>
      </c>
      <c r="AI953" s="364" t="s">
        <v>1199</v>
      </c>
      <c r="AJ953" s="364" t="s">
        <v>670</v>
      </c>
      <c r="AK953" s="364" t="s">
        <v>669</v>
      </c>
      <c r="AL953" s="364" t="s">
        <v>88</v>
      </c>
      <c r="AM953" s="364" t="s">
        <v>668</v>
      </c>
      <c r="AN953" s="364" t="s">
        <v>644</v>
      </c>
    </row>
    <row r="954" spans="1:40" x14ac:dyDescent="0.3">
      <c r="A954" s="364" t="s">
        <v>1664</v>
      </c>
      <c r="B954" s="364" t="s">
        <v>661</v>
      </c>
      <c r="C954" s="364" t="s">
        <v>677</v>
      </c>
      <c r="D954" s="364" t="s">
        <v>87</v>
      </c>
      <c r="E954" s="364" t="s">
        <v>1079</v>
      </c>
      <c r="F954" s="364" t="s">
        <v>1079</v>
      </c>
      <c r="G954" s="364" t="s">
        <v>658</v>
      </c>
      <c r="H954" s="364" t="s">
        <v>1663</v>
      </c>
      <c r="I954" s="364" t="s">
        <v>765</v>
      </c>
      <c r="J954" s="364" t="s">
        <v>673</v>
      </c>
      <c r="K954" s="364" t="s">
        <v>668</v>
      </c>
      <c r="L954" s="364" t="s">
        <v>190</v>
      </c>
      <c r="M954" s="364" t="s">
        <v>60</v>
      </c>
      <c r="N954" s="364" t="s">
        <v>654</v>
      </c>
      <c r="O954" s="364" t="s">
        <v>653</v>
      </c>
      <c r="P954" s="364" t="s">
        <v>198</v>
      </c>
      <c r="Q954" s="364" t="s">
        <v>652</v>
      </c>
      <c r="R954" s="364" t="s">
        <v>88</v>
      </c>
      <c r="S954" s="364" t="s">
        <v>88</v>
      </c>
      <c r="T954" s="364" t="s">
        <v>88</v>
      </c>
      <c r="U954" s="364" t="s">
        <v>88</v>
      </c>
      <c r="V954" s="364" t="s">
        <v>88</v>
      </c>
      <c r="W954" s="364" t="s">
        <v>88</v>
      </c>
      <c r="X954" s="364" t="s">
        <v>88</v>
      </c>
      <c r="Y954" s="364" t="s">
        <v>88</v>
      </c>
      <c r="Z954" s="364" t="s">
        <v>709</v>
      </c>
      <c r="AA954" s="364" t="s">
        <v>708</v>
      </c>
      <c r="AB954" s="364" t="s">
        <v>649</v>
      </c>
      <c r="AC954" s="364" t="s">
        <v>649</v>
      </c>
      <c r="AD954" s="364" t="s">
        <v>88</v>
      </c>
      <c r="AE954" s="364" t="s">
        <v>88</v>
      </c>
      <c r="AF954" s="364" t="s">
        <v>88</v>
      </c>
      <c r="AG954" s="364" t="s">
        <v>88</v>
      </c>
      <c r="AH954" s="364" t="s">
        <v>88</v>
      </c>
      <c r="AI954" s="364" t="s">
        <v>1199</v>
      </c>
      <c r="AJ954" s="364" t="s">
        <v>670</v>
      </c>
      <c r="AK954" s="364" t="s">
        <v>687</v>
      </c>
      <c r="AL954" s="364" t="s">
        <v>88</v>
      </c>
      <c r="AM954" s="364" t="s">
        <v>668</v>
      </c>
      <c r="AN954" s="364" t="s">
        <v>644</v>
      </c>
    </row>
    <row r="955" spans="1:40" x14ac:dyDescent="0.3">
      <c r="A955" s="364" t="s">
        <v>1662</v>
      </c>
      <c r="B955" s="364" t="s">
        <v>661</v>
      </c>
      <c r="C955" s="364" t="s">
        <v>677</v>
      </c>
      <c r="D955" s="364" t="s">
        <v>90</v>
      </c>
      <c r="E955" s="364" t="s">
        <v>1661</v>
      </c>
      <c r="F955" s="364" t="s">
        <v>1661</v>
      </c>
      <c r="G955" s="364" t="s">
        <v>658</v>
      </c>
      <c r="H955" s="364" t="s">
        <v>1660</v>
      </c>
      <c r="I955" s="364" t="s">
        <v>1659</v>
      </c>
      <c r="J955" s="364" t="s">
        <v>673</v>
      </c>
      <c r="K955" s="364" t="s">
        <v>668</v>
      </c>
      <c r="L955" s="364" t="s">
        <v>190</v>
      </c>
      <c r="M955" s="364" t="s">
        <v>54</v>
      </c>
      <c r="N955" s="364" t="s">
        <v>654</v>
      </c>
      <c r="O955" s="364" t="s">
        <v>653</v>
      </c>
      <c r="P955" s="364" t="s">
        <v>198</v>
      </c>
      <c r="Q955" s="364" t="s">
        <v>652</v>
      </c>
      <c r="R955" s="364" t="s">
        <v>88</v>
      </c>
      <c r="S955" s="364" t="s">
        <v>88</v>
      </c>
      <c r="T955" s="364" t="s">
        <v>88</v>
      </c>
      <c r="U955" s="364" t="s">
        <v>88</v>
      </c>
      <c r="V955" s="364" t="s">
        <v>88</v>
      </c>
      <c r="W955" s="364" t="s">
        <v>88</v>
      </c>
      <c r="X955" s="364" t="s">
        <v>88</v>
      </c>
      <c r="Y955" s="364" t="s">
        <v>88</v>
      </c>
      <c r="Z955" s="364" t="s">
        <v>1265</v>
      </c>
      <c r="AA955" s="364" t="s">
        <v>649</v>
      </c>
      <c r="AB955" s="364" t="s">
        <v>649</v>
      </c>
      <c r="AC955" s="364" t="s">
        <v>649</v>
      </c>
      <c r="AD955" s="364" t="s">
        <v>88</v>
      </c>
      <c r="AE955" s="364" t="s">
        <v>88</v>
      </c>
      <c r="AF955" s="364" t="s">
        <v>88</v>
      </c>
      <c r="AG955" s="364" t="s">
        <v>88</v>
      </c>
      <c r="AH955" s="364" t="s">
        <v>88</v>
      </c>
      <c r="AI955" s="364" t="s">
        <v>1652</v>
      </c>
      <c r="AJ955" s="364" t="s">
        <v>710</v>
      </c>
      <c r="AK955" s="364" t="s">
        <v>647</v>
      </c>
      <c r="AL955" s="364" t="s">
        <v>88</v>
      </c>
      <c r="AM955" s="364" t="s">
        <v>668</v>
      </c>
      <c r="AN955" s="364" t="s">
        <v>644</v>
      </c>
    </row>
    <row r="956" spans="1:40" x14ac:dyDescent="0.3">
      <c r="A956" s="364" t="s">
        <v>1662</v>
      </c>
      <c r="B956" s="364" t="s">
        <v>661</v>
      </c>
      <c r="C956" s="364" t="s">
        <v>677</v>
      </c>
      <c r="D956" s="364" t="s">
        <v>90</v>
      </c>
      <c r="E956" s="364" t="s">
        <v>1661</v>
      </c>
      <c r="F956" s="364" t="s">
        <v>1661</v>
      </c>
      <c r="G956" s="364" t="s">
        <v>658</v>
      </c>
      <c r="H956" s="364" t="s">
        <v>1660</v>
      </c>
      <c r="I956" s="364" t="s">
        <v>1659</v>
      </c>
      <c r="J956" s="364" t="s">
        <v>673</v>
      </c>
      <c r="K956" s="364" t="s">
        <v>668</v>
      </c>
      <c r="L956" s="364" t="s">
        <v>190</v>
      </c>
      <c r="M956" s="364" t="s">
        <v>1168</v>
      </c>
      <c r="N956" s="364" t="s">
        <v>654</v>
      </c>
      <c r="O956" s="364" t="s">
        <v>653</v>
      </c>
      <c r="P956" s="364" t="s">
        <v>198</v>
      </c>
      <c r="Q956" s="364" t="s">
        <v>652</v>
      </c>
      <c r="R956" s="364" t="s">
        <v>88</v>
      </c>
      <c r="S956" s="364" t="s">
        <v>88</v>
      </c>
      <c r="T956" s="364" t="s">
        <v>88</v>
      </c>
      <c r="U956" s="364" t="s">
        <v>88</v>
      </c>
      <c r="V956" s="364" t="s">
        <v>88</v>
      </c>
      <c r="W956" s="364" t="s">
        <v>88</v>
      </c>
      <c r="X956" s="364" t="s">
        <v>88</v>
      </c>
      <c r="Y956" s="364" t="s">
        <v>88</v>
      </c>
      <c r="Z956" s="364" t="s">
        <v>1167</v>
      </c>
      <c r="AA956" s="364" t="s">
        <v>1166</v>
      </c>
      <c r="AB956" s="364" t="s">
        <v>649</v>
      </c>
      <c r="AC956" s="364" t="s">
        <v>649</v>
      </c>
      <c r="AD956" s="364" t="s">
        <v>88</v>
      </c>
      <c r="AE956" s="364" t="s">
        <v>88</v>
      </c>
      <c r="AF956" s="364" t="s">
        <v>88</v>
      </c>
      <c r="AG956" s="364" t="s">
        <v>88</v>
      </c>
      <c r="AH956" s="364" t="s">
        <v>88</v>
      </c>
      <c r="AI956" s="364" t="s">
        <v>1652</v>
      </c>
      <c r="AJ956" s="364" t="s">
        <v>710</v>
      </c>
      <c r="AK956" s="364" t="s">
        <v>647</v>
      </c>
      <c r="AL956" s="364" t="s">
        <v>88</v>
      </c>
      <c r="AM956" s="364" t="s">
        <v>668</v>
      </c>
      <c r="AN956" s="364" t="s">
        <v>644</v>
      </c>
    </row>
    <row r="957" spans="1:40" x14ac:dyDescent="0.3">
      <c r="A957" s="364" t="s">
        <v>1662</v>
      </c>
      <c r="B957" s="364" t="s">
        <v>661</v>
      </c>
      <c r="C957" s="364" t="s">
        <v>677</v>
      </c>
      <c r="D957" s="364" t="s">
        <v>90</v>
      </c>
      <c r="E957" s="364" t="s">
        <v>1661</v>
      </c>
      <c r="F957" s="364" t="s">
        <v>1661</v>
      </c>
      <c r="G957" s="364" t="s">
        <v>658</v>
      </c>
      <c r="H957" s="364" t="s">
        <v>1660</v>
      </c>
      <c r="I957" s="364" t="s">
        <v>1659</v>
      </c>
      <c r="J957" s="364" t="s">
        <v>673</v>
      </c>
      <c r="K957" s="364" t="s">
        <v>668</v>
      </c>
      <c r="L957" s="364" t="s">
        <v>190</v>
      </c>
      <c r="M957" s="364" t="s">
        <v>718</v>
      </c>
      <c r="N957" s="364" t="s">
        <v>654</v>
      </c>
      <c r="O957" s="364" t="s">
        <v>653</v>
      </c>
      <c r="P957" s="364" t="s">
        <v>198</v>
      </c>
      <c r="Q957" s="364" t="s">
        <v>652</v>
      </c>
      <c r="R957" s="364" t="s">
        <v>88</v>
      </c>
      <c r="S957" s="364" t="s">
        <v>88</v>
      </c>
      <c r="T957" s="364" t="s">
        <v>88</v>
      </c>
      <c r="U957" s="364" t="s">
        <v>88</v>
      </c>
      <c r="V957" s="364" t="s">
        <v>88</v>
      </c>
      <c r="W957" s="364" t="s">
        <v>88</v>
      </c>
      <c r="X957" s="364" t="s">
        <v>88</v>
      </c>
      <c r="Y957" s="364" t="s">
        <v>88</v>
      </c>
      <c r="Z957" s="364" t="s">
        <v>717</v>
      </c>
      <c r="AA957" s="364" t="s">
        <v>649</v>
      </c>
      <c r="AB957" s="364" t="s">
        <v>649</v>
      </c>
      <c r="AC957" s="364" t="s">
        <v>649</v>
      </c>
      <c r="AD957" s="364" t="s">
        <v>88</v>
      </c>
      <c r="AE957" s="364" t="s">
        <v>88</v>
      </c>
      <c r="AF957" s="364" t="s">
        <v>88</v>
      </c>
      <c r="AG957" s="364" t="s">
        <v>88</v>
      </c>
      <c r="AH957" s="364" t="s">
        <v>88</v>
      </c>
      <c r="AI957" s="364" t="s">
        <v>1652</v>
      </c>
      <c r="AJ957" s="364" t="s">
        <v>710</v>
      </c>
      <c r="AK957" s="364" t="s">
        <v>647</v>
      </c>
      <c r="AL957" s="364" t="s">
        <v>88</v>
      </c>
      <c r="AM957" s="364" t="s">
        <v>668</v>
      </c>
      <c r="AN957" s="364" t="s">
        <v>644</v>
      </c>
    </row>
    <row r="958" spans="1:40" x14ac:dyDescent="0.3">
      <c r="A958" s="364" t="s">
        <v>1662</v>
      </c>
      <c r="B958" s="364" t="s">
        <v>661</v>
      </c>
      <c r="C958" s="364" t="s">
        <v>677</v>
      </c>
      <c r="D958" s="364" t="s">
        <v>90</v>
      </c>
      <c r="E958" s="364" t="s">
        <v>1661</v>
      </c>
      <c r="F958" s="364" t="s">
        <v>1661</v>
      </c>
      <c r="G958" s="364" t="s">
        <v>658</v>
      </c>
      <c r="H958" s="364" t="s">
        <v>1660</v>
      </c>
      <c r="I958" s="364" t="s">
        <v>1659</v>
      </c>
      <c r="J958" s="364" t="s">
        <v>673</v>
      </c>
      <c r="K958" s="364" t="s">
        <v>668</v>
      </c>
      <c r="L958" s="364" t="s">
        <v>190</v>
      </c>
      <c r="M958" s="364" t="s">
        <v>713</v>
      </c>
      <c r="N958" s="364" t="s">
        <v>654</v>
      </c>
      <c r="O958" s="364" t="s">
        <v>653</v>
      </c>
      <c r="P958" s="364" t="s">
        <v>198</v>
      </c>
      <c r="Q958" s="364" t="s">
        <v>652</v>
      </c>
      <c r="R958" s="364" t="s">
        <v>88</v>
      </c>
      <c r="S958" s="364" t="s">
        <v>88</v>
      </c>
      <c r="T958" s="364" t="s">
        <v>88</v>
      </c>
      <c r="U958" s="364" t="s">
        <v>88</v>
      </c>
      <c r="V958" s="364" t="s">
        <v>88</v>
      </c>
      <c r="W958" s="364" t="s">
        <v>88</v>
      </c>
      <c r="X958" s="364" t="s">
        <v>88</v>
      </c>
      <c r="Y958" s="364" t="s">
        <v>88</v>
      </c>
      <c r="Z958" s="364" t="s">
        <v>712</v>
      </c>
      <c r="AA958" s="364" t="s">
        <v>711</v>
      </c>
      <c r="AB958" s="364" t="s">
        <v>649</v>
      </c>
      <c r="AC958" s="364" t="s">
        <v>649</v>
      </c>
      <c r="AD958" s="364" t="s">
        <v>88</v>
      </c>
      <c r="AE958" s="364" t="s">
        <v>88</v>
      </c>
      <c r="AF958" s="364" t="s">
        <v>88</v>
      </c>
      <c r="AG958" s="364" t="s">
        <v>88</v>
      </c>
      <c r="AH958" s="364" t="s">
        <v>88</v>
      </c>
      <c r="AI958" s="364" t="s">
        <v>1652</v>
      </c>
      <c r="AJ958" s="364" t="s">
        <v>710</v>
      </c>
      <c r="AK958" s="364" t="s">
        <v>647</v>
      </c>
      <c r="AL958" s="364" t="s">
        <v>88</v>
      </c>
      <c r="AM958" s="364" t="s">
        <v>668</v>
      </c>
      <c r="AN958" s="364" t="s">
        <v>644</v>
      </c>
    </row>
    <row r="959" spans="1:40" x14ac:dyDescent="0.3">
      <c r="A959" s="364" t="s">
        <v>1662</v>
      </c>
      <c r="B959" s="364" t="s">
        <v>661</v>
      </c>
      <c r="C959" s="364" t="s">
        <v>677</v>
      </c>
      <c r="D959" s="364" t="s">
        <v>90</v>
      </c>
      <c r="E959" s="364" t="s">
        <v>1661</v>
      </c>
      <c r="F959" s="364" t="s">
        <v>1661</v>
      </c>
      <c r="G959" s="364" t="s">
        <v>658</v>
      </c>
      <c r="H959" s="364" t="s">
        <v>1660</v>
      </c>
      <c r="I959" s="364" t="s">
        <v>1659</v>
      </c>
      <c r="J959" s="364" t="s">
        <v>673</v>
      </c>
      <c r="K959" s="364" t="s">
        <v>668</v>
      </c>
      <c r="L959" s="364" t="s">
        <v>190</v>
      </c>
      <c r="M959" s="364" t="s">
        <v>61</v>
      </c>
      <c r="N959" s="364" t="s">
        <v>654</v>
      </c>
      <c r="O959" s="364" t="s">
        <v>653</v>
      </c>
      <c r="P959" s="364" t="s">
        <v>198</v>
      </c>
      <c r="Q959" s="364" t="s">
        <v>652</v>
      </c>
      <c r="R959" s="364" t="s">
        <v>88</v>
      </c>
      <c r="S959" s="364" t="s">
        <v>88</v>
      </c>
      <c r="T959" s="364" t="s">
        <v>88</v>
      </c>
      <c r="U959" s="364" t="s">
        <v>88</v>
      </c>
      <c r="V959" s="364" t="s">
        <v>88</v>
      </c>
      <c r="W959" s="364" t="s">
        <v>88</v>
      </c>
      <c r="X959" s="364" t="s">
        <v>88</v>
      </c>
      <c r="Y959" s="364" t="s">
        <v>88</v>
      </c>
      <c r="Z959" s="364" t="s">
        <v>1021</v>
      </c>
      <c r="AA959" s="364" t="s">
        <v>671</v>
      </c>
      <c r="AB959" s="364" t="s">
        <v>649</v>
      </c>
      <c r="AC959" s="364" t="s">
        <v>649</v>
      </c>
      <c r="AD959" s="364" t="s">
        <v>88</v>
      </c>
      <c r="AE959" s="364" t="s">
        <v>88</v>
      </c>
      <c r="AF959" s="364" t="s">
        <v>88</v>
      </c>
      <c r="AG959" s="364" t="s">
        <v>88</v>
      </c>
      <c r="AH959" s="364" t="s">
        <v>88</v>
      </c>
      <c r="AI959" s="364" t="s">
        <v>1652</v>
      </c>
      <c r="AJ959" s="364" t="s">
        <v>710</v>
      </c>
      <c r="AK959" s="364" t="s">
        <v>647</v>
      </c>
      <c r="AL959" s="364" t="s">
        <v>88</v>
      </c>
      <c r="AM959" s="364" t="s">
        <v>668</v>
      </c>
      <c r="AN959" s="364" t="s">
        <v>644</v>
      </c>
    </row>
    <row r="960" spans="1:40" x14ac:dyDescent="0.3">
      <c r="A960" s="364" t="s">
        <v>1662</v>
      </c>
      <c r="B960" s="364" t="s">
        <v>661</v>
      </c>
      <c r="C960" s="364" t="s">
        <v>677</v>
      </c>
      <c r="D960" s="364" t="s">
        <v>90</v>
      </c>
      <c r="E960" s="364" t="s">
        <v>1661</v>
      </c>
      <c r="F960" s="364" t="s">
        <v>1661</v>
      </c>
      <c r="G960" s="364" t="s">
        <v>658</v>
      </c>
      <c r="H960" s="364" t="s">
        <v>1660</v>
      </c>
      <c r="I960" s="364" t="s">
        <v>1659</v>
      </c>
      <c r="J960" s="364" t="s">
        <v>673</v>
      </c>
      <c r="K960" s="364" t="s">
        <v>668</v>
      </c>
      <c r="L960" s="364" t="s">
        <v>190</v>
      </c>
      <c r="M960" s="364" t="s">
        <v>721</v>
      </c>
      <c r="N960" s="364" t="s">
        <v>654</v>
      </c>
      <c r="O960" s="364" t="s">
        <v>653</v>
      </c>
      <c r="P960" s="364" t="s">
        <v>198</v>
      </c>
      <c r="Q960" s="364" t="s">
        <v>652</v>
      </c>
      <c r="R960" s="364" t="s">
        <v>88</v>
      </c>
      <c r="S960" s="364" t="s">
        <v>88</v>
      </c>
      <c r="T960" s="364" t="s">
        <v>88</v>
      </c>
      <c r="U960" s="364" t="s">
        <v>88</v>
      </c>
      <c r="V960" s="364" t="s">
        <v>88</v>
      </c>
      <c r="W960" s="364" t="s">
        <v>88</v>
      </c>
      <c r="X960" s="364" t="s">
        <v>88</v>
      </c>
      <c r="Y960" s="364" t="s">
        <v>88</v>
      </c>
      <c r="Z960" s="364" t="s">
        <v>720</v>
      </c>
      <c r="AA960" s="364" t="s">
        <v>649</v>
      </c>
      <c r="AB960" s="364" t="s">
        <v>649</v>
      </c>
      <c r="AC960" s="364" t="s">
        <v>649</v>
      </c>
      <c r="AD960" s="364" t="s">
        <v>88</v>
      </c>
      <c r="AE960" s="364" t="s">
        <v>88</v>
      </c>
      <c r="AF960" s="364" t="s">
        <v>88</v>
      </c>
      <c r="AG960" s="364" t="s">
        <v>88</v>
      </c>
      <c r="AH960" s="364" t="s">
        <v>88</v>
      </c>
      <c r="AI960" s="364" t="s">
        <v>1652</v>
      </c>
      <c r="AJ960" s="364" t="s">
        <v>710</v>
      </c>
      <c r="AK960" s="364" t="s">
        <v>647</v>
      </c>
      <c r="AL960" s="364" t="s">
        <v>88</v>
      </c>
      <c r="AM960" s="364" t="s">
        <v>668</v>
      </c>
      <c r="AN960" s="364" t="s">
        <v>644</v>
      </c>
    </row>
    <row r="961" spans="1:40" x14ac:dyDescent="0.3">
      <c r="A961" s="364" t="s">
        <v>1662</v>
      </c>
      <c r="B961" s="364" t="s">
        <v>661</v>
      </c>
      <c r="C961" s="364" t="s">
        <v>677</v>
      </c>
      <c r="D961" s="364" t="s">
        <v>90</v>
      </c>
      <c r="E961" s="364" t="s">
        <v>1661</v>
      </c>
      <c r="F961" s="364" t="s">
        <v>1661</v>
      </c>
      <c r="G961" s="364" t="s">
        <v>658</v>
      </c>
      <c r="H961" s="364" t="s">
        <v>1660</v>
      </c>
      <c r="I961" s="364" t="s">
        <v>1659</v>
      </c>
      <c r="J961" s="364" t="s">
        <v>673</v>
      </c>
      <c r="K961" s="364" t="s">
        <v>668</v>
      </c>
      <c r="L961" s="364" t="s">
        <v>190</v>
      </c>
      <c r="M961" s="364" t="s">
        <v>56</v>
      </c>
      <c r="N961" s="364" t="s">
        <v>654</v>
      </c>
      <c r="O961" s="364" t="s">
        <v>653</v>
      </c>
      <c r="P961" s="364" t="s">
        <v>198</v>
      </c>
      <c r="Q961" s="364" t="s">
        <v>652</v>
      </c>
      <c r="R961" s="364" t="s">
        <v>88</v>
      </c>
      <c r="S961" s="364" t="s">
        <v>88</v>
      </c>
      <c r="T961" s="364" t="s">
        <v>88</v>
      </c>
      <c r="U961" s="364" t="s">
        <v>88</v>
      </c>
      <c r="V961" s="364" t="s">
        <v>88</v>
      </c>
      <c r="W961" s="364" t="s">
        <v>88</v>
      </c>
      <c r="X961" s="364" t="s">
        <v>88</v>
      </c>
      <c r="Y961" s="364" t="s">
        <v>88</v>
      </c>
      <c r="Z961" s="364" t="s">
        <v>1165</v>
      </c>
      <c r="AA961" s="364" t="s">
        <v>1164</v>
      </c>
      <c r="AB961" s="364" t="s">
        <v>649</v>
      </c>
      <c r="AC961" s="364" t="s">
        <v>649</v>
      </c>
      <c r="AD961" s="364" t="s">
        <v>88</v>
      </c>
      <c r="AE961" s="364" t="s">
        <v>88</v>
      </c>
      <c r="AF961" s="364" t="s">
        <v>88</v>
      </c>
      <c r="AG961" s="364" t="s">
        <v>88</v>
      </c>
      <c r="AH961" s="364" t="s">
        <v>88</v>
      </c>
      <c r="AI961" s="364" t="s">
        <v>1652</v>
      </c>
      <c r="AJ961" s="364" t="s">
        <v>710</v>
      </c>
      <c r="AK961" s="364" t="s">
        <v>647</v>
      </c>
      <c r="AL961" s="364" t="s">
        <v>88</v>
      </c>
      <c r="AM961" s="364" t="s">
        <v>668</v>
      </c>
      <c r="AN961" s="364" t="s">
        <v>644</v>
      </c>
    </row>
    <row r="962" spans="1:40" x14ac:dyDescent="0.3">
      <c r="A962" s="364" t="s">
        <v>1662</v>
      </c>
      <c r="B962" s="364" t="s">
        <v>661</v>
      </c>
      <c r="C962" s="364" t="s">
        <v>677</v>
      </c>
      <c r="D962" s="364" t="s">
        <v>90</v>
      </c>
      <c r="E962" s="364" t="s">
        <v>1661</v>
      </c>
      <c r="F962" s="364" t="s">
        <v>1661</v>
      </c>
      <c r="G962" s="364" t="s">
        <v>658</v>
      </c>
      <c r="H962" s="364" t="s">
        <v>1660</v>
      </c>
      <c r="I962" s="364" t="s">
        <v>1659</v>
      </c>
      <c r="J962" s="364" t="s">
        <v>673</v>
      </c>
      <c r="K962" s="364" t="s">
        <v>668</v>
      </c>
      <c r="L962" s="364" t="s">
        <v>190</v>
      </c>
      <c r="M962" s="364" t="s">
        <v>241</v>
      </c>
      <c r="N962" s="364" t="s">
        <v>654</v>
      </c>
      <c r="O962" s="364" t="s">
        <v>653</v>
      </c>
      <c r="P962" s="364" t="s">
        <v>198</v>
      </c>
      <c r="Q962" s="364" t="s">
        <v>652</v>
      </c>
      <c r="R962" s="364" t="s">
        <v>88</v>
      </c>
      <c r="S962" s="364" t="s">
        <v>88</v>
      </c>
      <c r="T962" s="364" t="s">
        <v>88</v>
      </c>
      <c r="U962" s="364" t="s">
        <v>88</v>
      </c>
      <c r="V962" s="364" t="s">
        <v>88</v>
      </c>
      <c r="W962" s="364" t="s">
        <v>88</v>
      </c>
      <c r="X962" s="364" t="s">
        <v>88</v>
      </c>
      <c r="Y962" s="364" t="s">
        <v>88</v>
      </c>
      <c r="Z962" s="364" t="s">
        <v>1170</v>
      </c>
      <c r="AA962" s="364" t="s">
        <v>1169</v>
      </c>
      <c r="AB962" s="364" t="s">
        <v>649</v>
      </c>
      <c r="AC962" s="364" t="s">
        <v>649</v>
      </c>
      <c r="AD962" s="364" t="s">
        <v>88</v>
      </c>
      <c r="AE962" s="364" t="s">
        <v>88</v>
      </c>
      <c r="AF962" s="364" t="s">
        <v>88</v>
      </c>
      <c r="AG962" s="364" t="s">
        <v>88</v>
      </c>
      <c r="AH962" s="364" t="s">
        <v>88</v>
      </c>
      <c r="AI962" s="364" t="s">
        <v>1652</v>
      </c>
      <c r="AJ962" s="364" t="s">
        <v>710</v>
      </c>
      <c r="AK962" s="364" t="s">
        <v>647</v>
      </c>
      <c r="AL962" s="364" t="s">
        <v>88</v>
      </c>
      <c r="AM962" s="364" t="s">
        <v>668</v>
      </c>
      <c r="AN962" s="364" t="s">
        <v>644</v>
      </c>
    </row>
    <row r="963" spans="1:40" x14ac:dyDescent="0.3">
      <c r="A963" s="364" t="s">
        <v>1658</v>
      </c>
      <c r="B963" s="364" t="s">
        <v>661</v>
      </c>
      <c r="C963" s="364" t="s">
        <v>677</v>
      </c>
      <c r="D963" s="364" t="s">
        <v>90</v>
      </c>
      <c r="E963" s="364" t="s">
        <v>1657</v>
      </c>
      <c r="F963" s="364" t="s">
        <v>1657</v>
      </c>
      <c r="G963" s="364" t="s">
        <v>658</v>
      </c>
      <c r="H963" s="364" t="s">
        <v>1656</v>
      </c>
      <c r="I963" s="364" t="s">
        <v>1655</v>
      </c>
      <c r="J963" s="364" t="s">
        <v>673</v>
      </c>
      <c r="K963" s="364" t="s">
        <v>668</v>
      </c>
      <c r="L963" s="364" t="s">
        <v>190</v>
      </c>
      <c r="M963" s="364" t="s">
        <v>242</v>
      </c>
      <c r="N963" s="364" t="s">
        <v>654</v>
      </c>
      <c r="O963" s="364" t="s">
        <v>653</v>
      </c>
      <c r="P963" s="364" t="s">
        <v>198</v>
      </c>
      <c r="Q963" s="364" t="s">
        <v>652</v>
      </c>
      <c r="R963" s="364" t="s">
        <v>88</v>
      </c>
      <c r="S963" s="364" t="s">
        <v>88</v>
      </c>
      <c r="T963" s="364" t="s">
        <v>88</v>
      </c>
      <c r="U963" s="364" t="s">
        <v>88</v>
      </c>
      <c r="V963" s="364" t="s">
        <v>88</v>
      </c>
      <c r="W963" s="364" t="s">
        <v>88</v>
      </c>
      <c r="X963" s="364" t="s">
        <v>88</v>
      </c>
      <c r="Y963" s="364" t="s">
        <v>88</v>
      </c>
      <c r="Z963" s="364" t="s">
        <v>1157</v>
      </c>
      <c r="AA963" s="364" t="s">
        <v>1156</v>
      </c>
      <c r="AB963" s="364" t="s">
        <v>649</v>
      </c>
      <c r="AC963" s="364" t="s">
        <v>649</v>
      </c>
      <c r="AD963" s="364" t="s">
        <v>88</v>
      </c>
      <c r="AE963" s="364" t="s">
        <v>88</v>
      </c>
      <c r="AF963" s="364" t="s">
        <v>88</v>
      </c>
      <c r="AG963" s="364" t="s">
        <v>88</v>
      </c>
      <c r="AH963" s="364" t="s">
        <v>88</v>
      </c>
      <c r="AI963" s="364" t="s">
        <v>1652</v>
      </c>
      <c r="AJ963" s="364" t="s">
        <v>710</v>
      </c>
      <c r="AK963" s="364" t="s">
        <v>647</v>
      </c>
      <c r="AL963" s="364" t="s">
        <v>88</v>
      </c>
      <c r="AM963" s="364" t="s">
        <v>668</v>
      </c>
      <c r="AN963" s="364" t="s">
        <v>644</v>
      </c>
    </row>
    <row r="964" spans="1:40" x14ac:dyDescent="0.3">
      <c r="A964" s="364" t="s">
        <v>1658</v>
      </c>
      <c r="B964" s="364" t="s">
        <v>661</v>
      </c>
      <c r="C964" s="364" t="s">
        <v>677</v>
      </c>
      <c r="D964" s="364" t="s">
        <v>90</v>
      </c>
      <c r="E964" s="364" t="s">
        <v>1657</v>
      </c>
      <c r="F964" s="364" t="s">
        <v>1657</v>
      </c>
      <c r="G964" s="364" t="s">
        <v>658</v>
      </c>
      <c r="H964" s="364" t="s">
        <v>1656</v>
      </c>
      <c r="I964" s="364" t="s">
        <v>1655</v>
      </c>
      <c r="J964" s="364" t="s">
        <v>673</v>
      </c>
      <c r="K964" s="364" t="s">
        <v>668</v>
      </c>
      <c r="L964" s="364" t="s">
        <v>190</v>
      </c>
      <c r="M964" s="364" t="s">
        <v>54</v>
      </c>
      <c r="N964" s="364" t="s">
        <v>654</v>
      </c>
      <c r="O964" s="364" t="s">
        <v>653</v>
      </c>
      <c r="P964" s="364" t="s">
        <v>198</v>
      </c>
      <c r="Q964" s="364" t="s">
        <v>652</v>
      </c>
      <c r="R964" s="364" t="s">
        <v>88</v>
      </c>
      <c r="S964" s="364" t="s">
        <v>88</v>
      </c>
      <c r="T964" s="364" t="s">
        <v>88</v>
      </c>
      <c r="U964" s="364" t="s">
        <v>88</v>
      </c>
      <c r="V964" s="364" t="s">
        <v>88</v>
      </c>
      <c r="W964" s="364" t="s">
        <v>88</v>
      </c>
      <c r="X964" s="364" t="s">
        <v>88</v>
      </c>
      <c r="Y964" s="364" t="s">
        <v>88</v>
      </c>
      <c r="Z964" s="364" t="s">
        <v>1265</v>
      </c>
      <c r="AA964" s="364" t="s">
        <v>649</v>
      </c>
      <c r="AB964" s="364" t="s">
        <v>649</v>
      </c>
      <c r="AC964" s="364" t="s">
        <v>649</v>
      </c>
      <c r="AD964" s="364" t="s">
        <v>88</v>
      </c>
      <c r="AE964" s="364" t="s">
        <v>88</v>
      </c>
      <c r="AF964" s="364" t="s">
        <v>88</v>
      </c>
      <c r="AG964" s="364" t="s">
        <v>88</v>
      </c>
      <c r="AH964" s="364" t="s">
        <v>88</v>
      </c>
      <c r="AI964" s="364" t="s">
        <v>1652</v>
      </c>
      <c r="AJ964" s="364" t="s">
        <v>710</v>
      </c>
      <c r="AK964" s="364" t="s">
        <v>647</v>
      </c>
      <c r="AL964" s="364" t="s">
        <v>88</v>
      </c>
      <c r="AM964" s="364" t="s">
        <v>668</v>
      </c>
      <c r="AN964" s="364" t="s">
        <v>644</v>
      </c>
    </row>
    <row r="965" spans="1:40" x14ac:dyDescent="0.3">
      <c r="A965" s="364" t="s">
        <v>1658</v>
      </c>
      <c r="B965" s="364" t="s">
        <v>661</v>
      </c>
      <c r="C965" s="364" t="s">
        <v>677</v>
      </c>
      <c r="D965" s="364" t="s">
        <v>90</v>
      </c>
      <c r="E965" s="364" t="s">
        <v>1657</v>
      </c>
      <c r="F965" s="364" t="s">
        <v>1657</v>
      </c>
      <c r="G965" s="364" t="s">
        <v>658</v>
      </c>
      <c r="H965" s="364" t="s">
        <v>1656</v>
      </c>
      <c r="I965" s="364" t="s">
        <v>1655</v>
      </c>
      <c r="J965" s="364" t="s">
        <v>673</v>
      </c>
      <c r="K965" s="364" t="s">
        <v>668</v>
      </c>
      <c r="L965" s="364" t="s">
        <v>190</v>
      </c>
      <c r="M965" s="364" t="s">
        <v>1168</v>
      </c>
      <c r="N965" s="364" t="s">
        <v>654</v>
      </c>
      <c r="O965" s="364" t="s">
        <v>653</v>
      </c>
      <c r="P965" s="364" t="s">
        <v>198</v>
      </c>
      <c r="Q965" s="364" t="s">
        <v>652</v>
      </c>
      <c r="R965" s="364" t="s">
        <v>88</v>
      </c>
      <c r="S965" s="364" t="s">
        <v>88</v>
      </c>
      <c r="T965" s="364" t="s">
        <v>88</v>
      </c>
      <c r="U965" s="364" t="s">
        <v>88</v>
      </c>
      <c r="V965" s="364" t="s">
        <v>88</v>
      </c>
      <c r="W965" s="364" t="s">
        <v>88</v>
      </c>
      <c r="X965" s="364" t="s">
        <v>88</v>
      </c>
      <c r="Y965" s="364" t="s">
        <v>88</v>
      </c>
      <c r="Z965" s="364" t="s">
        <v>1167</v>
      </c>
      <c r="AA965" s="364" t="s">
        <v>1166</v>
      </c>
      <c r="AB965" s="364" t="s">
        <v>649</v>
      </c>
      <c r="AC965" s="364" t="s">
        <v>649</v>
      </c>
      <c r="AD965" s="364" t="s">
        <v>88</v>
      </c>
      <c r="AE965" s="364" t="s">
        <v>88</v>
      </c>
      <c r="AF965" s="364" t="s">
        <v>88</v>
      </c>
      <c r="AG965" s="364" t="s">
        <v>88</v>
      </c>
      <c r="AH965" s="364" t="s">
        <v>88</v>
      </c>
      <c r="AI965" s="364" t="s">
        <v>1652</v>
      </c>
      <c r="AJ965" s="364" t="s">
        <v>710</v>
      </c>
      <c r="AK965" s="364" t="s">
        <v>647</v>
      </c>
      <c r="AL965" s="364" t="s">
        <v>88</v>
      </c>
      <c r="AM965" s="364" t="s">
        <v>668</v>
      </c>
      <c r="AN965" s="364" t="s">
        <v>644</v>
      </c>
    </row>
    <row r="966" spans="1:40" x14ac:dyDescent="0.3">
      <c r="A966" s="364" t="s">
        <v>1658</v>
      </c>
      <c r="B966" s="364" t="s">
        <v>661</v>
      </c>
      <c r="C966" s="364" t="s">
        <v>677</v>
      </c>
      <c r="D966" s="364" t="s">
        <v>90</v>
      </c>
      <c r="E966" s="364" t="s">
        <v>1657</v>
      </c>
      <c r="F966" s="364" t="s">
        <v>1657</v>
      </c>
      <c r="G966" s="364" t="s">
        <v>658</v>
      </c>
      <c r="H966" s="364" t="s">
        <v>1656</v>
      </c>
      <c r="I966" s="364" t="s">
        <v>1655</v>
      </c>
      <c r="J966" s="364" t="s">
        <v>673</v>
      </c>
      <c r="K966" s="364" t="s">
        <v>668</v>
      </c>
      <c r="L966" s="364" t="s">
        <v>190</v>
      </c>
      <c r="M966" s="364" t="s">
        <v>718</v>
      </c>
      <c r="N966" s="364" t="s">
        <v>654</v>
      </c>
      <c r="O966" s="364" t="s">
        <v>653</v>
      </c>
      <c r="P966" s="364" t="s">
        <v>198</v>
      </c>
      <c r="Q966" s="364" t="s">
        <v>652</v>
      </c>
      <c r="R966" s="364" t="s">
        <v>88</v>
      </c>
      <c r="S966" s="364" t="s">
        <v>88</v>
      </c>
      <c r="T966" s="364" t="s">
        <v>88</v>
      </c>
      <c r="U966" s="364" t="s">
        <v>88</v>
      </c>
      <c r="V966" s="364" t="s">
        <v>88</v>
      </c>
      <c r="W966" s="364" t="s">
        <v>88</v>
      </c>
      <c r="X966" s="364" t="s">
        <v>88</v>
      </c>
      <c r="Y966" s="364" t="s">
        <v>88</v>
      </c>
      <c r="Z966" s="364" t="s">
        <v>717</v>
      </c>
      <c r="AA966" s="364" t="s">
        <v>649</v>
      </c>
      <c r="AB966" s="364" t="s">
        <v>649</v>
      </c>
      <c r="AC966" s="364" t="s">
        <v>649</v>
      </c>
      <c r="AD966" s="364" t="s">
        <v>88</v>
      </c>
      <c r="AE966" s="364" t="s">
        <v>88</v>
      </c>
      <c r="AF966" s="364" t="s">
        <v>88</v>
      </c>
      <c r="AG966" s="364" t="s">
        <v>88</v>
      </c>
      <c r="AH966" s="364" t="s">
        <v>88</v>
      </c>
      <c r="AI966" s="364" t="s">
        <v>1652</v>
      </c>
      <c r="AJ966" s="364" t="s">
        <v>710</v>
      </c>
      <c r="AK966" s="364" t="s">
        <v>647</v>
      </c>
      <c r="AL966" s="364" t="s">
        <v>88</v>
      </c>
      <c r="AM966" s="364" t="s">
        <v>668</v>
      </c>
      <c r="AN966" s="364" t="s">
        <v>644</v>
      </c>
    </row>
    <row r="967" spans="1:40" x14ac:dyDescent="0.3">
      <c r="A967" s="364" t="s">
        <v>1658</v>
      </c>
      <c r="B967" s="364" t="s">
        <v>661</v>
      </c>
      <c r="C967" s="364" t="s">
        <v>677</v>
      </c>
      <c r="D967" s="364" t="s">
        <v>90</v>
      </c>
      <c r="E967" s="364" t="s">
        <v>1657</v>
      </c>
      <c r="F967" s="364" t="s">
        <v>1657</v>
      </c>
      <c r="G967" s="364" t="s">
        <v>658</v>
      </c>
      <c r="H967" s="364" t="s">
        <v>1656</v>
      </c>
      <c r="I967" s="364" t="s">
        <v>1655</v>
      </c>
      <c r="J967" s="364" t="s">
        <v>673</v>
      </c>
      <c r="K967" s="364" t="s">
        <v>668</v>
      </c>
      <c r="L967" s="364" t="s">
        <v>190</v>
      </c>
      <c r="M967" s="364" t="s">
        <v>713</v>
      </c>
      <c r="N967" s="364" t="s">
        <v>654</v>
      </c>
      <c r="O967" s="364" t="s">
        <v>653</v>
      </c>
      <c r="P967" s="364" t="s">
        <v>198</v>
      </c>
      <c r="Q967" s="364" t="s">
        <v>652</v>
      </c>
      <c r="R967" s="364" t="s">
        <v>88</v>
      </c>
      <c r="S967" s="364" t="s">
        <v>88</v>
      </c>
      <c r="T967" s="364" t="s">
        <v>88</v>
      </c>
      <c r="U967" s="364" t="s">
        <v>88</v>
      </c>
      <c r="V967" s="364" t="s">
        <v>88</v>
      </c>
      <c r="W967" s="364" t="s">
        <v>88</v>
      </c>
      <c r="X967" s="364" t="s">
        <v>88</v>
      </c>
      <c r="Y967" s="364" t="s">
        <v>88</v>
      </c>
      <c r="Z967" s="364" t="s">
        <v>712</v>
      </c>
      <c r="AA967" s="364" t="s">
        <v>711</v>
      </c>
      <c r="AB967" s="364" t="s">
        <v>649</v>
      </c>
      <c r="AC967" s="364" t="s">
        <v>649</v>
      </c>
      <c r="AD967" s="364" t="s">
        <v>88</v>
      </c>
      <c r="AE967" s="364" t="s">
        <v>88</v>
      </c>
      <c r="AF967" s="364" t="s">
        <v>88</v>
      </c>
      <c r="AG967" s="364" t="s">
        <v>88</v>
      </c>
      <c r="AH967" s="364" t="s">
        <v>88</v>
      </c>
      <c r="AI967" s="364" t="s">
        <v>1652</v>
      </c>
      <c r="AJ967" s="364" t="s">
        <v>710</v>
      </c>
      <c r="AK967" s="364" t="s">
        <v>647</v>
      </c>
      <c r="AL967" s="364" t="s">
        <v>88</v>
      </c>
      <c r="AM967" s="364" t="s">
        <v>668</v>
      </c>
      <c r="AN967" s="364" t="s">
        <v>644</v>
      </c>
    </row>
    <row r="968" spans="1:40" x14ac:dyDescent="0.3">
      <c r="A968" s="364" t="s">
        <v>1658</v>
      </c>
      <c r="B968" s="364" t="s">
        <v>661</v>
      </c>
      <c r="C968" s="364" t="s">
        <v>677</v>
      </c>
      <c r="D968" s="364" t="s">
        <v>90</v>
      </c>
      <c r="E968" s="364" t="s">
        <v>1657</v>
      </c>
      <c r="F968" s="364" t="s">
        <v>1657</v>
      </c>
      <c r="G968" s="364" t="s">
        <v>658</v>
      </c>
      <c r="H968" s="364" t="s">
        <v>1656</v>
      </c>
      <c r="I968" s="364" t="s">
        <v>1655</v>
      </c>
      <c r="J968" s="364" t="s">
        <v>673</v>
      </c>
      <c r="K968" s="364" t="s">
        <v>668</v>
      </c>
      <c r="L968" s="364" t="s">
        <v>190</v>
      </c>
      <c r="M968" s="364" t="s">
        <v>61</v>
      </c>
      <c r="N968" s="364" t="s">
        <v>654</v>
      </c>
      <c r="O968" s="364" t="s">
        <v>653</v>
      </c>
      <c r="P968" s="364" t="s">
        <v>198</v>
      </c>
      <c r="Q968" s="364" t="s">
        <v>652</v>
      </c>
      <c r="R968" s="364" t="s">
        <v>88</v>
      </c>
      <c r="S968" s="364" t="s">
        <v>88</v>
      </c>
      <c r="T968" s="364" t="s">
        <v>88</v>
      </c>
      <c r="U968" s="364" t="s">
        <v>88</v>
      </c>
      <c r="V968" s="364" t="s">
        <v>88</v>
      </c>
      <c r="W968" s="364" t="s">
        <v>88</v>
      </c>
      <c r="X968" s="364" t="s">
        <v>88</v>
      </c>
      <c r="Y968" s="364" t="s">
        <v>88</v>
      </c>
      <c r="Z968" s="364" t="s">
        <v>1021</v>
      </c>
      <c r="AA968" s="364" t="s">
        <v>671</v>
      </c>
      <c r="AB968" s="364" t="s">
        <v>649</v>
      </c>
      <c r="AC968" s="364" t="s">
        <v>649</v>
      </c>
      <c r="AD968" s="364" t="s">
        <v>88</v>
      </c>
      <c r="AE968" s="364" t="s">
        <v>88</v>
      </c>
      <c r="AF968" s="364" t="s">
        <v>88</v>
      </c>
      <c r="AG968" s="364" t="s">
        <v>88</v>
      </c>
      <c r="AH968" s="364" t="s">
        <v>88</v>
      </c>
      <c r="AI968" s="364" t="s">
        <v>1652</v>
      </c>
      <c r="AJ968" s="364" t="s">
        <v>710</v>
      </c>
      <c r="AK968" s="364" t="s">
        <v>647</v>
      </c>
      <c r="AL968" s="364" t="s">
        <v>88</v>
      </c>
      <c r="AM968" s="364" t="s">
        <v>668</v>
      </c>
      <c r="AN968" s="364" t="s">
        <v>644</v>
      </c>
    </row>
    <row r="969" spans="1:40" x14ac:dyDescent="0.3">
      <c r="A969" s="364" t="s">
        <v>1658</v>
      </c>
      <c r="B969" s="364" t="s">
        <v>661</v>
      </c>
      <c r="C969" s="364" t="s">
        <v>677</v>
      </c>
      <c r="D969" s="364" t="s">
        <v>90</v>
      </c>
      <c r="E969" s="364" t="s">
        <v>1657</v>
      </c>
      <c r="F969" s="364" t="s">
        <v>1657</v>
      </c>
      <c r="G969" s="364" t="s">
        <v>658</v>
      </c>
      <c r="H969" s="364" t="s">
        <v>1656</v>
      </c>
      <c r="I969" s="364" t="s">
        <v>1655</v>
      </c>
      <c r="J969" s="364" t="s">
        <v>673</v>
      </c>
      <c r="K969" s="364" t="s">
        <v>668</v>
      </c>
      <c r="L969" s="364" t="s">
        <v>190</v>
      </c>
      <c r="M969" s="364" t="s">
        <v>721</v>
      </c>
      <c r="N969" s="364" t="s">
        <v>654</v>
      </c>
      <c r="O969" s="364" t="s">
        <v>653</v>
      </c>
      <c r="P969" s="364" t="s">
        <v>198</v>
      </c>
      <c r="Q969" s="364" t="s">
        <v>652</v>
      </c>
      <c r="R969" s="364" t="s">
        <v>88</v>
      </c>
      <c r="S969" s="364" t="s">
        <v>88</v>
      </c>
      <c r="T969" s="364" t="s">
        <v>88</v>
      </c>
      <c r="U969" s="364" t="s">
        <v>88</v>
      </c>
      <c r="V969" s="364" t="s">
        <v>88</v>
      </c>
      <c r="W969" s="364" t="s">
        <v>88</v>
      </c>
      <c r="X969" s="364" t="s">
        <v>88</v>
      </c>
      <c r="Y969" s="364" t="s">
        <v>88</v>
      </c>
      <c r="Z969" s="364" t="s">
        <v>720</v>
      </c>
      <c r="AA969" s="364" t="s">
        <v>649</v>
      </c>
      <c r="AB969" s="364" t="s">
        <v>649</v>
      </c>
      <c r="AC969" s="364" t="s">
        <v>649</v>
      </c>
      <c r="AD969" s="364" t="s">
        <v>88</v>
      </c>
      <c r="AE969" s="364" t="s">
        <v>88</v>
      </c>
      <c r="AF969" s="364" t="s">
        <v>88</v>
      </c>
      <c r="AG969" s="364" t="s">
        <v>88</v>
      </c>
      <c r="AH969" s="364" t="s">
        <v>88</v>
      </c>
      <c r="AI969" s="364" t="s">
        <v>1652</v>
      </c>
      <c r="AJ969" s="364" t="s">
        <v>710</v>
      </c>
      <c r="AK969" s="364" t="s">
        <v>647</v>
      </c>
      <c r="AL969" s="364" t="s">
        <v>88</v>
      </c>
      <c r="AM969" s="364" t="s">
        <v>668</v>
      </c>
      <c r="AN969" s="364" t="s">
        <v>644</v>
      </c>
    </row>
    <row r="970" spans="1:40" x14ac:dyDescent="0.3">
      <c r="A970" s="364" t="s">
        <v>1658</v>
      </c>
      <c r="B970" s="364" t="s">
        <v>661</v>
      </c>
      <c r="C970" s="364" t="s">
        <v>677</v>
      </c>
      <c r="D970" s="364" t="s">
        <v>90</v>
      </c>
      <c r="E970" s="364" t="s">
        <v>1657</v>
      </c>
      <c r="F970" s="364" t="s">
        <v>1657</v>
      </c>
      <c r="G970" s="364" t="s">
        <v>658</v>
      </c>
      <c r="H970" s="364" t="s">
        <v>1656</v>
      </c>
      <c r="I970" s="364" t="s">
        <v>1655</v>
      </c>
      <c r="J970" s="364" t="s">
        <v>673</v>
      </c>
      <c r="K970" s="364" t="s">
        <v>668</v>
      </c>
      <c r="L970" s="364" t="s">
        <v>190</v>
      </c>
      <c r="M970" s="364" t="s">
        <v>56</v>
      </c>
      <c r="N970" s="364" t="s">
        <v>654</v>
      </c>
      <c r="O970" s="364" t="s">
        <v>653</v>
      </c>
      <c r="P970" s="364" t="s">
        <v>198</v>
      </c>
      <c r="Q970" s="364" t="s">
        <v>652</v>
      </c>
      <c r="R970" s="364" t="s">
        <v>88</v>
      </c>
      <c r="S970" s="364" t="s">
        <v>88</v>
      </c>
      <c r="T970" s="364" t="s">
        <v>88</v>
      </c>
      <c r="U970" s="364" t="s">
        <v>88</v>
      </c>
      <c r="V970" s="364" t="s">
        <v>88</v>
      </c>
      <c r="W970" s="364" t="s">
        <v>88</v>
      </c>
      <c r="X970" s="364" t="s">
        <v>88</v>
      </c>
      <c r="Y970" s="364" t="s">
        <v>88</v>
      </c>
      <c r="Z970" s="364" t="s">
        <v>1165</v>
      </c>
      <c r="AA970" s="364" t="s">
        <v>1164</v>
      </c>
      <c r="AB970" s="364" t="s">
        <v>649</v>
      </c>
      <c r="AC970" s="364" t="s">
        <v>649</v>
      </c>
      <c r="AD970" s="364" t="s">
        <v>88</v>
      </c>
      <c r="AE970" s="364" t="s">
        <v>88</v>
      </c>
      <c r="AF970" s="364" t="s">
        <v>88</v>
      </c>
      <c r="AG970" s="364" t="s">
        <v>88</v>
      </c>
      <c r="AH970" s="364" t="s">
        <v>88</v>
      </c>
      <c r="AI970" s="364" t="s">
        <v>1652</v>
      </c>
      <c r="AJ970" s="364" t="s">
        <v>710</v>
      </c>
      <c r="AK970" s="364" t="s">
        <v>647</v>
      </c>
      <c r="AL970" s="364" t="s">
        <v>88</v>
      </c>
      <c r="AM970" s="364" t="s">
        <v>668</v>
      </c>
      <c r="AN970" s="364" t="s">
        <v>644</v>
      </c>
    </row>
    <row r="971" spans="1:40" x14ac:dyDescent="0.3">
      <c r="A971" s="364" t="s">
        <v>1658</v>
      </c>
      <c r="B971" s="364" t="s">
        <v>661</v>
      </c>
      <c r="C971" s="364" t="s">
        <v>677</v>
      </c>
      <c r="D971" s="364" t="s">
        <v>90</v>
      </c>
      <c r="E971" s="364" t="s">
        <v>1657</v>
      </c>
      <c r="F971" s="364" t="s">
        <v>1657</v>
      </c>
      <c r="G971" s="364" t="s">
        <v>658</v>
      </c>
      <c r="H971" s="364" t="s">
        <v>1656</v>
      </c>
      <c r="I971" s="364" t="s">
        <v>1655</v>
      </c>
      <c r="J971" s="364" t="s">
        <v>673</v>
      </c>
      <c r="K971" s="364" t="s">
        <v>668</v>
      </c>
      <c r="L971" s="364" t="s">
        <v>190</v>
      </c>
      <c r="M971" s="364" t="s">
        <v>241</v>
      </c>
      <c r="N971" s="364" t="s">
        <v>654</v>
      </c>
      <c r="O971" s="364" t="s">
        <v>653</v>
      </c>
      <c r="P971" s="364" t="s">
        <v>198</v>
      </c>
      <c r="Q971" s="364" t="s">
        <v>652</v>
      </c>
      <c r="R971" s="364" t="s">
        <v>88</v>
      </c>
      <c r="S971" s="364" t="s">
        <v>88</v>
      </c>
      <c r="T971" s="364" t="s">
        <v>88</v>
      </c>
      <c r="U971" s="364" t="s">
        <v>88</v>
      </c>
      <c r="V971" s="364" t="s">
        <v>88</v>
      </c>
      <c r="W971" s="364" t="s">
        <v>88</v>
      </c>
      <c r="X971" s="364" t="s">
        <v>88</v>
      </c>
      <c r="Y971" s="364" t="s">
        <v>88</v>
      </c>
      <c r="Z971" s="364" t="s">
        <v>1170</v>
      </c>
      <c r="AA971" s="364" t="s">
        <v>1169</v>
      </c>
      <c r="AB971" s="364" t="s">
        <v>649</v>
      </c>
      <c r="AC971" s="364" t="s">
        <v>649</v>
      </c>
      <c r="AD971" s="364" t="s">
        <v>88</v>
      </c>
      <c r="AE971" s="364" t="s">
        <v>88</v>
      </c>
      <c r="AF971" s="364" t="s">
        <v>88</v>
      </c>
      <c r="AG971" s="364" t="s">
        <v>88</v>
      </c>
      <c r="AH971" s="364" t="s">
        <v>88</v>
      </c>
      <c r="AI971" s="364" t="s">
        <v>1652</v>
      </c>
      <c r="AJ971" s="364" t="s">
        <v>710</v>
      </c>
      <c r="AK971" s="364" t="s">
        <v>647</v>
      </c>
      <c r="AL971" s="364" t="s">
        <v>88</v>
      </c>
      <c r="AM971" s="364" t="s">
        <v>668</v>
      </c>
      <c r="AN971" s="364" t="s">
        <v>644</v>
      </c>
    </row>
    <row r="972" spans="1:40" x14ac:dyDescent="0.3">
      <c r="A972" s="364" t="s">
        <v>1658</v>
      </c>
      <c r="B972" s="364" t="s">
        <v>661</v>
      </c>
      <c r="C972" s="364" t="s">
        <v>677</v>
      </c>
      <c r="D972" s="364" t="s">
        <v>90</v>
      </c>
      <c r="E972" s="364" t="s">
        <v>1657</v>
      </c>
      <c r="F972" s="364" t="s">
        <v>1657</v>
      </c>
      <c r="G972" s="364" t="s">
        <v>658</v>
      </c>
      <c r="H972" s="364" t="s">
        <v>1656</v>
      </c>
      <c r="I972" s="364" t="s">
        <v>1655</v>
      </c>
      <c r="J972" s="364" t="s">
        <v>673</v>
      </c>
      <c r="K972" s="364" t="s">
        <v>668</v>
      </c>
      <c r="L972" s="364" t="s">
        <v>190</v>
      </c>
      <c r="M972" s="364" t="s">
        <v>240</v>
      </c>
      <c r="N972" s="364" t="s">
        <v>654</v>
      </c>
      <c r="O972" s="364" t="s">
        <v>653</v>
      </c>
      <c r="P972" s="364" t="s">
        <v>198</v>
      </c>
      <c r="Q972" s="364" t="s">
        <v>652</v>
      </c>
      <c r="R972" s="364" t="s">
        <v>88</v>
      </c>
      <c r="S972" s="364" t="s">
        <v>88</v>
      </c>
      <c r="T972" s="364" t="s">
        <v>88</v>
      </c>
      <c r="U972" s="364" t="s">
        <v>88</v>
      </c>
      <c r="V972" s="364" t="s">
        <v>88</v>
      </c>
      <c r="W972" s="364" t="s">
        <v>88</v>
      </c>
      <c r="X972" s="364" t="s">
        <v>88</v>
      </c>
      <c r="Y972" s="364" t="s">
        <v>88</v>
      </c>
      <c r="Z972" s="364" t="s">
        <v>1163</v>
      </c>
      <c r="AA972" s="364" t="s">
        <v>1162</v>
      </c>
      <c r="AB972" s="364" t="s">
        <v>649</v>
      </c>
      <c r="AC972" s="364" t="s">
        <v>649</v>
      </c>
      <c r="AD972" s="364" t="s">
        <v>88</v>
      </c>
      <c r="AE972" s="364" t="s">
        <v>88</v>
      </c>
      <c r="AF972" s="364" t="s">
        <v>88</v>
      </c>
      <c r="AG972" s="364" t="s">
        <v>88</v>
      </c>
      <c r="AH972" s="364" t="s">
        <v>88</v>
      </c>
      <c r="AI972" s="364" t="s">
        <v>1652</v>
      </c>
      <c r="AJ972" s="364" t="s">
        <v>710</v>
      </c>
      <c r="AK972" s="364" t="s">
        <v>647</v>
      </c>
      <c r="AL972" s="364" t="s">
        <v>88</v>
      </c>
      <c r="AM972" s="364" t="s">
        <v>668</v>
      </c>
      <c r="AN972" s="364" t="s">
        <v>644</v>
      </c>
    </row>
    <row r="973" spans="1:40" x14ac:dyDescent="0.3">
      <c r="A973" s="364" t="s">
        <v>1654</v>
      </c>
      <c r="B973" s="364" t="s">
        <v>661</v>
      </c>
      <c r="C973" s="364" t="s">
        <v>677</v>
      </c>
      <c r="D973" s="364" t="s">
        <v>90</v>
      </c>
      <c r="E973" s="364" t="s">
        <v>728</v>
      </c>
      <c r="F973" s="364" t="s">
        <v>728</v>
      </c>
      <c r="G973" s="364" t="s">
        <v>658</v>
      </c>
      <c r="H973" s="364" t="s">
        <v>1653</v>
      </c>
      <c r="I973" s="364" t="s">
        <v>1297</v>
      </c>
      <c r="J973" s="364" t="s">
        <v>673</v>
      </c>
      <c r="K973" s="364" t="s">
        <v>668</v>
      </c>
      <c r="L973" s="364" t="s">
        <v>190</v>
      </c>
      <c r="M973" s="364" t="s">
        <v>242</v>
      </c>
      <c r="N973" s="364" t="s">
        <v>654</v>
      </c>
      <c r="O973" s="364" t="s">
        <v>653</v>
      </c>
      <c r="P973" s="364" t="s">
        <v>198</v>
      </c>
      <c r="Q973" s="364" t="s">
        <v>652</v>
      </c>
      <c r="R973" s="364" t="s">
        <v>88</v>
      </c>
      <c r="S973" s="364" t="s">
        <v>88</v>
      </c>
      <c r="T973" s="364" t="s">
        <v>88</v>
      </c>
      <c r="U973" s="364" t="s">
        <v>88</v>
      </c>
      <c r="V973" s="364" t="s">
        <v>88</v>
      </c>
      <c r="W973" s="364" t="s">
        <v>88</v>
      </c>
      <c r="X973" s="364" t="s">
        <v>88</v>
      </c>
      <c r="Y973" s="364" t="s">
        <v>88</v>
      </c>
      <c r="Z973" s="364" t="s">
        <v>1157</v>
      </c>
      <c r="AA973" s="364" t="s">
        <v>1156</v>
      </c>
      <c r="AB973" s="364" t="s">
        <v>649</v>
      </c>
      <c r="AC973" s="364" t="s">
        <v>649</v>
      </c>
      <c r="AD973" s="364" t="s">
        <v>88</v>
      </c>
      <c r="AE973" s="364" t="s">
        <v>88</v>
      </c>
      <c r="AF973" s="364" t="s">
        <v>88</v>
      </c>
      <c r="AG973" s="364" t="s">
        <v>88</v>
      </c>
      <c r="AH973" s="364" t="s">
        <v>88</v>
      </c>
      <c r="AI973" s="364" t="s">
        <v>1652</v>
      </c>
      <c r="AJ973" s="364" t="s">
        <v>710</v>
      </c>
      <c r="AK973" s="364" t="s">
        <v>647</v>
      </c>
      <c r="AL973" s="364" t="s">
        <v>88</v>
      </c>
      <c r="AM973" s="364" t="s">
        <v>668</v>
      </c>
      <c r="AN973" s="364" t="s">
        <v>644</v>
      </c>
    </row>
    <row r="974" spans="1:40" x14ac:dyDescent="0.3">
      <c r="A974" s="364" t="s">
        <v>1654</v>
      </c>
      <c r="B974" s="364" t="s">
        <v>661</v>
      </c>
      <c r="C974" s="364" t="s">
        <v>677</v>
      </c>
      <c r="D974" s="364" t="s">
        <v>90</v>
      </c>
      <c r="E974" s="364" t="s">
        <v>728</v>
      </c>
      <c r="F974" s="364" t="s">
        <v>728</v>
      </c>
      <c r="G974" s="364" t="s">
        <v>658</v>
      </c>
      <c r="H974" s="364" t="s">
        <v>1653</v>
      </c>
      <c r="I974" s="364" t="s">
        <v>1297</v>
      </c>
      <c r="J974" s="364" t="s">
        <v>673</v>
      </c>
      <c r="K974" s="364" t="s">
        <v>668</v>
      </c>
      <c r="L974" s="364" t="s">
        <v>190</v>
      </c>
      <c r="M974" s="364" t="s">
        <v>54</v>
      </c>
      <c r="N974" s="364" t="s">
        <v>654</v>
      </c>
      <c r="O974" s="364" t="s">
        <v>653</v>
      </c>
      <c r="P974" s="364" t="s">
        <v>198</v>
      </c>
      <c r="Q974" s="364" t="s">
        <v>652</v>
      </c>
      <c r="R974" s="364" t="s">
        <v>88</v>
      </c>
      <c r="S974" s="364" t="s">
        <v>88</v>
      </c>
      <c r="T974" s="364" t="s">
        <v>88</v>
      </c>
      <c r="U974" s="364" t="s">
        <v>88</v>
      </c>
      <c r="V974" s="364" t="s">
        <v>88</v>
      </c>
      <c r="W974" s="364" t="s">
        <v>88</v>
      </c>
      <c r="X974" s="364" t="s">
        <v>88</v>
      </c>
      <c r="Y974" s="364" t="s">
        <v>88</v>
      </c>
      <c r="Z974" s="364" t="s">
        <v>1265</v>
      </c>
      <c r="AA974" s="364" t="s">
        <v>649</v>
      </c>
      <c r="AB974" s="364" t="s">
        <v>649</v>
      </c>
      <c r="AC974" s="364" t="s">
        <v>649</v>
      </c>
      <c r="AD974" s="364" t="s">
        <v>88</v>
      </c>
      <c r="AE974" s="364" t="s">
        <v>88</v>
      </c>
      <c r="AF974" s="364" t="s">
        <v>88</v>
      </c>
      <c r="AG974" s="364" t="s">
        <v>88</v>
      </c>
      <c r="AH974" s="364" t="s">
        <v>88</v>
      </c>
      <c r="AI974" s="364" t="s">
        <v>1652</v>
      </c>
      <c r="AJ974" s="364" t="s">
        <v>710</v>
      </c>
      <c r="AK974" s="364" t="s">
        <v>647</v>
      </c>
      <c r="AL974" s="364" t="s">
        <v>88</v>
      </c>
      <c r="AM974" s="364" t="s">
        <v>668</v>
      </c>
      <c r="AN974" s="364" t="s">
        <v>644</v>
      </c>
    </row>
    <row r="975" spans="1:40" x14ac:dyDescent="0.3">
      <c r="A975" s="364" t="s">
        <v>1654</v>
      </c>
      <c r="B975" s="364" t="s">
        <v>661</v>
      </c>
      <c r="C975" s="364" t="s">
        <v>677</v>
      </c>
      <c r="D975" s="364" t="s">
        <v>90</v>
      </c>
      <c r="E975" s="364" t="s">
        <v>728</v>
      </c>
      <c r="F975" s="364" t="s">
        <v>728</v>
      </c>
      <c r="G975" s="364" t="s">
        <v>658</v>
      </c>
      <c r="H975" s="364" t="s">
        <v>1653</v>
      </c>
      <c r="I975" s="364" t="s">
        <v>1297</v>
      </c>
      <c r="J975" s="364" t="s">
        <v>673</v>
      </c>
      <c r="K975" s="364" t="s">
        <v>668</v>
      </c>
      <c r="L975" s="364" t="s">
        <v>190</v>
      </c>
      <c r="M975" s="364" t="s">
        <v>1168</v>
      </c>
      <c r="N975" s="364" t="s">
        <v>654</v>
      </c>
      <c r="O975" s="364" t="s">
        <v>653</v>
      </c>
      <c r="P975" s="364" t="s">
        <v>198</v>
      </c>
      <c r="Q975" s="364" t="s">
        <v>652</v>
      </c>
      <c r="R975" s="364" t="s">
        <v>88</v>
      </c>
      <c r="S975" s="364" t="s">
        <v>88</v>
      </c>
      <c r="T975" s="364" t="s">
        <v>88</v>
      </c>
      <c r="U975" s="364" t="s">
        <v>88</v>
      </c>
      <c r="V975" s="364" t="s">
        <v>88</v>
      </c>
      <c r="W975" s="364" t="s">
        <v>88</v>
      </c>
      <c r="X975" s="364" t="s">
        <v>88</v>
      </c>
      <c r="Y975" s="364" t="s">
        <v>88</v>
      </c>
      <c r="Z975" s="364" t="s">
        <v>1167</v>
      </c>
      <c r="AA975" s="364" t="s">
        <v>1166</v>
      </c>
      <c r="AB975" s="364" t="s">
        <v>649</v>
      </c>
      <c r="AC975" s="364" t="s">
        <v>649</v>
      </c>
      <c r="AD975" s="364" t="s">
        <v>88</v>
      </c>
      <c r="AE975" s="364" t="s">
        <v>88</v>
      </c>
      <c r="AF975" s="364" t="s">
        <v>88</v>
      </c>
      <c r="AG975" s="364" t="s">
        <v>88</v>
      </c>
      <c r="AH975" s="364" t="s">
        <v>88</v>
      </c>
      <c r="AI975" s="364" t="s">
        <v>1652</v>
      </c>
      <c r="AJ975" s="364" t="s">
        <v>710</v>
      </c>
      <c r="AK975" s="364" t="s">
        <v>647</v>
      </c>
      <c r="AL975" s="364" t="s">
        <v>88</v>
      </c>
      <c r="AM975" s="364" t="s">
        <v>668</v>
      </c>
      <c r="AN975" s="364" t="s">
        <v>644</v>
      </c>
    </row>
    <row r="976" spans="1:40" x14ac:dyDescent="0.3">
      <c r="A976" s="364" t="s">
        <v>1654</v>
      </c>
      <c r="B976" s="364" t="s">
        <v>661</v>
      </c>
      <c r="C976" s="364" t="s">
        <v>677</v>
      </c>
      <c r="D976" s="364" t="s">
        <v>90</v>
      </c>
      <c r="E976" s="364" t="s">
        <v>728</v>
      </c>
      <c r="F976" s="364" t="s">
        <v>728</v>
      </c>
      <c r="G976" s="364" t="s">
        <v>658</v>
      </c>
      <c r="H976" s="364" t="s">
        <v>1653</v>
      </c>
      <c r="I976" s="364" t="s">
        <v>1297</v>
      </c>
      <c r="J976" s="364" t="s">
        <v>673</v>
      </c>
      <c r="K976" s="364" t="s">
        <v>668</v>
      </c>
      <c r="L976" s="364" t="s">
        <v>190</v>
      </c>
      <c r="M976" s="364" t="s">
        <v>718</v>
      </c>
      <c r="N976" s="364" t="s">
        <v>654</v>
      </c>
      <c r="O976" s="364" t="s">
        <v>653</v>
      </c>
      <c r="P976" s="364" t="s">
        <v>198</v>
      </c>
      <c r="Q976" s="364" t="s">
        <v>652</v>
      </c>
      <c r="R976" s="364" t="s">
        <v>88</v>
      </c>
      <c r="S976" s="364" t="s">
        <v>88</v>
      </c>
      <c r="T976" s="364" t="s">
        <v>88</v>
      </c>
      <c r="U976" s="364" t="s">
        <v>88</v>
      </c>
      <c r="V976" s="364" t="s">
        <v>88</v>
      </c>
      <c r="W976" s="364" t="s">
        <v>88</v>
      </c>
      <c r="X976" s="364" t="s">
        <v>88</v>
      </c>
      <c r="Y976" s="364" t="s">
        <v>88</v>
      </c>
      <c r="Z976" s="364" t="s">
        <v>717</v>
      </c>
      <c r="AA976" s="364" t="s">
        <v>649</v>
      </c>
      <c r="AB976" s="364" t="s">
        <v>649</v>
      </c>
      <c r="AC976" s="364" t="s">
        <v>649</v>
      </c>
      <c r="AD976" s="364" t="s">
        <v>88</v>
      </c>
      <c r="AE976" s="364" t="s">
        <v>88</v>
      </c>
      <c r="AF976" s="364" t="s">
        <v>88</v>
      </c>
      <c r="AG976" s="364" t="s">
        <v>88</v>
      </c>
      <c r="AH976" s="364" t="s">
        <v>88</v>
      </c>
      <c r="AI976" s="364" t="s">
        <v>1652</v>
      </c>
      <c r="AJ976" s="364" t="s">
        <v>710</v>
      </c>
      <c r="AK976" s="364" t="s">
        <v>647</v>
      </c>
      <c r="AL976" s="364" t="s">
        <v>88</v>
      </c>
      <c r="AM976" s="364" t="s">
        <v>668</v>
      </c>
      <c r="AN976" s="364" t="s">
        <v>644</v>
      </c>
    </row>
    <row r="977" spans="1:40" x14ac:dyDescent="0.3">
      <c r="A977" s="364" t="s">
        <v>1654</v>
      </c>
      <c r="B977" s="364" t="s">
        <v>661</v>
      </c>
      <c r="C977" s="364" t="s">
        <v>677</v>
      </c>
      <c r="D977" s="364" t="s">
        <v>90</v>
      </c>
      <c r="E977" s="364" t="s">
        <v>728</v>
      </c>
      <c r="F977" s="364" t="s">
        <v>728</v>
      </c>
      <c r="G977" s="364" t="s">
        <v>658</v>
      </c>
      <c r="H977" s="364" t="s">
        <v>1653</v>
      </c>
      <c r="I977" s="364" t="s">
        <v>1297</v>
      </c>
      <c r="J977" s="364" t="s">
        <v>673</v>
      </c>
      <c r="K977" s="364" t="s">
        <v>668</v>
      </c>
      <c r="L977" s="364" t="s">
        <v>190</v>
      </c>
      <c r="M977" s="364" t="s">
        <v>713</v>
      </c>
      <c r="N977" s="364" t="s">
        <v>654</v>
      </c>
      <c r="O977" s="364" t="s">
        <v>653</v>
      </c>
      <c r="P977" s="364" t="s">
        <v>198</v>
      </c>
      <c r="Q977" s="364" t="s">
        <v>652</v>
      </c>
      <c r="R977" s="364" t="s">
        <v>88</v>
      </c>
      <c r="S977" s="364" t="s">
        <v>88</v>
      </c>
      <c r="T977" s="364" t="s">
        <v>88</v>
      </c>
      <c r="U977" s="364" t="s">
        <v>88</v>
      </c>
      <c r="V977" s="364" t="s">
        <v>88</v>
      </c>
      <c r="W977" s="364" t="s">
        <v>88</v>
      </c>
      <c r="X977" s="364" t="s">
        <v>88</v>
      </c>
      <c r="Y977" s="364" t="s">
        <v>88</v>
      </c>
      <c r="Z977" s="364" t="s">
        <v>712</v>
      </c>
      <c r="AA977" s="364" t="s">
        <v>711</v>
      </c>
      <c r="AB977" s="364" t="s">
        <v>649</v>
      </c>
      <c r="AC977" s="364" t="s">
        <v>649</v>
      </c>
      <c r="AD977" s="364" t="s">
        <v>88</v>
      </c>
      <c r="AE977" s="364" t="s">
        <v>88</v>
      </c>
      <c r="AF977" s="364" t="s">
        <v>88</v>
      </c>
      <c r="AG977" s="364" t="s">
        <v>88</v>
      </c>
      <c r="AH977" s="364" t="s">
        <v>88</v>
      </c>
      <c r="AI977" s="364" t="s">
        <v>1652</v>
      </c>
      <c r="AJ977" s="364" t="s">
        <v>710</v>
      </c>
      <c r="AK977" s="364" t="s">
        <v>647</v>
      </c>
      <c r="AL977" s="364" t="s">
        <v>88</v>
      </c>
      <c r="AM977" s="364" t="s">
        <v>668</v>
      </c>
      <c r="AN977" s="364" t="s">
        <v>644</v>
      </c>
    </row>
    <row r="978" spans="1:40" x14ac:dyDescent="0.3">
      <c r="A978" s="364" t="s">
        <v>1654</v>
      </c>
      <c r="B978" s="364" t="s">
        <v>661</v>
      </c>
      <c r="C978" s="364" t="s">
        <v>677</v>
      </c>
      <c r="D978" s="364" t="s">
        <v>90</v>
      </c>
      <c r="E978" s="364" t="s">
        <v>728</v>
      </c>
      <c r="F978" s="364" t="s">
        <v>728</v>
      </c>
      <c r="G978" s="364" t="s">
        <v>658</v>
      </c>
      <c r="H978" s="364" t="s">
        <v>1653</v>
      </c>
      <c r="I978" s="364" t="s">
        <v>1297</v>
      </c>
      <c r="J978" s="364" t="s">
        <v>673</v>
      </c>
      <c r="K978" s="364" t="s">
        <v>668</v>
      </c>
      <c r="L978" s="364" t="s">
        <v>190</v>
      </c>
      <c r="M978" s="364" t="s">
        <v>61</v>
      </c>
      <c r="N978" s="364" t="s">
        <v>654</v>
      </c>
      <c r="O978" s="364" t="s">
        <v>653</v>
      </c>
      <c r="P978" s="364" t="s">
        <v>198</v>
      </c>
      <c r="Q978" s="364" t="s">
        <v>652</v>
      </c>
      <c r="R978" s="364" t="s">
        <v>88</v>
      </c>
      <c r="S978" s="364" t="s">
        <v>88</v>
      </c>
      <c r="T978" s="364" t="s">
        <v>88</v>
      </c>
      <c r="U978" s="364" t="s">
        <v>88</v>
      </c>
      <c r="V978" s="364" t="s">
        <v>88</v>
      </c>
      <c r="W978" s="364" t="s">
        <v>88</v>
      </c>
      <c r="X978" s="364" t="s">
        <v>88</v>
      </c>
      <c r="Y978" s="364" t="s">
        <v>88</v>
      </c>
      <c r="Z978" s="364" t="s">
        <v>1021</v>
      </c>
      <c r="AA978" s="364" t="s">
        <v>671</v>
      </c>
      <c r="AB978" s="364" t="s">
        <v>649</v>
      </c>
      <c r="AC978" s="364" t="s">
        <v>649</v>
      </c>
      <c r="AD978" s="364" t="s">
        <v>88</v>
      </c>
      <c r="AE978" s="364" t="s">
        <v>88</v>
      </c>
      <c r="AF978" s="364" t="s">
        <v>88</v>
      </c>
      <c r="AG978" s="364" t="s">
        <v>88</v>
      </c>
      <c r="AH978" s="364" t="s">
        <v>88</v>
      </c>
      <c r="AI978" s="364" t="s">
        <v>1652</v>
      </c>
      <c r="AJ978" s="364" t="s">
        <v>710</v>
      </c>
      <c r="AK978" s="364" t="s">
        <v>647</v>
      </c>
      <c r="AL978" s="364" t="s">
        <v>88</v>
      </c>
      <c r="AM978" s="364" t="s">
        <v>668</v>
      </c>
      <c r="AN978" s="364" t="s">
        <v>644</v>
      </c>
    </row>
    <row r="979" spans="1:40" x14ac:dyDescent="0.3">
      <c r="A979" s="364" t="s">
        <v>1654</v>
      </c>
      <c r="B979" s="364" t="s">
        <v>661</v>
      </c>
      <c r="C979" s="364" t="s">
        <v>677</v>
      </c>
      <c r="D979" s="364" t="s">
        <v>90</v>
      </c>
      <c r="E979" s="364" t="s">
        <v>728</v>
      </c>
      <c r="F979" s="364" t="s">
        <v>728</v>
      </c>
      <c r="G979" s="364" t="s">
        <v>658</v>
      </c>
      <c r="H979" s="364" t="s">
        <v>1653</v>
      </c>
      <c r="I979" s="364" t="s">
        <v>1297</v>
      </c>
      <c r="J979" s="364" t="s">
        <v>673</v>
      </c>
      <c r="K979" s="364" t="s">
        <v>668</v>
      </c>
      <c r="L979" s="364" t="s">
        <v>190</v>
      </c>
      <c r="M979" s="364" t="s">
        <v>721</v>
      </c>
      <c r="N979" s="364" t="s">
        <v>654</v>
      </c>
      <c r="O979" s="364" t="s">
        <v>653</v>
      </c>
      <c r="P979" s="364" t="s">
        <v>198</v>
      </c>
      <c r="Q979" s="364" t="s">
        <v>652</v>
      </c>
      <c r="R979" s="364" t="s">
        <v>88</v>
      </c>
      <c r="S979" s="364" t="s">
        <v>88</v>
      </c>
      <c r="T979" s="364" t="s">
        <v>88</v>
      </c>
      <c r="U979" s="364" t="s">
        <v>88</v>
      </c>
      <c r="V979" s="364" t="s">
        <v>88</v>
      </c>
      <c r="W979" s="364" t="s">
        <v>88</v>
      </c>
      <c r="X979" s="364" t="s">
        <v>88</v>
      </c>
      <c r="Y979" s="364" t="s">
        <v>88</v>
      </c>
      <c r="Z979" s="364" t="s">
        <v>720</v>
      </c>
      <c r="AA979" s="364" t="s">
        <v>649</v>
      </c>
      <c r="AB979" s="364" t="s">
        <v>649</v>
      </c>
      <c r="AC979" s="364" t="s">
        <v>649</v>
      </c>
      <c r="AD979" s="364" t="s">
        <v>88</v>
      </c>
      <c r="AE979" s="364" t="s">
        <v>88</v>
      </c>
      <c r="AF979" s="364" t="s">
        <v>88</v>
      </c>
      <c r="AG979" s="364" t="s">
        <v>88</v>
      </c>
      <c r="AH979" s="364" t="s">
        <v>88</v>
      </c>
      <c r="AI979" s="364" t="s">
        <v>1652</v>
      </c>
      <c r="AJ979" s="364" t="s">
        <v>710</v>
      </c>
      <c r="AK979" s="364" t="s">
        <v>647</v>
      </c>
      <c r="AL979" s="364" t="s">
        <v>88</v>
      </c>
      <c r="AM979" s="364" t="s">
        <v>668</v>
      </c>
      <c r="AN979" s="364" t="s">
        <v>644</v>
      </c>
    </row>
    <row r="980" spans="1:40" x14ac:dyDescent="0.3">
      <c r="A980" s="364" t="s">
        <v>1654</v>
      </c>
      <c r="B980" s="364" t="s">
        <v>661</v>
      </c>
      <c r="C980" s="364" t="s">
        <v>677</v>
      </c>
      <c r="D980" s="364" t="s">
        <v>90</v>
      </c>
      <c r="E980" s="364" t="s">
        <v>728</v>
      </c>
      <c r="F980" s="364" t="s">
        <v>728</v>
      </c>
      <c r="G980" s="364" t="s">
        <v>658</v>
      </c>
      <c r="H980" s="364" t="s">
        <v>1653</v>
      </c>
      <c r="I980" s="364" t="s">
        <v>1297</v>
      </c>
      <c r="J980" s="364" t="s">
        <v>673</v>
      </c>
      <c r="K980" s="364" t="s">
        <v>668</v>
      </c>
      <c r="L980" s="364" t="s">
        <v>190</v>
      </c>
      <c r="M980" s="364" t="s">
        <v>56</v>
      </c>
      <c r="N980" s="364" t="s">
        <v>654</v>
      </c>
      <c r="O980" s="364" t="s">
        <v>653</v>
      </c>
      <c r="P980" s="364" t="s">
        <v>198</v>
      </c>
      <c r="Q980" s="364" t="s">
        <v>652</v>
      </c>
      <c r="R980" s="364" t="s">
        <v>88</v>
      </c>
      <c r="S980" s="364" t="s">
        <v>88</v>
      </c>
      <c r="T980" s="364" t="s">
        <v>88</v>
      </c>
      <c r="U980" s="364" t="s">
        <v>88</v>
      </c>
      <c r="V980" s="364" t="s">
        <v>88</v>
      </c>
      <c r="W980" s="364" t="s">
        <v>88</v>
      </c>
      <c r="X980" s="364" t="s">
        <v>88</v>
      </c>
      <c r="Y980" s="364" t="s">
        <v>88</v>
      </c>
      <c r="Z980" s="364" t="s">
        <v>1165</v>
      </c>
      <c r="AA980" s="364" t="s">
        <v>1164</v>
      </c>
      <c r="AB980" s="364" t="s">
        <v>649</v>
      </c>
      <c r="AC980" s="364" t="s">
        <v>649</v>
      </c>
      <c r="AD980" s="364" t="s">
        <v>88</v>
      </c>
      <c r="AE980" s="364" t="s">
        <v>88</v>
      </c>
      <c r="AF980" s="364" t="s">
        <v>88</v>
      </c>
      <c r="AG980" s="364" t="s">
        <v>88</v>
      </c>
      <c r="AH980" s="364" t="s">
        <v>88</v>
      </c>
      <c r="AI980" s="364" t="s">
        <v>1652</v>
      </c>
      <c r="AJ980" s="364" t="s">
        <v>710</v>
      </c>
      <c r="AK980" s="364" t="s">
        <v>647</v>
      </c>
      <c r="AL980" s="364" t="s">
        <v>88</v>
      </c>
      <c r="AM980" s="364" t="s">
        <v>668</v>
      </c>
      <c r="AN980" s="364" t="s">
        <v>644</v>
      </c>
    </row>
    <row r="981" spans="1:40" x14ac:dyDescent="0.3">
      <c r="A981" s="364" t="s">
        <v>1654</v>
      </c>
      <c r="B981" s="364" t="s">
        <v>661</v>
      </c>
      <c r="C981" s="364" t="s">
        <v>677</v>
      </c>
      <c r="D981" s="364" t="s">
        <v>90</v>
      </c>
      <c r="E981" s="364" t="s">
        <v>728</v>
      </c>
      <c r="F981" s="364" t="s">
        <v>728</v>
      </c>
      <c r="G981" s="364" t="s">
        <v>658</v>
      </c>
      <c r="H981" s="364" t="s">
        <v>1653</v>
      </c>
      <c r="I981" s="364" t="s">
        <v>1297</v>
      </c>
      <c r="J981" s="364" t="s">
        <v>673</v>
      </c>
      <c r="K981" s="364" t="s">
        <v>668</v>
      </c>
      <c r="L981" s="364" t="s">
        <v>190</v>
      </c>
      <c r="M981" s="364" t="s">
        <v>241</v>
      </c>
      <c r="N981" s="364" t="s">
        <v>654</v>
      </c>
      <c r="O981" s="364" t="s">
        <v>653</v>
      </c>
      <c r="P981" s="364" t="s">
        <v>198</v>
      </c>
      <c r="Q981" s="364" t="s">
        <v>652</v>
      </c>
      <c r="R981" s="364" t="s">
        <v>88</v>
      </c>
      <c r="S981" s="364" t="s">
        <v>88</v>
      </c>
      <c r="T981" s="364" t="s">
        <v>88</v>
      </c>
      <c r="U981" s="364" t="s">
        <v>88</v>
      </c>
      <c r="V981" s="364" t="s">
        <v>88</v>
      </c>
      <c r="W981" s="364" t="s">
        <v>88</v>
      </c>
      <c r="X981" s="364" t="s">
        <v>88</v>
      </c>
      <c r="Y981" s="364" t="s">
        <v>88</v>
      </c>
      <c r="Z981" s="364" t="s">
        <v>1170</v>
      </c>
      <c r="AA981" s="364" t="s">
        <v>1169</v>
      </c>
      <c r="AB981" s="364" t="s">
        <v>649</v>
      </c>
      <c r="AC981" s="364" t="s">
        <v>649</v>
      </c>
      <c r="AD981" s="364" t="s">
        <v>88</v>
      </c>
      <c r="AE981" s="364" t="s">
        <v>88</v>
      </c>
      <c r="AF981" s="364" t="s">
        <v>88</v>
      </c>
      <c r="AG981" s="364" t="s">
        <v>88</v>
      </c>
      <c r="AH981" s="364" t="s">
        <v>88</v>
      </c>
      <c r="AI981" s="364" t="s">
        <v>1652</v>
      </c>
      <c r="AJ981" s="364" t="s">
        <v>710</v>
      </c>
      <c r="AK981" s="364" t="s">
        <v>647</v>
      </c>
      <c r="AL981" s="364" t="s">
        <v>88</v>
      </c>
      <c r="AM981" s="364" t="s">
        <v>668</v>
      </c>
      <c r="AN981" s="364" t="s">
        <v>644</v>
      </c>
    </row>
    <row r="982" spans="1:40" x14ac:dyDescent="0.3">
      <c r="A982" s="364" t="s">
        <v>1654</v>
      </c>
      <c r="B982" s="364" t="s">
        <v>661</v>
      </c>
      <c r="C982" s="364" t="s">
        <v>677</v>
      </c>
      <c r="D982" s="364" t="s">
        <v>90</v>
      </c>
      <c r="E982" s="364" t="s">
        <v>728</v>
      </c>
      <c r="F982" s="364" t="s">
        <v>728</v>
      </c>
      <c r="G982" s="364" t="s">
        <v>658</v>
      </c>
      <c r="H982" s="364" t="s">
        <v>1653</v>
      </c>
      <c r="I982" s="364" t="s">
        <v>1297</v>
      </c>
      <c r="J982" s="364" t="s">
        <v>673</v>
      </c>
      <c r="K982" s="364" t="s">
        <v>668</v>
      </c>
      <c r="L982" s="364" t="s">
        <v>190</v>
      </c>
      <c r="M982" s="364" t="s">
        <v>240</v>
      </c>
      <c r="N982" s="364" t="s">
        <v>654</v>
      </c>
      <c r="O982" s="364" t="s">
        <v>653</v>
      </c>
      <c r="P982" s="364" t="s">
        <v>198</v>
      </c>
      <c r="Q982" s="364" t="s">
        <v>652</v>
      </c>
      <c r="R982" s="364" t="s">
        <v>88</v>
      </c>
      <c r="S982" s="364" t="s">
        <v>88</v>
      </c>
      <c r="T982" s="364" t="s">
        <v>88</v>
      </c>
      <c r="U982" s="364" t="s">
        <v>88</v>
      </c>
      <c r="V982" s="364" t="s">
        <v>88</v>
      </c>
      <c r="W982" s="364" t="s">
        <v>88</v>
      </c>
      <c r="X982" s="364" t="s">
        <v>88</v>
      </c>
      <c r="Y982" s="364" t="s">
        <v>88</v>
      </c>
      <c r="Z982" s="364" t="s">
        <v>1163</v>
      </c>
      <c r="AA982" s="364" t="s">
        <v>1162</v>
      </c>
      <c r="AB982" s="364" t="s">
        <v>649</v>
      </c>
      <c r="AC982" s="364" t="s">
        <v>649</v>
      </c>
      <c r="AD982" s="364" t="s">
        <v>88</v>
      </c>
      <c r="AE982" s="364" t="s">
        <v>88</v>
      </c>
      <c r="AF982" s="364" t="s">
        <v>88</v>
      </c>
      <c r="AG982" s="364" t="s">
        <v>88</v>
      </c>
      <c r="AH982" s="364" t="s">
        <v>88</v>
      </c>
      <c r="AI982" s="364" t="s">
        <v>1652</v>
      </c>
      <c r="AJ982" s="364" t="s">
        <v>710</v>
      </c>
      <c r="AK982" s="364" t="s">
        <v>647</v>
      </c>
      <c r="AL982" s="364" t="s">
        <v>88</v>
      </c>
      <c r="AM982" s="364" t="s">
        <v>668</v>
      </c>
      <c r="AN982" s="364" t="s">
        <v>644</v>
      </c>
    </row>
    <row r="983" spans="1:40" x14ac:dyDescent="0.3">
      <c r="A983" s="364" t="s">
        <v>1651</v>
      </c>
      <c r="B983" s="364" t="s">
        <v>661</v>
      </c>
      <c r="C983" s="364" t="s">
        <v>677</v>
      </c>
      <c r="D983" s="364" t="s">
        <v>87</v>
      </c>
      <c r="E983" s="364" t="s">
        <v>1633</v>
      </c>
      <c r="F983" s="364" t="s">
        <v>1633</v>
      </c>
      <c r="G983" s="364" t="s">
        <v>658</v>
      </c>
      <c r="H983" s="364" t="s">
        <v>1650</v>
      </c>
      <c r="I983" s="364" t="s">
        <v>765</v>
      </c>
      <c r="J983" s="364" t="s">
        <v>673</v>
      </c>
      <c r="K983" s="364" t="s">
        <v>668</v>
      </c>
      <c r="L983" s="364" t="s">
        <v>190</v>
      </c>
      <c r="M983" s="364" t="s">
        <v>60</v>
      </c>
      <c r="N983" s="364" t="s">
        <v>654</v>
      </c>
      <c r="O983" s="364" t="s">
        <v>653</v>
      </c>
      <c r="P983" s="364" t="s">
        <v>198</v>
      </c>
      <c r="Q983" s="364" t="s">
        <v>652</v>
      </c>
      <c r="R983" s="364" t="s">
        <v>88</v>
      </c>
      <c r="S983" s="364" t="s">
        <v>88</v>
      </c>
      <c r="T983" s="364" t="s">
        <v>88</v>
      </c>
      <c r="U983" s="364" t="s">
        <v>88</v>
      </c>
      <c r="V983" s="364" t="s">
        <v>88</v>
      </c>
      <c r="W983" s="364" t="s">
        <v>88</v>
      </c>
      <c r="X983" s="364" t="s">
        <v>88</v>
      </c>
      <c r="Y983" s="364" t="s">
        <v>88</v>
      </c>
      <c r="Z983" s="364" t="s">
        <v>709</v>
      </c>
      <c r="AA983" s="364" t="s">
        <v>708</v>
      </c>
      <c r="AB983" s="364" t="s">
        <v>649</v>
      </c>
      <c r="AC983" s="364" t="s">
        <v>649</v>
      </c>
      <c r="AD983" s="364" t="s">
        <v>88</v>
      </c>
      <c r="AE983" s="364" t="s">
        <v>88</v>
      </c>
      <c r="AF983" s="364" t="s">
        <v>88</v>
      </c>
      <c r="AG983" s="364" t="s">
        <v>88</v>
      </c>
      <c r="AH983" s="364" t="s">
        <v>88</v>
      </c>
      <c r="AI983" s="364" t="s">
        <v>1199</v>
      </c>
      <c r="AJ983" s="364" t="s">
        <v>670</v>
      </c>
      <c r="AK983" s="364" t="s">
        <v>687</v>
      </c>
      <c r="AL983" s="364" t="s">
        <v>88</v>
      </c>
      <c r="AM983" s="364" t="s">
        <v>668</v>
      </c>
      <c r="AN983" s="364" t="s">
        <v>644</v>
      </c>
    </row>
    <row r="984" spans="1:40" x14ac:dyDescent="0.3">
      <c r="A984" s="364" t="s">
        <v>1649</v>
      </c>
      <c r="B984" s="364" t="s">
        <v>661</v>
      </c>
      <c r="C984" s="364" t="s">
        <v>677</v>
      </c>
      <c r="D984" s="364" t="s">
        <v>87</v>
      </c>
      <c r="E984" s="364" t="s">
        <v>1633</v>
      </c>
      <c r="F984" s="364" t="s">
        <v>1633</v>
      </c>
      <c r="G984" s="364" t="s">
        <v>658</v>
      </c>
      <c r="H984" s="364" t="s">
        <v>1648</v>
      </c>
      <c r="I984" s="364" t="s">
        <v>1647</v>
      </c>
      <c r="J984" s="364" t="s">
        <v>673</v>
      </c>
      <c r="K984" s="364" t="s">
        <v>668</v>
      </c>
      <c r="L984" s="364" t="s">
        <v>190</v>
      </c>
      <c r="M984" s="364" t="s">
        <v>58</v>
      </c>
      <c r="N984" s="364" t="s">
        <v>654</v>
      </c>
      <c r="O984" s="364" t="s">
        <v>653</v>
      </c>
      <c r="P984" s="364" t="s">
        <v>198</v>
      </c>
      <c r="Q984" s="364" t="s">
        <v>652</v>
      </c>
      <c r="R984" s="364" t="s">
        <v>88</v>
      </c>
      <c r="S984" s="364" t="s">
        <v>88</v>
      </c>
      <c r="T984" s="364" t="s">
        <v>88</v>
      </c>
      <c r="U984" s="364" t="s">
        <v>88</v>
      </c>
      <c r="V984" s="364" t="s">
        <v>88</v>
      </c>
      <c r="W984" s="364" t="s">
        <v>88</v>
      </c>
      <c r="X984" s="364" t="s">
        <v>88</v>
      </c>
      <c r="Y984" s="364" t="s">
        <v>88</v>
      </c>
      <c r="Z984" s="364" t="s">
        <v>702</v>
      </c>
      <c r="AA984" s="364" t="s">
        <v>701</v>
      </c>
      <c r="AB984" s="364" t="s">
        <v>649</v>
      </c>
      <c r="AC984" s="364" t="s">
        <v>649</v>
      </c>
      <c r="AD984" s="364" t="s">
        <v>88</v>
      </c>
      <c r="AE984" s="364" t="s">
        <v>88</v>
      </c>
      <c r="AF984" s="364" t="s">
        <v>88</v>
      </c>
      <c r="AG984" s="364" t="s">
        <v>88</v>
      </c>
      <c r="AH984" s="364" t="s">
        <v>88</v>
      </c>
      <c r="AI984" s="364" t="s">
        <v>1199</v>
      </c>
      <c r="AJ984" s="364" t="s">
        <v>670</v>
      </c>
      <c r="AK984" s="364" t="s">
        <v>669</v>
      </c>
      <c r="AL984" s="364" t="s">
        <v>88</v>
      </c>
      <c r="AM984" s="364" t="s">
        <v>668</v>
      </c>
      <c r="AN984" s="364" t="s">
        <v>644</v>
      </c>
    </row>
    <row r="985" spans="1:40" x14ac:dyDescent="0.3">
      <c r="A985" s="364" t="s">
        <v>1649</v>
      </c>
      <c r="B985" s="364" t="s">
        <v>661</v>
      </c>
      <c r="C985" s="364" t="s">
        <v>677</v>
      </c>
      <c r="D985" s="364" t="s">
        <v>87</v>
      </c>
      <c r="E985" s="364" t="s">
        <v>1633</v>
      </c>
      <c r="F985" s="364" t="s">
        <v>1633</v>
      </c>
      <c r="G985" s="364" t="s">
        <v>658</v>
      </c>
      <c r="H985" s="364" t="s">
        <v>1648</v>
      </c>
      <c r="I985" s="364" t="s">
        <v>1647</v>
      </c>
      <c r="J985" s="364" t="s">
        <v>673</v>
      </c>
      <c r="K985" s="364" t="s">
        <v>668</v>
      </c>
      <c r="L985" s="364" t="s">
        <v>190</v>
      </c>
      <c r="M985" s="364" t="s">
        <v>166</v>
      </c>
      <c r="N985" s="364" t="s">
        <v>654</v>
      </c>
      <c r="O985" s="364" t="s">
        <v>653</v>
      </c>
      <c r="P985" s="364" t="s">
        <v>198</v>
      </c>
      <c r="Q985" s="364" t="s">
        <v>652</v>
      </c>
      <c r="R985" s="364" t="s">
        <v>88</v>
      </c>
      <c r="S985" s="364" t="s">
        <v>88</v>
      </c>
      <c r="T985" s="364" t="s">
        <v>88</v>
      </c>
      <c r="U985" s="364" t="s">
        <v>88</v>
      </c>
      <c r="V985" s="364" t="s">
        <v>88</v>
      </c>
      <c r="W985" s="364" t="s">
        <v>88</v>
      </c>
      <c r="X985" s="364" t="s">
        <v>88</v>
      </c>
      <c r="Y985" s="364" t="s">
        <v>88</v>
      </c>
      <c r="Z985" s="364" t="s">
        <v>877</v>
      </c>
      <c r="AA985" s="364" t="s">
        <v>876</v>
      </c>
      <c r="AB985" s="364" t="s">
        <v>649</v>
      </c>
      <c r="AC985" s="364" t="s">
        <v>649</v>
      </c>
      <c r="AD985" s="364" t="s">
        <v>88</v>
      </c>
      <c r="AE985" s="364" t="s">
        <v>88</v>
      </c>
      <c r="AF985" s="364" t="s">
        <v>88</v>
      </c>
      <c r="AG985" s="364" t="s">
        <v>88</v>
      </c>
      <c r="AH985" s="364" t="s">
        <v>88</v>
      </c>
      <c r="AI985" s="364" t="s">
        <v>1199</v>
      </c>
      <c r="AJ985" s="364" t="s">
        <v>670</v>
      </c>
      <c r="AK985" s="364" t="s">
        <v>669</v>
      </c>
      <c r="AL985" s="364" t="s">
        <v>88</v>
      </c>
      <c r="AM985" s="364" t="s">
        <v>668</v>
      </c>
      <c r="AN985" s="364" t="s">
        <v>644</v>
      </c>
    </row>
    <row r="986" spans="1:40" x14ac:dyDescent="0.3">
      <c r="A986" s="364" t="s">
        <v>1646</v>
      </c>
      <c r="B986" s="364" t="s">
        <v>661</v>
      </c>
      <c r="C986" s="364" t="s">
        <v>677</v>
      </c>
      <c r="D986" s="364" t="s">
        <v>87</v>
      </c>
      <c r="E986" s="364" t="s">
        <v>1633</v>
      </c>
      <c r="F986" s="364" t="s">
        <v>1633</v>
      </c>
      <c r="G986" s="364" t="s">
        <v>658</v>
      </c>
      <c r="H986" s="364" t="s">
        <v>1078</v>
      </c>
      <c r="I986" s="364" t="s">
        <v>1077</v>
      </c>
      <c r="J986" s="364" t="s">
        <v>673</v>
      </c>
      <c r="K986" s="364" t="s">
        <v>668</v>
      </c>
      <c r="L986" s="364" t="s">
        <v>190</v>
      </c>
      <c r="M986" s="364" t="s">
        <v>59</v>
      </c>
      <c r="N986" s="364" t="s">
        <v>654</v>
      </c>
      <c r="O986" s="364" t="s">
        <v>653</v>
      </c>
      <c r="P986" s="364" t="s">
        <v>198</v>
      </c>
      <c r="Q986" s="364" t="s">
        <v>652</v>
      </c>
      <c r="R986" s="364" t="s">
        <v>88</v>
      </c>
      <c r="S986" s="364" t="s">
        <v>88</v>
      </c>
      <c r="T986" s="364" t="s">
        <v>88</v>
      </c>
      <c r="U986" s="364" t="s">
        <v>88</v>
      </c>
      <c r="V986" s="364" t="s">
        <v>88</v>
      </c>
      <c r="W986" s="364" t="s">
        <v>88</v>
      </c>
      <c r="X986" s="364" t="s">
        <v>88</v>
      </c>
      <c r="Y986" s="364" t="s">
        <v>88</v>
      </c>
      <c r="Z986" s="364" t="s">
        <v>672</v>
      </c>
      <c r="AA986" s="364" t="s">
        <v>671</v>
      </c>
      <c r="AB986" s="364" t="s">
        <v>649</v>
      </c>
      <c r="AC986" s="364" t="s">
        <v>649</v>
      </c>
      <c r="AD986" s="364" t="s">
        <v>88</v>
      </c>
      <c r="AE986" s="364" t="s">
        <v>88</v>
      </c>
      <c r="AF986" s="364" t="s">
        <v>88</v>
      </c>
      <c r="AG986" s="364" t="s">
        <v>88</v>
      </c>
      <c r="AH986" s="364" t="s">
        <v>88</v>
      </c>
      <c r="AI986" s="364" t="s">
        <v>1199</v>
      </c>
      <c r="AJ986" s="364" t="s">
        <v>670</v>
      </c>
      <c r="AK986" s="364" t="s">
        <v>669</v>
      </c>
      <c r="AL986" s="364" t="s">
        <v>88</v>
      </c>
      <c r="AM986" s="364" t="s">
        <v>668</v>
      </c>
      <c r="AN986" s="364" t="s">
        <v>644</v>
      </c>
    </row>
    <row r="987" spans="1:40" x14ac:dyDescent="0.3">
      <c r="A987" s="364" t="s">
        <v>1645</v>
      </c>
      <c r="B987" s="364" t="s">
        <v>661</v>
      </c>
      <c r="C987" s="364" t="s">
        <v>677</v>
      </c>
      <c r="D987" s="364" t="s">
        <v>87</v>
      </c>
      <c r="E987" s="364" t="s">
        <v>1565</v>
      </c>
      <c r="F987" s="364" t="s">
        <v>1565</v>
      </c>
      <c r="G987" s="364" t="s">
        <v>658</v>
      </c>
      <c r="H987" s="364" t="s">
        <v>1078</v>
      </c>
      <c r="I987" s="364" t="s">
        <v>1077</v>
      </c>
      <c r="J987" s="364" t="s">
        <v>673</v>
      </c>
      <c r="K987" s="364" t="s">
        <v>668</v>
      </c>
      <c r="L987" s="364" t="s">
        <v>190</v>
      </c>
      <c r="M987" s="364" t="s">
        <v>59</v>
      </c>
      <c r="N987" s="364" t="s">
        <v>654</v>
      </c>
      <c r="O987" s="364" t="s">
        <v>653</v>
      </c>
      <c r="P987" s="364" t="s">
        <v>198</v>
      </c>
      <c r="Q987" s="364" t="s">
        <v>652</v>
      </c>
      <c r="R987" s="364" t="s">
        <v>88</v>
      </c>
      <c r="S987" s="364" t="s">
        <v>88</v>
      </c>
      <c r="T987" s="364" t="s">
        <v>88</v>
      </c>
      <c r="U987" s="364" t="s">
        <v>88</v>
      </c>
      <c r="V987" s="364" t="s">
        <v>88</v>
      </c>
      <c r="W987" s="364" t="s">
        <v>88</v>
      </c>
      <c r="X987" s="364" t="s">
        <v>88</v>
      </c>
      <c r="Y987" s="364" t="s">
        <v>88</v>
      </c>
      <c r="Z987" s="364" t="s">
        <v>672</v>
      </c>
      <c r="AA987" s="364" t="s">
        <v>671</v>
      </c>
      <c r="AB987" s="364" t="s">
        <v>649</v>
      </c>
      <c r="AC987" s="364" t="s">
        <v>649</v>
      </c>
      <c r="AD987" s="364" t="s">
        <v>88</v>
      </c>
      <c r="AE987" s="364" t="s">
        <v>88</v>
      </c>
      <c r="AF987" s="364" t="s">
        <v>88</v>
      </c>
      <c r="AG987" s="364" t="s">
        <v>88</v>
      </c>
      <c r="AH987" s="364" t="s">
        <v>88</v>
      </c>
      <c r="AI987" s="364" t="s">
        <v>1199</v>
      </c>
      <c r="AJ987" s="364" t="s">
        <v>670</v>
      </c>
      <c r="AK987" s="364" t="s">
        <v>669</v>
      </c>
      <c r="AL987" s="364" t="s">
        <v>88</v>
      </c>
      <c r="AM987" s="364" t="s">
        <v>668</v>
      </c>
      <c r="AN987" s="364" t="s">
        <v>644</v>
      </c>
    </row>
    <row r="988" spans="1:40" x14ac:dyDescent="0.3">
      <c r="A988" s="364" t="s">
        <v>1644</v>
      </c>
      <c r="B988" s="364" t="s">
        <v>661</v>
      </c>
      <c r="C988" s="364" t="s">
        <v>677</v>
      </c>
      <c r="D988" s="364" t="s">
        <v>87</v>
      </c>
      <c r="E988" s="364" t="s">
        <v>1565</v>
      </c>
      <c r="F988" s="364" t="s">
        <v>1565</v>
      </c>
      <c r="G988" s="364" t="s">
        <v>658</v>
      </c>
      <c r="H988" s="364" t="s">
        <v>1643</v>
      </c>
      <c r="I988" s="364" t="s">
        <v>1642</v>
      </c>
      <c r="J988" s="364" t="s">
        <v>673</v>
      </c>
      <c r="K988" s="364" t="s">
        <v>668</v>
      </c>
      <c r="L988" s="364" t="s">
        <v>190</v>
      </c>
      <c r="M988" s="364" t="s">
        <v>58</v>
      </c>
      <c r="N988" s="364" t="s">
        <v>654</v>
      </c>
      <c r="O988" s="364" t="s">
        <v>653</v>
      </c>
      <c r="P988" s="364" t="s">
        <v>198</v>
      </c>
      <c r="Q988" s="364" t="s">
        <v>652</v>
      </c>
      <c r="R988" s="364" t="s">
        <v>88</v>
      </c>
      <c r="S988" s="364" t="s">
        <v>88</v>
      </c>
      <c r="T988" s="364" t="s">
        <v>88</v>
      </c>
      <c r="U988" s="364" t="s">
        <v>88</v>
      </c>
      <c r="V988" s="364" t="s">
        <v>88</v>
      </c>
      <c r="W988" s="364" t="s">
        <v>88</v>
      </c>
      <c r="X988" s="364" t="s">
        <v>88</v>
      </c>
      <c r="Y988" s="364" t="s">
        <v>88</v>
      </c>
      <c r="Z988" s="364" t="s">
        <v>702</v>
      </c>
      <c r="AA988" s="364" t="s">
        <v>701</v>
      </c>
      <c r="AB988" s="364" t="s">
        <v>649</v>
      </c>
      <c r="AC988" s="364" t="s">
        <v>649</v>
      </c>
      <c r="AD988" s="364" t="s">
        <v>88</v>
      </c>
      <c r="AE988" s="364" t="s">
        <v>88</v>
      </c>
      <c r="AF988" s="364" t="s">
        <v>88</v>
      </c>
      <c r="AG988" s="364" t="s">
        <v>88</v>
      </c>
      <c r="AH988" s="364" t="s">
        <v>88</v>
      </c>
      <c r="AI988" s="364" t="s">
        <v>1199</v>
      </c>
      <c r="AJ988" s="364" t="s">
        <v>670</v>
      </c>
      <c r="AK988" s="364" t="s">
        <v>669</v>
      </c>
      <c r="AL988" s="364" t="s">
        <v>88</v>
      </c>
      <c r="AM988" s="364" t="s">
        <v>668</v>
      </c>
      <c r="AN988" s="364" t="s">
        <v>644</v>
      </c>
    </row>
    <row r="989" spans="1:40" x14ac:dyDescent="0.3">
      <c r="A989" s="364" t="s">
        <v>1644</v>
      </c>
      <c r="B989" s="364" t="s">
        <v>661</v>
      </c>
      <c r="C989" s="364" t="s">
        <v>677</v>
      </c>
      <c r="D989" s="364" t="s">
        <v>87</v>
      </c>
      <c r="E989" s="364" t="s">
        <v>1565</v>
      </c>
      <c r="F989" s="364" t="s">
        <v>1565</v>
      </c>
      <c r="G989" s="364" t="s">
        <v>658</v>
      </c>
      <c r="H989" s="364" t="s">
        <v>1643</v>
      </c>
      <c r="I989" s="364" t="s">
        <v>1642</v>
      </c>
      <c r="J989" s="364" t="s">
        <v>673</v>
      </c>
      <c r="K989" s="364" t="s">
        <v>668</v>
      </c>
      <c r="L989" s="364" t="s">
        <v>190</v>
      </c>
      <c r="M989" s="364" t="s">
        <v>166</v>
      </c>
      <c r="N989" s="364" t="s">
        <v>654</v>
      </c>
      <c r="O989" s="364" t="s">
        <v>653</v>
      </c>
      <c r="P989" s="364" t="s">
        <v>198</v>
      </c>
      <c r="Q989" s="364" t="s">
        <v>652</v>
      </c>
      <c r="R989" s="364" t="s">
        <v>88</v>
      </c>
      <c r="S989" s="364" t="s">
        <v>88</v>
      </c>
      <c r="T989" s="364" t="s">
        <v>88</v>
      </c>
      <c r="U989" s="364" t="s">
        <v>88</v>
      </c>
      <c r="V989" s="364" t="s">
        <v>88</v>
      </c>
      <c r="W989" s="364" t="s">
        <v>88</v>
      </c>
      <c r="X989" s="364" t="s">
        <v>88</v>
      </c>
      <c r="Y989" s="364" t="s">
        <v>88</v>
      </c>
      <c r="Z989" s="364" t="s">
        <v>877</v>
      </c>
      <c r="AA989" s="364" t="s">
        <v>876</v>
      </c>
      <c r="AB989" s="364" t="s">
        <v>649</v>
      </c>
      <c r="AC989" s="364" t="s">
        <v>649</v>
      </c>
      <c r="AD989" s="364" t="s">
        <v>88</v>
      </c>
      <c r="AE989" s="364" t="s">
        <v>88</v>
      </c>
      <c r="AF989" s="364" t="s">
        <v>88</v>
      </c>
      <c r="AG989" s="364" t="s">
        <v>88</v>
      </c>
      <c r="AH989" s="364" t="s">
        <v>88</v>
      </c>
      <c r="AI989" s="364" t="s">
        <v>1199</v>
      </c>
      <c r="AJ989" s="364" t="s">
        <v>670</v>
      </c>
      <c r="AK989" s="364" t="s">
        <v>669</v>
      </c>
      <c r="AL989" s="364" t="s">
        <v>88</v>
      </c>
      <c r="AM989" s="364" t="s">
        <v>668</v>
      </c>
      <c r="AN989" s="364" t="s">
        <v>644</v>
      </c>
    </row>
    <row r="990" spans="1:40" x14ac:dyDescent="0.3">
      <c r="A990" s="364" t="s">
        <v>1641</v>
      </c>
      <c r="B990" s="364" t="s">
        <v>661</v>
      </c>
      <c r="C990" s="364" t="s">
        <v>677</v>
      </c>
      <c r="D990" s="364" t="s">
        <v>87</v>
      </c>
      <c r="E990" s="364" t="s">
        <v>1565</v>
      </c>
      <c r="F990" s="364" t="s">
        <v>1565</v>
      </c>
      <c r="G990" s="364" t="s">
        <v>658</v>
      </c>
      <c r="H990" s="364" t="s">
        <v>1640</v>
      </c>
      <c r="I990" s="364" t="s">
        <v>765</v>
      </c>
      <c r="J990" s="364" t="s">
        <v>673</v>
      </c>
      <c r="K990" s="364" t="s">
        <v>668</v>
      </c>
      <c r="L990" s="364" t="s">
        <v>190</v>
      </c>
      <c r="M990" s="364" t="s">
        <v>60</v>
      </c>
      <c r="N990" s="364" t="s">
        <v>654</v>
      </c>
      <c r="O990" s="364" t="s">
        <v>653</v>
      </c>
      <c r="P990" s="364" t="s">
        <v>198</v>
      </c>
      <c r="Q990" s="364" t="s">
        <v>652</v>
      </c>
      <c r="R990" s="364" t="s">
        <v>88</v>
      </c>
      <c r="S990" s="364" t="s">
        <v>88</v>
      </c>
      <c r="T990" s="364" t="s">
        <v>88</v>
      </c>
      <c r="U990" s="364" t="s">
        <v>88</v>
      </c>
      <c r="V990" s="364" t="s">
        <v>88</v>
      </c>
      <c r="W990" s="364" t="s">
        <v>88</v>
      </c>
      <c r="X990" s="364" t="s">
        <v>88</v>
      </c>
      <c r="Y990" s="364" t="s">
        <v>88</v>
      </c>
      <c r="Z990" s="364" t="s">
        <v>709</v>
      </c>
      <c r="AA990" s="364" t="s">
        <v>708</v>
      </c>
      <c r="AB990" s="364" t="s">
        <v>649</v>
      </c>
      <c r="AC990" s="364" t="s">
        <v>649</v>
      </c>
      <c r="AD990" s="364" t="s">
        <v>88</v>
      </c>
      <c r="AE990" s="364" t="s">
        <v>88</v>
      </c>
      <c r="AF990" s="364" t="s">
        <v>88</v>
      </c>
      <c r="AG990" s="364" t="s">
        <v>88</v>
      </c>
      <c r="AH990" s="364" t="s">
        <v>88</v>
      </c>
      <c r="AI990" s="364" t="s">
        <v>1199</v>
      </c>
      <c r="AJ990" s="364" t="s">
        <v>670</v>
      </c>
      <c r="AK990" s="364" t="s">
        <v>687</v>
      </c>
      <c r="AL990" s="364" t="s">
        <v>88</v>
      </c>
      <c r="AM990" s="364" t="s">
        <v>668</v>
      </c>
      <c r="AN990" s="364" t="s">
        <v>644</v>
      </c>
    </row>
    <row r="991" spans="1:40" x14ac:dyDescent="0.3">
      <c r="A991" s="364" t="s">
        <v>1639</v>
      </c>
      <c r="B991" s="364" t="s">
        <v>661</v>
      </c>
      <c r="C991" s="364" t="s">
        <v>677</v>
      </c>
      <c r="D991" s="364" t="s">
        <v>90</v>
      </c>
      <c r="E991" s="364" t="s">
        <v>1079</v>
      </c>
      <c r="F991" s="364" t="s">
        <v>1079</v>
      </c>
      <c r="G991" s="364" t="s">
        <v>658</v>
      </c>
      <c r="H991" s="364" t="s">
        <v>1638</v>
      </c>
      <c r="I991" s="364" t="s">
        <v>1637</v>
      </c>
      <c r="J991" s="364" t="s">
        <v>673</v>
      </c>
      <c r="K991" s="364" t="s">
        <v>668</v>
      </c>
      <c r="L991" s="364" t="s">
        <v>190</v>
      </c>
      <c r="M991" s="364" t="s">
        <v>242</v>
      </c>
      <c r="N991" s="364" t="s">
        <v>654</v>
      </c>
      <c r="O991" s="364" t="s">
        <v>653</v>
      </c>
      <c r="P991" s="364" t="s">
        <v>198</v>
      </c>
      <c r="Q991" s="364" t="s">
        <v>652</v>
      </c>
      <c r="R991" s="364" t="s">
        <v>88</v>
      </c>
      <c r="S991" s="364" t="s">
        <v>88</v>
      </c>
      <c r="T991" s="364" t="s">
        <v>88</v>
      </c>
      <c r="U991" s="364" t="s">
        <v>88</v>
      </c>
      <c r="V991" s="364" t="s">
        <v>88</v>
      </c>
      <c r="W991" s="364" t="s">
        <v>88</v>
      </c>
      <c r="X991" s="364" t="s">
        <v>88</v>
      </c>
      <c r="Y991" s="364" t="s">
        <v>88</v>
      </c>
      <c r="Z991" s="364" t="s">
        <v>1157</v>
      </c>
      <c r="AA991" s="364" t="s">
        <v>1156</v>
      </c>
      <c r="AB991" s="364" t="s">
        <v>649</v>
      </c>
      <c r="AC991" s="364" t="s">
        <v>649</v>
      </c>
      <c r="AD991" s="364" t="s">
        <v>88</v>
      </c>
      <c r="AE991" s="364" t="s">
        <v>88</v>
      </c>
      <c r="AF991" s="364" t="s">
        <v>88</v>
      </c>
      <c r="AG991" s="364" t="s">
        <v>88</v>
      </c>
      <c r="AH991" s="364" t="s">
        <v>88</v>
      </c>
      <c r="AI991" s="364" t="s">
        <v>1155</v>
      </c>
      <c r="AJ991" s="364" t="s">
        <v>710</v>
      </c>
      <c r="AK991" s="364" t="s">
        <v>647</v>
      </c>
      <c r="AL991" s="364" t="s">
        <v>88</v>
      </c>
      <c r="AM991" s="364" t="s">
        <v>668</v>
      </c>
      <c r="AN991" s="364" t="s">
        <v>644</v>
      </c>
    </row>
    <row r="992" spans="1:40" x14ac:dyDescent="0.3">
      <c r="A992" s="364" t="s">
        <v>1639</v>
      </c>
      <c r="B992" s="364" t="s">
        <v>661</v>
      </c>
      <c r="C992" s="364" t="s">
        <v>677</v>
      </c>
      <c r="D992" s="364" t="s">
        <v>90</v>
      </c>
      <c r="E992" s="364" t="s">
        <v>1079</v>
      </c>
      <c r="F992" s="364" t="s">
        <v>1079</v>
      </c>
      <c r="G992" s="364" t="s">
        <v>658</v>
      </c>
      <c r="H992" s="364" t="s">
        <v>1638</v>
      </c>
      <c r="I992" s="364" t="s">
        <v>1637</v>
      </c>
      <c r="J992" s="364" t="s">
        <v>673</v>
      </c>
      <c r="K992" s="364" t="s">
        <v>668</v>
      </c>
      <c r="L992" s="364" t="s">
        <v>190</v>
      </c>
      <c r="M992" s="364" t="s">
        <v>54</v>
      </c>
      <c r="N992" s="364" t="s">
        <v>654</v>
      </c>
      <c r="O992" s="364" t="s">
        <v>653</v>
      </c>
      <c r="P992" s="364" t="s">
        <v>198</v>
      </c>
      <c r="Q992" s="364" t="s">
        <v>652</v>
      </c>
      <c r="R992" s="364" t="s">
        <v>88</v>
      </c>
      <c r="S992" s="364" t="s">
        <v>88</v>
      </c>
      <c r="T992" s="364" t="s">
        <v>88</v>
      </c>
      <c r="U992" s="364" t="s">
        <v>88</v>
      </c>
      <c r="V992" s="364" t="s">
        <v>88</v>
      </c>
      <c r="W992" s="364" t="s">
        <v>88</v>
      </c>
      <c r="X992" s="364" t="s">
        <v>88</v>
      </c>
      <c r="Y992" s="364" t="s">
        <v>88</v>
      </c>
      <c r="Z992" s="364" t="s">
        <v>1265</v>
      </c>
      <c r="AA992" s="364" t="s">
        <v>649</v>
      </c>
      <c r="AB992" s="364" t="s">
        <v>649</v>
      </c>
      <c r="AC992" s="364" t="s">
        <v>649</v>
      </c>
      <c r="AD992" s="364" t="s">
        <v>88</v>
      </c>
      <c r="AE992" s="364" t="s">
        <v>88</v>
      </c>
      <c r="AF992" s="364" t="s">
        <v>88</v>
      </c>
      <c r="AG992" s="364" t="s">
        <v>88</v>
      </c>
      <c r="AH992" s="364" t="s">
        <v>88</v>
      </c>
      <c r="AI992" s="364" t="s">
        <v>1155</v>
      </c>
      <c r="AJ992" s="364" t="s">
        <v>710</v>
      </c>
      <c r="AK992" s="364" t="s">
        <v>647</v>
      </c>
      <c r="AL992" s="364" t="s">
        <v>88</v>
      </c>
      <c r="AM992" s="364" t="s">
        <v>668</v>
      </c>
      <c r="AN992" s="364" t="s">
        <v>644</v>
      </c>
    </row>
    <row r="993" spans="1:40" x14ac:dyDescent="0.3">
      <c r="A993" s="364" t="s">
        <v>1639</v>
      </c>
      <c r="B993" s="364" t="s">
        <v>661</v>
      </c>
      <c r="C993" s="364" t="s">
        <v>677</v>
      </c>
      <c r="D993" s="364" t="s">
        <v>90</v>
      </c>
      <c r="E993" s="364" t="s">
        <v>1079</v>
      </c>
      <c r="F993" s="364" t="s">
        <v>1079</v>
      </c>
      <c r="G993" s="364" t="s">
        <v>658</v>
      </c>
      <c r="H993" s="364" t="s">
        <v>1638</v>
      </c>
      <c r="I993" s="364" t="s">
        <v>1637</v>
      </c>
      <c r="J993" s="364" t="s">
        <v>673</v>
      </c>
      <c r="K993" s="364" t="s">
        <v>668</v>
      </c>
      <c r="L993" s="364" t="s">
        <v>190</v>
      </c>
      <c r="M993" s="364" t="s">
        <v>1168</v>
      </c>
      <c r="N993" s="364" t="s">
        <v>654</v>
      </c>
      <c r="O993" s="364" t="s">
        <v>653</v>
      </c>
      <c r="P993" s="364" t="s">
        <v>198</v>
      </c>
      <c r="Q993" s="364" t="s">
        <v>652</v>
      </c>
      <c r="R993" s="364" t="s">
        <v>88</v>
      </c>
      <c r="S993" s="364" t="s">
        <v>88</v>
      </c>
      <c r="T993" s="364" t="s">
        <v>88</v>
      </c>
      <c r="U993" s="364" t="s">
        <v>88</v>
      </c>
      <c r="V993" s="364" t="s">
        <v>88</v>
      </c>
      <c r="W993" s="364" t="s">
        <v>88</v>
      </c>
      <c r="X993" s="364" t="s">
        <v>88</v>
      </c>
      <c r="Y993" s="364" t="s">
        <v>88</v>
      </c>
      <c r="Z993" s="364" t="s">
        <v>1167</v>
      </c>
      <c r="AA993" s="364" t="s">
        <v>1166</v>
      </c>
      <c r="AB993" s="364" t="s">
        <v>649</v>
      </c>
      <c r="AC993" s="364" t="s">
        <v>649</v>
      </c>
      <c r="AD993" s="364" t="s">
        <v>88</v>
      </c>
      <c r="AE993" s="364" t="s">
        <v>88</v>
      </c>
      <c r="AF993" s="364" t="s">
        <v>88</v>
      </c>
      <c r="AG993" s="364" t="s">
        <v>88</v>
      </c>
      <c r="AH993" s="364" t="s">
        <v>88</v>
      </c>
      <c r="AI993" s="364" t="s">
        <v>1155</v>
      </c>
      <c r="AJ993" s="364" t="s">
        <v>710</v>
      </c>
      <c r="AK993" s="364" t="s">
        <v>647</v>
      </c>
      <c r="AL993" s="364" t="s">
        <v>88</v>
      </c>
      <c r="AM993" s="364" t="s">
        <v>668</v>
      </c>
      <c r="AN993" s="364" t="s">
        <v>644</v>
      </c>
    </row>
    <row r="994" spans="1:40" x14ac:dyDescent="0.3">
      <c r="A994" s="364" t="s">
        <v>1639</v>
      </c>
      <c r="B994" s="364" t="s">
        <v>661</v>
      </c>
      <c r="C994" s="364" t="s">
        <v>677</v>
      </c>
      <c r="D994" s="364" t="s">
        <v>90</v>
      </c>
      <c r="E994" s="364" t="s">
        <v>1079</v>
      </c>
      <c r="F994" s="364" t="s">
        <v>1079</v>
      </c>
      <c r="G994" s="364" t="s">
        <v>658</v>
      </c>
      <c r="H994" s="364" t="s">
        <v>1638</v>
      </c>
      <c r="I994" s="364" t="s">
        <v>1637</v>
      </c>
      <c r="J994" s="364" t="s">
        <v>673</v>
      </c>
      <c r="K994" s="364" t="s">
        <v>668</v>
      </c>
      <c r="L994" s="364" t="s">
        <v>190</v>
      </c>
      <c r="M994" s="364" t="s">
        <v>718</v>
      </c>
      <c r="N994" s="364" t="s">
        <v>654</v>
      </c>
      <c r="O994" s="364" t="s">
        <v>653</v>
      </c>
      <c r="P994" s="364" t="s">
        <v>198</v>
      </c>
      <c r="Q994" s="364" t="s">
        <v>652</v>
      </c>
      <c r="R994" s="364" t="s">
        <v>88</v>
      </c>
      <c r="S994" s="364" t="s">
        <v>88</v>
      </c>
      <c r="T994" s="364" t="s">
        <v>88</v>
      </c>
      <c r="U994" s="364" t="s">
        <v>88</v>
      </c>
      <c r="V994" s="364" t="s">
        <v>88</v>
      </c>
      <c r="W994" s="364" t="s">
        <v>88</v>
      </c>
      <c r="X994" s="364" t="s">
        <v>88</v>
      </c>
      <c r="Y994" s="364" t="s">
        <v>88</v>
      </c>
      <c r="Z994" s="364" t="s">
        <v>717</v>
      </c>
      <c r="AA994" s="364" t="s">
        <v>649</v>
      </c>
      <c r="AB994" s="364" t="s">
        <v>649</v>
      </c>
      <c r="AC994" s="364" t="s">
        <v>649</v>
      </c>
      <c r="AD994" s="364" t="s">
        <v>88</v>
      </c>
      <c r="AE994" s="364" t="s">
        <v>88</v>
      </c>
      <c r="AF994" s="364" t="s">
        <v>88</v>
      </c>
      <c r="AG994" s="364" t="s">
        <v>88</v>
      </c>
      <c r="AH994" s="364" t="s">
        <v>88</v>
      </c>
      <c r="AI994" s="364" t="s">
        <v>1155</v>
      </c>
      <c r="AJ994" s="364" t="s">
        <v>710</v>
      </c>
      <c r="AK994" s="364" t="s">
        <v>647</v>
      </c>
      <c r="AL994" s="364" t="s">
        <v>88</v>
      </c>
      <c r="AM994" s="364" t="s">
        <v>668</v>
      </c>
      <c r="AN994" s="364" t="s">
        <v>644</v>
      </c>
    </row>
    <row r="995" spans="1:40" x14ac:dyDescent="0.3">
      <c r="A995" s="364" t="s">
        <v>1639</v>
      </c>
      <c r="B995" s="364" t="s">
        <v>661</v>
      </c>
      <c r="C995" s="364" t="s">
        <v>677</v>
      </c>
      <c r="D995" s="364" t="s">
        <v>90</v>
      </c>
      <c r="E995" s="364" t="s">
        <v>1079</v>
      </c>
      <c r="F995" s="364" t="s">
        <v>1079</v>
      </c>
      <c r="G995" s="364" t="s">
        <v>658</v>
      </c>
      <c r="H995" s="364" t="s">
        <v>1638</v>
      </c>
      <c r="I995" s="364" t="s">
        <v>1637</v>
      </c>
      <c r="J995" s="364" t="s">
        <v>673</v>
      </c>
      <c r="K995" s="364" t="s">
        <v>668</v>
      </c>
      <c r="L995" s="364" t="s">
        <v>190</v>
      </c>
      <c r="M995" s="364" t="s">
        <v>713</v>
      </c>
      <c r="N995" s="364" t="s">
        <v>654</v>
      </c>
      <c r="O995" s="364" t="s">
        <v>653</v>
      </c>
      <c r="P995" s="364" t="s">
        <v>198</v>
      </c>
      <c r="Q995" s="364" t="s">
        <v>652</v>
      </c>
      <c r="R995" s="364" t="s">
        <v>88</v>
      </c>
      <c r="S995" s="364" t="s">
        <v>88</v>
      </c>
      <c r="T995" s="364" t="s">
        <v>88</v>
      </c>
      <c r="U995" s="364" t="s">
        <v>88</v>
      </c>
      <c r="V995" s="364" t="s">
        <v>88</v>
      </c>
      <c r="W995" s="364" t="s">
        <v>88</v>
      </c>
      <c r="X995" s="364" t="s">
        <v>88</v>
      </c>
      <c r="Y995" s="364" t="s">
        <v>88</v>
      </c>
      <c r="Z995" s="364" t="s">
        <v>712</v>
      </c>
      <c r="AA995" s="364" t="s">
        <v>711</v>
      </c>
      <c r="AB995" s="364" t="s">
        <v>649</v>
      </c>
      <c r="AC995" s="364" t="s">
        <v>649</v>
      </c>
      <c r="AD995" s="364" t="s">
        <v>88</v>
      </c>
      <c r="AE995" s="364" t="s">
        <v>88</v>
      </c>
      <c r="AF995" s="364" t="s">
        <v>88</v>
      </c>
      <c r="AG995" s="364" t="s">
        <v>88</v>
      </c>
      <c r="AH995" s="364" t="s">
        <v>88</v>
      </c>
      <c r="AI995" s="364" t="s">
        <v>1155</v>
      </c>
      <c r="AJ995" s="364" t="s">
        <v>710</v>
      </c>
      <c r="AK995" s="364" t="s">
        <v>647</v>
      </c>
      <c r="AL995" s="364" t="s">
        <v>88</v>
      </c>
      <c r="AM995" s="364" t="s">
        <v>668</v>
      </c>
      <c r="AN995" s="364" t="s">
        <v>644</v>
      </c>
    </row>
    <row r="996" spans="1:40" x14ac:dyDescent="0.3">
      <c r="A996" s="364" t="s">
        <v>1639</v>
      </c>
      <c r="B996" s="364" t="s">
        <v>661</v>
      </c>
      <c r="C996" s="364" t="s">
        <v>677</v>
      </c>
      <c r="D996" s="364" t="s">
        <v>90</v>
      </c>
      <c r="E996" s="364" t="s">
        <v>1079</v>
      </c>
      <c r="F996" s="364" t="s">
        <v>1079</v>
      </c>
      <c r="G996" s="364" t="s">
        <v>658</v>
      </c>
      <c r="H996" s="364" t="s">
        <v>1638</v>
      </c>
      <c r="I996" s="364" t="s">
        <v>1637</v>
      </c>
      <c r="J996" s="364" t="s">
        <v>673</v>
      </c>
      <c r="K996" s="364" t="s">
        <v>668</v>
      </c>
      <c r="L996" s="364" t="s">
        <v>190</v>
      </c>
      <c r="M996" s="364" t="s">
        <v>61</v>
      </c>
      <c r="N996" s="364" t="s">
        <v>654</v>
      </c>
      <c r="O996" s="364" t="s">
        <v>653</v>
      </c>
      <c r="P996" s="364" t="s">
        <v>198</v>
      </c>
      <c r="Q996" s="364" t="s">
        <v>652</v>
      </c>
      <c r="R996" s="364" t="s">
        <v>88</v>
      </c>
      <c r="S996" s="364" t="s">
        <v>88</v>
      </c>
      <c r="T996" s="364" t="s">
        <v>88</v>
      </c>
      <c r="U996" s="364" t="s">
        <v>88</v>
      </c>
      <c r="V996" s="364" t="s">
        <v>88</v>
      </c>
      <c r="W996" s="364" t="s">
        <v>88</v>
      </c>
      <c r="X996" s="364" t="s">
        <v>88</v>
      </c>
      <c r="Y996" s="364" t="s">
        <v>88</v>
      </c>
      <c r="Z996" s="364" t="s">
        <v>1021</v>
      </c>
      <c r="AA996" s="364" t="s">
        <v>671</v>
      </c>
      <c r="AB996" s="364" t="s">
        <v>649</v>
      </c>
      <c r="AC996" s="364" t="s">
        <v>649</v>
      </c>
      <c r="AD996" s="364" t="s">
        <v>88</v>
      </c>
      <c r="AE996" s="364" t="s">
        <v>88</v>
      </c>
      <c r="AF996" s="364" t="s">
        <v>88</v>
      </c>
      <c r="AG996" s="364" t="s">
        <v>88</v>
      </c>
      <c r="AH996" s="364" t="s">
        <v>88</v>
      </c>
      <c r="AI996" s="364" t="s">
        <v>1155</v>
      </c>
      <c r="AJ996" s="364" t="s">
        <v>710</v>
      </c>
      <c r="AK996" s="364" t="s">
        <v>647</v>
      </c>
      <c r="AL996" s="364" t="s">
        <v>88</v>
      </c>
      <c r="AM996" s="364" t="s">
        <v>668</v>
      </c>
      <c r="AN996" s="364" t="s">
        <v>644</v>
      </c>
    </row>
    <row r="997" spans="1:40" x14ac:dyDescent="0.3">
      <c r="A997" s="364" t="s">
        <v>1639</v>
      </c>
      <c r="B997" s="364" t="s">
        <v>661</v>
      </c>
      <c r="C997" s="364" t="s">
        <v>677</v>
      </c>
      <c r="D997" s="364" t="s">
        <v>90</v>
      </c>
      <c r="E997" s="364" t="s">
        <v>1079</v>
      </c>
      <c r="F997" s="364" t="s">
        <v>1079</v>
      </c>
      <c r="G997" s="364" t="s">
        <v>658</v>
      </c>
      <c r="H997" s="364" t="s">
        <v>1638</v>
      </c>
      <c r="I997" s="364" t="s">
        <v>1637</v>
      </c>
      <c r="J997" s="364" t="s">
        <v>673</v>
      </c>
      <c r="K997" s="364" t="s">
        <v>668</v>
      </c>
      <c r="L997" s="364" t="s">
        <v>190</v>
      </c>
      <c r="M997" s="364" t="s">
        <v>721</v>
      </c>
      <c r="N997" s="364" t="s">
        <v>654</v>
      </c>
      <c r="O997" s="364" t="s">
        <v>653</v>
      </c>
      <c r="P997" s="364" t="s">
        <v>198</v>
      </c>
      <c r="Q997" s="364" t="s">
        <v>652</v>
      </c>
      <c r="R997" s="364" t="s">
        <v>88</v>
      </c>
      <c r="S997" s="364" t="s">
        <v>88</v>
      </c>
      <c r="T997" s="364" t="s">
        <v>88</v>
      </c>
      <c r="U997" s="364" t="s">
        <v>88</v>
      </c>
      <c r="V997" s="364" t="s">
        <v>88</v>
      </c>
      <c r="W997" s="364" t="s">
        <v>88</v>
      </c>
      <c r="X997" s="364" t="s">
        <v>88</v>
      </c>
      <c r="Y997" s="364" t="s">
        <v>88</v>
      </c>
      <c r="Z997" s="364" t="s">
        <v>720</v>
      </c>
      <c r="AA997" s="364" t="s">
        <v>649</v>
      </c>
      <c r="AB997" s="364" t="s">
        <v>649</v>
      </c>
      <c r="AC997" s="364" t="s">
        <v>649</v>
      </c>
      <c r="AD997" s="364" t="s">
        <v>88</v>
      </c>
      <c r="AE997" s="364" t="s">
        <v>88</v>
      </c>
      <c r="AF997" s="364" t="s">
        <v>88</v>
      </c>
      <c r="AG997" s="364" t="s">
        <v>88</v>
      </c>
      <c r="AH997" s="364" t="s">
        <v>88</v>
      </c>
      <c r="AI997" s="364" t="s">
        <v>1155</v>
      </c>
      <c r="AJ997" s="364" t="s">
        <v>710</v>
      </c>
      <c r="AK997" s="364" t="s">
        <v>647</v>
      </c>
      <c r="AL997" s="364" t="s">
        <v>88</v>
      </c>
      <c r="AM997" s="364" t="s">
        <v>668</v>
      </c>
      <c r="AN997" s="364" t="s">
        <v>644</v>
      </c>
    </row>
    <row r="998" spans="1:40" x14ac:dyDescent="0.3">
      <c r="A998" s="364" t="s">
        <v>1639</v>
      </c>
      <c r="B998" s="364" t="s">
        <v>661</v>
      </c>
      <c r="C998" s="364" t="s">
        <v>677</v>
      </c>
      <c r="D998" s="364" t="s">
        <v>90</v>
      </c>
      <c r="E998" s="364" t="s">
        <v>1079</v>
      </c>
      <c r="F998" s="364" t="s">
        <v>1079</v>
      </c>
      <c r="G998" s="364" t="s">
        <v>658</v>
      </c>
      <c r="H998" s="364" t="s">
        <v>1638</v>
      </c>
      <c r="I998" s="364" t="s">
        <v>1637</v>
      </c>
      <c r="J998" s="364" t="s">
        <v>673</v>
      </c>
      <c r="K998" s="364" t="s">
        <v>668</v>
      </c>
      <c r="L998" s="364" t="s">
        <v>190</v>
      </c>
      <c r="M998" s="364" t="s">
        <v>56</v>
      </c>
      <c r="N998" s="364" t="s">
        <v>654</v>
      </c>
      <c r="O998" s="364" t="s">
        <v>653</v>
      </c>
      <c r="P998" s="364" t="s">
        <v>198</v>
      </c>
      <c r="Q998" s="364" t="s">
        <v>652</v>
      </c>
      <c r="R998" s="364" t="s">
        <v>88</v>
      </c>
      <c r="S998" s="364" t="s">
        <v>88</v>
      </c>
      <c r="T998" s="364" t="s">
        <v>88</v>
      </c>
      <c r="U998" s="364" t="s">
        <v>88</v>
      </c>
      <c r="V998" s="364" t="s">
        <v>88</v>
      </c>
      <c r="W998" s="364" t="s">
        <v>88</v>
      </c>
      <c r="X998" s="364" t="s">
        <v>88</v>
      </c>
      <c r="Y998" s="364" t="s">
        <v>88</v>
      </c>
      <c r="Z998" s="364" t="s">
        <v>1165</v>
      </c>
      <c r="AA998" s="364" t="s">
        <v>1164</v>
      </c>
      <c r="AB998" s="364" t="s">
        <v>649</v>
      </c>
      <c r="AC998" s="364" t="s">
        <v>649</v>
      </c>
      <c r="AD998" s="364" t="s">
        <v>88</v>
      </c>
      <c r="AE998" s="364" t="s">
        <v>88</v>
      </c>
      <c r="AF998" s="364" t="s">
        <v>88</v>
      </c>
      <c r="AG998" s="364" t="s">
        <v>88</v>
      </c>
      <c r="AH998" s="364" t="s">
        <v>88</v>
      </c>
      <c r="AI998" s="364" t="s">
        <v>1155</v>
      </c>
      <c r="AJ998" s="364" t="s">
        <v>710</v>
      </c>
      <c r="AK998" s="364" t="s">
        <v>647</v>
      </c>
      <c r="AL998" s="364" t="s">
        <v>88</v>
      </c>
      <c r="AM998" s="364" t="s">
        <v>668</v>
      </c>
      <c r="AN998" s="364" t="s">
        <v>644</v>
      </c>
    </row>
    <row r="999" spans="1:40" x14ac:dyDescent="0.3">
      <c r="A999" s="364" t="s">
        <v>1639</v>
      </c>
      <c r="B999" s="364" t="s">
        <v>661</v>
      </c>
      <c r="C999" s="364" t="s">
        <v>677</v>
      </c>
      <c r="D999" s="364" t="s">
        <v>90</v>
      </c>
      <c r="E999" s="364" t="s">
        <v>1079</v>
      </c>
      <c r="F999" s="364" t="s">
        <v>1079</v>
      </c>
      <c r="G999" s="364" t="s">
        <v>658</v>
      </c>
      <c r="H999" s="364" t="s">
        <v>1638</v>
      </c>
      <c r="I999" s="364" t="s">
        <v>1637</v>
      </c>
      <c r="J999" s="364" t="s">
        <v>673</v>
      </c>
      <c r="K999" s="364" t="s">
        <v>668</v>
      </c>
      <c r="L999" s="364" t="s">
        <v>190</v>
      </c>
      <c r="M999" s="364" t="s">
        <v>241</v>
      </c>
      <c r="N999" s="364" t="s">
        <v>654</v>
      </c>
      <c r="O999" s="364" t="s">
        <v>653</v>
      </c>
      <c r="P999" s="364" t="s">
        <v>198</v>
      </c>
      <c r="Q999" s="364" t="s">
        <v>652</v>
      </c>
      <c r="R999" s="364" t="s">
        <v>88</v>
      </c>
      <c r="S999" s="364" t="s">
        <v>88</v>
      </c>
      <c r="T999" s="364" t="s">
        <v>88</v>
      </c>
      <c r="U999" s="364" t="s">
        <v>88</v>
      </c>
      <c r="V999" s="364" t="s">
        <v>88</v>
      </c>
      <c r="W999" s="364" t="s">
        <v>88</v>
      </c>
      <c r="X999" s="364" t="s">
        <v>88</v>
      </c>
      <c r="Y999" s="364" t="s">
        <v>88</v>
      </c>
      <c r="Z999" s="364" t="s">
        <v>1170</v>
      </c>
      <c r="AA999" s="364" t="s">
        <v>1169</v>
      </c>
      <c r="AB999" s="364" t="s">
        <v>649</v>
      </c>
      <c r="AC999" s="364" t="s">
        <v>649</v>
      </c>
      <c r="AD999" s="364" t="s">
        <v>88</v>
      </c>
      <c r="AE999" s="364" t="s">
        <v>88</v>
      </c>
      <c r="AF999" s="364" t="s">
        <v>88</v>
      </c>
      <c r="AG999" s="364" t="s">
        <v>88</v>
      </c>
      <c r="AH999" s="364" t="s">
        <v>88</v>
      </c>
      <c r="AI999" s="364" t="s">
        <v>1155</v>
      </c>
      <c r="AJ999" s="364" t="s">
        <v>710</v>
      </c>
      <c r="AK999" s="364" t="s">
        <v>647</v>
      </c>
      <c r="AL999" s="364" t="s">
        <v>88</v>
      </c>
      <c r="AM999" s="364" t="s">
        <v>668</v>
      </c>
      <c r="AN999" s="364" t="s">
        <v>644</v>
      </c>
    </row>
    <row r="1000" spans="1:40" x14ac:dyDescent="0.3">
      <c r="A1000" s="364" t="s">
        <v>1639</v>
      </c>
      <c r="B1000" s="364" t="s">
        <v>661</v>
      </c>
      <c r="C1000" s="364" t="s">
        <v>677</v>
      </c>
      <c r="D1000" s="364" t="s">
        <v>90</v>
      </c>
      <c r="E1000" s="364" t="s">
        <v>1079</v>
      </c>
      <c r="F1000" s="364" t="s">
        <v>1079</v>
      </c>
      <c r="G1000" s="364" t="s">
        <v>658</v>
      </c>
      <c r="H1000" s="364" t="s">
        <v>1638</v>
      </c>
      <c r="I1000" s="364" t="s">
        <v>1637</v>
      </c>
      <c r="J1000" s="364" t="s">
        <v>673</v>
      </c>
      <c r="K1000" s="364" t="s">
        <v>668</v>
      </c>
      <c r="L1000" s="364" t="s">
        <v>190</v>
      </c>
      <c r="M1000" s="364" t="s">
        <v>240</v>
      </c>
      <c r="N1000" s="364" t="s">
        <v>654</v>
      </c>
      <c r="O1000" s="364" t="s">
        <v>653</v>
      </c>
      <c r="P1000" s="364" t="s">
        <v>198</v>
      </c>
      <c r="Q1000" s="364" t="s">
        <v>652</v>
      </c>
      <c r="R1000" s="364" t="s">
        <v>88</v>
      </c>
      <c r="S1000" s="364" t="s">
        <v>88</v>
      </c>
      <c r="T1000" s="364" t="s">
        <v>88</v>
      </c>
      <c r="U1000" s="364" t="s">
        <v>88</v>
      </c>
      <c r="V1000" s="364" t="s">
        <v>88</v>
      </c>
      <c r="W1000" s="364" t="s">
        <v>88</v>
      </c>
      <c r="X1000" s="364" t="s">
        <v>88</v>
      </c>
      <c r="Y1000" s="364" t="s">
        <v>88</v>
      </c>
      <c r="Z1000" s="364" t="s">
        <v>1163</v>
      </c>
      <c r="AA1000" s="364" t="s">
        <v>1162</v>
      </c>
      <c r="AB1000" s="364" t="s">
        <v>649</v>
      </c>
      <c r="AC1000" s="364" t="s">
        <v>649</v>
      </c>
      <c r="AD1000" s="364" t="s">
        <v>88</v>
      </c>
      <c r="AE1000" s="364" t="s">
        <v>88</v>
      </c>
      <c r="AF1000" s="364" t="s">
        <v>88</v>
      </c>
      <c r="AG1000" s="364" t="s">
        <v>88</v>
      </c>
      <c r="AH1000" s="364" t="s">
        <v>88</v>
      </c>
      <c r="AI1000" s="364" t="s">
        <v>1155</v>
      </c>
      <c r="AJ1000" s="364" t="s">
        <v>710</v>
      </c>
      <c r="AK1000" s="364" t="s">
        <v>647</v>
      </c>
      <c r="AL1000" s="364" t="s">
        <v>88</v>
      </c>
      <c r="AM1000" s="364" t="s">
        <v>668</v>
      </c>
      <c r="AN1000" s="364" t="s">
        <v>644</v>
      </c>
    </row>
    <row r="1001" spans="1:40" x14ac:dyDescent="0.3">
      <c r="A1001" s="364" t="s">
        <v>1636</v>
      </c>
      <c r="B1001" s="364" t="s">
        <v>661</v>
      </c>
      <c r="C1001" s="364" t="s">
        <v>677</v>
      </c>
      <c r="D1001" s="364" t="s">
        <v>90</v>
      </c>
      <c r="E1001" s="364" t="s">
        <v>685</v>
      </c>
      <c r="F1001" s="364" t="s">
        <v>685</v>
      </c>
      <c r="G1001" s="364" t="s">
        <v>658</v>
      </c>
      <c r="H1001" s="364" t="s">
        <v>1635</v>
      </c>
      <c r="I1001" s="364" t="s">
        <v>1294</v>
      </c>
      <c r="J1001" s="364" t="s">
        <v>673</v>
      </c>
      <c r="K1001" s="364" t="s">
        <v>668</v>
      </c>
      <c r="L1001" s="364" t="s">
        <v>190</v>
      </c>
      <c r="M1001" s="364" t="s">
        <v>242</v>
      </c>
      <c r="N1001" s="364" t="s">
        <v>654</v>
      </c>
      <c r="O1001" s="364" t="s">
        <v>653</v>
      </c>
      <c r="P1001" s="364" t="s">
        <v>198</v>
      </c>
      <c r="Q1001" s="364" t="s">
        <v>652</v>
      </c>
      <c r="R1001" s="364" t="s">
        <v>88</v>
      </c>
      <c r="S1001" s="364" t="s">
        <v>88</v>
      </c>
      <c r="T1001" s="364" t="s">
        <v>88</v>
      </c>
      <c r="U1001" s="364" t="s">
        <v>88</v>
      </c>
      <c r="V1001" s="364" t="s">
        <v>88</v>
      </c>
      <c r="W1001" s="364" t="s">
        <v>88</v>
      </c>
      <c r="X1001" s="364" t="s">
        <v>88</v>
      </c>
      <c r="Y1001" s="364" t="s">
        <v>88</v>
      </c>
      <c r="Z1001" s="364" t="s">
        <v>1157</v>
      </c>
      <c r="AA1001" s="364" t="s">
        <v>1156</v>
      </c>
      <c r="AB1001" s="364" t="s">
        <v>649</v>
      </c>
      <c r="AC1001" s="364" t="s">
        <v>649</v>
      </c>
      <c r="AD1001" s="364" t="s">
        <v>88</v>
      </c>
      <c r="AE1001" s="364" t="s">
        <v>88</v>
      </c>
      <c r="AF1001" s="364" t="s">
        <v>88</v>
      </c>
      <c r="AG1001" s="364" t="s">
        <v>88</v>
      </c>
      <c r="AH1001" s="364" t="s">
        <v>88</v>
      </c>
      <c r="AI1001" s="364" t="s">
        <v>1155</v>
      </c>
      <c r="AJ1001" s="364" t="s">
        <v>710</v>
      </c>
      <c r="AK1001" s="364" t="s">
        <v>647</v>
      </c>
      <c r="AL1001" s="364" t="s">
        <v>88</v>
      </c>
      <c r="AM1001" s="364" t="s">
        <v>668</v>
      </c>
      <c r="AN1001" s="364" t="s">
        <v>644</v>
      </c>
    </row>
    <row r="1002" spans="1:40" x14ac:dyDescent="0.3">
      <c r="A1002" s="364" t="s">
        <v>1636</v>
      </c>
      <c r="B1002" s="364" t="s">
        <v>661</v>
      </c>
      <c r="C1002" s="364" t="s">
        <v>677</v>
      </c>
      <c r="D1002" s="364" t="s">
        <v>90</v>
      </c>
      <c r="E1002" s="364" t="s">
        <v>685</v>
      </c>
      <c r="F1002" s="364" t="s">
        <v>685</v>
      </c>
      <c r="G1002" s="364" t="s">
        <v>658</v>
      </c>
      <c r="H1002" s="364" t="s">
        <v>1635</v>
      </c>
      <c r="I1002" s="364" t="s">
        <v>1294</v>
      </c>
      <c r="J1002" s="364" t="s">
        <v>673</v>
      </c>
      <c r="K1002" s="364" t="s">
        <v>668</v>
      </c>
      <c r="L1002" s="364" t="s">
        <v>190</v>
      </c>
      <c r="M1002" s="364" t="s">
        <v>54</v>
      </c>
      <c r="N1002" s="364" t="s">
        <v>654</v>
      </c>
      <c r="O1002" s="364" t="s">
        <v>653</v>
      </c>
      <c r="P1002" s="364" t="s">
        <v>198</v>
      </c>
      <c r="Q1002" s="364" t="s">
        <v>652</v>
      </c>
      <c r="R1002" s="364" t="s">
        <v>88</v>
      </c>
      <c r="S1002" s="364" t="s">
        <v>88</v>
      </c>
      <c r="T1002" s="364" t="s">
        <v>88</v>
      </c>
      <c r="U1002" s="364" t="s">
        <v>88</v>
      </c>
      <c r="V1002" s="364" t="s">
        <v>88</v>
      </c>
      <c r="W1002" s="364" t="s">
        <v>88</v>
      </c>
      <c r="X1002" s="364" t="s">
        <v>88</v>
      </c>
      <c r="Y1002" s="364" t="s">
        <v>88</v>
      </c>
      <c r="Z1002" s="364" t="s">
        <v>1265</v>
      </c>
      <c r="AA1002" s="364" t="s">
        <v>649</v>
      </c>
      <c r="AB1002" s="364" t="s">
        <v>649</v>
      </c>
      <c r="AC1002" s="364" t="s">
        <v>649</v>
      </c>
      <c r="AD1002" s="364" t="s">
        <v>88</v>
      </c>
      <c r="AE1002" s="364" t="s">
        <v>88</v>
      </c>
      <c r="AF1002" s="364" t="s">
        <v>88</v>
      </c>
      <c r="AG1002" s="364" t="s">
        <v>88</v>
      </c>
      <c r="AH1002" s="364" t="s">
        <v>88</v>
      </c>
      <c r="AI1002" s="364" t="s">
        <v>1155</v>
      </c>
      <c r="AJ1002" s="364" t="s">
        <v>710</v>
      </c>
      <c r="AK1002" s="364" t="s">
        <v>647</v>
      </c>
      <c r="AL1002" s="364" t="s">
        <v>88</v>
      </c>
      <c r="AM1002" s="364" t="s">
        <v>668</v>
      </c>
      <c r="AN1002" s="364" t="s">
        <v>644</v>
      </c>
    </row>
    <row r="1003" spans="1:40" x14ac:dyDescent="0.3">
      <c r="A1003" s="364" t="s">
        <v>1636</v>
      </c>
      <c r="B1003" s="364" t="s">
        <v>661</v>
      </c>
      <c r="C1003" s="364" t="s">
        <v>677</v>
      </c>
      <c r="D1003" s="364" t="s">
        <v>90</v>
      </c>
      <c r="E1003" s="364" t="s">
        <v>685</v>
      </c>
      <c r="F1003" s="364" t="s">
        <v>685</v>
      </c>
      <c r="G1003" s="364" t="s">
        <v>658</v>
      </c>
      <c r="H1003" s="364" t="s">
        <v>1635</v>
      </c>
      <c r="I1003" s="364" t="s">
        <v>1294</v>
      </c>
      <c r="J1003" s="364" t="s">
        <v>673</v>
      </c>
      <c r="K1003" s="364" t="s">
        <v>668</v>
      </c>
      <c r="L1003" s="364" t="s">
        <v>190</v>
      </c>
      <c r="M1003" s="364" t="s">
        <v>1168</v>
      </c>
      <c r="N1003" s="364" t="s">
        <v>654</v>
      </c>
      <c r="O1003" s="364" t="s">
        <v>653</v>
      </c>
      <c r="P1003" s="364" t="s">
        <v>198</v>
      </c>
      <c r="Q1003" s="364" t="s">
        <v>652</v>
      </c>
      <c r="R1003" s="364" t="s">
        <v>88</v>
      </c>
      <c r="S1003" s="364" t="s">
        <v>88</v>
      </c>
      <c r="T1003" s="364" t="s">
        <v>88</v>
      </c>
      <c r="U1003" s="364" t="s">
        <v>88</v>
      </c>
      <c r="V1003" s="364" t="s">
        <v>88</v>
      </c>
      <c r="W1003" s="364" t="s">
        <v>88</v>
      </c>
      <c r="X1003" s="364" t="s">
        <v>88</v>
      </c>
      <c r="Y1003" s="364" t="s">
        <v>88</v>
      </c>
      <c r="Z1003" s="364" t="s">
        <v>1167</v>
      </c>
      <c r="AA1003" s="364" t="s">
        <v>1166</v>
      </c>
      <c r="AB1003" s="364" t="s">
        <v>649</v>
      </c>
      <c r="AC1003" s="364" t="s">
        <v>649</v>
      </c>
      <c r="AD1003" s="364" t="s">
        <v>88</v>
      </c>
      <c r="AE1003" s="364" t="s">
        <v>88</v>
      </c>
      <c r="AF1003" s="364" t="s">
        <v>88</v>
      </c>
      <c r="AG1003" s="364" t="s">
        <v>88</v>
      </c>
      <c r="AH1003" s="364" t="s">
        <v>88</v>
      </c>
      <c r="AI1003" s="364" t="s">
        <v>1155</v>
      </c>
      <c r="AJ1003" s="364" t="s">
        <v>710</v>
      </c>
      <c r="AK1003" s="364" t="s">
        <v>647</v>
      </c>
      <c r="AL1003" s="364" t="s">
        <v>88</v>
      </c>
      <c r="AM1003" s="364" t="s">
        <v>668</v>
      </c>
      <c r="AN1003" s="364" t="s">
        <v>644</v>
      </c>
    </row>
    <row r="1004" spans="1:40" x14ac:dyDescent="0.3">
      <c r="A1004" s="364" t="s">
        <v>1636</v>
      </c>
      <c r="B1004" s="364" t="s">
        <v>661</v>
      </c>
      <c r="C1004" s="364" t="s">
        <v>677</v>
      </c>
      <c r="D1004" s="364" t="s">
        <v>90</v>
      </c>
      <c r="E1004" s="364" t="s">
        <v>685</v>
      </c>
      <c r="F1004" s="364" t="s">
        <v>685</v>
      </c>
      <c r="G1004" s="364" t="s">
        <v>658</v>
      </c>
      <c r="H1004" s="364" t="s">
        <v>1635</v>
      </c>
      <c r="I1004" s="364" t="s">
        <v>1294</v>
      </c>
      <c r="J1004" s="364" t="s">
        <v>673</v>
      </c>
      <c r="K1004" s="364" t="s">
        <v>668</v>
      </c>
      <c r="L1004" s="364" t="s">
        <v>190</v>
      </c>
      <c r="M1004" s="364" t="s">
        <v>718</v>
      </c>
      <c r="N1004" s="364" t="s">
        <v>654</v>
      </c>
      <c r="O1004" s="364" t="s">
        <v>653</v>
      </c>
      <c r="P1004" s="364" t="s">
        <v>198</v>
      </c>
      <c r="Q1004" s="364" t="s">
        <v>652</v>
      </c>
      <c r="R1004" s="364" t="s">
        <v>88</v>
      </c>
      <c r="S1004" s="364" t="s">
        <v>88</v>
      </c>
      <c r="T1004" s="364" t="s">
        <v>88</v>
      </c>
      <c r="U1004" s="364" t="s">
        <v>88</v>
      </c>
      <c r="V1004" s="364" t="s">
        <v>88</v>
      </c>
      <c r="W1004" s="364" t="s">
        <v>88</v>
      </c>
      <c r="X1004" s="364" t="s">
        <v>88</v>
      </c>
      <c r="Y1004" s="364" t="s">
        <v>88</v>
      </c>
      <c r="Z1004" s="364" t="s">
        <v>717</v>
      </c>
      <c r="AA1004" s="364" t="s">
        <v>649</v>
      </c>
      <c r="AB1004" s="364" t="s">
        <v>649</v>
      </c>
      <c r="AC1004" s="364" t="s">
        <v>649</v>
      </c>
      <c r="AD1004" s="364" t="s">
        <v>88</v>
      </c>
      <c r="AE1004" s="364" t="s">
        <v>88</v>
      </c>
      <c r="AF1004" s="364" t="s">
        <v>88</v>
      </c>
      <c r="AG1004" s="364" t="s">
        <v>88</v>
      </c>
      <c r="AH1004" s="364" t="s">
        <v>88</v>
      </c>
      <c r="AI1004" s="364" t="s">
        <v>1155</v>
      </c>
      <c r="AJ1004" s="364" t="s">
        <v>710</v>
      </c>
      <c r="AK1004" s="364" t="s">
        <v>647</v>
      </c>
      <c r="AL1004" s="364" t="s">
        <v>88</v>
      </c>
      <c r="AM1004" s="364" t="s">
        <v>668</v>
      </c>
      <c r="AN1004" s="364" t="s">
        <v>644</v>
      </c>
    </row>
    <row r="1005" spans="1:40" x14ac:dyDescent="0.3">
      <c r="A1005" s="364" t="s">
        <v>1636</v>
      </c>
      <c r="B1005" s="364" t="s">
        <v>661</v>
      </c>
      <c r="C1005" s="364" t="s">
        <v>677</v>
      </c>
      <c r="D1005" s="364" t="s">
        <v>90</v>
      </c>
      <c r="E1005" s="364" t="s">
        <v>685</v>
      </c>
      <c r="F1005" s="364" t="s">
        <v>685</v>
      </c>
      <c r="G1005" s="364" t="s">
        <v>658</v>
      </c>
      <c r="H1005" s="364" t="s">
        <v>1635</v>
      </c>
      <c r="I1005" s="364" t="s">
        <v>1294</v>
      </c>
      <c r="J1005" s="364" t="s">
        <v>673</v>
      </c>
      <c r="K1005" s="364" t="s">
        <v>668</v>
      </c>
      <c r="L1005" s="364" t="s">
        <v>190</v>
      </c>
      <c r="M1005" s="364" t="s">
        <v>713</v>
      </c>
      <c r="N1005" s="364" t="s">
        <v>654</v>
      </c>
      <c r="O1005" s="364" t="s">
        <v>653</v>
      </c>
      <c r="P1005" s="364" t="s">
        <v>198</v>
      </c>
      <c r="Q1005" s="364" t="s">
        <v>652</v>
      </c>
      <c r="R1005" s="364" t="s">
        <v>88</v>
      </c>
      <c r="S1005" s="364" t="s">
        <v>88</v>
      </c>
      <c r="T1005" s="364" t="s">
        <v>88</v>
      </c>
      <c r="U1005" s="364" t="s">
        <v>88</v>
      </c>
      <c r="V1005" s="364" t="s">
        <v>88</v>
      </c>
      <c r="W1005" s="364" t="s">
        <v>88</v>
      </c>
      <c r="X1005" s="364" t="s">
        <v>88</v>
      </c>
      <c r="Y1005" s="364" t="s">
        <v>88</v>
      </c>
      <c r="Z1005" s="364" t="s">
        <v>712</v>
      </c>
      <c r="AA1005" s="364" t="s">
        <v>711</v>
      </c>
      <c r="AB1005" s="364" t="s">
        <v>649</v>
      </c>
      <c r="AC1005" s="364" t="s">
        <v>649</v>
      </c>
      <c r="AD1005" s="364" t="s">
        <v>88</v>
      </c>
      <c r="AE1005" s="364" t="s">
        <v>88</v>
      </c>
      <c r="AF1005" s="364" t="s">
        <v>88</v>
      </c>
      <c r="AG1005" s="364" t="s">
        <v>88</v>
      </c>
      <c r="AH1005" s="364" t="s">
        <v>88</v>
      </c>
      <c r="AI1005" s="364" t="s">
        <v>1155</v>
      </c>
      <c r="AJ1005" s="364" t="s">
        <v>710</v>
      </c>
      <c r="AK1005" s="364" t="s">
        <v>647</v>
      </c>
      <c r="AL1005" s="364" t="s">
        <v>88</v>
      </c>
      <c r="AM1005" s="364" t="s">
        <v>668</v>
      </c>
      <c r="AN1005" s="364" t="s">
        <v>644</v>
      </c>
    </row>
    <row r="1006" spans="1:40" x14ac:dyDescent="0.3">
      <c r="A1006" s="364" t="s">
        <v>1636</v>
      </c>
      <c r="B1006" s="364" t="s">
        <v>661</v>
      </c>
      <c r="C1006" s="364" t="s">
        <v>677</v>
      </c>
      <c r="D1006" s="364" t="s">
        <v>90</v>
      </c>
      <c r="E1006" s="364" t="s">
        <v>685</v>
      </c>
      <c r="F1006" s="364" t="s">
        <v>685</v>
      </c>
      <c r="G1006" s="364" t="s">
        <v>658</v>
      </c>
      <c r="H1006" s="364" t="s">
        <v>1635</v>
      </c>
      <c r="I1006" s="364" t="s">
        <v>1294</v>
      </c>
      <c r="J1006" s="364" t="s">
        <v>673</v>
      </c>
      <c r="K1006" s="364" t="s">
        <v>668</v>
      </c>
      <c r="L1006" s="364" t="s">
        <v>190</v>
      </c>
      <c r="M1006" s="364" t="s">
        <v>61</v>
      </c>
      <c r="N1006" s="364" t="s">
        <v>654</v>
      </c>
      <c r="O1006" s="364" t="s">
        <v>653</v>
      </c>
      <c r="P1006" s="364" t="s">
        <v>198</v>
      </c>
      <c r="Q1006" s="364" t="s">
        <v>652</v>
      </c>
      <c r="R1006" s="364" t="s">
        <v>88</v>
      </c>
      <c r="S1006" s="364" t="s">
        <v>88</v>
      </c>
      <c r="T1006" s="364" t="s">
        <v>88</v>
      </c>
      <c r="U1006" s="364" t="s">
        <v>88</v>
      </c>
      <c r="V1006" s="364" t="s">
        <v>88</v>
      </c>
      <c r="W1006" s="364" t="s">
        <v>88</v>
      </c>
      <c r="X1006" s="364" t="s">
        <v>88</v>
      </c>
      <c r="Y1006" s="364" t="s">
        <v>88</v>
      </c>
      <c r="Z1006" s="364" t="s">
        <v>1021</v>
      </c>
      <c r="AA1006" s="364" t="s">
        <v>671</v>
      </c>
      <c r="AB1006" s="364" t="s">
        <v>649</v>
      </c>
      <c r="AC1006" s="364" t="s">
        <v>649</v>
      </c>
      <c r="AD1006" s="364" t="s">
        <v>88</v>
      </c>
      <c r="AE1006" s="364" t="s">
        <v>88</v>
      </c>
      <c r="AF1006" s="364" t="s">
        <v>88</v>
      </c>
      <c r="AG1006" s="364" t="s">
        <v>88</v>
      </c>
      <c r="AH1006" s="364" t="s">
        <v>88</v>
      </c>
      <c r="AI1006" s="364" t="s">
        <v>1155</v>
      </c>
      <c r="AJ1006" s="364" t="s">
        <v>710</v>
      </c>
      <c r="AK1006" s="364" t="s">
        <v>647</v>
      </c>
      <c r="AL1006" s="364" t="s">
        <v>88</v>
      </c>
      <c r="AM1006" s="364" t="s">
        <v>668</v>
      </c>
      <c r="AN1006" s="364" t="s">
        <v>644</v>
      </c>
    </row>
    <row r="1007" spans="1:40" x14ac:dyDescent="0.3">
      <c r="A1007" s="364" t="s">
        <v>1636</v>
      </c>
      <c r="B1007" s="364" t="s">
        <v>661</v>
      </c>
      <c r="C1007" s="364" t="s">
        <v>677</v>
      </c>
      <c r="D1007" s="364" t="s">
        <v>90</v>
      </c>
      <c r="E1007" s="364" t="s">
        <v>685</v>
      </c>
      <c r="F1007" s="364" t="s">
        <v>685</v>
      </c>
      <c r="G1007" s="364" t="s">
        <v>658</v>
      </c>
      <c r="H1007" s="364" t="s">
        <v>1635</v>
      </c>
      <c r="I1007" s="364" t="s">
        <v>1294</v>
      </c>
      <c r="J1007" s="364" t="s">
        <v>673</v>
      </c>
      <c r="K1007" s="364" t="s">
        <v>668</v>
      </c>
      <c r="L1007" s="364" t="s">
        <v>190</v>
      </c>
      <c r="M1007" s="364" t="s">
        <v>721</v>
      </c>
      <c r="N1007" s="364" t="s">
        <v>654</v>
      </c>
      <c r="O1007" s="364" t="s">
        <v>653</v>
      </c>
      <c r="P1007" s="364" t="s">
        <v>198</v>
      </c>
      <c r="Q1007" s="364" t="s">
        <v>652</v>
      </c>
      <c r="R1007" s="364" t="s">
        <v>88</v>
      </c>
      <c r="S1007" s="364" t="s">
        <v>88</v>
      </c>
      <c r="T1007" s="364" t="s">
        <v>88</v>
      </c>
      <c r="U1007" s="364" t="s">
        <v>88</v>
      </c>
      <c r="V1007" s="364" t="s">
        <v>88</v>
      </c>
      <c r="W1007" s="364" t="s">
        <v>88</v>
      </c>
      <c r="X1007" s="364" t="s">
        <v>88</v>
      </c>
      <c r="Y1007" s="364" t="s">
        <v>88</v>
      </c>
      <c r="Z1007" s="364" t="s">
        <v>720</v>
      </c>
      <c r="AA1007" s="364" t="s">
        <v>649</v>
      </c>
      <c r="AB1007" s="364" t="s">
        <v>649</v>
      </c>
      <c r="AC1007" s="364" t="s">
        <v>649</v>
      </c>
      <c r="AD1007" s="364" t="s">
        <v>88</v>
      </c>
      <c r="AE1007" s="364" t="s">
        <v>88</v>
      </c>
      <c r="AF1007" s="364" t="s">
        <v>88</v>
      </c>
      <c r="AG1007" s="364" t="s">
        <v>88</v>
      </c>
      <c r="AH1007" s="364" t="s">
        <v>88</v>
      </c>
      <c r="AI1007" s="364" t="s">
        <v>1155</v>
      </c>
      <c r="AJ1007" s="364" t="s">
        <v>710</v>
      </c>
      <c r="AK1007" s="364" t="s">
        <v>647</v>
      </c>
      <c r="AL1007" s="364" t="s">
        <v>88</v>
      </c>
      <c r="AM1007" s="364" t="s">
        <v>668</v>
      </c>
      <c r="AN1007" s="364" t="s">
        <v>644</v>
      </c>
    </row>
    <row r="1008" spans="1:40" x14ac:dyDescent="0.3">
      <c r="A1008" s="364" t="s">
        <v>1636</v>
      </c>
      <c r="B1008" s="364" t="s">
        <v>661</v>
      </c>
      <c r="C1008" s="364" t="s">
        <v>677</v>
      </c>
      <c r="D1008" s="364" t="s">
        <v>90</v>
      </c>
      <c r="E1008" s="364" t="s">
        <v>685</v>
      </c>
      <c r="F1008" s="364" t="s">
        <v>685</v>
      </c>
      <c r="G1008" s="364" t="s">
        <v>658</v>
      </c>
      <c r="H1008" s="364" t="s">
        <v>1635</v>
      </c>
      <c r="I1008" s="364" t="s">
        <v>1294</v>
      </c>
      <c r="J1008" s="364" t="s">
        <v>673</v>
      </c>
      <c r="K1008" s="364" t="s">
        <v>668</v>
      </c>
      <c r="L1008" s="364" t="s">
        <v>190</v>
      </c>
      <c r="M1008" s="364" t="s">
        <v>56</v>
      </c>
      <c r="N1008" s="364" t="s">
        <v>654</v>
      </c>
      <c r="O1008" s="364" t="s">
        <v>653</v>
      </c>
      <c r="P1008" s="364" t="s">
        <v>198</v>
      </c>
      <c r="Q1008" s="364" t="s">
        <v>652</v>
      </c>
      <c r="R1008" s="364" t="s">
        <v>88</v>
      </c>
      <c r="S1008" s="364" t="s">
        <v>88</v>
      </c>
      <c r="T1008" s="364" t="s">
        <v>88</v>
      </c>
      <c r="U1008" s="364" t="s">
        <v>88</v>
      </c>
      <c r="V1008" s="364" t="s">
        <v>88</v>
      </c>
      <c r="W1008" s="364" t="s">
        <v>88</v>
      </c>
      <c r="X1008" s="364" t="s">
        <v>88</v>
      </c>
      <c r="Y1008" s="364" t="s">
        <v>88</v>
      </c>
      <c r="Z1008" s="364" t="s">
        <v>1165</v>
      </c>
      <c r="AA1008" s="364" t="s">
        <v>1164</v>
      </c>
      <c r="AB1008" s="364" t="s">
        <v>649</v>
      </c>
      <c r="AC1008" s="364" t="s">
        <v>649</v>
      </c>
      <c r="AD1008" s="364" t="s">
        <v>88</v>
      </c>
      <c r="AE1008" s="364" t="s">
        <v>88</v>
      </c>
      <c r="AF1008" s="364" t="s">
        <v>88</v>
      </c>
      <c r="AG1008" s="364" t="s">
        <v>88</v>
      </c>
      <c r="AH1008" s="364" t="s">
        <v>88</v>
      </c>
      <c r="AI1008" s="364" t="s">
        <v>1155</v>
      </c>
      <c r="AJ1008" s="364" t="s">
        <v>710</v>
      </c>
      <c r="AK1008" s="364" t="s">
        <v>647</v>
      </c>
      <c r="AL1008" s="364" t="s">
        <v>88</v>
      </c>
      <c r="AM1008" s="364" t="s">
        <v>668</v>
      </c>
      <c r="AN1008" s="364" t="s">
        <v>644</v>
      </c>
    </row>
    <row r="1009" spans="1:40" x14ac:dyDescent="0.3">
      <c r="A1009" s="364" t="s">
        <v>1636</v>
      </c>
      <c r="B1009" s="364" t="s">
        <v>661</v>
      </c>
      <c r="C1009" s="364" t="s">
        <v>677</v>
      </c>
      <c r="D1009" s="364" t="s">
        <v>90</v>
      </c>
      <c r="E1009" s="364" t="s">
        <v>685</v>
      </c>
      <c r="F1009" s="364" t="s">
        <v>685</v>
      </c>
      <c r="G1009" s="364" t="s">
        <v>658</v>
      </c>
      <c r="H1009" s="364" t="s">
        <v>1635</v>
      </c>
      <c r="I1009" s="364" t="s">
        <v>1294</v>
      </c>
      <c r="J1009" s="364" t="s">
        <v>673</v>
      </c>
      <c r="K1009" s="364" t="s">
        <v>668</v>
      </c>
      <c r="L1009" s="364" t="s">
        <v>190</v>
      </c>
      <c r="M1009" s="364" t="s">
        <v>241</v>
      </c>
      <c r="N1009" s="364" t="s">
        <v>654</v>
      </c>
      <c r="O1009" s="364" t="s">
        <v>653</v>
      </c>
      <c r="P1009" s="364" t="s">
        <v>198</v>
      </c>
      <c r="Q1009" s="364" t="s">
        <v>652</v>
      </c>
      <c r="R1009" s="364" t="s">
        <v>88</v>
      </c>
      <c r="S1009" s="364" t="s">
        <v>88</v>
      </c>
      <c r="T1009" s="364" t="s">
        <v>88</v>
      </c>
      <c r="U1009" s="364" t="s">
        <v>88</v>
      </c>
      <c r="V1009" s="364" t="s">
        <v>88</v>
      </c>
      <c r="W1009" s="364" t="s">
        <v>88</v>
      </c>
      <c r="X1009" s="364" t="s">
        <v>88</v>
      </c>
      <c r="Y1009" s="364" t="s">
        <v>88</v>
      </c>
      <c r="Z1009" s="364" t="s">
        <v>1170</v>
      </c>
      <c r="AA1009" s="364" t="s">
        <v>1169</v>
      </c>
      <c r="AB1009" s="364" t="s">
        <v>649</v>
      </c>
      <c r="AC1009" s="364" t="s">
        <v>649</v>
      </c>
      <c r="AD1009" s="364" t="s">
        <v>88</v>
      </c>
      <c r="AE1009" s="364" t="s">
        <v>88</v>
      </c>
      <c r="AF1009" s="364" t="s">
        <v>88</v>
      </c>
      <c r="AG1009" s="364" t="s">
        <v>88</v>
      </c>
      <c r="AH1009" s="364" t="s">
        <v>88</v>
      </c>
      <c r="AI1009" s="364" t="s">
        <v>1155</v>
      </c>
      <c r="AJ1009" s="364" t="s">
        <v>710</v>
      </c>
      <c r="AK1009" s="364" t="s">
        <v>647</v>
      </c>
      <c r="AL1009" s="364" t="s">
        <v>88</v>
      </c>
      <c r="AM1009" s="364" t="s">
        <v>668</v>
      </c>
      <c r="AN1009" s="364" t="s">
        <v>644</v>
      </c>
    </row>
    <row r="1010" spans="1:40" x14ac:dyDescent="0.3">
      <c r="A1010" s="364" t="s">
        <v>1636</v>
      </c>
      <c r="B1010" s="364" t="s">
        <v>661</v>
      </c>
      <c r="C1010" s="364" t="s">
        <v>677</v>
      </c>
      <c r="D1010" s="364" t="s">
        <v>90</v>
      </c>
      <c r="E1010" s="364" t="s">
        <v>685</v>
      </c>
      <c r="F1010" s="364" t="s">
        <v>685</v>
      </c>
      <c r="G1010" s="364" t="s">
        <v>658</v>
      </c>
      <c r="H1010" s="364" t="s">
        <v>1635</v>
      </c>
      <c r="I1010" s="364" t="s">
        <v>1294</v>
      </c>
      <c r="J1010" s="364" t="s">
        <v>673</v>
      </c>
      <c r="K1010" s="364" t="s">
        <v>668</v>
      </c>
      <c r="L1010" s="364" t="s">
        <v>190</v>
      </c>
      <c r="M1010" s="364" t="s">
        <v>240</v>
      </c>
      <c r="N1010" s="364" t="s">
        <v>654</v>
      </c>
      <c r="O1010" s="364" t="s">
        <v>653</v>
      </c>
      <c r="P1010" s="364" t="s">
        <v>198</v>
      </c>
      <c r="Q1010" s="364" t="s">
        <v>652</v>
      </c>
      <c r="R1010" s="364" t="s">
        <v>88</v>
      </c>
      <c r="S1010" s="364" t="s">
        <v>88</v>
      </c>
      <c r="T1010" s="364" t="s">
        <v>88</v>
      </c>
      <c r="U1010" s="364" t="s">
        <v>88</v>
      </c>
      <c r="V1010" s="364" t="s">
        <v>88</v>
      </c>
      <c r="W1010" s="364" t="s">
        <v>88</v>
      </c>
      <c r="X1010" s="364" t="s">
        <v>88</v>
      </c>
      <c r="Y1010" s="364" t="s">
        <v>88</v>
      </c>
      <c r="Z1010" s="364" t="s">
        <v>1163</v>
      </c>
      <c r="AA1010" s="364" t="s">
        <v>1162</v>
      </c>
      <c r="AB1010" s="364" t="s">
        <v>649</v>
      </c>
      <c r="AC1010" s="364" t="s">
        <v>649</v>
      </c>
      <c r="AD1010" s="364" t="s">
        <v>88</v>
      </c>
      <c r="AE1010" s="364" t="s">
        <v>88</v>
      </c>
      <c r="AF1010" s="364" t="s">
        <v>88</v>
      </c>
      <c r="AG1010" s="364" t="s">
        <v>88</v>
      </c>
      <c r="AH1010" s="364" t="s">
        <v>88</v>
      </c>
      <c r="AI1010" s="364" t="s">
        <v>1155</v>
      </c>
      <c r="AJ1010" s="364" t="s">
        <v>710</v>
      </c>
      <c r="AK1010" s="364" t="s">
        <v>647</v>
      </c>
      <c r="AL1010" s="364" t="s">
        <v>88</v>
      </c>
      <c r="AM1010" s="364" t="s">
        <v>668</v>
      </c>
      <c r="AN1010" s="364" t="s">
        <v>644</v>
      </c>
    </row>
    <row r="1011" spans="1:40" x14ac:dyDescent="0.3">
      <c r="A1011" s="364" t="s">
        <v>1634</v>
      </c>
      <c r="B1011" s="364" t="s">
        <v>661</v>
      </c>
      <c r="C1011" s="364" t="s">
        <v>677</v>
      </c>
      <c r="D1011" s="364" t="s">
        <v>90</v>
      </c>
      <c r="E1011" s="364" t="s">
        <v>1633</v>
      </c>
      <c r="F1011" s="364" t="s">
        <v>1633</v>
      </c>
      <c r="G1011" s="364" t="s">
        <v>658</v>
      </c>
      <c r="H1011" s="364" t="s">
        <v>1632</v>
      </c>
      <c r="I1011" s="364" t="s">
        <v>1631</v>
      </c>
      <c r="J1011" s="364" t="s">
        <v>673</v>
      </c>
      <c r="K1011" s="364" t="s">
        <v>668</v>
      </c>
      <c r="L1011" s="364" t="s">
        <v>190</v>
      </c>
      <c r="M1011" s="364" t="s">
        <v>242</v>
      </c>
      <c r="N1011" s="364" t="s">
        <v>654</v>
      </c>
      <c r="O1011" s="364" t="s">
        <v>653</v>
      </c>
      <c r="P1011" s="364" t="s">
        <v>198</v>
      </c>
      <c r="Q1011" s="364" t="s">
        <v>652</v>
      </c>
      <c r="R1011" s="364" t="s">
        <v>88</v>
      </c>
      <c r="S1011" s="364" t="s">
        <v>88</v>
      </c>
      <c r="T1011" s="364" t="s">
        <v>88</v>
      </c>
      <c r="U1011" s="364" t="s">
        <v>88</v>
      </c>
      <c r="V1011" s="364" t="s">
        <v>88</v>
      </c>
      <c r="W1011" s="364" t="s">
        <v>88</v>
      </c>
      <c r="X1011" s="364" t="s">
        <v>88</v>
      </c>
      <c r="Y1011" s="364" t="s">
        <v>88</v>
      </c>
      <c r="Z1011" s="364" t="s">
        <v>1157</v>
      </c>
      <c r="AA1011" s="364" t="s">
        <v>1156</v>
      </c>
      <c r="AB1011" s="364" t="s">
        <v>649</v>
      </c>
      <c r="AC1011" s="364" t="s">
        <v>649</v>
      </c>
      <c r="AD1011" s="364" t="s">
        <v>88</v>
      </c>
      <c r="AE1011" s="364" t="s">
        <v>88</v>
      </c>
      <c r="AF1011" s="364" t="s">
        <v>88</v>
      </c>
      <c r="AG1011" s="364" t="s">
        <v>88</v>
      </c>
      <c r="AH1011" s="364" t="s">
        <v>88</v>
      </c>
      <c r="AI1011" s="364" t="s">
        <v>1155</v>
      </c>
      <c r="AJ1011" s="364" t="s">
        <v>710</v>
      </c>
      <c r="AK1011" s="364" t="s">
        <v>647</v>
      </c>
      <c r="AL1011" s="364" t="s">
        <v>88</v>
      </c>
      <c r="AM1011" s="364" t="s">
        <v>668</v>
      </c>
      <c r="AN1011" s="364" t="s">
        <v>644</v>
      </c>
    </row>
    <row r="1012" spans="1:40" x14ac:dyDescent="0.3">
      <c r="A1012" s="364" t="s">
        <v>1634</v>
      </c>
      <c r="B1012" s="364" t="s">
        <v>661</v>
      </c>
      <c r="C1012" s="364" t="s">
        <v>677</v>
      </c>
      <c r="D1012" s="364" t="s">
        <v>90</v>
      </c>
      <c r="E1012" s="364" t="s">
        <v>1633</v>
      </c>
      <c r="F1012" s="364" t="s">
        <v>1633</v>
      </c>
      <c r="G1012" s="364" t="s">
        <v>658</v>
      </c>
      <c r="H1012" s="364" t="s">
        <v>1632</v>
      </c>
      <c r="I1012" s="364" t="s">
        <v>1631</v>
      </c>
      <c r="J1012" s="364" t="s">
        <v>673</v>
      </c>
      <c r="K1012" s="364" t="s">
        <v>668</v>
      </c>
      <c r="L1012" s="364" t="s">
        <v>190</v>
      </c>
      <c r="M1012" s="364" t="s">
        <v>54</v>
      </c>
      <c r="N1012" s="364" t="s">
        <v>654</v>
      </c>
      <c r="O1012" s="364" t="s">
        <v>653</v>
      </c>
      <c r="P1012" s="364" t="s">
        <v>198</v>
      </c>
      <c r="Q1012" s="364" t="s">
        <v>652</v>
      </c>
      <c r="R1012" s="364" t="s">
        <v>88</v>
      </c>
      <c r="S1012" s="364" t="s">
        <v>88</v>
      </c>
      <c r="T1012" s="364" t="s">
        <v>88</v>
      </c>
      <c r="U1012" s="364" t="s">
        <v>88</v>
      </c>
      <c r="V1012" s="364" t="s">
        <v>88</v>
      </c>
      <c r="W1012" s="364" t="s">
        <v>88</v>
      </c>
      <c r="X1012" s="364" t="s">
        <v>88</v>
      </c>
      <c r="Y1012" s="364" t="s">
        <v>88</v>
      </c>
      <c r="Z1012" s="364" t="s">
        <v>1265</v>
      </c>
      <c r="AA1012" s="364" t="s">
        <v>649</v>
      </c>
      <c r="AB1012" s="364" t="s">
        <v>649</v>
      </c>
      <c r="AC1012" s="364" t="s">
        <v>649</v>
      </c>
      <c r="AD1012" s="364" t="s">
        <v>88</v>
      </c>
      <c r="AE1012" s="364" t="s">
        <v>88</v>
      </c>
      <c r="AF1012" s="364" t="s">
        <v>88</v>
      </c>
      <c r="AG1012" s="364" t="s">
        <v>88</v>
      </c>
      <c r="AH1012" s="364" t="s">
        <v>88</v>
      </c>
      <c r="AI1012" s="364" t="s">
        <v>1155</v>
      </c>
      <c r="AJ1012" s="364" t="s">
        <v>710</v>
      </c>
      <c r="AK1012" s="364" t="s">
        <v>647</v>
      </c>
      <c r="AL1012" s="364" t="s">
        <v>88</v>
      </c>
      <c r="AM1012" s="364" t="s">
        <v>668</v>
      </c>
      <c r="AN1012" s="364" t="s">
        <v>644</v>
      </c>
    </row>
    <row r="1013" spans="1:40" x14ac:dyDescent="0.3">
      <c r="A1013" s="364" t="s">
        <v>1634</v>
      </c>
      <c r="B1013" s="364" t="s">
        <v>661</v>
      </c>
      <c r="C1013" s="364" t="s">
        <v>677</v>
      </c>
      <c r="D1013" s="364" t="s">
        <v>90</v>
      </c>
      <c r="E1013" s="364" t="s">
        <v>1633</v>
      </c>
      <c r="F1013" s="364" t="s">
        <v>1633</v>
      </c>
      <c r="G1013" s="364" t="s">
        <v>658</v>
      </c>
      <c r="H1013" s="364" t="s">
        <v>1632</v>
      </c>
      <c r="I1013" s="364" t="s">
        <v>1631</v>
      </c>
      <c r="J1013" s="364" t="s">
        <v>673</v>
      </c>
      <c r="K1013" s="364" t="s">
        <v>668</v>
      </c>
      <c r="L1013" s="364" t="s">
        <v>190</v>
      </c>
      <c r="M1013" s="364" t="s">
        <v>1168</v>
      </c>
      <c r="N1013" s="364" t="s">
        <v>654</v>
      </c>
      <c r="O1013" s="364" t="s">
        <v>653</v>
      </c>
      <c r="P1013" s="364" t="s">
        <v>198</v>
      </c>
      <c r="Q1013" s="364" t="s">
        <v>652</v>
      </c>
      <c r="R1013" s="364" t="s">
        <v>88</v>
      </c>
      <c r="S1013" s="364" t="s">
        <v>88</v>
      </c>
      <c r="T1013" s="364" t="s">
        <v>88</v>
      </c>
      <c r="U1013" s="364" t="s">
        <v>88</v>
      </c>
      <c r="V1013" s="364" t="s">
        <v>88</v>
      </c>
      <c r="W1013" s="364" t="s">
        <v>88</v>
      </c>
      <c r="X1013" s="364" t="s">
        <v>88</v>
      </c>
      <c r="Y1013" s="364" t="s">
        <v>88</v>
      </c>
      <c r="Z1013" s="364" t="s">
        <v>1167</v>
      </c>
      <c r="AA1013" s="364" t="s">
        <v>1166</v>
      </c>
      <c r="AB1013" s="364" t="s">
        <v>649</v>
      </c>
      <c r="AC1013" s="364" t="s">
        <v>649</v>
      </c>
      <c r="AD1013" s="364" t="s">
        <v>88</v>
      </c>
      <c r="AE1013" s="364" t="s">
        <v>88</v>
      </c>
      <c r="AF1013" s="364" t="s">
        <v>88</v>
      </c>
      <c r="AG1013" s="364" t="s">
        <v>88</v>
      </c>
      <c r="AH1013" s="364" t="s">
        <v>88</v>
      </c>
      <c r="AI1013" s="364" t="s">
        <v>1155</v>
      </c>
      <c r="AJ1013" s="364" t="s">
        <v>710</v>
      </c>
      <c r="AK1013" s="364" t="s">
        <v>647</v>
      </c>
      <c r="AL1013" s="364" t="s">
        <v>88</v>
      </c>
      <c r="AM1013" s="364" t="s">
        <v>668</v>
      </c>
      <c r="AN1013" s="364" t="s">
        <v>644</v>
      </c>
    </row>
    <row r="1014" spans="1:40" x14ac:dyDescent="0.3">
      <c r="A1014" s="364" t="s">
        <v>1634</v>
      </c>
      <c r="B1014" s="364" t="s">
        <v>661</v>
      </c>
      <c r="C1014" s="364" t="s">
        <v>677</v>
      </c>
      <c r="D1014" s="364" t="s">
        <v>90</v>
      </c>
      <c r="E1014" s="364" t="s">
        <v>1633</v>
      </c>
      <c r="F1014" s="364" t="s">
        <v>1633</v>
      </c>
      <c r="G1014" s="364" t="s">
        <v>658</v>
      </c>
      <c r="H1014" s="364" t="s">
        <v>1632</v>
      </c>
      <c r="I1014" s="364" t="s">
        <v>1631</v>
      </c>
      <c r="J1014" s="364" t="s">
        <v>673</v>
      </c>
      <c r="K1014" s="364" t="s">
        <v>668</v>
      </c>
      <c r="L1014" s="364" t="s">
        <v>190</v>
      </c>
      <c r="M1014" s="364" t="s">
        <v>718</v>
      </c>
      <c r="N1014" s="364" t="s">
        <v>654</v>
      </c>
      <c r="O1014" s="364" t="s">
        <v>653</v>
      </c>
      <c r="P1014" s="364" t="s">
        <v>198</v>
      </c>
      <c r="Q1014" s="364" t="s">
        <v>652</v>
      </c>
      <c r="R1014" s="364" t="s">
        <v>88</v>
      </c>
      <c r="S1014" s="364" t="s">
        <v>88</v>
      </c>
      <c r="T1014" s="364" t="s">
        <v>88</v>
      </c>
      <c r="U1014" s="364" t="s">
        <v>88</v>
      </c>
      <c r="V1014" s="364" t="s">
        <v>88</v>
      </c>
      <c r="W1014" s="364" t="s">
        <v>88</v>
      </c>
      <c r="X1014" s="364" t="s">
        <v>88</v>
      </c>
      <c r="Y1014" s="364" t="s">
        <v>88</v>
      </c>
      <c r="Z1014" s="364" t="s">
        <v>717</v>
      </c>
      <c r="AA1014" s="364" t="s">
        <v>649</v>
      </c>
      <c r="AB1014" s="364" t="s">
        <v>649</v>
      </c>
      <c r="AC1014" s="364" t="s">
        <v>649</v>
      </c>
      <c r="AD1014" s="364" t="s">
        <v>88</v>
      </c>
      <c r="AE1014" s="364" t="s">
        <v>88</v>
      </c>
      <c r="AF1014" s="364" t="s">
        <v>88</v>
      </c>
      <c r="AG1014" s="364" t="s">
        <v>88</v>
      </c>
      <c r="AH1014" s="364" t="s">
        <v>88</v>
      </c>
      <c r="AI1014" s="364" t="s">
        <v>1155</v>
      </c>
      <c r="AJ1014" s="364" t="s">
        <v>710</v>
      </c>
      <c r="AK1014" s="364" t="s">
        <v>647</v>
      </c>
      <c r="AL1014" s="364" t="s">
        <v>88</v>
      </c>
      <c r="AM1014" s="364" t="s">
        <v>668</v>
      </c>
      <c r="AN1014" s="364" t="s">
        <v>644</v>
      </c>
    </row>
    <row r="1015" spans="1:40" x14ac:dyDescent="0.3">
      <c r="A1015" s="364" t="s">
        <v>1634</v>
      </c>
      <c r="B1015" s="364" t="s">
        <v>661</v>
      </c>
      <c r="C1015" s="364" t="s">
        <v>677</v>
      </c>
      <c r="D1015" s="364" t="s">
        <v>90</v>
      </c>
      <c r="E1015" s="364" t="s">
        <v>1633</v>
      </c>
      <c r="F1015" s="364" t="s">
        <v>1633</v>
      </c>
      <c r="G1015" s="364" t="s">
        <v>658</v>
      </c>
      <c r="H1015" s="364" t="s">
        <v>1632</v>
      </c>
      <c r="I1015" s="364" t="s">
        <v>1631</v>
      </c>
      <c r="J1015" s="364" t="s">
        <v>673</v>
      </c>
      <c r="K1015" s="364" t="s">
        <v>668</v>
      </c>
      <c r="L1015" s="364" t="s">
        <v>190</v>
      </c>
      <c r="M1015" s="364" t="s">
        <v>713</v>
      </c>
      <c r="N1015" s="364" t="s">
        <v>654</v>
      </c>
      <c r="O1015" s="364" t="s">
        <v>653</v>
      </c>
      <c r="P1015" s="364" t="s">
        <v>198</v>
      </c>
      <c r="Q1015" s="364" t="s">
        <v>652</v>
      </c>
      <c r="R1015" s="364" t="s">
        <v>88</v>
      </c>
      <c r="S1015" s="364" t="s">
        <v>88</v>
      </c>
      <c r="T1015" s="364" t="s">
        <v>88</v>
      </c>
      <c r="U1015" s="364" t="s">
        <v>88</v>
      </c>
      <c r="V1015" s="364" t="s">
        <v>88</v>
      </c>
      <c r="W1015" s="364" t="s">
        <v>88</v>
      </c>
      <c r="X1015" s="364" t="s">
        <v>88</v>
      </c>
      <c r="Y1015" s="364" t="s">
        <v>88</v>
      </c>
      <c r="Z1015" s="364" t="s">
        <v>712</v>
      </c>
      <c r="AA1015" s="364" t="s">
        <v>711</v>
      </c>
      <c r="AB1015" s="364" t="s">
        <v>649</v>
      </c>
      <c r="AC1015" s="364" t="s">
        <v>649</v>
      </c>
      <c r="AD1015" s="364" t="s">
        <v>88</v>
      </c>
      <c r="AE1015" s="364" t="s">
        <v>88</v>
      </c>
      <c r="AF1015" s="364" t="s">
        <v>88</v>
      </c>
      <c r="AG1015" s="364" t="s">
        <v>88</v>
      </c>
      <c r="AH1015" s="364" t="s">
        <v>88</v>
      </c>
      <c r="AI1015" s="364" t="s">
        <v>1155</v>
      </c>
      <c r="AJ1015" s="364" t="s">
        <v>710</v>
      </c>
      <c r="AK1015" s="364" t="s">
        <v>647</v>
      </c>
      <c r="AL1015" s="364" t="s">
        <v>88</v>
      </c>
      <c r="AM1015" s="364" t="s">
        <v>668</v>
      </c>
      <c r="AN1015" s="364" t="s">
        <v>644</v>
      </c>
    </row>
    <row r="1016" spans="1:40" x14ac:dyDescent="0.3">
      <c r="A1016" s="364" t="s">
        <v>1634</v>
      </c>
      <c r="B1016" s="364" t="s">
        <v>661</v>
      </c>
      <c r="C1016" s="364" t="s">
        <v>677</v>
      </c>
      <c r="D1016" s="364" t="s">
        <v>90</v>
      </c>
      <c r="E1016" s="364" t="s">
        <v>1633</v>
      </c>
      <c r="F1016" s="364" t="s">
        <v>1633</v>
      </c>
      <c r="G1016" s="364" t="s">
        <v>658</v>
      </c>
      <c r="H1016" s="364" t="s">
        <v>1632</v>
      </c>
      <c r="I1016" s="364" t="s">
        <v>1631</v>
      </c>
      <c r="J1016" s="364" t="s">
        <v>673</v>
      </c>
      <c r="K1016" s="364" t="s">
        <v>668</v>
      </c>
      <c r="L1016" s="364" t="s">
        <v>190</v>
      </c>
      <c r="M1016" s="364" t="s">
        <v>61</v>
      </c>
      <c r="N1016" s="364" t="s">
        <v>654</v>
      </c>
      <c r="O1016" s="364" t="s">
        <v>653</v>
      </c>
      <c r="P1016" s="364" t="s">
        <v>198</v>
      </c>
      <c r="Q1016" s="364" t="s">
        <v>652</v>
      </c>
      <c r="R1016" s="364" t="s">
        <v>88</v>
      </c>
      <c r="S1016" s="364" t="s">
        <v>88</v>
      </c>
      <c r="T1016" s="364" t="s">
        <v>88</v>
      </c>
      <c r="U1016" s="364" t="s">
        <v>88</v>
      </c>
      <c r="V1016" s="364" t="s">
        <v>88</v>
      </c>
      <c r="W1016" s="364" t="s">
        <v>88</v>
      </c>
      <c r="X1016" s="364" t="s">
        <v>88</v>
      </c>
      <c r="Y1016" s="364" t="s">
        <v>88</v>
      </c>
      <c r="Z1016" s="364" t="s">
        <v>1021</v>
      </c>
      <c r="AA1016" s="364" t="s">
        <v>671</v>
      </c>
      <c r="AB1016" s="364" t="s">
        <v>649</v>
      </c>
      <c r="AC1016" s="364" t="s">
        <v>649</v>
      </c>
      <c r="AD1016" s="364" t="s">
        <v>88</v>
      </c>
      <c r="AE1016" s="364" t="s">
        <v>88</v>
      </c>
      <c r="AF1016" s="364" t="s">
        <v>88</v>
      </c>
      <c r="AG1016" s="364" t="s">
        <v>88</v>
      </c>
      <c r="AH1016" s="364" t="s">
        <v>88</v>
      </c>
      <c r="AI1016" s="364" t="s">
        <v>1155</v>
      </c>
      <c r="AJ1016" s="364" t="s">
        <v>710</v>
      </c>
      <c r="AK1016" s="364" t="s">
        <v>647</v>
      </c>
      <c r="AL1016" s="364" t="s">
        <v>88</v>
      </c>
      <c r="AM1016" s="364" t="s">
        <v>668</v>
      </c>
      <c r="AN1016" s="364" t="s">
        <v>644</v>
      </c>
    </row>
    <row r="1017" spans="1:40" x14ac:dyDescent="0.3">
      <c r="A1017" s="364" t="s">
        <v>1634</v>
      </c>
      <c r="B1017" s="364" t="s">
        <v>661</v>
      </c>
      <c r="C1017" s="364" t="s">
        <v>677</v>
      </c>
      <c r="D1017" s="364" t="s">
        <v>90</v>
      </c>
      <c r="E1017" s="364" t="s">
        <v>1633</v>
      </c>
      <c r="F1017" s="364" t="s">
        <v>1633</v>
      </c>
      <c r="G1017" s="364" t="s">
        <v>658</v>
      </c>
      <c r="H1017" s="364" t="s">
        <v>1632</v>
      </c>
      <c r="I1017" s="364" t="s">
        <v>1631</v>
      </c>
      <c r="J1017" s="364" t="s">
        <v>673</v>
      </c>
      <c r="K1017" s="364" t="s">
        <v>668</v>
      </c>
      <c r="L1017" s="364" t="s">
        <v>190</v>
      </c>
      <c r="M1017" s="364" t="s">
        <v>721</v>
      </c>
      <c r="N1017" s="364" t="s">
        <v>654</v>
      </c>
      <c r="O1017" s="364" t="s">
        <v>653</v>
      </c>
      <c r="P1017" s="364" t="s">
        <v>198</v>
      </c>
      <c r="Q1017" s="364" t="s">
        <v>652</v>
      </c>
      <c r="R1017" s="364" t="s">
        <v>88</v>
      </c>
      <c r="S1017" s="364" t="s">
        <v>88</v>
      </c>
      <c r="T1017" s="364" t="s">
        <v>88</v>
      </c>
      <c r="U1017" s="364" t="s">
        <v>88</v>
      </c>
      <c r="V1017" s="364" t="s">
        <v>88</v>
      </c>
      <c r="W1017" s="364" t="s">
        <v>88</v>
      </c>
      <c r="X1017" s="364" t="s">
        <v>88</v>
      </c>
      <c r="Y1017" s="364" t="s">
        <v>88</v>
      </c>
      <c r="Z1017" s="364" t="s">
        <v>720</v>
      </c>
      <c r="AA1017" s="364" t="s">
        <v>649</v>
      </c>
      <c r="AB1017" s="364" t="s">
        <v>649</v>
      </c>
      <c r="AC1017" s="364" t="s">
        <v>649</v>
      </c>
      <c r="AD1017" s="364" t="s">
        <v>88</v>
      </c>
      <c r="AE1017" s="364" t="s">
        <v>88</v>
      </c>
      <c r="AF1017" s="364" t="s">
        <v>88</v>
      </c>
      <c r="AG1017" s="364" t="s">
        <v>88</v>
      </c>
      <c r="AH1017" s="364" t="s">
        <v>88</v>
      </c>
      <c r="AI1017" s="364" t="s">
        <v>1155</v>
      </c>
      <c r="AJ1017" s="364" t="s">
        <v>710</v>
      </c>
      <c r="AK1017" s="364" t="s">
        <v>647</v>
      </c>
      <c r="AL1017" s="364" t="s">
        <v>88</v>
      </c>
      <c r="AM1017" s="364" t="s">
        <v>668</v>
      </c>
      <c r="AN1017" s="364" t="s">
        <v>644</v>
      </c>
    </row>
    <row r="1018" spans="1:40" x14ac:dyDescent="0.3">
      <c r="A1018" s="364" t="s">
        <v>1634</v>
      </c>
      <c r="B1018" s="364" t="s">
        <v>661</v>
      </c>
      <c r="C1018" s="364" t="s">
        <v>677</v>
      </c>
      <c r="D1018" s="364" t="s">
        <v>90</v>
      </c>
      <c r="E1018" s="364" t="s">
        <v>1633</v>
      </c>
      <c r="F1018" s="364" t="s">
        <v>1633</v>
      </c>
      <c r="G1018" s="364" t="s">
        <v>658</v>
      </c>
      <c r="H1018" s="364" t="s">
        <v>1632</v>
      </c>
      <c r="I1018" s="364" t="s">
        <v>1631</v>
      </c>
      <c r="J1018" s="364" t="s">
        <v>673</v>
      </c>
      <c r="K1018" s="364" t="s">
        <v>668</v>
      </c>
      <c r="L1018" s="364" t="s">
        <v>190</v>
      </c>
      <c r="M1018" s="364" t="s">
        <v>56</v>
      </c>
      <c r="N1018" s="364" t="s">
        <v>654</v>
      </c>
      <c r="O1018" s="364" t="s">
        <v>653</v>
      </c>
      <c r="P1018" s="364" t="s">
        <v>198</v>
      </c>
      <c r="Q1018" s="364" t="s">
        <v>652</v>
      </c>
      <c r="R1018" s="364" t="s">
        <v>88</v>
      </c>
      <c r="S1018" s="364" t="s">
        <v>88</v>
      </c>
      <c r="T1018" s="364" t="s">
        <v>88</v>
      </c>
      <c r="U1018" s="364" t="s">
        <v>88</v>
      </c>
      <c r="V1018" s="364" t="s">
        <v>88</v>
      </c>
      <c r="W1018" s="364" t="s">
        <v>88</v>
      </c>
      <c r="X1018" s="364" t="s">
        <v>88</v>
      </c>
      <c r="Y1018" s="364" t="s">
        <v>88</v>
      </c>
      <c r="Z1018" s="364" t="s">
        <v>1165</v>
      </c>
      <c r="AA1018" s="364" t="s">
        <v>1164</v>
      </c>
      <c r="AB1018" s="364" t="s">
        <v>649</v>
      </c>
      <c r="AC1018" s="364" t="s">
        <v>649</v>
      </c>
      <c r="AD1018" s="364" t="s">
        <v>88</v>
      </c>
      <c r="AE1018" s="364" t="s">
        <v>88</v>
      </c>
      <c r="AF1018" s="364" t="s">
        <v>88</v>
      </c>
      <c r="AG1018" s="364" t="s">
        <v>88</v>
      </c>
      <c r="AH1018" s="364" t="s">
        <v>88</v>
      </c>
      <c r="AI1018" s="364" t="s">
        <v>1155</v>
      </c>
      <c r="AJ1018" s="364" t="s">
        <v>710</v>
      </c>
      <c r="AK1018" s="364" t="s">
        <v>647</v>
      </c>
      <c r="AL1018" s="364" t="s">
        <v>88</v>
      </c>
      <c r="AM1018" s="364" t="s">
        <v>668</v>
      </c>
      <c r="AN1018" s="364" t="s">
        <v>644</v>
      </c>
    </row>
    <row r="1019" spans="1:40" x14ac:dyDescent="0.3">
      <c r="A1019" s="364" t="s">
        <v>1634</v>
      </c>
      <c r="B1019" s="364" t="s">
        <v>661</v>
      </c>
      <c r="C1019" s="364" t="s">
        <v>677</v>
      </c>
      <c r="D1019" s="364" t="s">
        <v>90</v>
      </c>
      <c r="E1019" s="364" t="s">
        <v>1633</v>
      </c>
      <c r="F1019" s="364" t="s">
        <v>1633</v>
      </c>
      <c r="G1019" s="364" t="s">
        <v>658</v>
      </c>
      <c r="H1019" s="364" t="s">
        <v>1632</v>
      </c>
      <c r="I1019" s="364" t="s">
        <v>1631</v>
      </c>
      <c r="J1019" s="364" t="s">
        <v>673</v>
      </c>
      <c r="K1019" s="364" t="s">
        <v>668</v>
      </c>
      <c r="L1019" s="364" t="s">
        <v>190</v>
      </c>
      <c r="M1019" s="364" t="s">
        <v>241</v>
      </c>
      <c r="N1019" s="364" t="s">
        <v>654</v>
      </c>
      <c r="O1019" s="364" t="s">
        <v>653</v>
      </c>
      <c r="P1019" s="364" t="s">
        <v>198</v>
      </c>
      <c r="Q1019" s="364" t="s">
        <v>652</v>
      </c>
      <c r="R1019" s="364" t="s">
        <v>88</v>
      </c>
      <c r="S1019" s="364" t="s">
        <v>88</v>
      </c>
      <c r="T1019" s="364" t="s">
        <v>88</v>
      </c>
      <c r="U1019" s="364" t="s">
        <v>88</v>
      </c>
      <c r="V1019" s="364" t="s">
        <v>88</v>
      </c>
      <c r="W1019" s="364" t="s">
        <v>88</v>
      </c>
      <c r="X1019" s="364" t="s">
        <v>88</v>
      </c>
      <c r="Y1019" s="364" t="s">
        <v>88</v>
      </c>
      <c r="Z1019" s="364" t="s">
        <v>1170</v>
      </c>
      <c r="AA1019" s="364" t="s">
        <v>1169</v>
      </c>
      <c r="AB1019" s="364" t="s">
        <v>649</v>
      </c>
      <c r="AC1019" s="364" t="s">
        <v>649</v>
      </c>
      <c r="AD1019" s="364" t="s">
        <v>88</v>
      </c>
      <c r="AE1019" s="364" t="s">
        <v>88</v>
      </c>
      <c r="AF1019" s="364" t="s">
        <v>88</v>
      </c>
      <c r="AG1019" s="364" t="s">
        <v>88</v>
      </c>
      <c r="AH1019" s="364" t="s">
        <v>88</v>
      </c>
      <c r="AI1019" s="364" t="s">
        <v>1155</v>
      </c>
      <c r="AJ1019" s="364" t="s">
        <v>710</v>
      </c>
      <c r="AK1019" s="364" t="s">
        <v>647</v>
      </c>
      <c r="AL1019" s="364" t="s">
        <v>88</v>
      </c>
      <c r="AM1019" s="364" t="s">
        <v>668</v>
      </c>
      <c r="AN1019" s="364" t="s">
        <v>644</v>
      </c>
    </row>
    <row r="1020" spans="1:40" x14ac:dyDescent="0.3">
      <c r="A1020" s="364" t="s">
        <v>1634</v>
      </c>
      <c r="B1020" s="364" t="s">
        <v>661</v>
      </c>
      <c r="C1020" s="364" t="s">
        <v>677</v>
      </c>
      <c r="D1020" s="364" t="s">
        <v>90</v>
      </c>
      <c r="E1020" s="364" t="s">
        <v>1633</v>
      </c>
      <c r="F1020" s="364" t="s">
        <v>1633</v>
      </c>
      <c r="G1020" s="364" t="s">
        <v>658</v>
      </c>
      <c r="H1020" s="364" t="s">
        <v>1632</v>
      </c>
      <c r="I1020" s="364" t="s">
        <v>1631</v>
      </c>
      <c r="J1020" s="364" t="s">
        <v>673</v>
      </c>
      <c r="K1020" s="364" t="s">
        <v>668</v>
      </c>
      <c r="L1020" s="364" t="s">
        <v>190</v>
      </c>
      <c r="M1020" s="364" t="s">
        <v>240</v>
      </c>
      <c r="N1020" s="364" t="s">
        <v>654</v>
      </c>
      <c r="O1020" s="364" t="s">
        <v>653</v>
      </c>
      <c r="P1020" s="364" t="s">
        <v>198</v>
      </c>
      <c r="Q1020" s="364" t="s">
        <v>652</v>
      </c>
      <c r="R1020" s="364" t="s">
        <v>88</v>
      </c>
      <c r="S1020" s="364" t="s">
        <v>88</v>
      </c>
      <c r="T1020" s="364" t="s">
        <v>88</v>
      </c>
      <c r="U1020" s="364" t="s">
        <v>88</v>
      </c>
      <c r="V1020" s="364" t="s">
        <v>88</v>
      </c>
      <c r="W1020" s="364" t="s">
        <v>88</v>
      </c>
      <c r="X1020" s="364" t="s">
        <v>88</v>
      </c>
      <c r="Y1020" s="364" t="s">
        <v>88</v>
      </c>
      <c r="Z1020" s="364" t="s">
        <v>1163</v>
      </c>
      <c r="AA1020" s="364" t="s">
        <v>1162</v>
      </c>
      <c r="AB1020" s="364" t="s">
        <v>649</v>
      </c>
      <c r="AC1020" s="364" t="s">
        <v>649</v>
      </c>
      <c r="AD1020" s="364" t="s">
        <v>88</v>
      </c>
      <c r="AE1020" s="364" t="s">
        <v>88</v>
      </c>
      <c r="AF1020" s="364" t="s">
        <v>88</v>
      </c>
      <c r="AG1020" s="364" t="s">
        <v>88</v>
      </c>
      <c r="AH1020" s="364" t="s">
        <v>88</v>
      </c>
      <c r="AI1020" s="364" t="s">
        <v>1155</v>
      </c>
      <c r="AJ1020" s="364" t="s">
        <v>710</v>
      </c>
      <c r="AK1020" s="364" t="s">
        <v>647</v>
      </c>
      <c r="AL1020" s="364" t="s">
        <v>88</v>
      </c>
      <c r="AM1020" s="364" t="s">
        <v>668</v>
      </c>
      <c r="AN1020" s="364" t="s">
        <v>644</v>
      </c>
    </row>
    <row r="1021" spans="1:40" x14ac:dyDescent="0.3">
      <c r="A1021" s="364" t="s">
        <v>1630</v>
      </c>
      <c r="B1021" s="364" t="s">
        <v>661</v>
      </c>
      <c r="C1021" s="364" t="s">
        <v>1160</v>
      </c>
      <c r="D1021" s="364" t="s">
        <v>87</v>
      </c>
      <c r="E1021" s="364" t="s">
        <v>1558</v>
      </c>
      <c r="F1021" s="364" t="s">
        <v>1558</v>
      </c>
      <c r="G1021" s="364" t="s">
        <v>658</v>
      </c>
      <c r="H1021" s="364" t="s">
        <v>1629</v>
      </c>
      <c r="I1021" s="364" t="s">
        <v>88</v>
      </c>
      <c r="J1021" s="364" t="s">
        <v>88</v>
      </c>
      <c r="K1021" s="364" t="s">
        <v>88</v>
      </c>
      <c r="L1021" s="364" t="s">
        <v>88</v>
      </c>
      <c r="M1021" s="364" t="s">
        <v>138</v>
      </c>
      <c r="N1021" s="364" t="s">
        <v>654</v>
      </c>
      <c r="O1021" s="364" t="s">
        <v>653</v>
      </c>
      <c r="P1021" s="364" t="s">
        <v>88</v>
      </c>
      <c r="Q1021" s="364" t="s">
        <v>88</v>
      </c>
      <c r="R1021" s="364" t="s">
        <v>88</v>
      </c>
      <c r="S1021" s="364" t="s">
        <v>88</v>
      </c>
      <c r="T1021" s="364" t="s">
        <v>88</v>
      </c>
      <c r="U1021" s="364" t="s">
        <v>88</v>
      </c>
      <c r="V1021" s="364" t="s">
        <v>88</v>
      </c>
      <c r="W1021" s="364" t="s">
        <v>88</v>
      </c>
      <c r="X1021" s="364" t="s">
        <v>88</v>
      </c>
      <c r="Y1021" s="364" t="s">
        <v>88</v>
      </c>
      <c r="Z1021" s="364" t="s">
        <v>88</v>
      </c>
      <c r="AA1021" s="364" t="s">
        <v>649</v>
      </c>
      <c r="AB1021" s="364" t="s">
        <v>88</v>
      </c>
      <c r="AC1021" s="364" t="s">
        <v>88</v>
      </c>
      <c r="AD1021" s="364" t="s">
        <v>88</v>
      </c>
      <c r="AE1021" s="364" t="s">
        <v>88</v>
      </c>
      <c r="AF1021" s="364" t="s">
        <v>88</v>
      </c>
      <c r="AG1021" s="364" t="s">
        <v>88</v>
      </c>
      <c r="AH1021" s="364" t="s">
        <v>88</v>
      </c>
      <c r="AI1021" s="364" t="s">
        <v>1628</v>
      </c>
      <c r="AJ1021" s="364" t="s">
        <v>793</v>
      </c>
      <c r="AK1021" s="364" t="s">
        <v>88</v>
      </c>
      <c r="AL1021" s="364" t="s">
        <v>88</v>
      </c>
      <c r="AM1021" s="364" t="s">
        <v>88</v>
      </c>
      <c r="AN1021" s="364" t="s">
        <v>792</v>
      </c>
    </row>
    <row r="1022" spans="1:40" x14ac:dyDescent="0.3">
      <c r="A1022" s="364" t="s">
        <v>1627</v>
      </c>
      <c r="B1022" s="364" t="s">
        <v>661</v>
      </c>
      <c r="C1022" s="364" t="s">
        <v>677</v>
      </c>
      <c r="D1022" s="364" t="s">
        <v>87</v>
      </c>
      <c r="E1022" s="364" t="s">
        <v>1558</v>
      </c>
      <c r="F1022" s="364" t="s">
        <v>1558</v>
      </c>
      <c r="G1022" s="364" t="s">
        <v>658</v>
      </c>
      <c r="H1022" s="364" t="s">
        <v>1078</v>
      </c>
      <c r="I1022" s="364" t="s">
        <v>1077</v>
      </c>
      <c r="J1022" s="364" t="s">
        <v>673</v>
      </c>
      <c r="K1022" s="364" t="s">
        <v>668</v>
      </c>
      <c r="L1022" s="364" t="s">
        <v>190</v>
      </c>
      <c r="M1022" s="364" t="s">
        <v>59</v>
      </c>
      <c r="N1022" s="364" t="s">
        <v>654</v>
      </c>
      <c r="O1022" s="364" t="s">
        <v>653</v>
      </c>
      <c r="P1022" s="364" t="s">
        <v>198</v>
      </c>
      <c r="Q1022" s="364" t="s">
        <v>652</v>
      </c>
      <c r="R1022" s="364" t="s">
        <v>88</v>
      </c>
      <c r="S1022" s="364" t="s">
        <v>88</v>
      </c>
      <c r="T1022" s="364" t="s">
        <v>88</v>
      </c>
      <c r="U1022" s="364" t="s">
        <v>88</v>
      </c>
      <c r="V1022" s="364" t="s">
        <v>88</v>
      </c>
      <c r="W1022" s="364" t="s">
        <v>88</v>
      </c>
      <c r="X1022" s="364" t="s">
        <v>88</v>
      </c>
      <c r="Y1022" s="364" t="s">
        <v>88</v>
      </c>
      <c r="Z1022" s="364" t="s">
        <v>672</v>
      </c>
      <c r="AA1022" s="364" t="s">
        <v>671</v>
      </c>
      <c r="AB1022" s="364" t="s">
        <v>649</v>
      </c>
      <c r="AC1022" s="364" t="s">
        <v>649</v>
      </c>
      <c r="AD1022" s="364" t="s">
        <v>88</v>
      </c>
      <c r="AE1022" s="364" t="s">
        <v>88</v>
      </c>
      <c r="AF1022" s="364" t="s">
        <v>88</v>
      </c>
      <c r="AG1022" s="364" t="s">
        <v>88</v>
      </c>
      <c r="AH1022" s="364" t="s">
        <v>88</v>
      </c>
      <c r="AI1022" s="364" t="s">
        <v>1199</v>
      </c>
      <c r="AJ1022" s="364" t="s">
        <v>670</v>
      </c>
      <c r="AK1022" s="364" t="s">
        <v>669</v>
      </c>
      <c r="AL1022" s="364" t="s">
        <v>88</v>
      </c>
      <c r="AM1022" s="364" t="s">
        <v>668</v>
      </c>
      <c r="AN1022" s="364" t="s">
        <v>644</v>
      </c>
    </row>
    <row r="1023" spans="1:40" x14ac:dyDescent="0.3">
      <c r="A1023" s="364" t="s">
        <v>1626</v>
      </c>
      <c r="B1023" s="364" t="s">
        <v>661</v>
      </c>
      <c r="C1023" s="364" t="s">
        <v>677</v>
      </c>
      <c r="D1023" s="364" t="s">
        <v>87</v>
      </c>
      <c r="E1023" s="364" t="s">
        <v>1558</v>
      </c>
      <c r="F1023" s="364" t="s">
        <v>1558</v>
      </c>
      <c r="G1023" s="364" t="s">
        <v>658</v>
      </c>
      <c r="H1023" s="364" t="s">
        <v>1625</v>
      </c>
      <c r="I1023" s="364" t="s">
        <v>1624</v>
      </c>
      <c r="J1023" s="364" t="s">
        <v>673</v>
      </c>
      <c r="K1023" s="364" t="s">
        <v>668</v>
      </c>
      <c r="L1023" s="364" t="s">
        <v>190</v>
      </c>
      <c r="M1023" s="364" t="s">
        <v>58</v>
      </c>
      <c r="N1023" s="364" t="s">
        <v>654</v>
      </c>
      <c r="O1023" s="364" t="s">
        <v>653</v>
      </c>
      <c r="P1023" s="364" t="s">
        <v>198</v>
      </c>
      <c r="Q1023" s="364" t="s">
        <v>652</v>
      </c>
      <c r="R1023" s="364" t="s">
        <v>88</v>
      </c>
      <c r="S1023" s="364" t="s">
        <v>88</v>
      </c>
      <c r="T1023" s="364" t="s">
        <v>88</v>
      </c>
      <c r="U1023" s="364" t="s">
        <v>88</v>
      </c>
      <c r="V1023" s="364" t="s">
        <v>88</v>
      </c>
      <c r="W1023" s="364" t="s">
        <v>88</v>
      </c>
      <c r="X1023" s="364" t="s">
        <v>88</v>
      </c>
      <c r="Y1023" s="364" t="s">
        <v>88</v>
      </c>
      <c r="Z1023" s="364" t="s">
        <v>702</v>
      </c>
      <c r="AA1023" s="364" t="s">
        <v>701</v>
      </c>
      <c r="AB1023" s="364" t="s">
        <v>649</v>
      </c>
      <c r="AC1023" s="364" t="s">
        <v>649</v>
      </c>
      <c r="AD1023" s="364" t="s">
        <v>88</v>
      </c>
      <c r="AE1023" s="364" t="s">
        <v>88</v>
      </c>
      <c r="AF1023" s="364" t="s">
        <v>88</v>
      </c>
      <c r="AG1023" s="364" t="s">
        <v>88</v>
      </c>
      <c r="AH1023" s="364" t="s">
        <v>88</v>
      </c>
      <c r="AI1023" s="364" t="s">
        <v>1199</v>
      </c>
      <c r="AJ1023" s="364" t="s">
        <v>670</v>
      </c>
      <c r="AK1023" s="364" t="s">
        <v>669</v>
      </c>
      <c r="AL1023" s="364" t="s">
        <v>88</v>
      </c>
      <c r="AM1023" s="364" t="s">
        <v>668</v>
      </c>
      <c r="AN1023" s="364" t="s">
        <v>644</v>
      </c>
    </row>
    <row r="1024" spans="1:40" x14ac:dyDescent="0.3">
      <c r="A1024" s="364" t="s">
        <v>1626</v>
      </c>
      <c r="B1024" s="364" t="s">
        <v>661</v>
      </c>
      <c r="C1024" s="364" t="s">
        <v>677</v>
      </c>
      <c r="D1024" s="364" t="s">
        <v>87</v>
      </c>
      <c r="E1024" s="364" t="s">
        <v>1558</v>
      </c>
      <c r="F1024" s="364" t="s">
        <v>1558</v>
      </c>
      <c r="G1024" s="364" t="s">
        <v>658</v>
      </c>
      <c r="H1024" s="364" t="s">
        <v>1625</v>
      </c>
      <c r="I1024" s="364" t="s">
        <v>1624</v>
      </c>
      <c r="J1024" s="364" t="s">
        <v>673</v>
      </c>
      <c r="K1024" s="364" t="s">
        <v>668</v>
      </c>
      <c r="L1024" s="364" t="s">
        <v>190</v>
      </c>
      <c r="M1024" s="364" t="s">
        <v>166</v>
      </c>
      <c r="N1024" s="364" t="s">
        <v>654</v>
      </c>
      <c r="O1024" s="364" t="s">
        <v>653</v>
      </c>
      <c r="P1024" s="364" t="s">
        <v>198</v>
      </c>
      <c r="Q1024" s="364" t="s">
        <v>652</v>
      </c>
      <c r="R1024" s="364" t="s">
        <v>88</v>
      </c>
      <c r="S1024" s="364" t="s">
        <v>88</v>
      </c>
      <c r="T1024" s="364" t="s">
        <v>88</v>
      </c>
      <c r="U1024" s="364" t="s">
        <v>88</v>
      </c>
      <c r="V1024" s="364" t="s">
        <v>88</v>
      </c>
      <c r="W1024" s="364" t="s">
        <v>88</v>
      </c>
      <c r="X1024" s="364" t="s">
        <v>88</v>
      </c>
      <c r="Y1024" s="364" t="s">
        <v>88</v>
      </c>
      <c r="Z1024" s="364" t="s">
        <v>877</v>
      </c>
      <c r="AA1024" s="364" t="s">
        <v>876</v>
      </c>
      <c r="AB1024" s="364" t="s">
        <v>649</v>
      </c>
      <c r="AC1024" s="364" t="s">
        <v>649</v>
      </c>
      <c r="AD1024" s="364" t="s">
        <v>88</v>
      </c>
      <c r="AE1024" s="364" t="s">
        <v>88</v>
      </c>
      <c r="AF1024" s="364" t="s">
        <v>88</v>
      </c>
      <c r="AG1024" s="364" t="s">
        <v>88</v>
      </c>
      <c r="AH1024" s="364" t="s">
        <v>88</v>
      </c>
      <c r="AI1024" s="364" t="s">
        <v>1199</v>
      </c>
      <c r="AJ1024" s="364" t="s">
        <v>670</v>
      </c>
      <c r="AK1024" s="364" t="s">
        <v>669</v>
      </c>
      <c r="AL1024" s="364" t="s">
        <v>88</v>
      </c>
      <c r="AM1024" s="364" t="s">
        <v>668</v>
      </c>
      <c r="AN1024" s="364" t="s">
        <v>644</v>
      </c>
    </row>
    <row r="1025" spans="1:40" x14ac:dyDescent="0.3">
      <c r="A1025" s="364" t="s">
        <v>1623</v>
      </c>
      <c r="B1025" s="364" t="s">
        <v>661</v>
      </c>
      <c r="C1025" s="364" t="s">
        <v>677</v>
      </c>
      <c r="D1025" s="364" t="s">
        <v>87</v>
      </c>
      <c r="E1025" s="364" t="s">
        <v>1558</v>
      </c>
      <c r="F1025" s="364" t="s">
        <v>1558</v>
      </c>
      <c r="G1025" s="364" t="s">
        <v>658</v>
      </c>
      <c r="H1025" s="364" t="s">
        <v>1622</v>
      </c>
      <c r="I1025" s="364" t="s">
        <v>1619</v>
      </c>
      <c r="J1025" s="364" t="s">
        <v>673</v>
      </c>
      <c r="K1025" s="364" t="s">
        <v>668</v>
      </c>
      <c r="L1025" s="364" t="s">
        <v>190</v>
      </c>
      <c r="M1025" s="364" t="s">
        <v>60</v>
      </c>
      <c r="N1025" s="364" t="s">
        <v>654</v>
      </c>
      <c r="O1025" s="364" t="s">
        <v>653</v>
      </c>
      <c r="P1025" s="364" t="s">
        <v>198</v>
      </c>
      <c r="Q1025" s="364" t="s">
        <v>652</v>
      </c>
      <c r="R1025" s="364" t="s">
        <v>88</v>
      </c>
      <c r="S1025" s="364" t="s">
        <v>88</v>
      </c>
      <c r="T1025" s="364" t="s">
        <v>88</v>
      </c>
      <c r="U1025" s="364" t="s">
        <v>88</v>
      </c>
      <c r="V1025" s="364" t="s">
        <v>88</v>
      </c>
      <c r="W1025" s="364" t="s">
        <v>88</v>
      </c>
      <c r="X1025" s="364" t="s">
        <v>88</v>
      </c>
      <c r="Y1025" s="364" t="s">
        <v>88</v>
      </c>
      <c r="Z1025" s="364" t="s">
        <v>709</v>
      </c>
      <c r="AA1025" s="364" t="s">
        <v>708</v>
      </c>
      <c r="AB1025" s="364" t="s">
        <v>649</v>
      </c>
      <c r="AC1025" s="364" t="s">
        <v>649</v>
      </c>
      <c r="AD1025" s="364" t="s">
        <v>88</v>
      </c>
      <c r="AE1025" s="364" t="s">
        <v>88</v>
      </c>
      <c r="AF1025" s="364" t="s">
        <v>88</v>
      </c>
      <c r="AG1025" s="364" t="s">
        <v>88</v>
      </c>
      <c r="AH1025" s="364" t="s">
        <v>88</v>
      </c>
      <c r="AI1025" s="364" t="s">
        <v>1199</v>
      </c>
      <c r="AJ1025" s="364" t="s">
        <v>670</v>
      </c>
      <c r="AK1025" s="364" t="s">
        <v>687</v>
      </c>
      <c r="AL1025" s="364" t="s">
        <v>88</v>
      </c>
      <c r="AM1025" s="364" t="s">
        <v>668</v>
      </c>
      <c r="AN1025" s="364" t="s">
        <v>644</v>
      </c>
    </row>
    <row r="1026" spans="1:40" x14ac:dyDescent="0.3">
      <c r="A1026" s="364" t="s">
        <v>1621</v>
      </c>
      <c r="B1026" s="364" t="s">
        <v>661</v>
      </c>
      <c r="C1026" s="364" t="s">
        <v>677</v>
      </c>
      <c r="D1026" s="364" t="s">
        <v>87</v>
      </c>
      <c r="E1026" s="364" t="s">
        <v>1554</v>
      </c>
      <c r="F1026" s="364" t="s">
        <v>1554</v>
      </c>
      <c r="G1026" s="364" t="s">
        <v>658</v>
      </c>
      <c r="H1026" s="364" t="s">
        <v>1620</v>
      </c>
      <c r="I1026" s="364" t="s">
        <v>1619</v>
      </c>
      <c r="J1026" s="364" t="s">
        <v>673</v>
      </c>
      <c r="K1026" s="364" t="s">
        <v>668</v>
      </c>
      <c r="L1026" s="364" t="s">
        <v>190</v>
      </c>
      <c r="M1026" s="364" t="s">
        <v>60</v>
      </c>
      <c r="N1026" s="364" t="s">
        <v>654</v>
      </c>
      <c r="O1026" s="364" t="s">
        <v>653</v>
      </c>
      <c r="P1026" s="364" t="s">
        <v>198</v>
      </c>
      <c r="Q1026" s="364" t="s">
        <v>652</v>
      </c>
      <c r="R1026" s="364" t="s">
        <v>88</v>
      </c>
      <c r="S1026" s="364" t="s">
        <v>88</v>
      </c>
      <c r="T1026" s="364" t="s">
        <v>88</v>
      </c>
      <c r="U1026" s="364" t="s">
        <v>88</v>
      </c>
      <c r="V1026" s="364" t="s">
        <v>88</v>
      </c>
      <c r="W1026" s="364" t="s">
        <v>88</v>
      </c>
      <c r="X1026" s="364" t="s">
        <v>88</v>
      </c>
      <c r="Y1026" s="364" t="s">
        <v>88</v>
      </c>
      <c r="Z1026" s="364" t="s">
        <v>709</v>
      </c>
      <c r="AA1026" s="364" t="s">
        <v>708</v>
      </c>
      <c r="AB1026" s="364" t="s">
        <v>649</v>
      </c>
      <c r="AC1026" s="364" t="s">
        <v>649</v>
      </c>
      <c r="AD1026" s="364" t="s">
        <v>88</v>
      </c>
      <c r="AE1026" s="364" t="s">
        <v>88</v>
      </c>
      <c r="AF1026" s="364" t="s">
        <v>88</v>
      </c>
      <c r="AG1026" s="364" t="s">
        <v>88</v>
      </c>
      <c r="AH1026" s="364" t="s">
        <v>88</v>
      </c>
      <c r="AI1026" s="364" t="s">
        <v>1199</v>
      </c>
      <c r="AJ1026" s="364" t="s">
        <v>670</v>
      </c>
      <c r="AK1026" s="364" t="s">
        <v>687</v>
      </c>
      <c r="AL1026" s="364" t="s">
        <v>88</v>
      </c>
      <c r="AM1026" s="364" t="s">
        <v>668</v>
      </c>
      <c r="AN1026" s="364" t="s">
        <v>644</v>
      </c>
    </row>
    <row r="1027" spans="1:40" x14ac:dyDescent="0.3">
      <c r="A1027" s="364" t="s">
        <v>1618</v>
      </c>
      <c r="B1027" s="364" t="s">
        <v>661</v>
      </c>
      <c r="C1027" s="364" t="s">
        <v>677</v>
      </c>
      <c r="D1027" s="364" t="s">
        <v>87</v>
      </c>
      <c r="E1027" s="364" t="s">
        <v>1554</v>
      </c>
      <c r="F1027" s="364" t="s">
        <v>1554</v>
      </c>
      <c r="G1027" s="364" t="s">
        <v>658</v>
      </c>
      <c r="H1027" s="364" t="s">
        <v>1617</v>
      </c>
      <c r="I1027" s="364" t="s">
        <v>1616</v>
      </c>
      <c r="J1027" s="364" t="s">
        <v>673</v>
      </c>
      <c r="K1027" s="364" t="s">
        <v>668</v>
      </c>
      <c r="L1027" s="364" t="s">
        <v>190</v>
      </c>
      <c r="M1027" s="364" t="s">
        <v>58</v>
      </c>
      <c r="N1027" s="364" t="s">
        <v>654</v>
      </c>
      <c r="O1027" s="364" t="s">
        <v>653</v>
      </c>
      <c r="P1027" s="364" t="s">
        <v>198</v>
      </c>
      <c r="Q1027" s="364" t="s">
        <v>652</v>
      </c>
      <c r="R1027" s="364" t="s">
        <v>88</v>
      </c>
      <c r="S1027" s="364" t="s">
        <v>88</v>
      </c>
      <c r="T1027" s="364" t="s">
        <v>88</v>
      </c>
      <c r="U1027" s="364" t="s">
        <v>88</v>
      </c>
      <c r="V1027" s="364" t="s">
        <v>88</v>
      </c>
      <c r="W1027" s="364" t="s">
        <v>88</v>
      </c>
      <c r="X1027" s="364" t="s">
        <v>88</v>
      </c>
      <c r="Y1027" s="364" t="s">
        <v>88</v>
      </c>
      <c r="Z1027" s="364" t="s">
        <v>702</v>
      </c>
      <c r="AA1027" s="364" t="s">
        <v>701</v>
      </c>
      <c r="AB1027" s="364" t="s">
        <v>649</v>
      </c>
      <c r="AC1027" s="364" t="s">
        <v>649</v>
      </c>
      <c r="AD1027" s="364" t="s">
        <v>88</v>
      </c>
      <c r="AE1027" s="364" t="s">
        <v>88</v>
      </c>
      <c r="AF1027" s="364" t="s">
        <v>88</v>
      </c>
      <c r="AG1027" s="364" t="s">
        <v>88</v>
      </c>
      <c r="AH1027" s="364" t="s">
        <v>88</v>
      </c>
      <c r="AI1027" s="364" t="s">
        <v>1199</v>
      </c>
      <c r="AJ1027" s="364" t="s">
        <v>670</v>
      </c>
      <c r="AK1027" s="364" t="s">
        <v>669</v>
      </c>
      <c r="AL1027" s="364" t="s">
        <v>88</v>
      </c>
      <c r="AM1027" s="364" t="s">
        <v>668</v>
      </c>
      <c r="AN1027" s="364" t="s">
        <v>644</v>
      </c>
    </row>
    <row r="1028" spans="1:40" x14ac:dyDescent="0.3">
      <c r="A1028" s="364" t="s">
        <v>1618</v>
      </c>
      <c r="B1028" s="364" t="s">
        <v>661</v>
      </c>
      <c r="C1028" s="364" t="s">
        <v>677</v>
      </c>
      <c r="D1028" s="364" t="s">
        <v>87</v>
      </c>
      <c r="E1028" s="364" t="s">
        <v>1554</v>
      </c>
      <c r="F1028" s="364" t="s">
        <v>1554</v>
      </c>
      <c r="G1028" s="364" t="s">
        <v>658</v>
      </c>
      <c r="H1028" s="364" t="s">
        <v>1617</v>
      </c>
      <c r="I1028" s="364" t="s">
        <v>1616</v>
      </c>
      <c r="J1028" s="364" t="s">
        <v>673</v>
      </c>
      <c r="K1028" s="364" t="s">
        <v>668</v>
      </c>
      <c r="L1028" s="364" t="s">
        <v>190</v>
      </c>
      <c r="M1028" s="364" t="s">
        <v>166</v>
      </c>
      <c r="N1028" s="364" t="s">
        <v>654</v>
      </c>
      <c r="O1028" s="364" t="s">
        <v>653</v>
      </c>
      <c r="P1028" s="364" t="s">
        <v>198</v>
      </c>
      <c r="Q1028" s="364" t="s">
        <v>652</v>
      </c>
      <c r="R1028" s="364" t="s">
        <v>88</v>
      </c>
      <c r="S1028" s="364" t="s">
        <v>88</v>
      </c>
      <c r="T1028" s="364" t="s">
        <v>88</v>
      </c>
      <c r="U1028" s="364" t="s">
        <v>88</v>
      </c>
      <c r="V1028" s="364" t="s">
        <v>88</v>
      </c>
      <c r="W1028" s="364" t="s">
        <v>88</v>
      </c>
      <c r="X1028" s="364" t="s">
        <v>88</v>
      </c>
      <c r="Y1028" s="364" t="s">
        <v>88</v>
      </c>
      <c r="Z1028" s="364" t="s">
        <v>877</v>
      </c>
      <c r="AA1028" s="364" t="s">
        <v>876</v>
      </c>
      <c r="AB1028" s="364" t="s">
        <v>649</v>
      </c>
      <c r="AC1028" s="364" t="s">
        <v>649</v>
      </c>
      <c r="AD1028" s="364" t="s">
        <v>88</v>
      </c>
      <c r="AE1028" s="364" t="s">
        <v>88</v>
      </c>
      <c r="AF1028" s="364" t="s">
        <v>88</v>
      </c>
      <c r="AG1028" s="364" t="s">
        <v>88</v>
      </c>
      <c r="AH1028" s="364" t="s">
        <v>88</v>
      </c>
      <c r="AI1028" s="364" t="s">
        <v>1199</v>
      </c>
      <c r="AJ1028" s="364" t="s">
        <v>670</v>
      </c>
      <c r="AK1028" s="364" t="s">
        <v>669</v>
      </c>
      <c r="AL1028" s="364" t="s">
        <v>88</v>
      </c>
      <c r="AM1028" s="364" t="s">
        <v>668</v>
      </c>
      <c r="AN1028" s="364" t="s">
        <v>644</v>
      </c>
    </row>
    <row r="1029" spans="1:40" x14ac:dyDescent="0.3">
      <c r="A1029" s="364" t="s">
        <v>1615</v>
      </c>
      <c r="B1029" s="364" t="s">
        <v>661</v>
      </c>
      <c r="C1029" s="364" t="s">
        <v>677</v>
      </c>
      <c r="D1029" s="364" t="s">
        <v>87</v>
      </c>
      <c r="E1029" s="364" t="s">
        <v>1554</v>
      </c>
      <c r="F1029" s="364" t="s">
        <v>1554</v>
      </c>
      <c r="G1029" s="364" t="s">
        <v>658</v>
      </c>
      <c r="H1029" s="364" t="s">
        <v>1078</v>
      </c>
      <c r="I1029" s="364" t="s">
        <v>1077</v>
      </c>
      <c r="J1029" s="364" t="s">
        <v>673</v>
      </c>
      <c r="K1029" s="364" t="s">
        <v>668</v>
      </c>
      <c r="L1029" s="364" t="s">
        <v>190</v>
      </c>
      <c r="M1029" s="364" t="s">
        <v>59</v>
      </c>
      <c r="N1029" s="364" t="s">
        <v>654</v>
      </c>
      <c r="O1029" s="364" t="s">
        <v>653</v>
      </c>
      <c r="P1029" s="364" t="s">
        <v>198</v>
      </c>
      <c r="Q1029" s="364" t="s">
        <v>652</v>
      </c>
      <c r="R1029" s="364" t="s">
        <v>88</v>
      </c>
      <c r="S1029" s="364" t="s">
        <v>88</v>
      </c>
      <c r="T1029" s="364" t="s">
        <v>88</v>
      </c>
      <c r="U1029" s="364" t="s">
        <v>88</v>
      </c>
      <c r="V1029" s="364" t="s">
        <v>88</v>
      </c>
      <c r="W1029" s="364" t="s">
        <v>88</v>
      </c>
      <c r="X1029" s="364" t="s">
        <v>88</v>
      </c>
      <c r="Y1029" s="364" t="s">
        <v>88</v>
      </c>
      <c r="Z1029" s="364" t="s">
        <v>672</v>
      </c>
      <c r="AA1029" s="364" t="s">
        <v>671</v>
      </c>
      <c r="AB1029" s="364" t="s">
        <v>649</v>
      </c>
      <c r="AC1029" s="364" t="s">
        <v>649</v>
      </c>
      <c r="AD1029" s="364" t="s">
        <v>88</v>
      </c>
      <c r="AE1029" s="364" t="s">
        <v>88</v>
      </c>
      <c r="AF1029" s="364" t="s">
        <v>88</v>
      </c>
      <c r="AG1029" s="364" t="s">
        <v>88</v>
      </c>
      <c r="AH1029" s="364" t="s">
        <v>88</v>
      </c>
      <c r="AI1029" s="364" t="s">
        <v>1199</v>
      </c>
      <c r="AJ1029" s="364" t="s">
        <v>670</v>
      </c>
      <c r="AK1029" s="364" t="s">
        <v>669</v>
      </c>
      <c r="AL1029" s="364" t="s">
        <v>88</v>
      </c>
      <c r="AM1029" s="364" t="s">
        <v>668</v>
      </c>
      <c r="AN1029" s="364" t="s">
        <v>644</v>
      </c>
    </row>
    <row r="1030" spans="1:40" x14ac:dyDescent="0.3">
      <c r="A1030" s="364" t="s">
        <v>1614</v>
      </c>
      <c r="B1030" s="364" t="s">
        <v>661</v>
      </c>
      <c r="C1030" s="364" t="s">
        <v>677</v>
      </c>
      <c r="D1030" s="364" t="s">
        <v>87</v>
      </c>
      <c r="E1030" s="364" t="s">
        <v>1550</v>
      </c>
      <c r="F1030" s="364" t="s">
        <v>1550</v>
      </c>
      <c r="G1030" s="364" t="s">
        <v>658</v>
      </c>
      <c r="H1030" s="364" t="s">
        <v>1078</v>
      </c>
      <c r="I1030" s="364" t="s">
        <v>1077</v>
      </c>
      <c r="J1030" s="364" t="s">
        <v>673</v>
      </c>
      <c r="K1030" s="364" t="s">
        <v>668</v>
      </c>
      <c r="L1030" s="364" t="s">
        <v>190</v>
      </c>
      <c r="M1030" s="364" t="s">
        <v>59</v>
      </c>
      <c r="N1030" s="364" t="s">
        <v>654</v>
      </c>
      <c r="O1030" s="364" t="s">
        <v>653</v>
      </c>
      <c r="P1030" s="364" t="s">
        <v>198</v>
      </c>
      <c r="Q1030" s="364" t="s">
        <v>652</v>
      </c>
      <c r="R1030" s="364" t="s">
        <v>88</v>
      </c>
      <c r="S1030" s="364" t="s">
        <v>88</v>
      </c>
      <c r="T1030" s="364" t="s">
        <v>88</v>
      </c>
      <c r="U1030" s="364" t="s">
        <v>88</v>
      </c>
      <c r="V1030" s="364" t="s">
        <v>88</v>
      </c>
      <c r="W1030" s="364" t="s">
        <v>88</v>
      </c>
      <c r="X1030" s="364" t="s">
        <v>88</v>
      </c>
      <c r="Y1030" s="364" t="s">
        <v>88</v>
      </c>
      <c r="Z1030" s="364" t="s">
        <v>672</v>
      </c>
      <c r="AA1030" s="364" t="s">
        <v>671</v>
      </c>
      <c r="AB1030" s="364" t="s">
        <v>649</v>
      </c>
      <c r="AC1030" s="364" t="s">
        <v>649</v>
      </c>
      <c r="AD1030" s="364" t="s">
        <v>88</v>
      </c>
      <c r="AE1030" s="364" t="s">
        <v>88</v>
      </c>
      <c r="AF1030" s="364" t="s">
        <v>88</v>
      </c>
      <c r="AG1030" s="364" t="s">
        <v>88</v>
      </c>
      <c r="AH1030" s="364" t="s">
        <v>88</v>
      </c>
      <c r="AI1030" s="364" t="s">
        <v>1199</v>
      </c>
      <c r="AJ1030" s="364" t="s">
        <v>670</v>
      </c>
      <c r="AK1030" s="364" t="s">
        <v>669</v>
      </c>
      <c r="AL1030" s="364" t="s">
        <v>88</v>
      </c>
      <c r="AM1030" s="364" t="s">
        <v>668</v>
      </c>
      <c r="AN1030" s="364" t="s">
        <v>644</v>
      </c>
    </row>
    <row r="1031" spans="1:40" x14ac:dyDescent="0.3">
      <c r="A1031" s="364" t="s">
        <v>1613</v>
      </c>
      <c r="B1031" s="364" t="s">
        <v>661</v>
      </c>
      <c r="C1031" s="364" t="s">
        <v>677</v>
      </c>
      <c r="D1031" s="364" t="s">
        <v>87</v>
      </c>
      <c r="E1031" s="364" t="s">
        <v>1550</v>
      </c>
      <c r="F1031" s="364" t="s">
        <v>1550</v>
      </c>
      <c r="G1031" s="364" t="s">
        <v>658</v>
      </c>
      <c r="H1031" s="364" t="s">
        <v>1612</v>
      </c>
      <c r="I1031" s="364" t="s">
        <v>1611</v>
      </c>
      <c r="J1031" s="364" t="s">
        <v>673</v>
      </c>
      <c r="K1031" s="364" t="s">
        <v>668</v>
      </c>
      <c r="L1031" s="364" t="s">
        <v>190</v>
      </c>
      <c r="M1031" s="364" t="s">
        <v>58</v>
      </c>
      <c r="N1031" s="364" t="s">
        <v>654</v>
      </c>
      <c r="O1031" s="364" t="s">
        <v>653</v>
      </c>
      <c r="P1031" s="364" t="s">
        <v>198</v>
      </c>
      <c r="Q1031" s="364" t="s">
        <v>652</v>
      </c>
      <c r="R1031" s="364" t="s">
        <v>88</v>
      </c>
      <c r="S1031" s="364" t="s">
        <v>88</v>
      </c>
      <c r="T1031" s="364" t="s">
        <v>88</v>
      </c>
      <c r="U1031" s="364" t="s">
        <v>88</v>
      </c>
      <c r="V1031" s="364" t="s">
        <v>88</v>
      </c>
      <c r="W1031" s="364" t="s">
        <v>88</v>
      </c>
      <c r="X1031" s="364" t="s">
        <v>88</v>
      </c>
      <c r="Y1031" s="364" t="s">
        <v>88</v>
      </c>
      <c r="Z1031" s="364" t="s">
        <v>702</v>
      </c>
      <c r="AA1031" s="364" t="s">
        <v>701</v>
      </c>
      <c r="AB1031" s="364" t="s">
        <v>649</v>
      </c>
      <c r="AC1031" s="364" t="s">
        <v>649</v>
      </c>
      <c r="AD1031" s="364" t="s">
        <v>88</v>
      </c>
      <c r="AE1031" s="364" t="s">
        <v>88</v>
      </c>
      <c r="AF1031" s="364" t="s">
        <v>88</v>
      </c>
      <c r="AG1031" s="364" t="s">
        <v>88</v>
      </c>
      <c r="AH1031" s="364" t="s">
        <v>88</v>
      </c>
      <c r="AI1031" s="364" t="s">
        <v>1199</v>
      </c>
      <c r="AJ1031" s="364" t="s">
        <v>670</v>
      </c>
      <c r="AK1031" s="364" t="s">
        <v>669</v>
      </c>
      <c r="AL1031" s="364" t="s">
        <v>88</v>
      </c>
      <c r="AM1031" s="364" t="s">
        <v>668</v>
      </c>
      <c r="AN1031" s="364" t="s">
        <v>644</v>
      </c>
    </row>
    <row r="1032" spans="1:40" x14ac:dyDescent="0.3">
      <c r="A1032" s="364" t="s">
        <v>1613</v>
      </c>
      <c r="B1032" s="364" t="s">
        <v>661</v>
      </c>
      <c r="C1032" s="364" t="s">
        <v>677</v>
      </c>
      <c r="D1032" s="364" t="s">
        <v>87</v>
      </c>
      <c r="E1032" s="364" t="s">
        <v>1550</v>
      </c>
      <c r="F1032" s="364" t="s">
        <v>1550</v>
      </c>
      <c r="G1032" s="364" t="s">
        <v>658</v>
      </c>
      <c r="H1032" s="364" t="s">
        <v>1612</v>
      </c>
      <c r="I1032" s="364" t="s">
        <v>1611</v>
      </c>
      <c r="J1032" s="364" t="s">
        <v>673</v>
      </c>
      <c r="K1032" s="364" t="s">
        <v>668</v>
      </c>
      <c r="L1032" s="364" t="s">
        <v>190</v>
      </c>
      <c r="M1032" s="364" t="s">
        <v>166</v>
      </c>
      <c r="N1032" s="364" t="s">
        <v>654</v>
      </c>
      <c r="O1032" s="364" t="s">
        <v>653</v>
      </c>
      <c r="P1032" s="364" t="s">
        <v>198</v>
      </c>
      <c r="Q1032" s="364" t="s">
        <v>652</v>
      </c>
      <c r="R1032" s="364" t="s">
        <v>88</v>
      </c>
      <c r="S1032" s="364" t="s">
        <v>88</v>
      </c>
      <c r="T1032" s="364" t="s">
        <v>88</v>
      </c>
      <c r="U1032" s="364" t="s">
        <v>88</v>
      </c>
      <c r="V1032" s="364" t="s">
        <v>88</v>
      </c>
      <c r="W1032" s="364" t="s">
        <v>88</v>
      </c>
      <c r="X1032" s="364" t="s">
        <v>88</v>
      </c>
      <c r="Y1032" s="364" t="s">
        <v>88</v>
      </c>
      <c r="Z1032" s="364" t="s">
        <v>877</v>
      </c>
      <c r="AA1032" s="364" t="s">
        <v>876</v>
      </c>
      <c r="AB1032" s="364" t="s">
        <v>649</v>
      </c>
      <c r="AC1032" s="364" t="s">
        <v>649</v>
      </c>
      <c r="AD1032" s="364" t="s">
        <v>88</v>
      </c>
      <c r="AE1032" s="364" t="s">
        <v>88</v>
      </c>
      <c r="AF1032" s="364" t="s">
        <v>88</v>
      </c>
      <c r="AG1032" s="364" t="s">
        <v>88</v>
      </c>
      <c r="AH1032" s="364" t="s">
        <v>88</v>
      </c>
      <c r="AI1032" s="364" t="s">
        <v>1199</v>
      </c>
      <c r="AJ1032" s="364" t="s">
        <v>670</v>
      </c>
      <c r="AK1032" s="364" t="s">
        <v>669</v>
      </c>
      <c r="AL1032" s="364" t="s">
        <v>88</v>
      </c>
      <c r="AM1032" s="364" t="s">
        <v>668</v>
      </c>
      <c r="AN1032" s="364" t="s">
        <v>644</v>
      </c>
    </row>
    <row r="1033" spans="1:40" x14ac:dyDescent="0.3">
      <c r="A1033" s="364" t="s">
        <v>1610</v>
      </c>
      <c r="B1033" s="364" t="s">
        <v>661</v>
      </c>
      <c r="C1033" s="364" t="s">
        <v>677</v>
      </c>
      <c r="D1033" s="364" t="s">
        <v>87</v>
      </c>
      <c r="E1033" s="364" t="s">
        <v>1550</v>
      </c>
      <c r="F1033" s="364" t="s">
        <v>1550</v>
      </c>
      <c r="G1033" s="364" t="s">
        <v>658</v>
      </c>
      <c r="H1033" s="364" t="s">
        <v>1609</v>
      </c>
      <c r="I1033" s="364" t="s">
        <v>1083</v>
      </c>
      <c r="J1033" s="364" t="s">
        <v>673</v>
      </c>
      <c r="K1033" s="364" t="s">
        <v>668</v>
      </c>
      <c r="L1033" s="364" t="s">
        <v>190</v>
      </c>
      <c r="M1033" s="364" t="s">
        <v>60</v>
      </c>
      <c r="N1033" s="364" t="s">
        <v>654</v>
      </c>
      <c r="O1033" s="364" t="s">
        <v>653</v>
      </c>
      <c r="P1033" s="364" t="s">
        <v>198</v>
      </c>
      <c r="Q1033" s="364" t="s">
        <v>652</v>
      </c>
      <c r="R1033" s="364" t="s">
        <v>88</v>
      </c>
      <c r="S1033" s="364" t="s">
        <v>88</v>
      </c>
      <c r="T1033" s="364" t="s">
        <v>88</v>
      </c>
      <c r="U1033" s="364" t="s">
        <v>88</v>
      </c>
      <c r="V1033" s="364" t="s">
        <v>88</v>
      </c>
      <c r="W1033" s="364" t="s">
        <v>88</v>
      </c>
      <c r="X1033" s="364" t="s">
        <v>88</v>
      </c>
      <c r="Y1033" s="364" t="s">
        <v>88</v>
      </c>
      <c r="Z1033" s="364" t="s">
        <v>709</v>
      </c>
      <c r="AA1033" s="364" t="s">
        <v>708</v>
      </c>
      <c r="AB1033" s="364" t="s">
        <v>649</v>
      </c>
      <c r="AC1033" s="364" t="s">
        <v>649</v>
      </c>
      <c r="AD1033" s="364" t="s">
        <v>88</v>
      </c>
      <c r="AE1033" s="364" t="s">
        <v>88</v>
      </c>
      <c r="AF1033" s="364" t="s">
        <v>88</v>
      </c>
      <c r="AG1033" s="364" t="s">
        <v>88</v>
      </c>
      <c r="AH1033" s="364" t="s">
        <v>88</v>
      </c>
      <c r="AI1033" s="364" t="s">
        <v>1199</v>
      </c>
      <c r="AJ1033" s="364" t="s">
        <v>670</v>
      </c>
      <c r="AK1033" s="364" t="s">
        <v>687</v>
      </c>
      <c r="AL1033" s="364" t="s">
        <v>88</v>
      </c>
      <c r="AM1033" s="364" t="s">
        <v>668</v>
      </c>
      <c r="AN1033" s="364" t="s">
        <v>644</v>
      </c>
    </row>
    <row r="1034" spans="1:40" x14ac:dyDescent="0.3">
      <c r="A1034" s="364" t="s">
        <v>1608</v>
      </c>
      <c r="B1034" s="364" t="s">
        <v>661</v>
      </c>
      <c r="C1034" s="364" t="s">
        <v>677</v>
      </c>
      <c r="D1034" s="364" t="s">
        <v>87</v>
      </c>
      <c r="E1034" s="364" t="s">
        <v>1520</v>
      </c>
      <c r="F1034" s="364" t="s">
        <v>1520</v>
      </c>
      <c r="G1034" s="364" t="s">
        <v>658</v>
      </c>
      <c r="H1034" s="364" t="s">
        <v>1607</v>
      </c>
      <c r="I1034" s="364" t="s">
        <v>1083</v>
      </c>
      <c r="J1034" s="364" t="s">
        <v>673</v>
      </c>
      <c r="K1034" s="364" t="s">
        <v>668</v>
      </c>
      <c r="L1034" s="364" t="s">
        <v>190</v>
      </c>
      <c r="M1034" s="364" t="s">
        <v>60</v>
      </c>
      <c r="N1034" s="364" t="s">
        <v>654</v>
      </c>
      <c r="O1034" s="364" t="s">
        <v>653</v>
      </c>
      <c r="P1034" s="364" t="s">
        <v>198</v>
      </c>
      <c r="Q1034" s="364" t="s">
        <v>652</v>
      </c>
      <c r="R1034" s="364" t="s">
        <v>88</v>
      </c>
      <c r="S1034" s="364" t="s">
        <v>88</v>
      </c>
      <c r="T1034" s="364" t="s">
        <v>88</v>
      </c>
      <c r="U1034" s="364" t="s">
        <v>88</v>
      </c>
      <c r="V1034" s="364" t="s">
        <v>88</v>
      </c>
      <c r="W1034" s="364" t="s">
        <v>88</v>
      </c>
      <c r="X1034" s="364" t="s">
        <v>88</v>
      </c>
      <c r="Y1034" s="364" t="s">
        <v>88</v>
      </c>
      <c r="Z1034" s="364" t="s">
        <v>709</v>
      </c>
      <c r="AA1034" s="364" t="s">
        <v>708</v>
      </c>
      <c r="AB1034" s="364" t="s">
        <v>649</v>
      </c>
      <c r="AC1034" s="364" t="s">
        <v>649</v>
      </c>
      <c r="AD1034" s="364" t="s">
        <v>88</v>
      </c>
      <c r="AE1034" s="364" t="s">
        <v>88</v>
      </c>
      <c r="AF1034" s="364" t="s">
        <v>88</v>
      </c>
      <c r="AG1034" s="364" t="s">
        <v>88</v>
      </c>
      <c r="AH1034" s="364" t="s">
        <v>88</v>
      </c>
      <c r="AI1034" s="364" t="s">
        <v>1199</v>
      </c>
      <c r="AJ1034" s="364" t="s">
        <v>670</v>
      </c>
      <c r="AK1034" s="364" t="s">
        <v>687</v>
      </c>
      <c r="AL1034" s="364" t="s">
        <v>88</v>
      </c>
      <c r="AM1034" s="364" t="s">
        <v>668</v>
      </c>
      <c r="AN1034" s="364" t="s">
        <v>644</v>
      </c>
    </row>
    <row r="1035" spans="1:40" x14ac:dyDescent="0.3">
      <c r="A1035" s="364" t="s">
        <v>1606</v>
      </c>
      <c r="B1035" s="364" t="s">
        <v>661</v>
      </c>
      <c r="C1035" s="364" t="s">
        <v>677</v>
      </c>
      <c r="D1035" s="364" t="s">
        <v>87</v>
      </c>
      <c r="E1035" s="364" t="s">
        <v>1520</v>
      </c>
      <c r="F1035" s="364" t="s">
        <v>1520</v>
      </c>
      <c r="G1035" s="364" t="s">
        <v>658</v>
      </c>
      <c r="H1035" s="364" t="s">
        <v>1605</v>
      </c>
      <c r="I1035" s="364" t="s">
        <v>1604</v>
      </c>
      <c r="J1035" s="364" t="s">
        <v>673</v>
      </c>
      <c r="K1035" s="364" t="s">
        <v>668</v>
      </c>
      <c r="L1035" s="364" t="s">
        <v>190</v>
      </c>
      <c r="M1035" s="364" t="s">
        <v>58</v>
      </c>
      <c r="N1035" s="364" t="s">
        <v>654</v>
      </c>
      <c r="O1035" s="364" t="s">
        <v>653</v>
      </c>
      <c r="P1035" s="364" t="s">
        <v>198</v>
      </c>
      <c r="Q1035" s="364" t="s">
        <v>652</v>
      </c>
      <c r="R1035" s="364" t="s">
        <v>88</v>
      </c>
      <c r="S1035" s="364" t="s">
        <v>88</v>
      </c>
      <c r="T1035" s="364" t="s">
        <v>88</v>
      </c>
      <c r="U1035" s="364" t="s">
        <v>88</v>
      </c>
      <c r="V1035" s="364" t="s">
        <v>88</v>
      </c>
      <c r="W1035" s="364" t="s">
        <v>88</v>
      </c>
      <c r="X1035" s="364" t="s">
        <v>88</v>
      </c>
      <c r="Y1035" s="364" t="s">
        <v>88</v>
      </c>
      <c r="Z1035" s="364" t="s">
        <v>702</v>
      </c>
      <c r="AA1035" s="364" t="s">
        <v>701</v>
      </c>
      <c r="AB1035" s="364" t="s">
        <v>649</v>
      </c>
      <c r="AC1035" s="364" t="s">
        <v>649</v>
      </c>
      <c r="AD1035" s="364" t="s">
        <v>88</v>
      </c>
      <c r="AE1035" s="364" t="s">
        <v>88</v>
      </c>
      <c r="AF1035" s="364" t="s">
        <v>88</v>
      </c>
      <c r="AG1035" s="364" t="s">
        <v>88</v>
      </c>
      <c r="AH1035" s="364" t="s">
        <v>88</v>
      </c>
      <c r="AI1035" s="364" t="s">
        <v>1199</v>
      </c>
      <c r="AJ1035" s="364" t="s">
        <v>670</v>
      </c>
      <c r="AK1035" s="364" t="s">
        <v>669</v>
      </c>
      <c r="AL1035" s="364" t="s">
        <v>88</v>
      </c>
      <c r="AM1035" s="364" t="s">
        <v>668</v>
      </c>
      <c r="AN1035" s="364" t="s">
        <v>644</v>
      </c>
    </row>
    <row r="1036" spans="1:40" x14ac:dyDescent="0.3">
      <c r="A1036" s="364" t="s">
        <v>1606</v>
      </c>
      <c r="B1036" s="364" t="s">
        <v>661</v>
      </c>
      <c r="C1036" s="364" t="s">
        <v>677</v>
      </c>
      <c r="D1036" s="364" t="s">
        <v>87</v>
      </c>
      <c r="E1036" s="364" t="s">
        <v>1520</v>
      </c>
      <c r="F1036" s="364" t="s">
        <v>1520</v>
      </c>
      <c r="G1036" s="364" t="s">
        <v>658</v>
      </c>
      <c r="H1036" s="364" t="s">
        <v>1605</v>
      </c>
      <c r="I1036" s="364" t="s">
        <v>1604</v>
      </c>
      <c r="J1036" s="364" t="s">
        <v>673</v>
      </c>
      <c r="K1036" s="364" t="s">
        <v>668</v>
      </c>
      <c r="L1036" s="364" t="s">
        <v>190</v>
      </c>
      <c r="M1036" s="364" t="s">
        <v>166</v>
      </c>
      <c r="N1036" s="364" t="s">
        <v>654</v>
      </c>
      <c r="O1036" s="364" t="s">
        <v>653</v>
      </c>
      <c r="P1036" s="364" t="s">
        <v>198</v>
      </c>
      <c r="Q1036" s="364" t="s">
        <v>652</v>
      </c>
      <c r="R1036" s="364" t="s">
        <v>88</v>
      </c>
      <c r="S1036" s="364" t="s">
        <v>88</v>
      </c>
      <c r="T1036" s="364" t="s">
        <v>88</v>
      </c>
      <c r="U1036" s="364" t="s">
        <v>88</v>
      </c>
      <c r="V1036" s="364" t="s">
        <v>88</v>
      </c>
      <c r="W1036" s="364" t="s">
        <v>88</v>
      </c>
      <c r="X1036" s="364" t="s">
        <v>88</v>
      </c>
      <c r="Y1036" s="364" t="s">
        <v>88</v>
      </c>
      <c r="Z1036" s="364" t="s">
        <v>877</v>
      </c>
      <c r="AA1036" s="364" t="s">
        <v>876</v>
      </c>
      <c r="AB1036" s="364" t="s">
        <v>649</v>
      </c>
      <c r="AC1036" s="364" t="s">
        <v>649</v>
      </c>
      <c r="AD1036" s="364" t="s">
        <v>88</v>
      </c>
      <c r="AE1036" s="364" t="s">
        <v>88</v>
      </c>
      <c r="AF1036" s="364" t="s">
        <v>88</v>
      </c>
      <c r="AG1036" s="364" t="s">
        <v>88</v>
      </c>
      <c r="AH1036" s="364" t="s">
        <v>88</v>
      </c>
      <c r="AI1036" s="364" t="s">
        <v>1199</v>
      </c>
      <c r="AJ1036" s="364" t="s">
        <v>670</v>
      </c>
      <c r="AK1036" s="364" t="s">
        <v>669</v>
      </c>
      <c r="AL1036" s="364" t="s">
        <v>88</v>
      </c>
      <c r="AM1036" s="364" t="s">
        <v>668</v>
      </c>
      <c r="AN1036" s="364" t="s">
        <v>644</v>
      </c>
    </row>
    <row r="1037" spans="1:40" x14ac:dyDescent="0.3">
      <c r="A1037" s="364" t="s">
        <v>1603</v>
      </c>
      <c r="B1037" s="364" t="s">
        <v>661</v>
      </c>
      <c r="C1037" s="364" t="s">
        <v>677</v>
      </c>
      <c r="D1037" s="364" t="s">
        <v>87</v>
      </c>
      <c r="E1037" s="364" t="s">
        <v>1546</v>
      </c>
      <c r="F1037" s="364" t="s">
        <v>1546</v>
      </c>
      <c r="G1037" s="364" t="s">
        <v>658</v>
      </c>
      <c r="H1037" s="364" t="s">
        <v>684</v>
      </c>
      <c r="I1037" s="364" t="s">
        <v>1601</v>
      </c>
      <c r="J1037" s="364" t="s">
        <v>673</v>
      </c>
      <c r="K1037" s="364" t="s">
        <v>668</v>
      </c>
      <c r="L1037" s="364" t="s">
        <v>190</v>
      </c>
      <c r="M1037" s="364" t="s">
        <v>60</v>
      </c>
      <c r="N1037" s="364" t="s">
        <v>654</v>
      </c>
      <c r="O1037" s="364" t="s">
        <v>653</v>
      </c>
      <c r="P1037" s="364" t="s">
        <v>198</v>
      </c>
      <c r="Q1037" s="364" t="s">
        <v>652</v>
      </c>
      <c r="R1037" s="364" t="s">
        <v>88</v>
      </c>
      <c r="S1037" s="364" t="s">
        <v>88</v>
      </c>
      <c r="T1037" s="364" t="s">
        <v>88</v>
      </c>
      <c r="U1037" s="364" t="s">
        <v>88</v>
      </c>
      <c r="V1037" s="364" t="s">
        <v>88</v>
      </c>
      <c r="W1037" s="364" t="s">
        <v>88</v>
      </c>
      <c r="X1037" s="364" t="s">
        <v>88</v>
      </c>
      <c r="Y1037" s="364" t="s">
        <v>88</v>
      </c>
      <c r="Z1037" s="364" t="s">
        <v>709</v>
      </c>
      <c r="AA1037" s="364" t="s">
        <v>708</v>
      </c>
      <c r="AB1037" s="364" t="s">
        <v>649</v>
      </c>
      <c r="AC1037" s="364" t="s">
        <v>649</v>
      </c>
      <c r="AD1037" s="364" t="s">
        <v>88</v>
      </c>
      <c r="AE1037" s="364" t="s">
        <v>88</v>
      </c>
      <c r="AF1037" s="364" t="s">
        <v>88</v>
      </c>
      <c r="AG1037" s="364" t="s">
        <v>88</v>
      </c>
      <c r="AH1037" s="364" t="s">
        <v>88</v>
      </c>
      <c r="AI1037" s="364" t="s">
        <v>1199</v>
      </c>
      <c r="AJ1037" s="364" t="s">
        <v>670</v>
      </c>
      <c r="AK1037" s="364" t="s">
        <v>669</v>
      </c>
      <c r="AL1037" s="364" t="s">
        <v>88</v>
      </c>
      <c r="AM1037" s="364" t="s">
        <v>668</v>
      </c>
      <c r="AN1037" s="364" t="s">
        <v>644</v>
      </c>
    </row>
    <row r="1038" spans="1:40" x14ac:dyDescent="0.3">
      <c r="A1038" s="364" t="s">
        <v>1602</v>
      </c>
      <c r="B1038" s="364" t="s">
        <v>661</v>
      </c>
      <c r="C1038" s="364" t="s">
        <v>677</v>
      </c>
      <c r="D1038" s="364" t="s">
        <v>87</v>
      </c>
      <c r="E1038" s="364" t="s">
        <v>1546</v>
      </c>
      <c r="F1038" s="364" t="s">
        <v>1546</v>
      </c>
      <c r="G1038" s="364" t="s">
        <v>658</v>
      </c>
      <c r="H1038" s="364" t="s">
        <v>684</v>
      </c>
      <c r="I1038" s="364" t="s">
        <v>1601</v>
      </c>
      <c r="J1038" s="364" t="s">
        <v>673</v>
      </c>
      <c r="K1038" s="364" t="s">
        <v>668</v>
      </c>
      <c r="L1038" s="364" t="s">
        <v>190</v>
      </c>
      <c r="M1038" s="364" t="s">
        <v>58</v>
      </c>
      <c r="N1038" s="364" t="s">
        <v>654</v>
      </c>
      <c r="O1038" s="364" t="s">
        <v>653</v>
      </c>
      <c r="P1038" s="364" t="s">
        <v>198</v>
      </c>
      <c r="Q1038" s="364" t="s">
        <v>652</v>
      </c>
      <c r="R1038" s="364" t="s">
        <v>88</v>
      </c>
      <c r="S1038" s="364" t="s">
        <v>88</v>
      </c>
      <c r="T1038" s="364" t="s">
        <v>88</v>
      </c>
      <c r="U1038" s="364" t="s">
        <v>88</v>
      </c>
      <c r="V1038" s="364" t="s">
        <v>88</v>
      </c>
      <c r="W1038" s="364" t="s">
        <v>88</v>
      </c>
      <c r="X1038" s="364" t="s">
        <v>88</v>
      </c>
      <c r="Y1038" s="364" t="s">
        <v>88</v>
      </c>
      <c r="Z1038" s="364" t="s">
        <v>702</v>
      </c>
      <c r="AA1038" s="364" t="s">
        <v>701</v>
      </c>
      <c r="AB1038" s="364" t="s">
        <v>649</v>
      </c>
      <c r="AC1038" s="364" t="s">
        <v>649</v>
      </c>
      <c r="AD1038" s="364" t="s">
        <v>88</v>
      </c>
      <c r="AE1038" s="364" t="s">
        <v>88</v>
      </c>
      <c r="AF1038" s="364" t="s">
        <v>88</v>
      </c>
      <c r="AG1038" s="364" t="s">
        <v>88</v>
      </c>
      <c r="AH1038" s="364" t="s">
        <v>88</v>
      </c>
      <c r="AI1038" s="364" t="s">
        <v>1199</v>
      </c>
      <c r="AJ1038" s="364" t="s">
        <v>670</v>
      </c>
      <c r="AK1038" s="364" t="s">
        <v>669</v>
      </c>
      <c r="AL1038" s="364" t="s">
        <v>88</v>
      </c>
      <c r="AM1038" s="364" t="s">
        <v>668</v>
      </c>
      <c r="AN1038" s="364" t="s">
        <v>644</v>
      </c>
    </row>
    <row r="1039" spans="1:40" x14ac:dyDescent="0.3">
      <c r="A1039" s="364" t="s">
        <v>1602</v>
      </c>
      <c r="B1039" s="364" t="s">
        <v>661</v>
      </c>
      <c r="C1039" s="364" t="s">
        <v>677</v>
      </c>
      <c r="D1039" s="364" t="s">
        <v>87</v>
      </c>
      <c r="E1039" s="364" t="s">
        <v>1546</v>
      </c>
      <c r="F1039" s="364" t="s">
        <v>1546</v>
      </c>
      <c r="G1039" s="364" t="s">
        <v>658</v>
      </c>
      <c r="H1039" s="364" t="s">
        <v>684</v>
      </c>
      <c r="I1039" s="364" t="s">
        <v>1601</v>
      </c>
      <c r="J1039" s="364" t="s">
        <v>673</v>
      </c>
      <c r="K1039" s="364" t="s">
        <v>668</v>
      </c>
      <c r="L1039" s="364" t="s">
        <v>190</v>
      </c>
      <c r="M1039" s="364" t="s">
        <v>166</v>
      </c>
      <c r="N1039" s="364" t="s">
        <v>654</v>
      </c>
      <c r="O1039" s="364" t="s">
        <v>653</v>
      </c>
      <c r="P1039" s="364" t="s">
        <v>198</v>
      </c>
      <c r="Q1039" s="364" t="s">
        <v>652</v>
      </c>
      <c r="R1039" s="364" t="s">
        <v>88</v>
      </c>
      <c r="S1039" s="364" t="s">
        <v>88</v>
      </c>
      <c r="T1039" s="364" t="s">
        <v>88</v>
      </c>
      <c r="U1039" s="364" t="s">
        <v>88</v>
      </c>
      <c r="V1039" s="364" t="s">
        <v>88</v>
      </c>
      <c r="W1039" s="364" t="s">
        <v>88</v>
      </c>
      <c r="X1039" s="364" t="s">
        <v>88</v>
      </c>
      <c r="Y1039" s="364" t="s">
        <v>88</v>
      </c>
      <c r="Z1039" s="364" t="s">
        <v>877</v>
      </c>
      <c r="AA1039" s="364" t="s">
        <v>876</v>
      </c>
      <c r="AB1039" s="364" t="s">
        <v>649</v>
      </c>
      <c r="AC1039" s="364" t="s">
        <v>649</v>
      </c>
      <c r="AD1039" s="364" t="s">
        <v>88</v>
      </c>
      <c r="AE1039" s="364" t="s">
        <v>88</v>
      </c>
      <c r="AF1039" s="364" t="s">
        <v>88</v>
      </c>
      <c r="AG1039" s="364" t="s">
        <v>88</v>
      </c>
      <c r="AH1039" s="364" t="s">
        <v>88</v>
      </c>
      <c r="AI1039" s="364" t="s">
        <v>1199</v>
      </c>
      <c r="AJ1039" s="364" t="s">
        <v>670</v>
      </c>
      <c r="AK1039" s="364" t="s">
        <v>669</v>
      </c>
      <c r="AL1039" s="364" t="s">
        <v>88</v>
      </c>
      <c r="AM1039" s="364" t="s">
        <v>668</v>
      </c>
      <c r="AN1039" s="364" t="s">
        <v>644</v>
      </c>
    </row>
    <row r="1040" spans="1:40" x14ac:dyDescent="0.3">
      <c r="A1040" s="364" t="s">
        <v>1600</v>
      </c>
      <c r="B1040" s="364" t="s">
        <v>661</v>
      </c>
      <c r="C1040" s="364" t="s">
        <v>677</v>
      </c>
      <c r="D1040" s="364" t="s">
        <v>87</v>
      </c>
      <c r="E1040" s="364" t="s">
        <v>1516</v>
      </c>
      <c r="F1040" s="364" t="s">
        <v>1516</v>
      </c>
      <c r="G1040" s="364" t="s">
        <v>658</v>
      </c>
      <c r="H1040" s="364" t="s">
        <v>1599</v>
      </c>
      <c r="I1040" s="364" t="s">
        <v>1083</v>
      </c>
      <c r="J1040" s="364" t="s">
        <v>673</v>
      </c>
      <c r="K1040" s="364" t="s">
        <v>668</v>
      </c>
      <c r="L1040" s="364" t="s">
        <v>190</v>
      </c>
      <c r="M1040" s="364" t="s">
        <v>60</v>
      </c>
      <c r="N1040" s="364" t="s">
        <v>654</v>
      </c>
      <c r="O1040" s="364" t="s">
        <v>653</v>
      </c>
      <c r="P1040" s="364" t="s">
        <v>198</v>
      </c>
      <c r="Q1040" s="364" t="s">
        <v>652</v>
      </c>
      <c r="R1040" s="364" t="s">
        <v>88</v>
      </c>
      <c r="S1040" s="364" t="s">
        <v>88</v>
      </c>
      <c r="T1040" s="364" t="s">
        <v>88</v>
      </c>
      <c r="U1040" s="364" t="s">
        <v>88</v>
      </c>
      <c r="V1040" s="364" t="s">
        <v>88</v>
      </c>
      <c r="W1040" s="364" t="s">
        <v>88</v>
      </c>
      <c r="X1040" s="364" t="s">
        <v>88</v>
      </c>
      <c r="Y1040" s="364" t="s">
        <v>88</v>
      </c>
      <c r="Z1040" s="364" t="s">
        <v>709</v>
      </c>
      <c r="AA1040" s="364" t="s">
        <v>708</v>
      </c>
      <c r="AB1040" s="364" t="s">
        <v>649</v>
      </c>
      <c r="AC1040" s="364" t="s">
        <v>649</v>
      </c>
      <c r="AD1040" s="364" t="s">
        <v>88</v>
      </c>
      <c r="AE1040" s="364" t="s">
        <v>88</v>
      </c>
      <c r="AF1040" s="364" t="s">
        <v>88</v>
      </c>
      <c r="AG1040" s="364" t="s">
        <v>88</v>
      </c>
      <c r="AH1040" s="364" t="s">
        <v>88</v>
      </c>
      <c r="AI1040" s="364" t="s">
        <v>1199</v>
      </c>
      <c r="AJ1040" s="364" t="s">
        <v>670</v>
      </c>
      <c r="AK1040" s="364" t="s">
        <v>687</v>
      </c>
      <c r="AL1040" s="364" t="s">
        <v>88</v>
      </c>
      <c r="AM1040" s="364" t="s">
        <v>668</v>
      </c>
      <c r="AN1040" s="364" t="s">
        <v>644</v>
      </c>
    </row>
    <row r="1041" spans="1:40" x14ac:dyDescent="0.3">
      <c r="A1041" s="364" t="s">
        <v>1598</v>
      </c>
      <c r="B1041" s="364" t="s">
        <v>661</v>
      </c>
      <c r="C1041" s="364" t="s">
        <v>677</v>
      </c>
      <c r="D1041" s="364" t="s">
        <v>87</v>
      </c>
      <c r="E1041" s="364" t="s">
        <v>1516</v>
      </c>
      <c r="F1041" s="364" t="s">
        <v>1516</v>
      </c>
      <c r="G1041" s="364" t="s">
        <v>658</v>
      </c>
      <c r="H1041" s="364" t="s">
        <v>1597</v>
      </c>
      <c r="I1041" s="364" t="s">
        <v>1596</v>
      </c>
      <c r="J1041" s="364" t="s">
        <v>673</v>
      </c>
      <c r="K1041" s="364" t="s">
        <v>668</v>
      </c>
      <c r="L1041" s="364" t="s">
        <v>190</v>
      </c>
      <c r="M1041" s="364" t="s">
        <v>58</v>
      </c>
      <c r="N1041" s="364" t="s">
        <v>654</v>
      </c>
      <c r="O1041" s="364" t="s">
        <v>653</v>
      </c>
      <c r="P1041" s="364" t="s">
        <v>198</v>
      </c>
      <c r="Q1041" s="364" t="s">
        <v>652</v>
      </c>
      <c r="R1041" s="364" t="s">
        <v>88</v>
      </c>
      <c r="S1041" s="364" t="s">
        <v>88</v>
      </c>
      <c r="T1041" s="364" t="s">
        <v>88</v>
      </c>
      <c r="U1041" s="364" t="s">
        <v>88</v>
      </c>
      <c r="V1041" s="364" t="s">
        <v>88</v>
      </c>
      <c r="W1041" s="364" t="s">
        <v>88</v>
      </c>
      <c r="X1041" s="364" t="s">
        <v>88</v>
      </c>
      <c r="Y1041" s="364" t="s">
        <v>88</v>
      </c>
      <c r="Z1041" s="364" t="s">
        <v>702</v>
      </c>
      <c r="AA1041" s="364" t="s">
        <v>701</v>
      </c>
      <c r="AB1041" s="364" t="s">
        <v>649</v>
      </c>
      <c r="AC1041" s="364" t="s">
        <v>649</v>
      </c>
      <c r="AD1041" s="364" t="s">
        <v>88</v>
      </c>
      <c r="AE1041" s="364" t="s">
        <v>88</v>
      </c>
      <c r="AF1041" s="364" t="s">
        <v>88</v>
      </c>
      <c r="AG1041" s="364" t="s">
        <v>88</v>
      </c>
      <c r="AH1041" s="364" t="s">
        <v>88</v>
      </c>
      <c r="AI1041" s="364" t="s">
        <v>1199</v>
      </c>
      <c r="AJ1041" s="364" t="s">
        <v>670</v>
      </c>
      <c r="AK1041" s="364" t="s">
        <v>669</v>
      </c>
      <c r="AL1041" s="364" t="s">
        <v>88</v>
      </c>
      <c r="AM1041" s="364" t="s">
        <v>668</v>
      </c>
      <c r="AN1041" s="364" t="s">
        <v>644</v>
      </c>
    </row>
    <row r="1042" spans="1:40" x14ac:dyDescent="0.3">
      <c r="A1042" s="364" t="s">
        <v>1598</v>
      </c>
      <c r="B1042" s="364" t="s">
        <v>661</v>
      </c>
      <c r="C1042" s="364" t="s">
        <v>677</v>
      </c>
      <c r="D1042" s="364" t="s">
        <v>87</v>
      </c>
      <c r="E1042" s="364" t="s">
        <v>1516</v>
      </c>
      <c r="F1042" s="364" t="s">
        <v>1516</v>
      </c>
      <c r="G1042" s="364" t="s">
        <v>658</v>
      </c>
      <c r="H1042" s="364" t="s">
        <v>1597</v>
      </c>
      <c r="I1042" s="364" t="s">
        <v>1596</v>
      </c>
      <c r="J1042" s="364" t="s">
        <v>673</v>
      </c>
      <c r="K1042" s="364" t="s">
        <v>668</v>
      </c>
      <c r="L1042" s="364" t="s">
        <v>190</v>
      </c>
      <c r="M1042" s="364" t="s">
        <v>166</v>
      </c>
      <c r="N1042" s="364" t="s">
        <v>654</v>
      </c>
      <c r="O1042" s="364" t="s">
        <v>653</v>
      </c>
      <c r="P1042" s="364" t="s">
        <v>198</v>
      </c>
      <c r="Q1042" s="364" t="s">
        <v>652</v>
      </c>
      <c r="R1042" s="364" t="s">
        <v>88</v>
      </c>
      <c r="S1042" s="364" t="s">
        <v>88</v>
      </c>
      <c r="T1042" s="364" t="s">
        <v>88</v>
      </c>
      <c r="U1042" s="364" t="s">
        <v>88</v>
      </c>
      <c r="V1042" s="364" t="s">
        <v>88</v>
      </c>
      <c r="W1042" s="364" t="s">
        <v>88</v>
      </c>
      <c r="X1042" s="364" t="s">
        <v>88</v>
      </c>
      <c r="Y1042" s="364" t="s">
        <v>88</v>
      </c>
      <c r="Z1042" s="364" t="s">
        <v>877</v>
      </c>
      <c r="AA1042" s="364" t="s">
        <v>876</v>
      </c>
      <c r="AB1042" s="364" t="s">
        <v>649</v>
      </c>
      <c r="AC1042" s="364" t="s">
        <v>649</v>
      </c>
      <c r="AD1042" s="364" t="s">
        <v>88</v>
      </c>
      <c r="AE1042" s="364" t="s">
        <v>88</v>
      </c>
      <c r="AF1042" s="364" t="s">
        <v>88</v>
      </c>
      <c r="AG1042" s="364" t="s">
        <v>88</v>
      </c>
      <c r="AH1042" s="364" t="s">
        <v>88</v>
      </c>
      <c r="AI1042" s="364" t="s">
        <v>1199</v>
      </c>
      <c r="AJ1042" s="364" t="s">
        <v>670</v>
      </c>
      <c r="AK1042" s="364" t="s">
        <v>669</v>
      </c>
      <c r="AL1042" s="364" t="s">
        <v>88</v>
      </c>
      <c r="AM1042" s="364" t="s">
        <v>668</v>
      </c>
      <c r="AN1042" s="364" t="s">
        <v>644</v>
      </c>
    </row>
    <row r="1043" spans="1:40" x14ac:dyDescent="0.3">
      <c r="A1043" s="364" t="s">
        <v>1595</v>
      </c>
      <c r="B1043" s="364" t="s">
        <v>661</v>
      </c>
      <c r="C1043" s="364" t="s">
        <v>1160</v>
      </c>
      <c r="D1043" s="364" t="s">
        <v>87</v>
      </c>
      <c r="E1043" s="364" t="s">
        <v>1516</v>
      </c>
      <c r="F1043" s="364" t="s">
        <v>1516</v>
      </c>
      <c r="G1043" s="364" t="s">
        <v>658</v>
      </c>
      <c r="H1043" s="364" t="s">
        <v>1594</v>
      </c>
      <c r="I1043" s="364" t="s">
        <v>88</v>
      </c>
      <c r="J1043" s="364" t="s">
        <v>88</v>
      </c>
      <c r="K1043" s="364" t="s">
        <v>88</v>
      </c>
      <c r="L1043" s="364" t="s">
        <v>88</v>
      </c>
      <c r="M1043" s="364" t="s">
        <v>138</v>
      </c>
      <c r="N1043" s="364" t="s">
        <v>654</v>
      </c>
      <c r="O1043" s="364" t="s">
        <v>653</v>
      </c>
      <c r="P1043" s="364" t="s">
        <v>88</v>
      </c>
      <c r="Q1043" s="364" t="s">
        <v>88</v>
      </c>
      <c r="R1043" s="364" t="s">
        <v>88</v>
      </c>
      <c r="S1043" s="364" t="s">
        <v>88</v>
      </c>
      <c r="T1043" s="364" t="s">
        <v>88</v>
      </c>
      <c r="U1043" s="364" t="s">
        <v>88</v>
      </c>
      <c r="V1043" s="364" t="s">
        <v>88</v>
      </c>
      <c r="W1043" s="364" t="s">
        <v>88</v>
      </c>
      <c r="X1043" s="364" t="s">
        <v>88</v>
      </c>
      <c r="Y1043" s="364" t="s">
        <v>88</v>
      </c>
      <c r="Z1043" s="364" t="s">
        <v>88</v>
      </c>
      <c r="AA1043" s="364" t="s">
        <v>649</v>
      </c>
      <c r="AB1043" s="364" t="s">
        <v>88</v>
      </c>
      <c r="AC1043" s="364" t="s">
        <v>88</v>
      </c>
      <c r="AD1043" s="364" t="s">
        <v>88</v>
      </c>
      <c r="AE1043" s="364" t="s">
        <v>88</v>
      </c>
      <c r="AF1043" s="364" t="s">
        <v>88</v>
      </c>
      <c r="AG1043" s="364" t="s">
        <v>88</v>
      </c>
      <c r="AH1043" s="364" t="s">
        <v>88</v>
      </c>
      <c r="AI1043" s="364" t="s">
        <v>1593</v>
      </c>
      <c r="AJ1043" s="364" t="s">
        <v>793</v>
      </c>
      <c r="AK1043" s="364" t="s">
        <v>88</v>
      </c>
      <c r="AL1043" s="364" t="s">
        <v>88</v>
      </c>
      <c r="AM1043" s="364" t="s">
        <v>88</v>
      </c>
      <c r="AN1043" s="364" t="s">
        <v>792</v>
      </c>
    </row>
    <row r="1044" spans="1:40" x14ac:dyDescent="0.3">
      <c r="A1044" s="364" t="s">
        <v>1592</v>
      </c>
      <c r="B1044" s="364" t="s">
        <v>661</v>
      </c>
      <c r="C1044" s="364" t="s">
        <v>1160</v>
      </c>
      <c r="D1044" s="364" t="s">
        <v>87</v>
      </c>
      <c r="E1044" s="364" t="s">
        <v>1516</v>
      </c>
      <c r="F1044" s="364" t="s">
        <v>1516</v>
      </c>
      <c r="G1044" s="364" t="s">
        <v>658</v>
      </c>
      <c r="H1044" s="364" t="s">
        <v>1591</v>
      </c>
      <c r="I1044" s="364" t="s">
        <v>88</v>
      </c>
      <c r="J1044" s="364" t="s">
        <v>88</v>
      </c>
      <c r="K1044" s="364" t="s">
        <v>88</v>
      </c>
      <c r="L1044" s="364" t="s">
        <v>88</v>
      </c>
      <c r="M1044" s="364" t="s">
        <v>138</v>
      </c>
      <c r="N1044" s="364" t="s">
        <v>654</v>
      </c>
      <c r="O1044" s="364" t="s">
        <v>653</v>
      </c>
      <c r="P1044" s="364" t="s">
        <v>88</v>
      </c>
      <c r="Q1044" s="364" t="s">
        <v>88</v>
      </c>
      <c r="R1044" s="364" t="s">
        <v>88</v>
      </c>
      <c r="S1044" s="364" t="s">
        <v>88</v>
      </c>
      <c r="T1044" s="364" t="s">
        <v>88</v>
      </c>
      <c r="U1044" s="364" t="s">
        <v>88</v>
      </c>
      <c r="V1044" s="364" t="s">
        <v>88</v>
      </c>
      <c r="W1044" s="364" t="s">
        <v>88</v>
      </c>
      <c r="X1044" s="364" t="s">
        <v>88</v>
      </c>
      <c r="Y1044" s="364" t="s">
        <v>88</v>
      </c>
      <c r="Z1044" s="364" t="s">
        <v>88</v>
      </c>
      <c r="AA1044" s="364" t="s">
        <v>649</v>
      </c>
      <c r="AB1044" s="364" t="s">
        <v>88</v>
      </c>
      <c r="AC1044" s="364" t="s">
        <v>88</v>
      </c>
      <c r="AD1044" s="364" t="s">
        <v>88</v>
      </c>
      <c r="AE1044" s="364" t="s">
        <v>88</v>
      </c>
      <c r="AF1044" s="364" t="s">
        <v>88</v>
      </c>
      <c r="AG1044" s="364" t="s">
        <v>88</v>
      </c>
      <c r="AH1044" s="364" t="s">
        <v>88</v>
      </c>
      <c r="AI1044" s="364" t="s">
        <v>1590</v>
      </c>
      <c r="AJ1044" s="364" t="s">
        <v>793</v>
      </c>
      <c r="AK1044" s="364" t="s">
        <v>88</v>
      </c>
      <c r="AL1044" s="364" t="s">
        <v>88</v>
      </c>
      <c r="AM1044" s="364" t="s">
        <v>88</v>
      </c>
      <c r="AN1044" s="364" t="s">
        <v>792</v>
      </c>
    </row>
    <row r="1045" spans="1:40" x14ac:dyDescent="0.3">
      <c r="A1045" s="364" t="s">
        <v>1589</v>
      </c>
      <c r="B1045" s="364" t="s">
        <v>661</v>
      </c>
      <c r="C1045" s="364" t="s">
        <v>677</v>
      </c>
      <c r="D1045" s="364" t="s">
        <v>87</v>
      </c>
      <c r="E1045" s="364" t="s">
        <v>1512</v>
      </c>
      <c r="F1045" s="364" t="s">
        <v>1512</v>
      </c>
      <c r="G1045" s="364" t="s">
        <v>658</v>
      </c>
      <c r="H1045" s="364" t="s">
        <v>1588</v>
      </c>
      <c r="I1045" s="364" t="s">
        <v>1083</v>
      </c>
      <c r="J1045" s="364" t="s">
        <v>673</v>
      </c>
      <c r="K1045" s="364" t="s">
        <v>668</v>
      </c>
      <c r="L1045" s="364" t="s">
        <v>190</v>
      </c>
      <c r="M1045" s="364" t="s">
        <v>60</v>
      </c>
      <c r="N1045" s="364" t="s">
        <v>654</v>
      </c>
      <c r="O1045" s="364" t="s">
        <v>653</v>
      </c>
      <c r="P1045" s="364" t="s">
        <v>198</v>
      </c>
      <c r="Q1045" s="364" t="s">
        <v>652</v>
      </c>
      <c r="R1045" s="364" t="s">
        <v>88</v>
      </c>
      <c r="S1045" s="364" t="s">
        <v>88</v>
      </c>
      <c r="T1045" s="364" t="s">
        <v>88</v>
      </c>
      <c r="U1045" s="364" t="s">
        <v>88</v>
      </c>
      <c r="V1045" s="364" t="s">
        <v>88</v>
      </c>
      <c r="W1045" s="364" t="s">
        <v>88</v>
      </c>
      <c r="X1045" s="364" t="s">
        <v>88</v>
      </c>
      <c r="Y1045" s="364" t="s">
        <v>88</v>
      </c>
      <c r="Z1045" s="364" t="s">
        <v>709</v>
      </c>
      <c r="AA1045" s="364" t="s">
        <v>708</v>
      </c>
      <c r="AB1045" s="364" t="s">
        <v>649</v>
      </c>
      <c r="AC1045" s="364" t="s">
        <v>649</v>
      </c>
      <c r="AD1045" s="364" t="s">
        <v>88</v>
      </c>
      <c r="AE1045" s="364" t="s">
        <v>88</v>
      </c>
      <c r="AF1045" s="364" t="s">
        <v>88</v>
      </c>
      <c r="AG1045" s="364" t="s">
        <v>88</v>
      </c>
      <c r="AH1045" s="364" t="s">
        <v>88</v>
      </c>
      <c r="AI1045" s="364" t="s">
        <v>1199</v>
      </c>
      <c r="AJ1045" s="364" t="s">
        <v>670</v>
      </c>
      <c r="AK1045" s="364" t="s">
        <v>687</v>
      </c>
      <c r="AL1045" s="364" t="s">
        <v>88</v>
      </c>
      <c r="AM1045" s="364" t="s">
        <v>668</v>
      </c>
      <c r="AN1045" s="364" t="s">
        <v>644</v>
      </c>
    </row>
    <row r="1046" spans="1:40" x14ac:dyDescent="0.3">
      <c r="A1046" s="364" t="s">
        <v>1587</v>
      </c>
      <c r="B1046" s="364" t="s">
        <v>661</v>
      </c>
      <c r="C1046" s="364" t="s">
        <v>677</v>
      </c>
      <c r="D1046" s="364" t="s">
        <v>87</v>
      </c>
      <c r="E1046" s="364" t="s">
        <v>1512</v>
      </c>
      <c r="F1046" s="364" t="s">
        <v>1512</v>
      </c>
      <c r="G1046" s="364" t="s">
        <v>658</v>
      </c>
      <c r="H1046" s="364" t="s">
        <v>1586</v>
      </c>
      <c r="I1046" s="364" t="s">
        <v>1585</v>
      </c>
      <c r="J1046" s="364" t="s">
        <v>673</v>
      </c>
      <c r="K1046" s="364" t="s">
        <v>668</v>
      </c>
      <c r="L1046" s="364" t="s">
        <v>190</v>
      </c>
      <c r="M1046" s="364" t="s">
        <v>58</v>
      </c>
      <c r="N1046" s="364" t="s">
        <v>654</v>
      </c>
      <c r="O1046" s="364" t="s">
        <v>653</v>
      </c>
      <c r="P1046" s="364" t="s">
        <v>198</v>
      </c>
      <c r="Q1046" s="364" t="s">
        <v>652</v>
      </c>
      <c r="R1046" s="364" t="s">
        <v>88</v>
      </c>
      <c r="S1046" s="364" t="s">
        <v>88</v>
      </c>
      <c r="T1046" s="364" t="s">
        <v>88</v>
      </c>
      <c r="U1046" s="364" t="s">
        <v>88</v>
      </c>
      <c r="V1046" s="364" t="s">
        <v>88</v>
      </c>
      <c r="W1046" s="364" t="s">
        <v>88</v>
      </c>
      <c r="X1046" s="364" t="s">
        <v>88</v>
      </c>
      <c r="Y1046" s="364" t="s">
        <v>88</v>
      </c>
      <c r="Z1046" s="364" t="s">
        <v>702</v>
      </c>
      <c r="AA1046" s="364" t="s">
        <v>701</v>
      </c>
      <c r="AB1046" s="364" t="s">
        <v>649</v>
      </c>
      <c r="AC1046" s="364" t="s">
        <v>649</v>
      </c>
      <c r="AD1046" s="364" t="s">
        <v>88</v>
      </c>
      <c r="AE1046" s="364" t="s">
        <v>88</v>
      </c>
      <c r="AF1046" s="364" t="s">
        <v>88</v>
      </c>
      <c r="AG1046" s="364" t="s">
        <v>88</v>
      </c>
      <c r="AH1046" s="364" t="s">
        <v>88</v>
      </c>
      <c r="AI1046" s="364" t="s">
        <v>1199</v>
      </c>
      <c r="AJ1046" s="364" t="s">
        <v>670</v>
      </c>
      <c r="AK1046" s="364" t="s">
        <v>669</v>
      </c>
      <c r="AL1046" s="364" t="s">
        <v>88</v>
      </c>
      <c r="AM1046" s="364" t="s">
        <v>668</v>
      </c>
      <c r="AN1046" s="364" t="s">
        <v>644</v>
      </c>
    </row>
    <row r="1047" spans="1:40" x14ac:dyDescent="0.3">
      <c r="A1047" s="364" t="s">
        <v>1587</v>
      </c>
      <c r="B1047" s="364" t="s">
        <v>661</v>
      </c>
      <c r="C1047" s="364" t="s">
        <v>677</v>
      </c>
      <c r="D1047" s="364" t="s">
        <v>87</v>
      </c>
      <c r="E1047" s="364" t="s">
        <v>1512</v>
      </c>
      <c r="F1047" s="364" t="s">
        <v>1512</v>
      </c>
      <c r="G1047" s="364" t="s">
        <v>658</v>
      </c>
      <c r="H1047" s="364" t="s">
        <v>1586</v>
      </c>
      <c r="I1047" s="364" t="s">
        <v>1585</v>
      </c>
      <c r="J1047" s="364" t="s">
        <v>673</v>
      </c>
      <c r="K1047" s="364" t="s">
        <v>668</v>
      </c>
      <c r="L1047" s="364" t="s">
        <v>190</v>
      </c>
      <c r="M1047" s="364" t="s">
        <v>166</v>
      </c>
      <c r="N1047" s="364" t="s">
        <v>654</v>
      </c>
      <c r="O1047" s="364" t="s">
        <v>653</v>
      </c>
      <c r="P1047" s="364" t="s">
        <v>198</v>
      </c>
      <c r="Q1047" s="364" t="s">
        <v>652</v>
      </c>
      <c r="R1047" s="364" t="s">
        <v>88</v>
      </c>
      <c r="S1047" s="364" t="s">
        <v>88</v>
      </c>
      <c r="T1047" s="364" t="s">
        <v>88</v>
      </c>
      <c r="U1047" s="364" t="s">
        <v>88</v>
      </c>
      <c r="V1047" s="364" t="s">
        <v>88</v>
      </c>
      <c r="W1047" s="364" t="s">
        <v>88</v>
      </c>
      <c r="X1047" s="364" t="s">
        <v>88</v>
      </c>
      <c r="Y1047" s="364" t="s">
        <v>88</v>
      </c>
      <c r="Z1047" s="364" t="s">
        <v>877</v>
      </c>
      <c r="AA1047" s="364" t="s">
        <v>876</v>
      </c>
      <c r="AB1047" s="364" t="s">
        <v>649</v>
      </c>
      <c r="AC1047" s="364" t="s">
        <v>649</v>
      </c>
      <c r="AD1047" s="364" t="s">
        <v>88</v>
      </c>
      <c r="AE1047" s="364" t="s">
        <v>88</v>
      </c>
      <c r="AF1047" s="364" t="s">
        <v>88</v>
      </c>
      <c r="AG1047" s="364" t="s">
        <v>88</v>
      </c>
      <c r="AH1047" s="364" t="s">
        <v>88</v>
      </c>
      <c r="AI1047" s="364" t="s">
        <v>1199</v>
      </c>
      <c r="AJ1047" s="364" t="s">
        <v>670</v>
      </c>
      <c r="AK1047" s="364" t="s">
        <v>669</v>
      </c>
      <c r="AL1047" s="364" t="s">
        <v>88</v>
      </c>
      <c r="AM1047" s="364" t="s">
        <v>668</v>
      </c>
      <c r="AN1047" s="364" t="s">
        <v>644</v>
      </c>
    </row>
    <row r="1048" spans="1:40" x14ac:dyDescent="0.3">
      <c r="A1048" s="364" t="s">
        <v>1584</v>
      </c>
      <c r="B1048" s="364" t="s">
        <v>661</v>
      </c>
      <c r="C1048" s="364" t="s">
        <v>1160</v>
      </c>
      <c r="D1048" s="364" t="s">
        <v>87</v>
      </c>
      <c r="E1048" s="364" t="s">
        <v>1512</v>
      </c>
      <c r="F1048" s="364" t="s">
        <v>1512</v>
      </c>
      <c r="G1048" s="364" t="s">
        <v>658</v>
      </c>
      <c r="H1048" s="364" t="s">
        <v>1583</v>
      </c>
      <c r="I1048" s="364" t="s">
        <v>88</v>
      </c>
      <c r="J1048" s="364" t="s">
        <v>88</v>
      </c>
      <c r="K1048" s="364" t="s">
        <v>88</v>
      </c>
      <c r="L1048" s="364" t="s">
        <v>88</v>
      </c>
      <c r="M1048" s="364" t="s">
        <v>138</v>
      </c>
      <c r="N1048" s="364" t="s">
        <v>654</v>
      </c>
      <c r="O1048" s="364" t="s">
        <v>653</v>
      </c>
      <c r="P1048" s="364" t="s">
        <v>88</v>
      </c>
      <c r="Q1048" s="364" t="s">
        <v>88</v>
      </c>
      <c r="R1048" s="364" t="s">
        <v>88</v>
      </c>
      <c r="S1048" s="364" t="s">
        <v>88</v>
      </c>
      <c r="T1048" s="364" t="s">
        <v>88</v>
      </c>
      <c r="U1048" s="364" t="s">
        <v>88</v>
      </c>
      <c r="V1048" s="364" t="s">
        <v>88</v>
      </c>
      <c r="W1048" s="364" t="s">
        <v>88</v>
      </c>
      <c r="X1048" s="364" t="s">
        <v>88</v>
      </c>
      <c r="Y1048" s="364" t="s">
        <v>88</v>
      </c>
      <c r="Z1048" s="364" t="s">
        <v>88</v>
      </c>
      <c r="AA1048" s="364" t="s">
        <v>649</v>
      </c>
      <c r="AB1048" s="364" t="s">
        <v>88</v>
      </c>
      <c r="AC1048" s="364" t="s">
        <v>88</v>
      </c>
      <c r="AD1048" s="364" t="s">
        <v>88</v>
      </c>
      <c r="AE1048" s="364" t="s">
        <v>88</v>
      </c>
      <c r="AF1048" s="364" t="s">
        <v>88</v>
      </c>
      <c r="AG1048" s="364" t="s">
        <v>88</v>
      </c>
      <c r="AH1048" s="364" t="s">
        <v>88</v>
      </c>
      <c r="AI1048" s="364" t="s">
        <v>1582</v>
      </c>
      <c r="AJ1048" s="364" t="s">
        <v>793</v>
      </c>
      <c r="AK1048" s="364" t="s">
        <v>88</v>
      </c>
      <c r="AL1048" s="364" t="s">
        <v>88</v>
      </c>
      <c r="AM1048" s="364" t="s">
        <v>88</v>
      </c>
      <c r="AN1048" s="364" t="s">
        <v>792</v>
      </c>
    </row>
    <row r="1049" spans="1:40" x14ac:dyDescent="0.3">
      <c r="A1049" s="364" t="s">
        <v>1581</v>
      </c>
      <c r="B1049" s="364" t="s">
        <v>661</v>
      </c>
      <c r="C1049" s="364" t="s">
        <v>1160</v>
      </c>
      <c r="D1049" s="364" t="s">
        <v>87</v>
      </c>
      <c r="E1049" s="364" t="s">
        <v>1512</v>
      </c>
      <c r="F1049" s="364" t="s">
        <v>1512</v>
      </c>
      <c r="G1049" s="364" t="s">
        <v>658</v>
      </c>
      <c r="H1049" s="364" t="s">
        <v>1580</v>
      </c>
      <c r="I1049" s="364" t="s">
        <v>88</v>
      </c>
      <c r="J1049" s="364" t="s">
        <v>88</v>
      </c>
      <c r="K1049" s="364" t="s">
        <v>88</v>
      </c>
      <c r="L1049" s="364" t="s">
        <v>88</v>
      </c>
      <c r="M1049" s="364" t="s">
        <v>138</v>
      </c>
      <c r="N1049" s="364" t="s">
        <v>654</v>
      </c>
      <c r="O1049" s="364" t="s">
        <v>653</v>
      </c>
      <c r="P1049" s="364" t="s">
        <v>88</v>
      </c>
      <c r="Q1049" s="364" t="s">
        <v>88</v>
      </c>
      <c r="R1049" s="364" t="s">
        <v>88</v>
      </c>
      <c r="S1049" s="364" t="s">
        <v>88</v>
      </c>
      <c r="T1049" s="364" t="s">
        <v>88</v>
      </c>
      <c r="U1049" s="364" t="s">
        <v>88</v>
      </c>
      <c r="V1049" s="364" t="s">
        <v>88</v>
      </c>
      <c r="W1049" s="364" t="s">
        <v>88</v>
      </c>
      <c r="X1049" s="364" t="s">
        <v>88</v>
      </c>
      <c r="Y1049" s="364" t="s">
        <v>88</v>
      </c>
      <c r="Z1049" s="364" t="s">
        <v>88</v>
      </c>
      <c r="AA1049" s="364" t="s">
        <v>649</v>
      </c>
      <c r="AB1049" s="364" t="s">
        <v>88</v>
      </c>
      <c r="AC1049" s="364" t="s">
        <v>88</v>
      </c>
      <c r="AD1049" s="364" t="s">
        <v>88</v>
      </c>
      <c r="AE1049" s="364" t="s">
        <v>88</v>
      </c>
      <c r="AF1049" s="364" t="s">
        <v>88</v>
      </c>
      <c r="AG1049" s="364" t="s">
        <v>88</v>
      </c>
      <c r="AH1049" s="364" t="s">
        <v>88</v>
      </c>
      <c r="AI1049" s="364" t="s">
        <v>1579</v>
      </c>
      <c r="AJ1049" s="364" t="s">
        <v>793</v>
      </c>
      <c r="AK1049" s="364" t="s">
        <v>88</v>
      </c>
      <c r="AL1049" s="364" t="s">
        <v>88</v>
      </c>
      <c r="AM1049" s="364" t="s">
        <v>88</v>
      </c>
      <c r="AN1049" s="364" t="s">
        <v>792</v>
      </c>
    </row>
    <row r="1050" spans="1:40" x14ac:dyDescent="0.3">
      <c r="A1050" s="364" t="s">
        <v>1578</v>
      </c>
      <c r="B1050" s="364" t="s">
        <v>661</v>
      </c>
      <c r="C1050" s="364" t="s">
        <v>677</v>
      </c>
      <c r="D1050" s="364" t="s">
        <v>87</v>
      </c>
      <c r="E1050" s="364" t="s">
        <v>1508</v>
      </c>
      <c r="F1050" s="364" t="s">
        <v>1508</v>
      </c>
      <c r="G1050" s="364" t="s">
        <v>658</v>
      </c>
      <c r="H1050" s="364" t="s">
        <v>1577</v>
      </c>
      <c r="I1050" s="364" t="s">
        <v>1576</v>
      </c>
      <c r="J1050" s="364" t="s">
        <v>673</v>
      </c>
      <c r="K1050" s="364" t="s">
        <v>668</v>
      </c>
      <c r="L1050" s="364" t="s">
        <v>190</v>
      </c>
      <c r="M1050" s="364" t="s">
        <v>58</v>
      </c>
      <c r="N1050" s="364" t="s">
        <v>654</v>
      </c>
      <c r="O1050" s="364" t="s">
        <v>653</v>
      </c>
      <c r="P1050" s="364" t="s">
        <v>198</v>
      </c>
      <c r="Q1050" s="364" t="s">
        <v>652</v>
      </c>
      <c r="R1050" s="364" t="s">
        <v>88</v>
      </c>
      <c r="S1050" s="364" t="s">
        <v>88</v>
      </c>
      <c r="T1050" s="364" t="s">
        <v>88</v>
      </c>
      <c r="U1050" s="364" t="s">
        <v>88</v>
      </c>
      <c r="V1050" s="364" t="s">
        <v>88</v>
      </c>
      <c r="W1050" s="364" t="s">
        <v>88</v>
      </c>
      <c r="X1050" s="364" t="s">
        <v>88</v>
      </c>
      <c r="Y1050" s="364" t="s">
        <v>88</v>
      </c>
      <c r="Z1050" s="364" t="s">
        <v>702</v>
      </c>
      <c r="AA1050" s="364" t="s">
        <v>701</v>
      </c>
      <c r="AB1050" s="364" t="s">
        <v>649</v>
      </c>
      <c r="AC1050" s="364" t="s">
        <v>649</v>
      </c>
      <c r="AD1050" s="364" t="s">
        <v>88</v>
      </c>
      <c r="AE1050" s="364" t="s">
        <v>88</v>
      </c>
      <c r="AF1050" s="364" t="s">
        <v>88</v>
      </c>
      <c r="AG1050" s="364" t="s">
        <v>88</v>
      </c>
      <c r="AH1050" s="364" t="s">
        <v>88</v>
      </c>
      <c r="AI1050" s="364" t="s">
        <v>1199</v>
      </c>
      <c r="AJ1050" s="364" t="s">
        <v>670</v>
      </c>
      <c r="AK1050" s="364" t="s">
        <v>669</v>
      </c>
      <c r="AL1050" s="364" t="s">
        <v>88</v>
      </c>
      <c r="AM1050" s="364" t="s">
        <v>668</v>
      </c>
      <c r="AN1050" s="364" t="s">
        <v>644</v>
      </c>
    </row>
    <row r="1051" spans="1:40" x14ac:dyDescent="0.3">
      <c r="A1051" s="364" t="s">
        <v>1578</v>
      </c>
      <c r="B1051" s="364" t="s">
        <v>661</v>
      </c>
      <c r="C1051" s="364" t="s">
        <v>677</v>
      </c>
      <c r="D1051" s="364" t="s">
        <v>87</v>
      </c>
      <c r="E1051" s="364" t="s">
        <v>1508</v>
      </c>
      <c r="F1051" s="364" t="s">
        <v>1508</v>
      </c>
      <c r="G1051" s="364" t="s">
        <v>658</v>
      </c>
      <c r="H1051" s="364" t="s">
        <v>1577</v>
      </c>
      <c r="I1051" s="364" t="s">
        <v>1576</v>
      </c>
      <c r="J1051" s="364" t="s">
        <v>673</v>
      </c>
      <c r="K1051" s="364" t="s">
        <v>668</v>
      </c>
      <c r="L1051" s="364" t="s">
        <v>190</v>
      </c>
      <c r="M1051" s="364" t="s">
        <v>166</v>
      </c>
      <c r="N1051" s="364" t="s">
        <v>654</v>
      </c>
      <c r="O1051" s="364" t="s">
        <v>653</v>
      </c>
      <c r="P1051" s="364" t="s">
        <v>198</v>
      </c>
      <c r="Q1051" s="364" t="s">
        <v>652</v>
      </c>
      <c r="R1051" s="364" t="s">
        <v>88</v>
      </c>
      <c r="S1051" s="364" t="s">
        <v>88</v>
      </c>
      <c r="T1051" s="364" t="s">
        <v>88</v>
      </c>
      <c r="U1051" s="364" t="s">
        <v>88</v>
      </c>
      <c r="V1051" s="364" t="s">
        <v>88</v>
      </c>
      <c r="W1051" s="364" t="s">
        <v>88</v>
      </c>
      <c r="X1051" s="364" t="s">
        <v>88</v>
      </c>
      <c r="Y1051" s="364" t="s">
        <v>88</v>
      </c>
      <c r="Z1051" s="364" t="s">
        <v>877</v>
      </c>
      <c r="AA1051" s="364" t="s">
        <v>876</v>
      </c>
      <c r="AB1051" s="364" t="s">
        <v>649</v>
      </c>
      <c r="AC1051" s="364" t="s">
        <v>649</v>
      </c>
      <c r="AD1051" s="364" t="s">
        <v>88</v>
      </c>
      <c r="AE1051" s="364" t="s">
        <v>88</v>
      </c>
      <c r="AF1051" s="364" t="s">
        <v>88</v>
      </c>
      <c r="AG1051" s="364" t="s">
        <v>88</v>
      </c>
      <c r="AH1051" s="364" t="s">
        <v>88</v>
      </c>
      <c r="AI1051" s="364" t="s">
        <v>1199</v>
      </c>
      <c r="AJ1051" s="364" t="s">
        <v>670</v>
      </c>
      <c r="AK1051" s="364" t="s">
        <v>669</v>
      </c>
      <c r="AL1051" s="364" t="s">
        <v>88</v>
      </c>
      <c r="AM1051" s="364" t="s">
        <v>668</v>
      </c>
      <c r="AN1051" s="364" t="s">
        <v>644</v>
      </c>
    </row>
    <row r="1052" spans="1:40" x14ac:dyDescent="0.3">
      <c r="A1052" s="364" t="s">
        <v>1575</v>
      </c>
      <c r="B1052" s="364" t="s">
        <v>661</v>
      </c>
      <c r="C1052" s="364" t="s">
        <v>677</v>
      </c>
      <c r="D1052" s="364" t="s">
        <v>87</v>
      </c>
      <c r="E1052" s="364" t="s">
        <v>1508</v>
      </c>
      <c r="F1052" s="364" t="s">
        <v>1508</v>
      </c>
      <c r="G1052" s="364" t="s">
        <v>658</v>
      </c>
      <c r="H1052" s="364" t="s">
        <v>1574</v>
      </c>
      <c r="I1052" s="364" t="s">
        <v>1573</v>
      </c>
      <c r="J1052" s="364" t="s">
        <v>673</v>
      </c>
      <c r="K1052" s="364" t="s">
        <v>668</v>
      </c>
      <c r="L1052" s="364" t="s">
        <v>190</v>
      </c>
      <c r="M1052" s="364" t="s">
        <v>60</v>
      </c>
      <c r="N1052" s="364" t="s">
        <v>654</v>
      </c>
      <c r="O1052" s="364" t="s">
        <v>653</v>
      </c>
      <c r="P1052" s="364" t="s">
        <v>198</v>
      </c>
      <c r="Q1052" s="364" t="s">
        <v>652</v>
      </c>
      <c r="R1052" s="364" t="s">
        <v>88</v>
      </c>
      <c r="S1052" s="364" t="s">
        <v>88</v>
      </c>
      <c r="T1052" s="364" t="s">
        <v>88</v>
      </c>
      <c r="U1052" s="364" t="s">
        <v>88</v>
      </c>
      <c r="V1052" s="364" t="s">
        <v>88</v>
      </c>
      <c r="W1052" s="364" t="s">
        <v>88</v>
      </c>
      <c r="X1052" s="364" t="s">
        <v>88</v>
      </c>
      <c r="Y1052" s="364" t="s">
        <v>88</v>
      </c>
      <c r="Z1052" s="364" t="s">
        <v>709</v>
      </c>
      <c r="AA1052" s="364" t="s">
        <v>708</v>
      </c>
      <c r="AB1052" s="364" t="s">
        <v>649</v>
      </c>
      <c r="AC1052" s="364" t="s">
        <v>649</v>
      </c>
      <c r="AD1052" s="364" t="s">
        <v>88</v>
      </c>
      <c r="AE1052" s="364" t="s">
        <v>88</v>
      </c>
      <c r="AF1052" s="364" t="s">
        <v>88</v>
      </c>
      <c r="AG1052" s="364" t="s">
        <v>88</v>
      </c>
      <c r="AH1052" s="364" t="s">
        <v>88</v>
      </c>
      <c r="AI1052" s="364" t="s">
        <v>1199</v>
      </c>
      <c r="AJ1052" s="364" t="s">
        <v>670</v>
      </c>
      <c r="AK1052" s="364" t="s">
        <v>687</v>
      </c>
      <c r="AL1052" s="364" t="s">
        <v>88</v>
      </c>
      <c r="AM1052" s="364" t="s">
        <v>668</v>
      </c>
      <c r="AN1052" s="364" t="s">
        <v>644</v>
      </c>
    </row>
    <row r="1053" spans="1:40" x14ac:dyDescent="0.3">
      <c r="A1053" s="364" t="s">
        <v>1572</v>
      </c>
      <c r="B1053" s="364" t="s">
        <v>661</v>
      </c>
      <c r="C1053" s="364" t="s">
        <v>1160</v>
      </c>
      <c r="D1053" s="364" t="s">
        <v>87</v>
      </c>
      <c r="E1053" s="364" t="s">
        <v>1508</v>
      </c>
      <c r="F1053" s="364" t="s">
        <v>1508</v>
      </c>
      <c r="G1053" s="364" t="s">
        <v>658</v>
      </c>
      <c r="H1053" s="364" t="s">
        <v>1571</v>
      </c>
      <c r="I1053" s="364" t="s">
        <v>88</v>
      </c>
      <c r="J1053" s="364" t="s">
        <v>88</v>
      </c>
      <c r="K1053" s="364" t="s">
        <v>88</v>
      </c>
      <c r="L1053" s="364" t="s">
        <v>88</v>
      </c>
      <c r="M1053" s="364" t="s">
        <v>138</v>
      </c>
      <c r="N1053" s="364" t="s">
        <v>654</v>
      </c>
      <c r="O1053" s="364" t="s">
        <v>653</v>
      </c>
      <c r="P1053" s="364" t="s">
        <v>88</v>
      </c>
      <c r="Q1053" s="364" t="s">
        <v>88</v>
      </c>
      <c r="R1053" s="364" t="s">
        <v>88</v>
      </c>
      <c r="S1053" s="364" t="s">
        <v>88</v>
      </c>
      <c r="T1053" s="364" t="s">
        <v>88</v>
      </c>
      <c r="U1053" s="364" t="s">
        <v>88</v>
      </c>
      <c r="V1053" s="364" t="s">
        <v>88</v>
      </c>
      <c r="W1053" s="364" t="s">
        <v>88</v>
      </c>
      <c r="X1053" s="364" t="s">
        <v>88</v>
      </c>
      <c r="Y1053" s="364" t="s">
        <v>88</v>
      </c>
      <c r="Z1053" s="364" t="s">
        <v>88</v>
      </c>
      <c r="AA1053" s="364" t="s">
        <v>649</v>
      </c>
      <c r="AB1053" s="364" t="s">
        <v>88</v>
      </c>
      <c r="AC1053" s="364" t="s">
        <v>88</v>
      </c>
      <c r="AD1053" s="364" t="s">
        <v>88</v>
      </c>
      <c r="AE1053" s="364" t="s">
        <v>88</v>
      </c>
      <c r="AF1053" s="364" t="s">
        <v>88</v>
      </c>
      <c r="AG1053" s="364" t="s">
        <v>88</v>
      </c>
      <c r="AH1053" s="364" t="s">
        <v>88</v>
      </c>
      <c r="AI1053" s="364" t="s">
        <v>1570</v>
      </c>
      <c r="AJ1053" s="364" t="s">
        <v>793</v>
      </c>
      <c r="AK1053" s="364" t="s">
        <v>88</v>
      </c>
      <c r="AL1053" s="364" t="s">
        <v>88</v>
      </c>
      <c r="AM1053" s="364" t="s">
        <v>88</v>
      </c>
      <c r="AN1053" s="364" t="s">
        <v>792</v>
      </c>
    </row>
    <row r="1054" spans="1:40" x14ac:dyDescent="0.3">
      <c r="A1054" s="364" t="s">
        <v>1569</v>
      </c>
      <c r="B1054" s="364" t="s">
        <v>661</v>
      </c>
      <c r="C1054" s="364" t="s">
        <v>1160</v>
      </c>
      <c r="D1054" s="364" t="s">
        <v>87</v>
      </c>
      <c r="E1054" s="364" t="s">
        <v>1508</v>
      </c>
      <c r="F1054" s="364" t="s">
        <v>1508</v>
      </c>
      <c r="G1054" s="364" t="s">
        <v>658</v>
      </c>
      <c r="H1054" s="364" t="s">
        <v>1568</v>
      </c>
      <c r="I1054" s="364" t="s">
        <v>88</v>
      </c>
      <c r="J1054" s="364" t="s">
        <v>88</v>
      </c>
      <c r="K1054" s="364" t="s">
        <v>88</v>
      </c>
      <c r="L1054" s="364" t="s">
        <v>88</v>
      </c>
      <c r="M1054" s="364" t="s">
        <v>138</v>
      </c>
      <c r="N1054" s="364" t="s">
        <v>654</v>
      </c>
      <c r="O1054" s="364" t="s">
        <v>653</v>
      </c>
      <c r="P1054" s="364" t="s">
        <v>88</v>
      </c>
      <c r="Q1054" s="364" t="s">
        <v>88</v>
      </c>
      <c r="R1054" s="364" t="s">
        <v>88</v>
      </c>
      <c r="S1054" s="364" t="s">
        <v>88</v>
      </c>
      <c r="T1054" s="364" t="s">
        <v>88</v>
      </c>
      <c r="U1054" s="364" t="s">
        <v>88</v>
      </c>
      <c r="V1054" s="364" t="s">
        <v>88</v>
      </c>
      <c r="W1054" s="364" t="s">
        <v>88</v>
      </c>
      <c r="X1054" s="364" t="s">
        <v>88</v>
      </c>
      <c r="Y1054" s="364" t="s">
        <v>88</v>
      </c>
      <c r="Z1054" s="364" t="s">
        <v>88</v>
      </c>
      <c r="AA1054" s="364" t="s">
        <v>649</v>
      </c>
      <c r="AB1054" s="364" t="s">
        <v>88</v>
      </c>
      <c r="AC1054" s="364" t="s">
        <v>88</v>
      </c>
      <c r="AD1054" s="364" t="s">
        <v>88</v>
      </c>
      <c r="AE1054" s="364" t="s">
        <v>88</v>
      </c>
      <c r="AF1054" s="364" t="s">
        <v>88</v>
      </c>
      <c r="AG1054" s="364" t="s">
        <v>88</v>
      </c>
      <c r="AH1054" s="364" t="s">
        <v>88</v>
      </c>
      <c r="AI1054" s="364" t="s">
        <v>1567</v>
      </c>
      <c r="AJ1054" s="364" t="s">
        <v>793</v>
      </c>
      <c r="AK1054" s="364" t="s">
        <v>88</v>
      </c>
      <c r="AL1054" s="364" t="s">
        <v>88</v>
      </c>
      <c r="AM1054" s="364" t="s">
        <v>88</v>
      </c>
      <c r="AN1054" s="364" t="s">
        <v>792</v>
      </c>
    </row>
    <row r="1055" spans="1:40" x14ac:dyDescent="0.3">
      <c r="A1055" s="364" t="s">
        <v>1566</v>
      </c>
      <c r="B1055" s="364" t="s">
        <v>661</v>
      </c>
      <c r="C1055" s="364" t="s">
        <v>677</v>
      </c>
      <c r="D1055" s="364" t="s">
        <v>90</v>
      </c>
      <c r="E1055" s="364" t="s">
        <v>1565</v>
      </c>
      <c r="F1055" s="364" t="s">
        <v>1565</v>
      </c>
      <c r="G1055" s="364" t="s">
        <v>658</v>
      </c>
      <c r="H1055" s="364" t="s">
        <v>1564</v>
      </c>
      <c r="I1055" s="364" t="s">
        <v>1563</v>
      </c>
      <c r="J1055" s="364" t="s">
        <v>673</v>
      </c>
      <c r="K1055" s="364" t="s">
        <v>668</v>
      </c>
      <c r="L1055" s="364" t="s">
        <v>190</v>
      </c>
      <c r="M1055" s="364" t="s">
        <v>242</v>
      </c>
      <c r="N1055" s="364" t="s">
        <v>654</v>
      </c>
      <c r="O1055" s="364" t="s">
        <v>653</v>
      </c>
      <c r="P1055" s="364" t="s">
        <v>198</v>
      </c>
      <c r="Q1055" s="364" t="s">
        <v>652</v>
      </c>
      <c r="R1055" s="364" t="s">
        <v>88</v>
      </c>
      <c r="S1055" s="364" t="s">
        <v>88</v>
      </c>
      <c r="T1055" s="364" t="s">
        <v>88</v>
      </c>
      <c r="U1055" s="364" t="s">
        <v>88</v>
      </c>
      <c r="V1055" s="364" t="s">
        <v>88</v>
      </c>
      <c r="W1055" s="364" t="s">
        <v>88</v>
      </c>
      <c r="X1055" s="364" t="s">
        <v>88</v>
      </c>
      <c r="Y1055" s="364" t="s">
        <v>88</v>
      </c>
      <c r="Z1055" s="364" t="s">
        <v>1157</v>
      </c>
      <c r="AA1055" s="364" t="s">
        <v>1156</v>
      </c>
      <c r="AB1055" s="364" t="s">
        <v>649</v>
      </c>
      <c r="AC1055" s="364" t="s">
        <v>649</v>
      </c>
      <c r="AD1055" s="364" t="s">
        <v>88</v>
      </c>
      <c r="AE1055" s="364" t="s">
        <v>88</v>
      </c>
      <c r="AF1055" s="364" t="s">
        <v>88</v>
      </c>
      <c r="AG1055" s="364" t="s">
        <v>88</v>
      </c>
      <c r="AH1055" s="364" t="s">
        <v>88</v>
      </c>
      <c r="AI1055" s="364" t="s">
        <v>1155</v>
      </c>
      <c r="AJ1055" s="364" t="s">
        <v>710</v>
      </c>
      <c r="AK1055" s="364" t="s">
        <v>647</v>
      </c>
      <c r="AL1055" s="364" t="s">
        <v>88</v>
      </c>
      <c r="AM1055" s="364" t="s">
        <v>668</v>
      </c>
      <c r="AN1055" s="364" t="s">
        <v>644</v>
      </c>
    </row>
    <row r="1056" spans="1:40" x14ac:dyDescent="0.3">
      <c r="A1056" s="364" t="s">
        <v>1566</v>
      </c>
      <c r="B1056" s="364" t="s">
        <v>661</v>
      </c>
      <c r="C1056" s="364" t="s">
        <v>677</v>
      </c>
      <c r="D1056" s="364" t="s">
        <v>90</v>
      </c>
      <c r="E1056" s="364" t="s">
        <v>1565</v>
      </c>
      <c r="F1056" s="364" t="s">
        <v>1565</v>
      </c>
      <c r="G1056" s="364" t="s">
        <v>658</v>
      </c>
      <c r="H1056" s="364" t="s">
        <v>1564</v>
      </c>
      <c r="I1056" s="364" t="s">
        <v>1563</v>
      </c>
      <c r="J1056" s="364" t="s">
        <v>673</v>
      </c>
      <c r="K1056" s="364" t="s">
        <v>668</v>
      </c>
      <c r="L1056" s="364" t="s">
        <v>190</v>
      </c>
      <c r="M1056" s="364" t="s">
        <v>1168</v>
      </c>
      <c r="N1056" s="364" t="s">
        <v>654</v>
      </c>
      <c r="O1056" s="364" t="s">
        <v>653</v>
      </c>
      <c r="P1056" s="364" t="s">
        <v>198</v>
      </c>
      <c r="Q1056" s="364" t="s">
        <v>652</v>
      </c>
      <c r="R1056" s="364" t="s">
        <v>88</v>
      </c>
      <c r="S1056" s="364" t="s">
        <v>88</v>
      </c>
      <c r="T1056" s="364" t="s">
        <v>88</v>
      </c>
      <c r="U1056" s="364" t="s">
        <v>88</v>
      </c>
      <c r="V1056" s="364" t="s">
        <v>88</v>
      </c>
      <c r="W1056" s="364" t="s">
        <v>88</v>
      </c>
      <c r="X1056" s="364" t="s">
        <v>88</v>
      </c>
      <c r="Y1056" s="364" t="s">
        <v>88</v>
      </c>
      <c r="Z1056" s="364" t="s">
        <v>1167</v>
      </c>
      <c r="AA1056" s="364" t="s">
        <v>1166</v>
      </c>
      <c r="AB1056" s="364" t="s">
        <v>649</v>
      </c>
      <c r="AC1056" s="364" t="s">
        <v>649</v>
      </c>
      <c r="AD1056" s="364" t="s">
        <v>88</v>
      </c>
      <c r="AE1056" s="364" t="s">
        <v>88</v>
      </c>
      <c r="AF1056" s="364" t="s">
        <v>88</v>
      </c>
      <c r="AG1056" s="364" t="s">
        <v>88</v>
      </c>
      <c r="AH1056" s="364" t="s">
        <v>88</v>
      </c>
      <c r="AI1056" s="364" t="s">
        <v>1155</v>
      </c>
      <c r="AJ1056" s="364" t="s">
        <v>710</v>
      </c>
      <c r="AK1056" s="364" t="s">
        <v>647</v>
      </c>
      <c r="AL1056" s="364" t="s">
        <v>88</v>
      </c>
      <c r="AM1056" s="364" t="s">
        <v>668</v>
      </c>
      <c r="AN1056" s="364" t="s">
        <v>644</v>
      </c>
    </row>
    <row r="1057" spans="1:40" x14ac:dyDescent="0.3">
      <c r="A1057" s="364" t="s">
        <v>1566</v>
      </c>
      <c r="B1057" s="364" t="s">
        <v>661</v>
      </c>
      <c r="C1057" s="364" t="s">
        <v>677</v>
      </c>
      <c r="D1057" s="364" t="s">
        <v>90</v>
      </c>
      <c r="E1057" s="364" t="s">
        <v>1565</v>
      </c>
      <c r="F1057" s="364" t="s">
        <v>1565</v>
      </c>
      <c r="G1057" s="364" t="s">
        <v>658</v>
      </c>
      <c r="H1057" s="364" t="s">
        <v>1564</v>
      </c>
      <c r="I1057" s="364" t="s">
        <v>1563</v>
      </c>
      <c r="J1057" s="364" t="s">
        <v>673</v>
      </c>
      <c r="K1057" s="364" t="s">
        <v>668</v>
      </c>
      <c r="L1057" s="364" t="s">
        <v>190</v>
      </c>
      <c r="M1057" s="364" t="s">
        <v>718</v>
      </c>
      <c r="N1057" s="364" t="s">
        <v>654</v>
      </c>
      <c r="O1057" s="364" t="s">
        <v>653</v>
      </c>
      <c r="P1057" s="364" t="s">
        <v>198</v>
      </c>
      <c r="Q1057" s="364" t="s">
        <v>652</v>
      </c>
      <c r="R1057" s="364" t="s">
        <v>88</v>
      </c>
      <c r="S1057" s="364" t="s">
        <v>88</v>
      </c>
      <c r="T1057" s="364" t="s">
        <v>88</v>
      </c>
      <c r="U1057" s="364" t="s">
        <v>88</v>
      </c>
      <c r="V1057" s="364" t="s">
        <v>88</v>
      </c>
      <c r="W1057" s="364" t="s">
        <v>88</v>
      </c>
      <c r="X1057" s="364" t="s">
        <v>88</v>
      </c>
      <c r="Y1057" s="364" t="s">
        <v>88</v>
      </c>
      <c r="Z1057" s="364" t="s">
        <v>717</v>
      </c>
      <c r="AA1057" s="364" t="s">
        <v>649</v>
      </c>
      <c r="AB1057" s="364" t="s">
        <v>649</v>
      </c>
      <c r="AC1057" s="364" t="s">
        <v>649</v>
      </c>
      <c r="AD1057" s="364" t="s">
        <v>88</v>
      </c>
      <c r="AE1057" s="364" t="s">
        <v>88</v>
      </c>
      <c r="AF1057" s="364" t="s">
        <v>88</v>
      </c>
      <c r="AG1057" s="364" t="s">
        <v>88</v>
      </c>
      <c r="AH1057" s="364" t="s">
        <v>88</v>
      </c>
      <c r="AI1057" s="364" t="s">
        <v>1155</v>
      </c>
      <c r="AJ1057" s="364" t="s">
        <v>710</v>
      </c>
      <c r="AK1057" s="364" t="s">
        <v>647</v>
      </c>
      <c r="AL1057" s="364" t="s">
        <v>88</v>
      </c>
      <c r="AM1057" s="364" t="s">
        <v>668</v>
      </c>
      <c r="AN1057" s="364" t="s">
        <v>644</v>
      </c>
    </row>
    <row r="1058" spans="1:40" x14ac:dyDescent="0.3">
      <c r="A1058" s="364" t="s">
        <v>1566</v>
      </c>
      <c r="B1058" s="364" t="s">
        <v>661</v>
      </c>
      <c r="C1058" s="364" t="s">
        <v>677</v>
      </c>
      <c r="D1058" s="364" t="s">
        <v>90</v>
      </c>
      <c r="E1058" s="364" t="s">
        <v>1565</v>
      </c>
      <c r="F1058" s="364" t="s">
        <v>1565</v>
      </c>
      <c r="G1058" s="364" t="s">
        <v>658</v>
      </c>
      <c r="H1058" s="364" t="s">
        <v>1564</v>
      </c>
      <c r="I1058" s="364" t="s">
        <v>1563</v>
      </c>
      <c r="J1058" s="364" t="s">
        <v>673</v>
      </c>
      <c r="K1058" s="364" t="s">
        <v>668</v>
      </c>
      <c r="L1058" s="364" t="s">
        <v>190</v>
      </c>
      <c r="M1058" s="364" t="s">
        <v>713</v>
      </c>
      <c r="N1058" s="364" t="s">
        <v>654</v>
      </c>
      <c r="O1058" s="364" t="s">
        <v>653</v>
      </c>
      <c r="P1058" s="364" t="s">
        <v>198</v>
      </c>
      <c r="Q1058" s="364" t="s">
        <v>652</v>
      </c>
      <c r="R1058" s="364" t="s">
        <v>88</v>
      </c>
      <c r="S1058" s="364" t="s">
        <v>88</v>
      </c>
      <c r="T1058" s="364" t="s">
        <v>88</v>
      </c>
      <c r="U1058" s="364" t="s">
        <v>88</v>
      </c>
      <c r="V1058" s="364" t="s">
        <v>88</v>
      </c>
      <c r="W1058" s="364" t="s">
        <v>88</v>
      </c>
      <c r="X1058" s="364" t="s">
        <v>88</v>
      </c>
      <c r="Y1058" s="364" t="s">
        <v>88</v>
      </c>
      <c r="Z1058" s="364" t="s">
        <v>712</v>
      </c>
      <c r="AA1058" s="364" t="s">
        <v>711</v>
      </c>
      <c r="AB1058" s="364" t="s">
        <v>649</v>
      </c>
      <c r="AC1058" s="364" t="s">
        <v>649</v>
      </c>
      <c r="AD1058" s="364" t="s">
        <v>88</v>
      </c>
      <c r="AE1058" s="364" t="s">
        <v>88</v>
      </c>
      <c r="AF1058" s="364" t="s">
        <v>88</v>
      </c>
      <c r="AG1058" s="364" t="s">
        <v>88</v>
      </c>
      <c r="AH1058" s="364" t="s">
        <v>88</v>
      </c>
      <c r="AI1058" s="364" t="s">
        <v>1155</v>
      </c>
      <c r="AJ1058" s="364" t="s">
        <v>710</v>
      </c>
      <c r="AK1058" s="364" t="s">
        <v>647</v>
      </c>
      <c r="AL1058" s="364" t="s">
        <v>88</v>
      </c>
      <c r="AM1058" s="364" t="s">
        <v>668</v>
      </c>
      <c r="AN1058" s="364" t="s">
        <v>644</v>
      </c>
    </row>
    <row r="1059" spans="1:40" x14ac:dyDescent="0.3">
      <c r="A1059" s="364" t="s">
        <v>1566</v>
      </c>
      <c r="B1059" s="364" t="s">
        <v>661</v>
      </c>
      <c r="C1059" s="364" t="s">
        <v>677</v>
      </c>
      <c r="D1059" s="364" t="s">
        <v>90</v>
      </c>
      <c r="E1059" s="364" t="s">
        <v>1565</v>
      </c>
      <c r="F1059" s="364" t="s">
        <v>1565</v>
      </c>
      <c r="G1059" s="364" t="s">
        <v>658</v>
      </c>
      <c r="H1059" s="364" t="s">
        <v>1564</v>
      </c>
      <c r="I1059" s="364" t="s">
        <v>1563</v>
      </c>
      <c r="J1059" s="364" t="s">
        <v>673</v>
      </c>
      <c r="K1059" s="364" t="s">
        <v>668</v>
      </c>
      <c r="L1059" s="364" t="s">
        <v>190</v>
      </c>
      <c r="M1059" s="364" t="s">
        <v>61</v>
      </c>
      <c r="N1059" s="364" t="s">
        <v>654</v>
      </c>
      <c r="O1059" s="364" t="s">
        <v>653</v>
      </c>
      <c r="P1059" s="364" t="s">
        <v>198</v>
      </c>
      <c r="Q1059" s="364" t="s">
        <v>652</v>
      </c>
      <c r="R1059" s="364" t="s">
        <v>88</v>
      </c>
      <c r="S1059" s="364" t="s">
        <v>88</v>
      </c>
      <c r="T1059" s="364" t="s">
        <v>88</v>
      </c>
      <c r="U1059" s="364" t="s">
        <v>88</v>
      </c>
      <c r="V1059" s="364" t="s">
        <v>88</v>
      </c>
      <c r="W1059" s="364" t="s">
        <v>88</v>
      </c>
      <c r="X1059" s="364" t="s">
        <v>88</v>
      </c>
      <c r="Y1059" s="364" t="s">
        <v>88</v>
      </c>
      <c r="Z1059" s="364" t="s">
        <v>1021</v>
      </c>
      <c r="AA1059" s="364" t="s">
        <v>671</v>
      </c>
      <c r="AB1059" s="364" t="s">
        <v>649</v>
      </c>
      <c r="AC1059" s="364" t="s">
        <v>649</v>
      </c>
      <c r="AD1059" s="364" t="s">
        <v>88</v>
      </c>
      <c r="AE1059" s="364" t="s">
        <v>88</v>
      </c>
      <c r="AF1059" s="364" t="s">
        <v>88</v>
      </c>
      <c r="AG1059" s="364" t="s">
        <v>88</v>
      </c>
      <c r="AH1059" s="364" t="s">
        <v>88</v>
      </c>
      <c r="AI1059" s="364" t="s">
        <v>1155</v>
      </c>
      <c r="AJ1059" s="364" t="s">
        <v>710</v>
      </c>
      <c r="AK1059" s="364" t="s">
        <v>647</v>
      </c>
      <c r="AL1059" s="364" t="s">
        <v>88</v>
      </c>
      <c r="AM1059" s="364" t="s">
        <v>668</v>
      </c>
      <c r="AN1059" s="364" t="s">
        <v>644</v>
      </c>
    </row>
    <row r="1060" spans="1:40" x14ac:dyDescent="0.3">
      <c r="A1060" s="364" t="s">
        <v>1566</v>
      </c>
      <c r="B1060" s="364" t="s">
        <v>661</v>
      </c>
      <c r="C1060" s="364" t="s">
        <v>677</v>
      </c>
      <c r="D1060" s="364" t="s">
        <v>90</v>
      </c>
      <c r="E1060" s="364" t="s">
        <v>1565</v>
      </c>
      <c r="F1060" s="364" t="s">
        <v>1565</v>
      </c>
      <c r="G1060" s="364" t="s">
        <v>658</v>
      </c>
      <c r="H1060" s="364" t="s">
        <v>1564</v>
      </c>
      <c r="I1060" s="364" t="s">
        <v>1563</v>
      </c>
      <c r="J1060" s="364" t="s">
        <v>673</v>
      </c>
      <c r="K1060" s="364" t="s">
        <v>668</v>
      </c>
      <c r="L1060" s="364" t="s">
        <v>190</v>
      </c>
      <c r="M1060" s="364" t="s">
        <v>721</v>
      </c>
      <c r="N1060" s="364" t="s">
        <v>654</v>
      </c>
      <c r="O1060" s="364" t="s">
        <v>653</v>
      </c>
      <c r="P1060" s="364" t="s">
        <v>198</v>
      </c>
      <c r="Q1060" s="364" t="s">
        <v>652</v>
      </c>
      <c r="R1060" s="364" t="s">
        <v>88</v>
      </c>
      <c r="S1060" s="364" t="s">
        <v>88</v>
      </c>
      <c r="T1060" s="364" t="s">
        <v>88</v>
      </c>
      <c r="U1060" s="364" t="s">
        <v>88</v>
      </c>
      <c r="V1060" s="364" t="s">
        <v>88</v>
      </c>
      <c r="W1060" s="364" t="s">
        <v>88</v>
      </c>
      <c r="X1060" s="364" t="s">
        <v>88</v>
      </c>
      <c r="Y1060" s="364" t="s">
        <v>88</v>
      </c>
      <c r="Z1060" s="364" t="s">
        <v>720</v>
      </c>
      <c r="AA1060" s="364" t="s">
        <v>649</v>
      </c>
      <c r="AB1060" s="364" t="s">
        <v>649</v>
      </c>
      <c r="AC1060" s="364" t="s">
        <v>649</v>
      </c>
      <c r="AD1060" s="364" t="s">
        <v>88</v>
      </c>
      <c r="AE1060" s="364" t="s">
        <v>88</v>
      </c>
      <c r="AF1060" s="364" t="s">
        <v>88</v>
      </c>
      <c r="AG1060" s="364" t="s">
        <v>88</v>
      </c>
      <c r="AH1060" s="364" t="s">
        <v>88</v>
      </c>
      <c r="AI1060" s="364" t="s">
        <v>1155</v>
      </c>
      <c r="AJ1060" s="364" t="s">
        <v>710</v>
      </c>
      <c r="AK1060" s="364" t="s">
        <v>647</v>
      </c>
      <c r="AL1060" s="364" t="s">
        <v>88</v>
      </c>
      <c r="AM1060" s="364" t="s">
        <v>668</v>
      </c>
      <c r="AN1060" s="364" t="s">
        <v>644</v>
      </c>
    </row>
    <row r="1061" spans="1:40" x14ac:dyDescent="0.3">
      <c r="A1061" s="364" t="s">
        <v>1566</v>
      </c>
      <c r="B1061" s="364" t="s">
        <v>661</v>
      </c>
      <c r="C1061" s="364" t="s">
        <v>677</v>
      </c>
      <c r="D1061" s="364" t="s">
        <v>90</v>
      </c>
      <c r="E1061" s="364" t="s">
        <v>1565</v>
      </c>
      <c r="F1061" s="364" t="s">
        <v>1565</v>
      </c>
      <c r="G1061" s="364" t="s">
        <v>658</v>
      </c>
      <c r="H1061" s="364" t="s">
        <v>1564</v>
      </c>
      <c r="I1061" s="364" t="s">
        <v>1563</v>
      </c>
      <c r="J1061" s="364" t="s">
        <v>673</v>
      </c>
      <c r="K1061" s="364" t="s">
        <v>668</v>
      </c>
      <c r="L1061" s="364" t="s">
        <v>190</v>
      </c>
      <c r="M1061" s="364" t="s">
        <v>56</v>
      </c>
      <c r="N1061" s="364" t="s">
        <v>654</v>
      </c>
      <c r="O1061" s="364" t="s">
        <v>653</v>
      </c>
      <c r="P1061" s="364" t="s">
        <v>198</v>
      </c>
      <c r="Q1061" s="364" t="s">
        <v>652</v>
      </c>
      <c r="R1061" s="364" t="s">
        <v>88</v>
      </c>
      <c r="S1061" s="364" t="s">
        <v>88</v>
      </c>
      <c r="T1061" s="364" t="s">
        <v>88</v>
      </c>
      <c r="U1061" s="364" t="s">
        <v>88</v>
      </c>
      <c r="V1061" s="364" t="s">
        <v>88</v>
      </c>
      <c r="W1061" s="364" t="s">
        <v>88</v>
      </c>
      <c r="X1061" s="364" t="s">
        <v>88</v>
      </c>
      <c r="Y1061" s="364" t="s">
        <v>88</v>
      </c>
      <c r="Z1061" s="364" t="s">
        <v>1165</v>
      </c>
      <c r="AA1061" s="364" t="s">
        <v>1164</v>
      </c>
      <c r="AB1061" s="364" t="s">
        <v>649</v>
      </c>
      <c r="AC1061" s="364" t="s">
        <v>649</v>
      </c>
      <c r="AD1061" s="364" t="s">
        <v>88</v>
      </c>
      <c r="AE1061" s="364" t="s">
        <v>88</v>
      </c>
      <c r="AF1061" s="364" t="s">
        <v>88</v>
      </c>
      <c r="AG1061" s="364" t="s">
        <v>88</v>
      </c>
      <c r="AH1061" s="364" t="s">
        <v>88</v>
      </c>
      <c r="AI1061" s="364" t="s">
        <v>1155</v>
      </c>
      <c r="AJ1061" s="364" t="s">
        <v>710</v>
      </c>
      <c r="AK1061" s="364" t="s">
        <v>647</v>
      </c>
      <c r="AL1061" s="364" t="s">
        <v>88</v>
      </c>
      <c r="AM1061" s="364" t="s">
        <v>668</v>
      </c>
      <c r="AN1061" s="364" t="s">
        <v>644</v>
      </c>
    </row>
    <row r="1062" spans="1:40" x14ac:dyDescent="0.3">
      <c r="A1062" s="364" t="s">
        <v>1566</v>
      </c>
      <c r="B1062" s="364" t="s">
        <v>661</v>
      </c>
      <c r="C1062" s="364" t="s">
        <v>677</v>
      </c>
      <c r="D1062" s="364" t="s">
        <v>90</v>
      </c>
      <c r="E1062" s="364" t="s">
        <v>1565</v>
      </c>
      <c r="F1062" s="364" t="s">
        <v>1565</v>
      </c>
      <c r="G1062" s="364" t="s">
        <v>658</v>
      </c>
      <c r="H1062" s="364" t="s">
        <v>1564</v>
      </c>
      <c r="I1062" s="364" t="s">
        <v>1563</v>
      </c>
      <c r="J1062" s="364" t="s">
        <v>673</v>
      </c>
      <c r="K1062" s="364" t="s">
        <v>668</v>
      </c>
      <c r="L1062" s="364" t="s">
        <v>190</v>
      </c>
      <c r="M1062" s="364" t="s">
        <v>241</v>
      </c>
      <c r="N1062" s="364" t="s">
        <v>654</v>
      </c>
      <c r="O1062" s="364" t="s">
        <v>653</v>
      </c>
      <c r="P1062" s="364" t="s">
        <v>198</v>
      </c>
      <c r="Q1062" s="364" t="s">
        <v>652</v>
      </c>
      <c r="R1062" s="364" t="s">
        <v>88</v>
      </c>
      <c r="S1062" s="364" t="s">
        <v>88</v>
      </c>
      <c r="T1062" s="364" t="s">
        <v>88</v>
      </c>
      <c r="U1062" s="364" t="s">
        <v>88</v>
      </c>
      <c r="V1062" s="364" t="s">
        <v>88</v>
      </c>
      <c r="W1062" s="364" t="s">
        <v>88</v>
      </c>
      <c r="X1062" s="364" t="s">
        <v>88</v>
      </c>
      <c r="Y1062" s="364" t="s">
        <v>88</v>
      </c>
      <c r="Z1062" s="364" t="s">
        <v>1170</v>
      </c>
      <c r="AA1062" s="364" t="s">
        <v>1169</v>
      </c>
      <c r="AB1062" s="364" t="s">
        <v>649</v>
      </c>
      <c r="AC1062" s="364" t="s">
        <v>649</v>
      </c>
      <c r="AD1062" s="364" t="s">
        <v>88</v>
      </c>
      <c r="AE1062" s="364" t="s">
        <v>88</v>
      </c>
      <c r="AF1062" s="364" t="s">
        <v>88</v>
      </c>
      <c r="AG1062" s="364" t="s">
        <v>88</v>
      </c>
      <c r="AH1062" s="364" t="s">
        <v>88</v>
      </c>
      <c r="AI1062" s="364" t="s">
        <v>1155</v>
      </c>
      <c r="AJ1062" s="364" t="s">
        <v>710</v>
      </c>
      <c r="AK1062" s="364" t="s">
        <v>647</v>
      </c>
      <c r="AL1062" s="364" t="s">
        <v>88</v>
      </c>
      <c r="AM1062" s="364" t="s">
        <v>668</v>
      </c>
      <c r="AN1062" s="364" t="s">
        <v>644</v>
      </c>
    </row>
    <row r="1063" spans="1:40" x14ac:dyDescent="0.3">
      <c r="A1063" s="364" t="s">
        <v>1566</v>
      </c>
      <c r="B1063" s="364" t="s">
        <v>661</v>
      </c>
      <c r="C1063" s="364" t="s">
        <v>677</v>
      </c>
      <c r="D1063" s="364" t="s">
        <v>90</v>
      </c>
      <c r="E1063" s="364" t="s">
        <v>1565</v>
      </c>
      <c r="F1063" s="364" t="s">
        <v>1565</v>
      </c>
      <c r="G1063" s="364" t="s">
        <v>658</v>
      </c>
      <c r="H1063" s="364" t="s">
        <v>1564</v>
      </c>
      <c r="I1063" s="364" t="s">
        <v>1563</v>
      </c>
      <c r="J1063" s="364" t="s">
        <v>673</v>
      </c>
      <c r="K1063" s="364" t="s">
        <v>668</v>
      </c>
      <c r="L1063" s="364" t="s">
        <v>190</v>
      </c>
      <c r="M1063" s="364" t="s">
        <v>240</v>
      </c>
      <c r="N1063" s="364" t="s">
        <v>654</v>
      </c>
      <c r="O1063" s="364" t="s">
        <v>653</v>
      </c>
      <c r="P1063" s="364" t="s">
        <v>198</v>
      </c>
      <c r="Q1063" s="364" t="s">
        <v>652</v>
      </c>
      <c r="R1063" s="364" t="s">
        <v>88</v>
      </c>
      <c r="S1063" s="364" t="s">
        <v>88</v>
      </c>
      <c r="T1063" s="364" t="s">
        <v>88</v>
      </c>
      <c r="U1063" s="364" t="s">
        <v>88</v>
      </c>
      <c r="V1063" s="364" t="s">
        <v>88</v>
      </c>
      <c r="W1063" s="364" t="s">
        <v>88</v>
      </c>
      <c r="X1063" s="364" t="s">
        <v>88</v>
      </c>
      <c r="Y1063" s="364" t="s">
        <v>88</v>
      </c>
      <c r="Z1063" s="364" t="s">
        <v>1163</v>
      </c>
      <c r="AA1063" s="364" t="s">
        <v>1162</v>
      </c>
      <c r="AB1063" s="364" t="s">
        <v>649</v>
      </c>
      <c r="AC1063" s="364" t="s">
        <v>649</v>
      </c>
      <c r="AD1063" s="364" t="s">
        <v>88</v>
      </c>
      <c r="AE1063" s="364" t="s">
        <v>88</v>
      </c>
      <c r="AF1063" s="364" t="s">
        <v>88</v>
      </c>
      <c r="AG1063" s="364" t="s">
        <v>88</v>
      </c>
      <c r="AH1063" s="364" t="s">
        <v>88</v>
      </c>
      <c r="AI1063" s="364" t="s">
        <v>1155</v>
      </c>
      <c r="AJ1063" s="364" t="s">
        <v>710</v>
      </c>
      <c r="AK1063" s="364" t="s">
        <v>647</v>
      </c>
      <c r="AL1063" s="364" t="s">
        <v>88</v>
      </c>
      <c r="AM1063" s="364" t="s">
        <v>668</v>
      </c>
      <c r="AN1063" s="364" t="s">
        <v>644</v>
      </c>
    </row>
    <row r="1064" spans="1:40" x14ac:dyDescent="0.3">
      <c r="A1064" s="364" t="s">
        <v>1562</v>
      </c>
      <c r="B1064" s="364" t="s">
        <v>661</v>
      </c>
      <c r="C1064" s="364" t="s">
        <v>1160</v>
      </c>
      <c r="D1064" s="364" t="s">
        <v>87</v>
      </c>
      <c r="E1064" s="364" t="s">
        <v>1508</v>
      </c>
      <c r="F1064" s="364" t="s">
        <v>1508</v>
      </c>
      <c r="G1064" s="364" t="s">
        <v>658</v>
      </c>
      <c r="H1064" s="364" t="s">
        <v>1561</v>
      </c>
      <c r="I1064" s="364" t="s">
        <v>88</v>
      </c>
      <c r="J1064" s="364" t="s">
        <v>88</v>
      </c>
      <c r="K1064" s="364" t="s">
        <v>88</v>
      </c>
      <c r="L1064" s="364" t="s">
        <v>88</v>
      </c>
      <c r="M1064" s="364" t="s">
        <v>138</v>
      </c>
      <c r="N1064" s="364" t="s">
        <v>654</v>
      </c>
      <c r="O1064" s="364" t="s">
        <v>653</v>
      </c>
      <c r="P1064" s="364" t="s">
        <v>88</v>
      </c>
      <c r="Q1064" s="364" t="s">
        <v>88</v>
      </c>
      <c r="R1064" s="364" t="s">
        <v>88</v>
      </c>
      <c r="S1064" s="364" t="s">
        <v>88</v>
      </c>
      <c r="T1064" s="364" t="s">
        <v>88</v>
      </c>
      <c r="U1064" s="364" t="s">
        <v>88</v>
      </c>
      <c r="V1064" s="364" t="s">
        <v>88</v>
      </c>
      <c r="W1064" s="364" t="s">
        <v>88</v>
      </c>
      <c r="X1064" s="364" t="s">
        <v>88</v>
      </c>
      <c r="Y1064" s="364" t="s">
        <v>88</v>
      </c>
      <c r="Z1064" s="364" t="s">
        <v>88</v>
      </c>
      <c r="AA1064" s="364" t="s">
        <v>649</v>
      </c>
      <c r="AB1064" s="364" t="s">
        <v>88</v>
      </c>
      <c r="AC1064" s="364" t="s">
        <v>88</v>
      </c>
      <c r="AD1064" s="364" t="s">
        <v>88</v>
      </c>
      <c r="AE1064" s="364" t="s">
        <v>88</v>
      </c>
      <c r="AF1064" s="364" t="s">
        <v>88</v>
      </c>
      <c r="AG1064" s="364" t="s">
        <v>88</v>
      </c>
      <c r="AH1064" s="364" t="s">
        <v>88</v>
      </c>
      <c r="AI1064" s="364" t="s">
        <v>1560</v>
      </c>
      <c r="AJ1064" s="364" t="s">
        <v>793</v>
      </c>
      <c r="AK1064" s="364" t="s">
        <v>88</v>
      </c>
      <c r="AL1064" s="364" t="s">
        <v>88</v>
      </c>
      <c r="AM1064" s="364" t="s">
        <v>88</v>
      </c>
      <c r="AN1064" s="364" t="s">
        <v>792</v>
      </c>
    </row>
    <row r="1065" spans="1:40" x14ac:dyDescent="0.3">
      <c r="A1065" s="364" t="s">
        <v>1559</v>
      </c>
      <c r="B1065" s="364" t="s">
        <v>661</v>
      </c>
      <c r="C1065" s="364" t="s">
        <v>677</v>
      </c>
      <c r="D1065" s="364" t="s">
        <v>90</v>
      </c>
      <c r="E1065" s="364" t="s">
        <v>1558</v>
      </c>
      <c r="F1065" s="364" t="s">
        <v>1558</v>
      </c>
      <c r="G1065" s="364" t="s">
        <v>658</v>
      </c>
      <c r="H1065" s="364" t="s">
        <v>1557</v>
      </c>
      <c r="I1065" s="364" t="s">
        <v>1556</v>
      </c>
      <c r="J1065" s="364" t="s">
        <v>673</v>
      </c>
      <c r="K1065" s="364" t="s">
        <v>668</v>
      </c>
      <c r="L1065" s="364" t="s">
        <v>190</v>
      </c>
      <c r="M1065" s="364" t="s">
        <v>61</v>
      </c>
      <c r="N1065" s="364" t="s">
        <v>654</v>
      </c>
      <c r="O1065" s="364" t="s">
        <v>653</v>
      </c>
      <c r="P1065" s="364" t="s">
        <v>198</v>
      </c>
      <c r="Q1065" s="364" t="s">
        <v>652</v>
      </c>
      <c r="R1065" s="364" t="s">
        <v>88</v>
      </c>
      <c r="S1065" s="364" t="s">
        <v>88</v>
      </c>
      <c r="T1065" s="364" t="s">
        <v>88</v>
      </c>
      <c r="U1065" s="364" t="s">
        <v>88</v>
      </c>
      <c r="V1065" s="364" t="s">
        <v>88</v>
      </c>
      <c r="W1065" s="364" t="s">
        <v>88</v>
      </c>
      <c r="X1065" s="364" t="s">
        <v>88</v>
      </c>
      <c r="Y1065" s="364" t="s">
        <v>88</v>
      </c>
      <c r="Z1065" s="364" t="s">
        <v>1021</v>
      </c>
      <c r="AA1065" s="364" t="s">
        <v>671</v>
      </c>
      <c r="AB1065" s="364" t="s">
        <v>649</v>
      </c>
      <c r="AC1065" s="364" t="s">
        <v>649</v>
      </c>
      <c r="AD1065" s="364" t="s">
        <v>88</v>
      </c>
      <c r="AE1065" s="364" t="s">
        <v>88</v>
      </c>
      <c r="AF1065" s="364" t="s">
        <v>88</v>
      </c>
      <c r="AG1065" s="364" t="s">
        <v>88</v>
      </c>
      <c r="AH1065" s="364" t="s">
        <v>88</v>
      </c>
      <c r="AI1065" s="364" t="s">
        <v>1155</v>
      </c>
      <c r="AJ1065" s="364" t="s">
        <v>710</v>
      </c>
      <c r="AK1065" s="364" t="s">
        <v>647</v>
      </c>
      <c r="AL1065" s="364" t="s">
        <v>88</v>
      </c>
      <c r="AM1065" s="364" t="s">
        <v>668</v>
      </c>
      <c r="AN1065" s="364" t="s">
        <v>644</v>
      </c>
    </row>
    <row r="1066" spans="1:40" x14ac:dyDescent="0.3">
      <c r="A1066" s="364" t="s">
        <v>1559</v>
      </c>
      <c r="B1066" s="364" t="s">
        <v>661</v>
      </c>
      <c r="C1066" s="364" t="s">
        <v>677</v>
      </c>
      <c r="D1066" s="364" t="s">
        <v>90</v>
      </c>
      <c r="E1066" s="364" t="s">
        <v>1558</v>
      </c>
      <c r="F1066" s="364" t="s">
        <v>1558</v>
      </c>
      <c r="G1066" s="364" t="s">
        <v>658</v>
      </c>
      <c r="H1066" s="364" t="s">
        <v>1557</v>
      </c>
      <c r="I1066" s="364" t="s">
        <v>1556</v>
      </c>
      <c r="J1066" s="364" t="s">
        <v>673</v>
      </c>
      <c r="K1066" s="364" t="s">
        <v>668</v>
      </c>
      <c r="L1066" s="364" t="s">
        <v>190</v>
      </c>
      <c r="M1066" s="364" t="s">
        <v>242</v>
      </c>
      <c r="N1066" s="364" t="s">
        <v>654</v>
      </c>
      <c r="O1066" s="364" t="s">
        <v>653</v>
      </c>
      <c r="P1066" s="364" t="s">
        <v>198</v>
      </c>
      <c r="Q1066" s="364" t="s">
        <v>652</v>
      </c>
      <c r="R1066" s="364" t="s">
        <v>88</v>
      </c>
      <c r="S1066" s="364" t="s">
        <v>88</v>
      </c>
      <c r="T1066" s="364" t="s">
        <v>88</v>
      </c>
      <c r="U1066" s="364" t="s">
        <v>88</v>
      </c>
      <c r="V1066" s="364" t="s">
        <v>88</v>
      </c>
      <c r="W1066" s="364" t="s">
        <v>88</v>
      </c>
      <c r="X1066" s="364" t="s">
        <v>88</v>
      </c>
      <c r="Y1066" s="364" t="s">
        <v>88</v>
      </c>
      <c r="Z1066" s="364" t="s">
        <v>1157</v>
      </c>
      <c r="AA1066" s="364" t="s">
        <v>1156</v>
      </c>
      <c r="AB1066" s="364" t="s">
        <v>649</v>
      </c>
      <c r="AC1066" s="364" t="s">
        <v>649</v>
      </c>
      <c r="AD1066" s="364" t="s">
        <v>88</v>
      </c>
      <c r="AE1066" s="364" t="s">
        <v>88</v>
      </c>
      <c r="AF1066" s="364" t="s">
        <v>88</v>
      </c>
      <c r="AG1066" s="364" t="s">
        <v>88</v>
      </c>
      <c r="AH1066" s="364" t="s">
        <v>88</v>
      </c>
      <c r="AI1066" s="364" t="s">
        <v>1155</v>
      </c>
      <c r="AJ1066" s="364" t="s">
        <v>710</v>
      </c>
      <c r="AK1066" s="364" t="s">
        <v>647</v>
      </c>
      <c r="AL1066" s="364" t="s">
        <v>88</v>
      </c>
      <c r="AM1066" s="364" t="s">
        <v>668</v>
      </c>
      <c r="AN1066" s="364" t="s">
        <v>644</v>
      </c>
    </row>
    <row r="1067" spans="1:40" x14ac:dyDescent="0.3">
      <c r="A1067" s="364" t="s">
        <v>1559</v>
      </c>
      <c r="B1067" s="364" t="s">
        <v>661</v>
      </c>
      <c r="C1067" s="364" t="s">
        <v>677</v>
      </c>
      <c r="D1067" s="364" t="s">
        <v>90</v>
      </c>
      <c r="E1067" s="364" t="s">
        <v>1558</v>
      </c>
      <c r="F1067" s="364" t="s">
        <v>1558</v>
      </c>
      <c r="G1067" s="364" t="s">
        <v>658</v>
      </c>
      <c r="H1067" s="364" t="s">
        <v>1557</v>
      </c>
      <c r="I1067" s="364" t="s">
        <v>1556</v>
      </c>
      <c r="J1067" s="364" t="s">
        <v>673</v>
      </c>
      <c r="K1067" s="364" t="s">
        <v>668</v>
      </c>
      <c r="L1067" s="364" t="s">
        <v>190</v>
      </c>
      <c r="M1067" s="364" t="s">
        <v>54</v>
      </c>
      <c r="N1067" s="364" t="s">
        <v>654</v>
      </c>
      <c r="O1067" s="364" t="s">
        <v>653</v>
      </c>
      <c r="P1067" s="364" t="s">
        <v>198</v>
      </c>
      <c r="Q1067" s="364" t="s">
        <v>652</v>
      </c>
      <c r="R1067" s="364" t="s">
        <v>88</v>
      </c>
      <c r="S1067" s="364" t="s">
        <v>88</v>
      </c>
      <c r="T1067" s="364" t="s">
        <v>88</v>
      </c>
      <c r="U1067" s="364" t="s">
        <v>88</v>
      </c>
      <c r="V1067" s="364" t="s">
        <v>88</v>
      </c>
      <c r="W1067" s="364" t="s">
        <v>88</v>
      </c>
      <c r="X1067" s="364" t="s">
        <v>88</v>
      </c>
      <c r="Y1067" s="364" t="s">
        <v>88</v>
      </c>
      <c r="Z1067" s="364" t="s">
        <v>1265</v>
      </c>
      <c r="AA1067" s="364" t="s">
        <v>649</v>
      </c>
      <c r="AB1067" s="364" t="s">
        <v>649</v>
      </c>
      <c r="AC1067" s="364" t="s">
        <v>649</v>
      </c>
      <c r="AD1067" s="364" t="s">
        <v>88</v>
      </c>
      <c r="AE1067" s="364" t="s">
        <v>88</v>
      </c>
      <c r="AF1067" s="364" t="s">
        <v>88</v>
      </c>
      <c r="AG1067" s="364" t="s">
        <v>88</v>
      </c>
      <c r="AH1067" s="364" t="s">
        <v>88</v>
      </c>
      <c r="AI1067" s="364" t="s">
        <v>1155</v>
      </c>
      <c r="AJ1067" s="364" t="s">
        <v>710</v>
      </c>
      <c r="AK1067" s="364" t="s">
        <v>647</v>
      </c>
      <c r="AL1067" s="364" t="s">
        <v>88</v>
      </c>
      <c r="AM1067" s="364" t="s">
        <v>668</v>
      </c>
      <c r="AN1067" s="364" t="s">
        <v>644</v>
      </c>
    </row>
    <row r="1068" spans="1:40" x14ac:dyDescent="0.3">
      <c r="A1068" s="364" t="s">
        <v>1559</v>
      </c>
      <c r="B1068" s="364" t="s">
        <v>661</v>
      </c>
      <c r="C1068" s="364" t="s">
        <v>677</v>
      </c>
      <c r="D1068" s="364" t="s">
        <v>90</v>
      </c>
      <c r="E1068" s="364" t="s">
        <v>1558</v>
      </c>
      <c r="F1068" s="364" t="s">
        <v>1558</v>
      </c>
      <c r="G1068" s="364" t="s">
        <v>658</v>
      </c>
      <c r="H1068" s="364" t="s">
        <v>1557</v>
      </c>
      <c r="I1068" s="364" t="s">
        <v>1556</v>
      </c>
      <c r="J1068" s="364" t="s">
        <v>673</v>
      </c>
      <c r="K1068" s="364" t="s">
        <v>668</v>
      </c>
      <c r="L1068" s="364" t="s">
        <v>190</v>
      </c>
      <c r="M1068" s="364" t="s">
        <v>1168</v>
      </c>
      <c r="N1068" s="364" t="s">
        <v>654</v>
      </c>
      <c r="O1068" s="364" t="s">
        <v>653</v>
      </c>
      <c r="P1068" s="364" t="s">
        <v>198</v>
      </c>
      <c r="Q1068" s="364" t="s">
        <v>652</v>
      </c>
      <c r="R1068" s="364" t="s">
        <v>88</v>
      </c>
      <c r="S1068" s="364" t="s">
        <v>88</v>
      </c>
      <c r="T1068" s="364" t="s">
        <v>88</v>
      </c>
      <c r="U1068" s="364" t="s">
        <v>88</v>
      </c>
      <c r="V1068" s="364" t="s">
        <v>88</v>
      </c>
      <c r="W1068" s="364" t="s">
        <v>88</v>
      </c>
      <c r="X1068" s="364" t="s">
        <v>88</v>
      </c>
      <c r="Y1068" s="364" t="s">
        <v>88</v>
      </c>
      <c r="Z1068" s="364" t="s">
        <v>1167</v>
      </c>
      <c r="AA1068" s="364" t="s">
        <v>1166</v>
      </c>
      <c r="AB1068" s="364" t="s">
        <v>649</v>
      </c>
      <c r="AC1068" s="364" t="s">
        <v>649</v>
      </c>
      <c r="AD1068" s="364" t="s">
        <v>88</v>
      </c>
      <c r="AE1068" s="364" t="s">
        <v>88</v>
      </c>
      <c r="AF1068" s="364" t="s">
        <v>88</v>
      </c>
      <c r="AG1068" s="364" t="s">
        <v>88</v>
      </c>
      <c r="AH1068" s="364" t="s">
        <v>88</v>
      </c>
      <c r="AI1068" s="364" t="s">
        <v>1155</v>
      </c>
      <c r="AJ1068" s="364" t="s">
        <v>710</v>
      </c>
      <c r="AK1068" s="364" t="s">
        <v>647</v>
      </c>
      <c r="AL1068" s="364" t="s">
        <v>88</v>
      </c>
      <c r="AM1068" s="364" t="s">
        <v>668</v>
      </c>
      <c r="AN1068" s="364" t="s">
        <v>644</v>
      </c>
    </row>
    <row r="1069" spans="1:40" x14ac:dyDescent="0.3">
      <c r="A1069" s="364" t="s">
        <v>1559</v>
      </c>
      <c r="B1069" s="364" t="s">
        <v>661</v>
      </c>
      <c r="C1069" s="364" t="s">
        <v>677</v>
      </c>
      <c r="D1069" s="364" t="s">
        <v>90</v>
      </c>
      <c r="E1069" s="364" t="s">
        <v>1558</v>
      </c>
      <c r="F1069" s="364" t="s">
        <v>1558</v>
      </c>
      <c r="G1069" s="364" t="s">
        <v>658</v>
      </c>
      <c r="H1069" s="364" t="s">
        <v>1557</v>
      </c>
      <c r="I1069" s="364" t="s">
        <v>1556</v>
      </c>
      <c r="J1069" s="364" t="s">
        <v>673</v>
      </c>
      <c r="K1069" s="364" t="s">
        <v>668</v>
      </c>
      <c r="L1069" s="364" t="s">
        <v>190</v>
      </c>
      <c r="M1069" s="364" t="s">
        <v>718</v>
      </c>
      <c r="N1069" s="364" t="s">
        <v>654</v>
      </c>
      <c r="O1069" s="364" t="s">
        <v>653</v>
      </c>
      <c r="P1069" s="364" t="s">
        <v>198</v>
      </c>
      <c r="Q1069" s="364" t="s">
        <v>652</v>
      </c>
      <c r="R1069" s="364" t="s">
        <v>88</v>
      </c>
      <c r="S1069" s="364" t="s">
        <v>88</v>
      </c>
      <c r="T1069" s="364" t="s">
        <v>88</v>
      </c>
      <c r="U1069" s="364" t="s">
        <v>88</v>
      </c>
      <c r="V1069" s="364" t="s">
        <v>88</v>
      </c>
      <c r="W1069" s="364" t="s">
        <v>88</v>
      </c>
      <c r="X1069" s="364" t="s">
        <v>88</v>
      </c>
      <c r="Y1069" s="364" t="s">
        <v>88</v>
      </c>
      <c r="Z1069" s="364" t="s">
        <v>717</v>
      </c>
      <c r="AA1069" s="364" t="s">
        <v>649</v>
      </c>
      <c r="AB1069" s="364" t="s">
        <v>649</v>
      </c>
      <c r="AC1069" s="364" t="s">
        <v>649</v>
      </c>
      <c r="AD1069" s="364" t="s">
        <v>88</v>
      </c>
      <c r="AE1069" s="364" t="s">
        <v>88</v>
      </c>
      <c r="AF1069" s="364" t="s">
        <v>88</v>
      </c>
      <c r="AG1069" s="364" t="s">
        <v>88</v>
      </c>
      <c r="AH1069" s="364" t="s">
        <v>88</v>
      </c>
      <c r="AI1069" s="364" t="s">
        <v>1155</v>
      </c>
      <c r="AJ1069" s="364" t="s">
        <v>710</v>
      </c>
      <c r="AK1069" s="364" t="s">
        <v>647</v>
      </c>
      <c r="AL1069" s="364" t="s">
        <v>88</v>
      </c>
      <c r="AM1069" s="364" t="s">
        <v>668</v>
      </c>
      <c r="AN1069" s="364" t="s">
        <v>644</v>
      </c>
    </row>
    <row r="1070" spans="1:40" x14ac:dyDescent="0.3">
      <c r="A1070" s="364" t="s">
        <v>1559</v>
      </c>
      <c r="B1070" s="364" t="s">
        <v>661</v>
      </c>
      <c r="C1070" s="364" t="s">
        <v>677</v>
      </c>
      <c r="D1070" s="364" t="s">
        <v>90</v>
      </c>
      <c r="E1070" s="364" t="s">
        <v>1558</v>
      </c>
      <c r="F1070" s="364" t="s">
        <v>1558</v>
      </c>
      <c r="G1070" s="364" t="s">
        <v>658</v>
      </c>
      <c r="H1070" s="364" t="s">
        <v>1557</v>
      </c>
      <c r="I1070" s="364" t="s">
        <v>1556</v>
      </c>
      <c r="J1070" s="364" t="s">
        <v>673</v>
      </c>
      <c r="K1070" s="364" t="s">
        <v>668</v>
      </c>
      <c r="L1070" s="364" t="s">
        <v>190</v>
      </c>
      <c r="M1070" s="364" t="s">
        <v>713</v>
      </c>
      <c r="N1070" s="364" t="s">
        <v>654</v>
      </c>
      <c r="O1070" s="364" t="s">
        <v>653</v>
      </c>
      <c r="P1070" s="364" t="s">
        <v>198</v>
      </c>
      <c r="Q1070" s="364" t="s">
        <v>652</v>
      </c>
      <c r="R1070" s="364" t="s">
        <v>88</v>
      </c>
      <c r="S1070" s="364" t="s">
        <v>88</v>
      </c>
      <c r="T1070" s="364" t="s">
        <v>88</v>
      </c>
      <c r="U1070" s="364" t="s">
        <v>88</v>
      </c>
      <c r="V1070" s="364" t="s">
        <v>88</v>
      </c>
      <c r="W1070" s="364" t="s">
        <v>88</v>
      </c>
      <c r="X1070" s="364" t="s">
        <v>88</v>
      </c>
      <c r="Y1070" s="364" t="s">
        <v>88</v>
      </c>
      <c r="Z1070" s="364" t="s">
        <v>712</v>
      </c>
      <c r="AA1070" s="364" t="s">
        <v>711</v>
      </c>
      <c r="AB1070" s="364" t="s">
        <v>649</v>
      </c>
      <c r="AC1070" s="364" t="s">
        <v>649</v>
      </c>
      <c r="AD1070" s="364" t="s">
        <v>88</v>
      </c>
      <c r="AE1070" s="364" t="s">
        <v>88</v>
      </c>
      <c r="AF1070" s="364" t="s">
        <v>88</v>
      </c>
      <c r="AG1070" s="364" t="s">
        <v>88</v>
      </c>
      <c r="AH1070" s="364" t="s">
        <v>88</v>
      </c>
      <c r="AI1070" s="364" t="s">
        <v>1155</v>
      </c>
      <c r="AJ1070" s="364" t="s">
        <v>710</v>
      </c>
      <c r="AK1070" s="364" t="s">
        <v>647</v>
      </c>
      <c r="AL1070" s="364" t="s">
        <v>88</v>
      </c>
      <c r="AM1070" s="364" t="s">
        <v>668</v>
      </c>
      <c r="AN1070" s="364" t="s">
        <v>644</v>
      </c>
    </row>
    <row r="1071" spans="1:40" x14ac:dyDescent="0.3">
      <c r="A1071" s="364" t="s">
        <v>1559</v>
      </c>
      <c r="B1071" s="364" t="s">
        <v>661</v>
      </c>
      <c r="C1071" s="364" t="s">
        <v>677</v>
      </c>
      <c r="D1071" s="364" t="s">
        <v>90</v>
      </c>
      <c r="E1071" s="364" t="s">
        <v>1558</v>
      </c>
      <c r="F1071" s="364" t="s">
        <v>1558</v>
      </c>
      <c r="G1071" s="364" t="s">
        <v>658</v>
      </c>
      <c r="H1071" s="364" t="s">
        <v>1557</v>
      </c>
      <c r="I1071" s="364" t="s">
        <v>1556</v>
      </c>
      <c r="J1071" s="364" t="s">
        <v>673</v>
      </c>
      <c r="K1071" s="364" t="s">
        <v>668</v>
      </c>
      <c r="L1071" s="364" t="s">
        <v>190</v>
      </c>
      <c r="M1071" s="364" t="s">
        <v>721</v>
      </c>
      <c r="N1071" s="364" t="s">
        <v>654</v>
      </c>
      <c r="O1071" s="364" t="s">
        <v>653</v>
      </c>
      <c r="P1071" s="364" t="s">
        <v>198</v>
      </c>
      <c r="Q1071" s="364" t="s">
        <v>652</v>
      </c>
      <c r="R1071" s="364" t="s">
        <v>88</v>
      </c>
      <c r="S1071" s="364" t="s">
        <v>88</v>
      </c>
      <c r="T1071" s="364" t="s">
        <v>88</v>
      </c>
      <c r="U1071" s="364" t="s">
        <v>88</v>
      </c>
      <c r="V1071" s="364" t="s">
        <v>88</v>
      </c>
      <c r="W1071" s="364" t="s">
        <v>88</v>
      </c>
      <c r="X1071" s="364" t="s">
        <v>88</v>
      </c>
      <c r="Y1071" s="364" t="s">
        <v>88</v>
      </c>
      <c r="Z1071" s="364" t="s">
        <v>720</v>
      </c>
      <c r="AA1071" s="364" t="s">
        <v>649</v>
      </c>
      <c r="AB1071" s="364" t="s">
        <v>649</v>
      </c>
      <c r="AC1071" s="364" t="s">
        <v>649</v>
      </c>
      <c r="AD1071" s="364" t="s">
        <v>88</v>
      </c>
      <c r="AE1071" s="364" t="s">
        <v>88</v>
      </c>
      <c r="AF1071" s="364" t="s">
        <v>88</v>
      </c>
      <c r="AG1071" s="364" t="s">
        <v>88</v>
      </c>
      <c r="AH1071" s="364" t="s">
        <v>88</v>
      </c>
      <c r="AI1071" s="364" t="s">
        <v>1155</v>
      </c>
      <c r="AJ1071" s="364" t="s">
        <v>710</v>
      </c>
      <c r="AK1071" s="364" t="s">
        <v>647</v>
      </c>
      <c r="AL1071" s="364" t="s">
        <v>88</v>
      </c>
      <c r="AM1071" s="364" t="s">
        <v>668</v>
      </c>
      <c r="AN1071" s="364" t="s">
        <v>644</v>
      </c>
    </row>
    <row r="1072" spans="1:40" x14ac:dyDescent="0.3">
      <c r="A1072" s="364" t="s">
        <v>1559</v>
      </c>
      <c r="B1072" s="364" t="s">
        <v>661</v>
      </c>
      <c r="C1072" s="364" t="s">
        <v>677</v>
      </c>
      <c r="D1072" s="364" t="s">
        <v>90</v>
      </c>
      <c r="E1072" s="364" t="s">
        <v>1558</v>
      </c>
      <c r="F1072" s="364" t="s">
        <v>1558</v>
      </c>
      <c r="G1072" s="364" t="s">
        <v>658</v>
      </c>
      <c r="H1072" s="364" t="s">
        <v>1557</v>
      </c>
      <c r="I1072" s="364" t="s">
        <v>1556</v>
      </c>
      <c r="J1072" s="364" t="s">
        <v>673</v>
      </c>
      <c r="K1072" s="364" t="s">
        <v>668</v>
      </c>
      <c r="L1072" s="364" t="s">
        <v>190</v>
      </c>
      <c r="M1072" s="364" t="s">
        <v>56</v>
      </c>
      <c r="N1072" s="364" t="s">
        <v>654</v>
      </c>
      <c r="O1072" s="364" t="s">
        <v>653</v>
      </c>
      <c r="P1072" s="364" t="s">
        <v>198</v>
      </c>
      <c r="Q1072" s="364" t="s">
        <v>652</v>
      </c>
      <c r="R1072" s="364" t="s">
        <v>88</v>
      </c>
      <c r="S1072" s="364" t="s">
        <v>88</v>
      </c>
      <c r="T1072" s="364" t="s">
        <v>88</v>
      </c>
      <c r="U1072" s="364" t="s">
        <v>88</v>
      </c>
      <c r="V1072" s="364" t="s">
        <v>88</v>
      </c>
      <c r="W1072" s="364" t="s">
        <v>88</v>
      </c>
      <c r="X1072" s="364" t="s">
        <v>88</v>
      </c>
      <c r="Y1072" s="364" t="s">
        <v>88</v>
      </c>
      <c r="Z1072" s="364" t="s">
        <v>1165</v>
      </c>
      <c r="AA1072" s="364" t="s">
        <v>1164</v>
      </c>
      <c r="AB1072" s="364" t="s">
        <v>649</v>
      </c>
      <c r="AC1072" s="364" t="s">
        <v>649</v>
      </c>
      <c r="AD1072" s="364" t="s">
        <v>88</v>
      </c>
      <c r="AE1072" s="364" t="s">
        <v>88</v>
      </c>
      <c r="AF1072" s="364" t="s">
        <v>88</v>
      </c>
      <c r="AG1072" s="364" t="s">
        <v>88</v>
      </c>
      <c r="AH1072" s="364" t="s">
        <v>88</v>
      </c>
      <c r="AI1072" s="364" t="s">
        <v>1155</v>
      </c>
      <c r="AJ1072" s="364" t="s">
        <v>710</v>
      </c>
      <c r="AK1072" s="364" t="s">
        <v>647</v>
      </c>
      <c r="AL1072" s="364" t="s">
        <v>88</v>
      </c>
      <c r="AM1072" s="364" t="s">
        <v>668</v>
      </c>
      <c r="AN1072" s="364" t="s">
        <v>644</v>
      </c>
    </row>
    <row r="1073" spans="1:40" x14ac:dyDescent="0.3">
      <c r="A1073" s="364" t="s">
        <v>1559</v>
      </c>
      <c r="B1073" s="364" t="s">
        <v>661</v>
      </c>
      <c r="C1073" s="364" t="s">
        <v>677</v>
      </c>
      <c r="D1073" s="364" t="s">
        <v>90</v>
      </c>
      <c r="E1073" s="364" t="s">
        <v>1558</v>
      </c>
      <c r="F1073" s="364" t="s">
        <v>1558</v>
      </c>
      <c r="G1073" s="364" t="s">
        <v>658</v>
      </c>
      <c r="H1073" s="364" t="s">
        <v>1557</v>
      </c>
      <c r="I1073" s="364" t="s">
        <v>1556</v>
      </c>
      <c r="J1073" s="364" t="s">
        <v>673</v>
      </c>
      <c r="K1073" s="364" t="s">
        <v>668</v>
      </c>
      <c r="L1073" s="364" t="s">
        <v>190</v>
      </c>
      <c r="M1073" s="364" t="s">
        <v>241</v>
      </c>
      <c r="N1073" s="364" t="s">
        <v>654</v>
      </c>
      <c r="O1073" s="364" t="s">
        <v>653</v>
      </c>
      <c r="P1073" s="364" t="s">
        <v>198</v>
      </c>
      <c r="Q1073" s="364" t="s">
        <v>652</v>
      </c>
      <c r="R1073" s="364" t="s">
        <v>88</v>
      </c>
      <c r="S1073" s="364" t="s">
        <v>88</v>
      </c>
      <c r="T1073" s="364" t="s">
        <v>88</v>
      </c>
      <c r="U1073" s="364" t="s">
        <v>88</v>
      </c>
      <c r="V1073" s="364" t="s">
        <v>88</v>
      </c>
      <c r="W1073" s="364" t="s">
        <v>88</v>
      </c>
      <c r="X1073" s="364" t="s">
        <v>88</v>
      </c>
      <c r="Y1073" s="364" t="s">
        <v>88</v>
      </c>
      <c r="Z1073" s="364" t="s">
        <v>1170</v>
      </c>
      <c r="AA1073" s="364" t="s">
        <v>1169</v>
      </c>
      <c r="AB1073" s="364" t="s">
        <v>649</v>
      </c>
      <c r="AC1073" s="364" t="s">
        <v>649</v>
      </c>
      <c r="AD1073" s="364" t="s">
        <v>88</v>
      </c>
      <c r="AE1073" s="364" t="s">
        <v>88</v>
      </c>
      <c r="AF1073" s="364" t="s">
        <v>88</v>
      </c>
      <c r="AG1073" s="364" t="s">
        <v>88</v>
      </c>
      <c r="AH1073" s="364" t="s">
        <v>88</v>
      </c>
      <c r="AI1073" s="364" t="s">
        <v>1155</v>
      </c>
      <c r="AJ1073" s="364" t="s">
        <v>710</v>
      </c>
      <c r="AK1073" s="364" t="s">
        <v>647</v>
      </c>
      <c r="AL1073" s="364" t="s">
        <v>88</v>
      </c>
      <c r="AM1073" s="364" t="s">
        <v>668</v>
      </c>
      <c r="AN1073" s="364" t="s">
        <v>644</v>
      </c>
    </row>
    <row r="1074" spans="1:40" x14ac:dyDescent="0.3">
      <c r="A1074" s="364" t="s">
        <v>1559</v>
      </c>
      <c r="B1074" s="364" t="s">
        <v>661</v>
      </c>
      <c r="C1074" s="364" t="s">
        <v>677</v>
      </c>
      <c r="D1074" s="364" t="s">
        <v>90</v>
      </c>
      <c r="E1074" s="364" t="s">
        <v>1558</v>
      </c>
      <c r="F1074" s="364" t="s">
        <v>1558</v>
      </c>
      <c r="G1074" s="364" t="s">
        <v>658</v>
      </c>
      <c r="H1074" s="364" t="s">
        <v>1557</v>
      </c>
      <c r="I1074" s="364" t="s">
        <v>1556</v>
      </c>
      <c r="J1074" s="364" t="s">
        <v>673</v>
      </c>
      <c r="K1074" s="364" t="s">
        <v>668</v>
      </c>
      <c r="L1074" s="364" t="s">
        <v>190</v>
      </c>
      <c r="M1074" s="364" t="s">
        <v>240</v>
      </c>
      <c r="N1074" s="364" t="s">
        <v>654</v>
      </c>
      <c r="O1074" s="364" t="s">
        <v>653</v>
      </c>
      <c r="P1074" s="364" t="s">
        <v>198</v>
      </c>
      <c r="Q1074" s="364" t="s">
        <v>652</v>
      </c>
      <c r="R1074" s="364" t="s">
        <v>88</v>
      </c>
      <c r="S1074" s="364" t="s">
        <v>88</v>
      </c>
      <c r="T1074" s="364" t="s">
        <v>88</v>
      </c>
      <c r="U1074" s="364" t="s">
        <v>88</v>
      </c>
      <c r="V1074" s="364" t="s">
        <v>88</v>
      </c>
      <c r="W1074" s="364" t="s">
        <v>88</v>
      </c>
      <c r="X1074" s="364" t="s">
        <v>88</v>
      </c>
      <c r="Y1074" s="364" t="s">
        <v>88</v>
      </c>
      <c r="Z1074" s="364" t="s">
        <v>1163</v>
      </c>
      <c r="AA1074" s="364" t="s">
        <v>1162</v>
      </c>
      <c r="AB1074" s="364" t="s">
        <v>649</v>
      </c>
      <c r="AC1074" s="364" t="s">
        <v>649</v>
      </c>
      <c r="AD1074" s="364" t="s">
        <v>88</v>
      </c>
      <c r="AE1074" s="364" t="s">
        <v>88</v>
      </c>
      <c r="AF1074" s="364" t="s">
        <v>88</v>
      </c>
      <c r="AG1074" s="364" t="s">
        <v>88</v>
      </c>
      <c r="AH1074" s="364" t="s">
        <v>88</v>
      </c>
      <c r="AI1074" s="364" t="s">
        <v>1155</v>
      </c>
      <c r="AJ1074" s="364" t="s">
        <v>710</v>
      </c>
      <c r="AK1074" s="364" t="s">
        <v>647</v>
      </c>
      <c r="AL1074" s="364" t="s">
        <v>88</v>
      </c>
      <c r="AM1074" s="364" t="s">
        <v>668</v>
      </c>
      <c r="AN1074" s="364" t="s">
        <v>644</v>
      </c>
    </row>
    <row r="1075" spans="1:40" x14ac:dyDescent="0.3">
      <c r="A1075" s="364" t="s">
        <v>1555</v>
      </c>
      <c r="B1075" s="364" t="s">
        <v>661</v>
      </c>
      <c r="C1075" s="364" t="s">
        <v>677</v>
      </c>
      <c r="D1075" s="364" t="s">
        <v>90</v>
      </c>
      <c r="E1075" s="364" t="s">
        <v>1554</v>
      </c>
      <c r="F1075" s="364" t="s">
        <v>1554</v>
      </c>
      <c r="G1075" s="364" t="s">
        <v>658</v>
      </c>
      <c r="H1075" s="364" t="s">
        <v>1553</v>
      </c>
      <c r="I1075" s="364" t="s">
        <v>1552</v>
      </c>
      <c r="J1075" s="364" t="s">
        <v>673</v>
      </c>
      <c r="K1075" s="364" t="s">
        <v>668</v>
      </c>
      <c r="L1075" s="364" t="s">
        <v>190</v>
      </c>
      <c r="M1075" s="364" t="s">
        <v>61</v>
      </c>
      <c r="N1075" s="364" t="s">
        <v>654</v>
      </c>
      <c r="O1075" s="364" t="s">
        <v>653</v>
      </c>
      <c r="P1075" s="364" t="s">
        <v>198</v>
      </c>
      <c r="Q1075" s="364" t="s">
        <v>652</v>
      </c>
      <c r="R1075" s="364" t="s">
        <v>88</v>
      </c>
      <c r="S1075" s="364" t="s">
        <v>88</v>
      </c>
      <c r="T1075" s="364" t="s">
        <v>88</v>
      </c>
      <c r="U1075" s="364" t="s">
        <v>88</v>
      </c>
      <c r="V1075" s="364" t="s">
        <v>88</v>
      </c>
      <c r="W1075" s="364" t="s">
        <v>88</v>
      </c>
      <c r="X1075" s="364" t="s">
        <v>88</v>
      </c>
      <c r="Y1075" s="364" t="s">
        <v>88</v>
      </c>
      <c r="Z1075" s="364" t="s">
        <v>1021</v>
      </c>
      <c r="AA1075" s="364" t="s">
        <v>671</v>
      </c>
      <c r="AB1075" s="364" t="s">
        <v>649</v>
      </c>
      <c r="AC1075" s="364" t="s">
        <v>649</v>
      </c>
      <c r="AD1075" s="364" t="s">
        <v>88</v>
      </c>
      <c r="AE1075" s="364" t="s">
        <v>88</v>
      </c>
      <c r="AF1075" s="364" t="s">
        <v>88</v>
      </c>
      <c r="AG1075" s="364" t="s">
        <v>88</v>
      </c>
      <c r="AH1075" s="364" t="s">
        <v>88</v>
      </c>
      <c r="AI1075" s="364" t="s">
        <v>1155</v>
      </c>
      <c r="AJ1075" s="364" t="s">
        <v>710</v>
      </c>
      <c r="AK1075" s="364" t="s">
        <v>647</v>
      </c>
      <c r="AL1075" s="364" t="s">
        <v>88</v>
      </c>
      <c r="AM1075" s="364" t="s">
        <v>668</v>
      </c>
      <c r="AN1075" s="364" t="s">
        <v>644</v>
      </c>
    </row>
    <row r="1076" spans="1:40" x14ac:dyDescent="0.3">
      <c r="A1076" s="364" t="s">
        <v>1555</v>
      </c>
      <c r="B1076" s="364" t="s">
        <v>661</v>
      </c>
      <c r="C1076" s="364" t="s">
        <v>677</v>
      </c>
      <c r="D1076" s="364" t="s">
        <v>90</v>
      </c>
      <c r="E1076" s="364" t="s">
        <v>1554</v>
      </c>
      <c r="F1076" s="364" t="s">
        <v>1554</v>
      </c>
      <c r="G1076" s="364" t="s">
        <v>658</v>
      </c>
      <c r="H1076" s="364" t="s">
        <v>1553</v>
      </c>
      <c r="I1076" s="364" t="s">
        <v>1552</v>
      </c>
      <c r="J1076" s="364" t="s">
        <v>673</v>
      </c>
      <c r="K1076" s="364" t="s">
        <v>668</v>
      </c>
      <c r="L1076" s="364" t="s">
        <v>190</v>
      </c>
      <c r="M1076" s="364" t="s">
        <v>242</v>
      </c>
      <c r="N1076" s="364" t="s">
        <v>654</v>
      </c>
      <c r="O1076" s="364" t="s">
        <v>653</v>
      </c>
      <c r="P1076" s="364" t="s">
        <v>198</v>
      </c>
      <c r="Q1076" s="364" t="s">
        <v>652</v>
      </c>
      <c r="R1076" s="364" t="s">
        <v>88</v>
      </c>
      <c r="S1076" s="364" t="s">
        <v>88</v>
      </c>
      <c r="T1076" s="364" t="s">
        <v>88</v>
      </c>
      <c r="U1076" s="364" t="s">
        <v>88</v>
      </c>
      <c r="V1076" s="364" t="s">
        <v>88</v>
      </c>
      <c r="W1076" s="364" t="s">
        <v>88</v>
      </c>
      <c r="X1076" s="364" t="s">
        <v>88</v>
      </c>
      <c r="Y1076" s="364" t="s">
        <v>88</v>
      </c>
      <c r="Z1076" s="364" t="s">
        <v>1157</v>
      </c>
      <c r="AA1076" s="364" t="s">
        <v>1156</v>
      </c>
      <c r="AB1076" s="364" t="s">
        <v>649</v>
      </c>
      <c r="AC1076" s="364" t="s">
        <v>649</v>
      </c>
      <c r="AD1076" s="364" t="s">
        <v>88</v>
      </c>
      <c r="AE1076" s="364" t="s">
        <v>88</v>
      </c>
      <c r="AF1076" s="364" t="s">
        <v>88</v>
      </c>
      <c r="AG1076" s="364" t="s">
        <v>88</v>
      </c>
      <c r="AH1076" s="364" t="s">
        <v>88</v>
      </c>
      <c r="AI1076" s="364" t="s">
        <v>1155</v>
      </c>
      <c r="AJ1076" s="364" t="s">
        <v>710</v>
      </c>
      <c r="AK1076" s="364" t="s">
        <v>647</v>
      </c>
      <c r="AL1076" s="364" t="s">
        <v>88</v>
      </c>
      <c r="AM1076" s="364" t="s">
        <v>668</v>
      </c>
      <c r="AN1076" s="364" t="s">
        <v>644</v>
      </c>
    </row>
    <row r="1077" spans="1:40" x14ac:dyDescent="0.3">
      <c r="A1077" s="364" t="s">
        <v>1555</v>
      </c>
      <c r="B1077" s="364" t="s">
        <v>661</v>
      </c>
      <c r="C1077" s="364" t="s">
        <v>677</v>
      </c>
      <c r="D1077" s="364" t="s">
        <v>90</v>
      </c>
      <c r="E1077" s="364" t="s">
        <v>1554</v>
      </c>
      <c r="F1077" s="364" t="s">
        <v>1554</v>
      </c>
      <c r="G1077" s="364" t="s">
        <v>658</v>
      </c>
      <c r="H1077" s="364" t="s">
        <v>1553</v>
      </c>
      <c r="I1077" s="364" t="s">
        <v>1552</v>
      </c>
      <c r="J1077" s="364" t="s">
        <v>673</v>
      </c>
      <c r="K1077" s="364" t="s">
        <v>668</v>
      </c>
      <c r="L1077" s="364" t="s">
        <v>190</v>
      </c>
      <c r="M1077" s="364" t="s">
        <v>1168</v>
      </c>
      <c r="N1077" s="364" t="s">
        <v>654</v>
      </c>
      <c r="O1077" s="364" t="s">
        <v>653</v>
      </c>
      <c r="P1077" s="364" t="s">
        <v>198</v>
      </c>
      <c r="Q1077" s="364" t="s">
        <v>652</v>
      </c>
      <c r="R1077" s="364" t="s">
        <v>88</v>
      </c>
      <c r="S1077" s="364" t="s">
        <v>88</v>
      </c>
      <c r="T1077" s="364" t="s">
        <v>88</v>
      </c>
      <c r="U1077" s="364" t="s">
        <v>88</v>
      </c>
      <c r="V1077" s="364" t="s">
        <v>88</v>
      </c>
      <c r="W1077" s="364" t="s">
        <v>88</v>
      </c>
      <c r="X1077" s="364" t="s">
        <v>88</v>
      </c>
      <c r="Y1077" s="364" t="s">
        <v>88</v>
      </c>
      <c r="Z1077" s="364" t="s">
        <v>1167</v>
      </c>
      <c r="AA1077" s="364" t="s">
        <v>1166</v>
      </c>
      <c r="AB1077" s="364" t="s">
        <v>649</v>
      </c>
      <c r="AC1077" s="364" t="s">
        <v>649</v>
      </c>
      <c r="AD1077" s="364" t="s">
        <v>88</v>
      </c>
      <c r="AE1077" s="364" t="s">
        <v>88</v>
      </c>
      <c r="AF1077" s="364" t="s">
        <v>88</v>
      </c>
      <c r="AG1077" s="364" t="s">
        <v>88</v>
      </c>
      <c r="AH1077" s="364" t="s">
        <v>88</v>
      </c>
      <c r="AI1077" s="364" t="s">
        <v>1155</v>
      </c>
      <c r="AJ1077" s="364" t="s">
        <v>710</v>
      </c>
      <c r="AK1077" s="364" t="s">
        <v>647</v>
      </c>
      <c r="AL1077" s="364" t="s">
        <v>88</v>
      </c>
      <c r="AM1077" s="364" t="s">
        <v>668</v>
      </c>
      <c r="AN1077" s="364" t="s">
        <v>644</v>
      </c>
    </row>
    <row r="1078" spans="1:40" x14ac:dyDescent="0.3">
      <c r="A1078" s="364" t="s">
        <v>1555</v>
      </c>
      <c r="B1078" s="364" t="s">
        <v>661</v>
      </c>
      <c r="C1078" s="364" t="s">
        <v>677</v>
      </c>
      <c r="D1078" s="364" t="s">
        <v>90</v>
      </c>
      <c r="E1078" s="364" t="s">
        <v>1554</v>
      </c>
      <c r="F1078" s="364" t="s">
        <v>1554</v>
      </c>
      <c r="G1078" s="364" t="s">
        <v>658</v>
      </c>
      <c r="H1078" s="364" t="s">
        <v>1553</v>
      </c>
      <c r="I1078" s="364" t="s">
        <v>1552</v>
      </c>
      <c r="J1078" s="364" t="s">
        <v>673</v>
      </c>
      <c r="K1078" s="364" t="s">
        <v>668</v>
      </c>
      <c r="L1078" s="364" t="s">
        <v>190</v>
      </c>
      <c r="M1078" s="364" t="s">
        <v>718</v>
      </c>
      <c r="N1078" s="364" t="s">
        <v>654</v>
      </c>
      <c r="O1078" s="364" t="s">
        <v>653</v>
      </c>
      <c r="P1078" s="364" t="s">
        <v>198</v>
      </c>
      <c r="Q1078" s="364" t="s">
        <v>652</v>
      </c>
      <c r="R1078" s="364" t="s">
        <v>88</v>
      </c>
      <c r="S1078" s="364" t="s">
        <v>88</v>
      </c>
      <c r="T1078" s="364" t="s">
        <v>88</v>
      </c>
      <c r="U1078" s="364" t="s">
        <v>88</v>
      </c>
      <c r="V1078" s="364" t="s">
        <v>88</v>
      </c>
      <c r="W1078" s="364" t="s">
        <v>88</v>
      </c>
      <c r="X1078" s="364" t="s">
        <v>88</v>
      </c>
      <c r="Y1078" s="364" t="s">
        <v>88</v>
      </c>
      <c r="Z1078" s="364" t="s">
        <v>717</v>
      </c>
      <c r="AA1078" s="364" t="s">
        <v>649</v>
      </c>
      <c r="AB1078" s="364" t="s">
        <v>649</v>
      </c>
      <c r="AC1078" s="364" t="s">
        <v>649</v>
      </c>
      <c r="AD1078" s="364" t="s">
        <v>88</v>
      </c>
      <c r="AE1078" s="364" t="s">
        <v>88</v>
      </c>
      <c r="AF1078" s="364" t="s">
        <v>88</v>
      </c>
      <c r="AG1078" s="364" t="s">
        <v>88</v>
      </c>
      <c r="AH1078" s="364" t="s">
        <v>88</v>
      </c>
      <c r="AI1078" s="364" t="s">
        <v>1155</v>
      </c>
      <c r="AJ1078" s="364" t="s">
        <v>710</v>
      </c>
      <c r="AK1078" s="364" t="s">
        <v>647</v>
      </c>
      <c r="AL1078" s="364" t="s">
        <v>88</v>
      </c>
      <c r="AM1078" s="364" t="s">
        <v>668</v>
      </c>
      <c r="AN1078" s="364" t="s">
        <v>644</v>
      </c>
    </row>
    <row r="1079" spans="1:40" x14ac:dyDescent="0.3">
      <c r="A1079" s="364" t="s">
        <v>1555</v>
      </c>
      <c r="B1079" s="364" t="s">
        <v>661</v>
      </c>
      <c r="C1079" s="364" t="s">
        <v>677</v>
      </c>
      <c r="D1079" s="364" t="s">
        <v>90</v>
      </c>
      <c r="E1079" s="364" t="s">
        <v>1554</v>
      </c>
      <c r="F1079" s="364" t="s">
        <v>1554</v>
      </c>
      <c r="G1079" s="364" t="s">
        <v>658</v>
      </c>
      <c r="H1079" s="364" t="s">
        <v>1553</v>
      </c>
      <c r="I1079" s="364" t="s">
        <v>1552</v>
      </c>
      <c r="J1079" s="364" t="s">
        <v>673</v>
      </c>
      <c r="K1079" s="364" t="s">
        <v>668</v>
      </c>
      <c r="L1079" s="364" t="s">
        <v>190</v>
      </c>
      <c r="M1079" s="364" t="s">
        <v>713</v>
      </c>
      <c r="N1079" s="364" t="s">
        <v>654</v>
      </c>
      <c r="O1079" s="364" t="s">
        <v>653</v>
      </c>
      <c r="P1079" s="364" t="s">
        <v>198</v>
      </c>
      <c r="Q1079" s="364" t="s">
        <v>652</v>
      </c>
      <c r="R1079" s="364" t="s">
        <v>88</v>
      </c>
      <c r="S1079" s="364" t="s">
        <v>88</v>
      </c>
      <c r="T1079" s="364" t="s">
        <v>88</v>
      </c>
      <c r="U1079" s="364" t="s">
        <v>88</v>
      </c>
      <c r="V1079" s="364" t="s">
        <v>88</v>
      </c>
      <c r="W1079" s="364" t="s">
        <v>88</v>
      </c>
      <c r="X1079" s="364" t="s">
        <v>88</v>
      </c>
      <c r="Y1079" s="364" t="s">
        <v>88</v>
      </c>
      <c r="Z1079" s="364" t="s">
        <v>712</v>
      </c>
      <c r="AA1079" s="364" t="s">
        <v>711</v>
      </c>
      <c r="AB1079" s="364" t="s">
        <v>649</v>
      </c>
      <c r="AC1079" s="364" t="s">
        <v>649</v>
      </c>
      <c r="AD1079" s="364" t="s">
        <v>88</v>
      </c>
      <c r="AE1079" s="364" t="s">
        <v>88</v>
      </c>
      <c r="AF1079" s="364" t="s">
        <v>88</v>
      </c>
      <c r="AG1079" s="364" t="s">
        <v>88</v>
      </c>
      <c r="AH1079" s="364" t="s">
        <v>88</v>
      </c>
      <c r="AI1079" s="364" t="s">
        <v>1155</v>
      </c>
      <c r="AJ1079" s="364" t="s">
        <v>710</v>
      </c>
      <c r="AK1079" s="364" t="s">
        <v>647</v>
      </c>
      <c r="AL1079" s="364" t="s">
        <v>88</v>
      </c>
      <c r="AM1079" s="364" t="s">
        <v>668</v>
      </c>
      <c r="AN1079" s="364" t="s">
        <v>644</v>
      </c>
    </row>
    <row r="1080" spans="1:40" x14ac:dyDescent="0.3">
      <c r="A1080" s="364" t="s">
        <v>1555</v>
      </c>
      <c r="B1080" s="364" t="s">
        <v>661</v>
      </c>
      <c r="C1080" s="364" t="s">
        <v>677</v>
      </c>
      <c r="D1080" s="364" t="s">
        <v>90</v>
      </c>
      <c r="E1080" s="364" t="s">
        <v>1554</v>
      </c>
      <c r="F1080" s="364" t="s">
        <v>1554</v>
      </c>
      <c r="G1080" s="364" t="s">
        <v>658</v>
      </c>
      <c r="H1080" s="364" t="s">
        <v>1553</v>
      </c>
      <c r="I1080" s="364" t="s">
        <v>1552</v>
      </c>
      <c r="J1080" s="364" t="s">
        <v>673</v>
      </c>
      <c r="K1080" s="364" t="s">
        <v>668</v>
      </c>
      <c r="L1080" s="364" t="s">
        <v>190</v>
      </c>
      <c r="M1080" s="364" t="s">
        <v>721</v>
      </c>
      <c r="N1080" s="364" t="s">
        <v>654</v>
      </c>
      <c r="O1080" s="364" t="s">
        <v>653</v>
      </c>
      <c r="P1080" s="364" t="s">
        <v>198</v>
      </c>
      <c r="Q1080" s="364" t="s">
        <v>652</v>
      </c>
      <c r="R1080" s="364" t="s">
        <v>88</v>
      </c>
      <c r="S1080" s="364" t="s">
        <v>88</v>
      </c>
      <c r="T1080" s="364" t="s">
        <v>88</v>
      </c>
      <c r="U1080" s="364" t="s">
        <v>88</v>
      </c>
      <c r="V1080" s="364" t="s">
        <v>88</v>
      </c>
      <c r="W1080" s="364" t="s">
        <v>88</v>
      </c>
      <c r="X1080" s="364" t="s">
        <v>88</v>
      </c>
      <c r="Y1080" s="364" t="s">
        <v>88</v>
      </c>
      <c r="Z1080" s="364" t="s">
        <v>720</v>
      </c>
      <c r="AA1080" s="364" t="s">
        <v>649</v>
      </c>
      <c r="AB1080" s="364" t="s">
        <v>649</v>
      </c>
      <c r="AC1080" s="364" t="s">
        <v>649</v>
      </c>
      <c r="AD1080" s="364" t="s">
        <v>88</v>
      </c>
      <c r="AE1080" s="364" t="s">
        <v>88</v>
      </c>
      <c r="AF1080" s="364" t="s">
        <v>88</v>
      </c>
      <c r="AG1080" s="364" t="s">
        <v>88</v>
      </c>
      <c r="AH1080" s="364" t="s">
        <v>88</v>
      </c>
      <c r="AI1080" s="364" t="s">
        <v>1155</v>
      </c>
      <c r="AJ1080" s="364" t="s">
        <v>710</v>
      </c>
      <c r="AK1080" s="364" t="s">
        <v>647</v>
      </c>
      <c r="AL1080" s="364" t="s">
        <v>88</v>
      </c>
      <c r="AM1080" s="364" t="s">
        <v>668</v>
      </c>
      <c r="AN1080" s="364" t="s">
        <v>644</v>
      </c>
    </row>
    <row r="1081" spans="1:40" x14ac:dyDescent="0.3">
      <c r="A1081" s="364" t="s">
        <v>1555</v>
      </c>
      <c r="B1081" s="364" t="s">
        <v>661</v>
      </c>
      <c r="C1081" s="364" t="s">
        <v>677</v>
      </c>
      <c r="D1081" s="364" t="s">
        <v>90</v>
      </c>
      <c r="E1081" s="364" t="s">
        <v>1554</v>
      </c>
      <c r="F1081" s="364" t="s">
        <v>1554</v>
      </c>
      <c r="G1081" s="364" t="s">
        <v>658</v>
      </c>
      <c r="H1081" s="364" t="s">
        <v>1553</v>
      </c>
      <c r="I1081" s="364" t="s">
        <v>1552</v>
      </c>
      <c r="J1081" s="364" t="s">
        <v>673</v>
      </c>
      <c r="K1081" s="364" t="s">
        <v>668</v>
      </c>
      <c r="L1081" s="364" t="s">
        <v>190</v>
      </c>
      <c r="M1081" s="364" t="s">
        <v>56</v>
      </c>
      <c r="N1081" s="364" t="s">
        <v>654</v>
      </c>
      <c r="O1081" s="364" t="s">
        <v>653</v>
      </c>
      <c r="P1081" s="364" t="s">
        <v>198</v>
      </c>
      <c r="Q1081" s="364" t="s">
        <v>652</v>
      </c>
      <c r="R1081" s="364" t="s">
        <v>88</v>
      </c>
      <c r="S1081" s="364" t="s">
        <v>88</v>
      </c>
      <c r="T1081" s="364" t="s">
        <v>88</v>
      </c>
      <c r="U1081" s="364" t="s">
        <v>88</v>
      </c>
      <c r="V1081" s="364" t="s">
        <v>88</v>
      </c>
      <c r="W1081" s="364" t="s">
        <v>88</v>
      </c>
      <c r="X1081" s="364" t="s">
        <v>88</v>
      </c>
      <c r="Y1081" s="364" t="s">
        <v>88</v>
      </c>
      <c r="Z1081" s="364" t="s">
        <v>1165</v>
      </c>
      <c r="AA1081" s="364" t="s">
        <v>1164</v>
      </c>
      <c r="AB1081" s="364" t="s">
        <v>649</v>
      </c>
      <c r="AC1081" s="364" t="s">
        <v>649</v>
      </c>
      <c r="AD1081" s="364" t="s">
        <v>88</v>
      </c>
      <c r="AE1081" s="364" t="s">
        <v>88</v>
      </c>
      <c r="AF1081" s="364" t="s">
        <v>88</v>
      </c>
      <c r="AG1081" s="364" t="s">
        <v>88</v>
      </c>
      <c r="AH1081" s="364" t="s">
        <v>88</v>
      </c>
      <c r="AI1081" s="364" t="s">
        <v>1155</v>
      </c>
      <c r="AJ1081" s="364" t="s">
        <v>710</v>
      </c>
      <c r="AK1081" s="364" t="s">
        <v>647</v>
      </c>
      <c r="AL1081" s="364" t="s">
        <v>88</v>
      </c>
      <c r="AM1081" s="364" t="s">
        <v>668</v>
      </c>
      <c r="AN1081" s="364" t="s">
        <v>644</v>
      </c>
    </row>
    <row r="1082" spans="1:40" x14ac:dyDescent="0.3">
      <c r="A1082" s="364" t="s">
        <v>1555</v>
      </c>
      <c r="B1082" s="364" t="s">
        <v>661</v>
      </c>
      <c r="C1082" s="364" t="s">
        <v>677</v>
      </c>
      <c r="D1082" s="364" t="s">
        <v>90</v>
      </c>
      <c r="E1082" s="364" t="s">
        <v>1554</v>
      </c>
      <c r="F1082" s="364" t="s">
        <v>1554</v>
      </c>
      <c r="G1082" s="364" t="s">
        <v>658</v>
      </c>
      <c r="H1082" s="364" t="s">
        <v>1553</v>
      </c>
      <c r="I1082" s="364" t="s">
        <v>1552</v>
      </c>
      <c r="J1082" s="364" t="s">
        <v>673</v>
      </c>
      <c r="K1082" s="364" t="s">
        <v>668</v>
      </c>
      <c r="L1082" s="364" t="s">
        <v>190</v>
      </c>
      <c r="M1082" s="364" t="s">
        <v>241</v>
      </c>
      <c r="N1082" s="364" t="s">
        <v>654</v>
      </c>
      <c r="O1082" s="364" t="s">
        <v>653</v>
      </c>
      <c r="P1082" s="364" t="s">
        <v>198</v>
      </c>
      <c r="Q1082" s="364" t="s">
        <v>652</v>
      </c>
      <c r="R1082" s="364" t="s">
        <v>88</v>
      </c>
      <c r="S1082" s="364" t="s">
        <v>88</v>
      </c>
      <c r="T1082" s="364" t="s">
        <v>88</v>
      </c>
      <c r="U1082" s="364" t="s">
        <v>88</v>
      </c>
      <c r="V1082" s="364" t="s">
        <v>88</v>
      </c>
      <c r="W1082" s="364" t="s">
        <v>88</v>
      </c>
      <c r="X1082" s="364" t="s">
        <v>88</v>
      </c>
      <c r="Y1082" s="364" t="s">
        <v>88</v>
      </c>
      <c r="Z1082" s="364" t="s">
        <v>1170</v>
      </c>
      <c r="AA1082" s="364" t="s">
        <v>1169</v>
      </c>
      <c r="AB1082" s="364" t="s">
        <v>649</v>
      </c>
      <c r="AC1082" s="364" t="s">
        <v>649</v>
      </c>
      <c r="AD1082" s="364" t="s">
        <v>88</v>
      </c>
      <c r="AE1082" s="364" t="s">
        <v>88</v>
      </c>
      <c r="AF1082" s="364" t="s">
        <v>88</v>
      </c>
      <c r="AG1082" s="364" t="s">
        <v>88</v>
      </c>
      <c r="AH1082" s="364" t="s">
        <v>88</v>
      </c>
      <c r="AI1082" s="364" t="s">
        <v>1155</v>
      </c>
      <c r="AJ1082" s="364" t="s">
        <v>710</v>
      </c>
      <c r="AK1082" s="364" t="s">
        <v>647</v>
      </c>
      <c r="AL1082" s="364" t="s">
        <v>88</v>
      </c>
      <c r="AM1082" s="364" t="s">
        <v>668</v>
      </c>
      <c r="AN1082" s="364" t="s">
        <v>644</v>
      </c>
    </row>
    <row r="1083" spans="1:40" x14ac:dyDescent="0.3">
      <c r="A1083" s="364" t="s">
        <v>1555</v>
      </c>
      <c r="B1083" s="364" t="s">
        <v>661</v>
      </c>
      <c r="C1083" s="364" t="s">
        <v>677</v>
      </c>
      <c r="D1083" s="364" t="s">
        <v>90</v>
      </c>
      <c r="E1083" s="364" t="s">
        <v>1554</v>
      </c>
      <c r="F1083" s="364" t="s">
        <v>1554</v>
      </c>
      <c r="G1083" s="364" t="s">
        <v>658</v>
      </c>
      <c r="H1083" s="364" t="s">
        <v>1553</v>
      </c>
      <c r="I1083" s="364" t="s">
        <v>1552</v>
      </c>
      <c r="J1083" s="364" t="s">
        <v>673</v>
      </c>
      <c r="K1083" s="364" t="s">
        <v>668</v>
      </c>
      <c r="L1083" s="364" t="s">
        <v>190</v>
      </c>
      <c r="M1083" s="364" t="s">
        <v>240</v>
      </c>
      <c r="N1083" s="364" t="s">
        <v>654</v>
      </c>
      <c r="O1083" s="364" t="s">
        <v>653</v>
      </c>
      <c r="P1083" s="364" t="s">
        <v>198</v>
      </c>
      <c r="Q1083" s="364" t="s">
        <v>652</v>
      </c>
      <c r="R1083" s="364" t="s">
        <v>88</v>
      </c>
      <c r="S1083" s="364" t="s">
        <v>88</v>
      </c>
      <c r="T1083" s="364" t="s">
        <v>88</v>
      </c>
      <c r="U1083" s="364" t="s">
        <v>88</v>
      </c>
      <c r="V1083" s="364" t="s">
        <v>88</v>
      </c>
      <c r="W1083" s="364" t="s">
        <v>88</v>
      </c>
      <c r="X1083" s="364" t="s">
        <v>88</v>
      </c>
      <c r="Y1083" s="364" t="s">
        <v>88</v>
      </c>
      <c r="Z1083" s="364" t="s">
        <v>1163</v>
      </c>
      <c r="AA1083" s="364" t="s">
        <v>1162</v>
      </c>
      <c r="AB1083" s="364" t="s">
        <v>649</v>
      </c>
      <c r="AC1083" s="364" t="s">
        <v>649</v>
      </c>
      <c r="AD1083" s="364" t="s">
        <v>88</v>
      </c>
      <c r="AE1083" s="364" t="s">
        <v>88</v>
      </c>
      <c r="AF1083" s="364" t="s">
        <v>88</v>
      </c>
      <c r="AG1083" s="364" t="s">
        <v>88</v>
      </c>
      <c r="AH1083" s="364" t="s">
        <v>88</v>
      </c>
      <c r="AI1083" s="364" t="s">
        <v>1155</v>
      </c>
      <c r="AJ1083" s="364" t="s">
        <v>710</v>
      </c>
      <c r="AK1083" s="364" t="s">
        <v>647</v>
      </c>
      <c r="AL1083" s="364" t="s">
        <v>88</v>
      </c>
      <c r="AM1083" s="364" t="s">
        <v>668</v>
      </c>
      <c r="AN1083" s="364" t="s">
        <v>644</v>
      </c>
    </row>
    <row r="1084" spans="1:40" x14ac:dyDescent="0.3">
      <c r="A1084" s="364" t="s">
        <v>1551</v>
      </c>
      <c r="B1084" s="364" t="s">
        <v>661</v>
      </c>
      <c r="C1084" s="364" t="s">
        <v>677</v>
      </c>
      <c r="D1084" s="364" t="s">
        <v>90</v>
      </c>
      <c r="E1084" s="364" t="s">
        <v>1550</v>
      </c>
      <c r="F1084" s="364" t="s">
        <v>1550</v>
      </c>
      <c r="G1084" s="364" t="s">
        <v>658</v>
      </c>
      <c r="H1084" s="364" t="s">
        <v>1549</v>
      </c>
      <c r="I1084" s="364" t="s">
        <v>1548</v>
      </c>
      <c r="J1084" s="364" t="s">
        <v>673</v>
      </c>
      <c r="K1084" s="364" t="s">
        <v>668</v>
      </c>
      <c r="L1084" s="364" t="s">
        <v>190</v>
      </c>
      <c r="M1084" s="364" t="s">
        <v>61</v>
      </c>
      <c r="N1084" s="364" t="s">
        <v>654</v>
      </c>
      <c r="O1084" s="364" t="s">
        <v>653</v>
      </c>
      <c r="P1084" s="364" t="s">
        <v>198</v>
      </c>
      <c r="Q1084" s="364" t="s">
        <v>652</v>
      </c>
      <c r="R1084" s="364" t="s">
        <v>88</v>
      </c>
      <c r="S1084" s="364" t="s">
        <v>88</v>
      </c>
      <c r="T1084" s="364" t="s">
        <v>88</v>
      </c>
      <c r="U1084" s="364" t="s">
        <v>88</v>
      </c>
      <c r="V1084" s="364" t="s">
        <v>88</v>
      </c>
      <c r="W1084" s="364" t="s">
        <v>88</v>
      </c>
      <c r="X1084" s="364" t="s">
        <v>88</v>
      </c>
      <c r="Y1084" s="364" t="s">
        <v>88</v>
      </c>
      <c r="Z1084" s="364" t="s">
        <v>1021</v>
      </c>
      <c r="AA1084" s="364" t="s">
        <v>671</v>
      </c>
      <c r="AB1084" s="364" t="s">
        <v>649</v>
      </c>
      <c r="AC1084" s="364" t="s">
        <v>649</v>
      </c>
      <c r="AD1084" s="364" t="s">
        <v>88</v>
      </c>
      <c r="AE1084" s="364" t="s">
        <v>88</v>
      </c>
      <c r="AF1084" s="364" t="s">
        <v>88</v>
      </c>
      <c r="AG1084" s="364" t="s">
        <v>88</v>
      </c>
      <c r="AH1084" s="364" t="s">
        <v>88</v>
      </c>
      <c r="AI1084" s="364" t="s">
        <v>1155</v>
      </c>
      <c r="AJ1084" s="364" t="s">
        <v>710</v>
      </c>
      <c r="AK1084" s="364" t="s">
        <v>647</v>
      </c>
      <c r="AL1084" s="364" t="s">
        <v>88</v>
      </c>
      <c r="AM1084" s="364" t="s">
        <v>668</v>
      </c>
      <c r="AN1084" s="364" t="s">
        <v>644</v>
      </c>
    </row>
    <row r="1085" spans="1:40" x14ac:dyDescent="0.3">
      <c r="A1085" s="364" t="s">
        <v>1551</v>
      </c>
      <c r="B1085" s="364" t="s">
        <v>661</v>
      </c>
      <c r="C1085" s="364" t="s">
        <v>677</v>
      </c>
      <c r="D1085" s="364" t="s">
        <v>90</v>
      </c>
      <c r="E1085" s="364" t="s">
        <v>1550</v>
      </c>
      <c r="F1085" s="364" t="s">
        <v>1550</v>
      </c>
      <c r="G1085" s="364" t="s">
        <v>658</v>
      </c>
      <c r="H1085" s="364" t="s">
        <v>1549</v>
      </c>
      <c r="I1085" s="364" t="s">
        <v>1548</v>
      </c>
      <c r="J1085" s="364" t="s">
        <v>673</v>
      </c>
      <c r="K1085" s="364" t="s">
        <v>668</v>
      </c>
      <c r="L1085" s="364" t="s">
        <v>190</v>
      </c>
      <c r="M1085" s="364" t="s">
        <v>242</v>
      </c>
      <c r="N1085" s="364" t="s">
        <v>654</v>
      </c>
      <c r="O1085" s="364" t="s">
        <v>653</v>
      </c>
      <c r="P1085" s="364" t="s">
        <v>198</v>
      </c>
      <c r="Q1085" s="364" t="s">
        <v>652</v>
      </c>
      <c r="R1085" s="364" t="s">
        <v>88</v>
      </c>
      <c r="S1085" s="364" t="s">
        <v>88</v>
      </c>
      <c r="T1085" s="364" t="s">
        <v>88</v>
      </c>
      <c r="U1085" s="364" t="s">
        <v>88</v>
      </c>
      <c r="V1085" s="364" t="s">
        <v>88</v>
      </c>
      <c r="W1085" s="364" t="s">
        <v>88</v>
      </c>
      <c r="X1085" s="364" t="s">
        <v>88</v>
      </c>
      <c r="Y1085" s="364" t="s">
        <v>88</v>
      </c>
      <c r="Z1085" s="364" t="s">
        <v>1157</v>
      </c>
      <c r="AA1085" s="364" t="s">
        <v>1156</v>
      </c>
      <c r="AB1085" s="364" t="s">
        <v>649</v>
      </c>
      <c r="AC1085" s="364" t="s">
        <v>649</v>
      </c>
      <c r="AD1085" s="364" t="s">
        <v>88</v>
      </c>
      <c r="AE1085" s="364" t="s">
        <v>88</v>
      </c>
      <c r="AF1085" s="364" t="s">
        <v>88</v>
      </c>
      <c r="AG1085" s="364" t="s">
        <v>88</v>
      </c>
      <c r="AH1085" s="364" t="s">
        <v>88</v>
      </c>
      <c r="AI1085" s="364" t="s">
        <v>1155</v>
      </c>
      <c r="AJ1085" s="364" t="s">
        <v>710</v>
      </c>
      <c r="AK1085" s="364" t="s">
        <v>647</v>
      </c>
      <c r="AL1085" s="364" t="s">
        <v>88</v>
      </c>
      <c r="AM1085" s="364" t="s">
        <v>668</v>
      </c>
      <c r="AN1085" s="364" t="s">
        <v>644</v>
      </c>
    </row>
    <row r="1086" spans="1:40" x14ac:dyDescent="0.3">
      <c r="A1086" s="364" t="s">
        <v>1551</v>
      </c>
      <c r="B1086" s="364" t="s">
        <v>661</v>
      </c>
      <c r="C1086" s="364" t="s">
        <v>677</v>
      </c>
      <c r="D1086" s="364" t="s">
        <v>90</v>
      </c>
      <c r="E1086" s="364" t="s">
        <v>1550</v>
      </c>
      <c r="F1086" s="364" t="s">
        <v>1550</v>
      </c>
      <c r="G1086" s="364" t="s">
        <v>658</v>
      </c>
      <c r="H1086" s="364" t="s">
        <v>1549</v>
      </c>
      <c r="I1086" s="364" t="s">
        <v>1548</v>
      </c>
      <c r="J1086" s="364" t="s">
        <v>673</v>
      </c>
      <c r="K1086" s="364" t="s">
        <v>668</v>
      </c>
      <c r="L1086" s="364" t="s">
        <v>190</v>
      </c>
      <c r="M1086" s="364" t="s">
        <v>1168</v>
      </c>
      <c r="N1086" s="364" t="s">
        <v>654</v>
      </c>
      <c r="O1086" s="364" t="s">
        <v>653</v>
      </c>
      <c r="P1086" s="364" t="s">
        <v>198</v>
      </c>
      <c r="Q1086" s="364" t="s">
        <v>652</v>
      </c>
      <c r="R1086" s="364" t="s">
        <v>88</v>
      </c>
      <c r="S1086" s="364" t="s">
        <v>88</v>
      </c>
      <c r="T1086" s="364" t="s">
        <v>88</v>
      </c>
      <c r="U1086" s="364" t="s">
        <v>88</v>
      </c>
      <c r="V1086" s="364" t="s">
        <v>88</v>
      </c>
      <c r="W1086" s="364" t="s">
        <v>88</v>
      </c>
      <c r="X1086" s="364" t="s">
        <v>88</v>
      </c>
      <c r="Y1086" s="364" t="s">
        <v>88</v>
      </c>
      <c r="Z1086" s="364" t="s">
        <v>1167</v>
      </c>
      <c r="AA1086" s="364" t="s">
        <v>1166</v>
      </c>
      <c r="AB1086" s="364" t="s">
        <v>649</v>
      </c>
      <c r="AC1086" s="364" t="s">
        <v>649</v>
      </c>
      <c r="AD1086" s="364" t="s">
        <v>88</v>
      </c>
      <c r="AE1086" s="364" t="s">
        <v>88</v>
      </c>
      <c r="AF1086" s="364" t="s">
        <v>88</v>
      </c>
      <c r="AG1086" s="364" t="s">
        <v>88</v>
      </c>
      <c r="AH1086" s="364" t="s">
        <v>88</v>
      </c>
      <c r="AI1086" s="364" t="s">
        <v>1155</v>
      </c>
      <c r="AJ1086" s="364" t="s">
        <v>710</v>
      </c>
      <c r="AK1086" s="364" t="s">
        <v>647</v>
      </c>
      <c r="AL1086" s="364" t="s">
        <v>88</v>
      </c>
      <c r="AM1086" s="364" t="s">
        <v>668</v>
      </c>
      <c r="AN1086" s="364" t="s">
        <v>644</v>
      </c>
    </row>
    <row r="1087" spans="1:40" x14ac:dyDescent="0.3">
      <c r="A1087" s="364" t="s">
        <v>1551</v>
      </c>
      <c r="B1087" s="364" t="s">
        <v>661</v>
      </c>
      <c r="C1087" s="364" t="s">
        <v>677</v>
      </c>
      <c r="D1087" s="364" t="s">
        <v>90</v>
      </c>
      <c r="E1087" s="364" t="s">
        <v>1550</v>
      </c>
      <c r="F1087" s="364" t="s">
        <v>1550</v>
      </c>
      <c r="G1087" s="364" t="s">
        <v>658</v>
      </c>
      <c r="H1087" s="364" t="s">
        <v>1549</v>
      </c>
      <c r="I1087" s="364" t="s">
        <v>1548</v>
      </c>
      <c r="J1087" s="364" t="s">
        <v>673</v>
      </c>
      <c r="K1087" s="364" t="s">
        <v>668</v>
      </c>
      <c r="L1087" s="364" t="s">
        <v>190</v>
      </c>
      <c r="M1087" s="364" t="s">
        <v>718</v>
      </c>
      <c r="N1087" s="364" t="s">
        <v>654</v>
      </c>
      <c r="O1087" s="364" t="s">
        <v>653</v>
      </c>
      <c r="P1087" s="364" t="s">
        <v>198</v>
      </c>
      <c r="Q1087" s="364" t="s">
        <v>652</v>
      </c>
      <c r="R1087" s="364" t="s">
        <v>88</v>
      </c>
      <c r="S1087" s="364" t="s">
        <v>88</v>
      </c>
      <c r="T1087" s="364" t="s">
        <v>88</v>
      </c>
      <c r="U1087" s="364" t="s">
        <v>88</v>
      </c>
      <c r="V1087" s="364" t="s">
        <v>88</v>
      </c>
      <c r="W1087" s="364" t="s">
        <v>88</v>
      </c>
      <c r="X1087" s="364" t="s">
        <v>88</v>
      </c>
      <c r="Y1087" s="364" t="s">
        <v>88</v>
      </c>
      <c r="Z1087" s="364" t="s">
        <v>717</v>
      </c>
      <c r="AA1087" s="364" t="s">
        <v>649</v>
      </c>
      <c r="AB1087" s="364" t="s">
        <v>649</v>
      </c>
      <c r="AC1087" s="364" t="s">
        <v>649</v>
      </c>
      <c r="AD1087" s="364" t="s">
        <v>88</v>
      </c>
      <c r="AE1087" s="364" t="s">
        <v>88</v>
      </c>
      <c r="AF1087" s="364" t="s">
        <v>88</v>
      </c>
      <c r="AG1087" s="364" t="s">
        <v>88</v>
      </c>
      <c r="AH1087" s="364" t="s">
        <v>88</v>
      </c>
      <c r="AI1087" s="364" t="s">
        <v>1155</v>
      </c>
      <c r="AJ1087" s="364" t="s">
        <v>710</v>
      </c>
      <c r="AK1087" s="364" t="s">
        <v>647</v>
      </c>
      <c r="AL1087" s="364" t="s">
        <v>88</v>
      </c>
      <c r="AM1087" s="364" t="s">
        <v>668</v>
      </c>
      <c r="AN1087" s="364" t="s">
        <v>644</v>
      </c>
    </row>
    <row r="1088" spans="1:40" x14ac:dyDescent="0.3">
      <c r="A1088" s="364" t="s">
        <v>1551</v>
      </c>
      <c r="B1088" s="364" t="s">
        <v>661</v>
      </c>
      <c r="C1088" s="364" t="s">
        <v>677</v>
      </c>
      <c r="D1088" s="364" t="s">
        <v>90</v>
      </c>
      <c r="E1088" s="364" t="s">
        <v>1550</v>
      </c>
      <c r="F1088" s="364" t="s">
        <v>1550</v>
      </c>
      <c r="G1088" s="364" t="s">
        <v>658</v>
      </c>
      <c r="H1088" s="364" t="s">
        <v>1549</v>
      </c>
      <c r="I1088" s="364" t="s">
        <v>1548</v>
      </c>
      <c r="J1088" s="364" t="s">
        <v>673</v>
      </c>
      <c r="K1088" s="364" t="s">
        <v>668</v>
      </c>
      <c r="L1088" s="364" t="s">
        <v>190</v>
      </c>
      <c r="M1088" s="364" t="s">
        <v>713</v>
      </c>
      <c r="N1088" s="364" t="s">
        <v>654</v>
      </c>
      <c r="O1088" s="364" t="s">
        <v>653</v>
      </c>
      <c r="P1088" s="364" t="s">
        <v>198</v>
      </c>
      <c r="Q1088" s="364" t="s">
        <v>652</v>
      </c>
      <c r="R1088" s="364" t="s">
        <v>88</v>
      </c>
      <c r="S1088" s="364" t="s">
        <v>88</v>
      </c>
      <c r="T1088" s="364" t="s">
        <v>88</v>
      </c>
      <c r="U1088" s="364" t="s">
        <v>88</v>
      </c>
      <c r="V1088" s="364" t="s">
        <v>88</v>
      </c>
      <c r="W1088" s="364" t="s">
        <v>88</v>
      </c>
      <c r="X1088" s="364" t="s">
        <v>88</v>
      </c>
      <c r="Y1088" s="364" t="s">
        <v>88</v>
      </c>
      <c r="Z1088" s="364" t="s">
        <v>712</v>
      </c>
      <c r="AA1088" s="364" t="s">
        <v>711</v>
      </c>
      <c r="AB1088" s="364" t="s">
        <v>649</v>
      </c>
      <c r="AC1088" s="364" t="s">
        <v>649</v>
      </c>
      <c r="AD1088" s="364" t="s">
        <v>88</v>
      </c>
      <c r="AE1088" s="364" t="s">
        <v>88</v>
      </c>
      <c r="AF1088" s="364" t="s">
        <v>88</v>
      </c>
      <c r="AG1088" s="364" t="s">
        <v>88</v>
      </c>
      <c r="AH1088" s="364" t="s">
        <v>88</v>
      </c>
      <c r="AI1088" s="364" t="s">
        <v>1155</v>
      </c>
      <c r="AJ1088" s="364" t="s">
        <v>710</v>
      </c>
      <c r="AK1088" s="364" t="s">
        <v>647</v>
      </c>
      <c r="AL1088" s="364" t="s">
        <v>88</v>
      </c>
      <c r="AM1088" s="364" t="s">
        <v>668</v>
      </c>
      <c r="AN1088" s="364" t="s">
        <v>644</v>
      </c>
    </row>
    <row r="1089" spans="1:40" x14ac:dyDescent="0.3">
      <c r="A1089" s="364" t="s">
        <v>1551</v>
      </c>
      <c r="B1089" s="364" t="s">
        <v>661</v>
      </c>
      <c r="C1089" s="364" t="s">
        <v>677</v>
      </c>
      <c r="D1089" s="364" t="s">
        <v>90</v>
      </c>
      <c r="E1089" s="364" t="s">
        <v>1550</v>
      </c>
      <c r="F1089" s="364" t="s">
        <v>1550</v>
      </c>
      <c r="G1089" s="364" t="s">
        <v>658</v>
      </c>
      <c r="H1089" s="364" t="s">
        <v>1549</v>
      </c>
      <c r="I1089" s="364" t="s">
        <v>1548</v>
      </c>
      <c r="J1089" s="364" t="s">
        <v>673</v>
      </c>
      <c r="K1089" s="364" t="s">
        <v>668</v>
      </c>
      <c r="L1089" s="364" t="s">
        <v>190</v>
      </c>
      <c r="M1089" s="364" t="s">
        <v>721</v>
      </c>
      <c r="N1089" s="364" t="s">
        <v>654</v>
      </c>
      <c r="O1089" s="364" t="s">
        <v>653</v>
      </c>
      <c r="P1089" s="364" t="s">
        <v>198</v>
      </c>
      <c r="Q1089" s="364" t="s">
        <v>652</v>
      </c>
      <c r="R1089" s="364" t="s">
        <v>88</v>
      </c>
      <c r="S1089" s="364" t="s">
        <v>88</v>
      </c>
      <c r="T1089" s="364" t="s">
        <v>88</v>
      </c>
      <c r="U1089" s="364" t="s">
        <v>88</v>
      </c>
      <c r="V1089" s="364" t="s">
        <v>88</v>
      </c>
      <c r="W1089" s="364" t="s">
        <v>88</v>
      </c>
      <c r="X1089" s="364" t="s">
        <v>88</v>
      </c>
      <c r="Y1089" s="364" t="s">
        <v>88</v>
      </c>
      <c r="Z1089" s="364" t="s">
        <v>720</v>
      </c>
      <c r="AA1089" s="364" t="s">
        <v>649</v>
      </c>
      <c r="AB1089" s="364" t="s">
        <v>649</v>
      </c>
      <c r="AC1089" s="364" t="s">
        <v>649</v>
      </c>
      <c r="AD1089" s="364" t="s">
        <v>88</v>
      </c>
      <c r="AE1089" s="364" t="s">
        <v>88</v>
      </c>
      <c r="AF1089" s="364" t="s">
        <v>88</v>
      </c>
      <c r="AG1089" s="364" t="s">
        <v>88</v>
      </c>
      <c r="AH1089" s="364" t="s">
        <v>88</v>
      </c>
      <c r="AI1089" s="364" t="s">
        <v>1155</v>
      </c>
      <c r="AJ1089" s="364" t="s">
        <v>710</v>
      </c>
      <c r="AK1089" s="364" t="s">
        <v>647</v>
      </c>
      <c r="AL1089" s="364" t="s">
        <v>88</v>
      </c>
      <c r="AM1089" s="364" t="s">
        <v>668</v>
      </c>
      <c r="AN1089" s="364" t="s">
        <v>644</v>
      </c>
    </row>
    <row r="1090" spans="1:40" x14ac:dyDescent="0.3">
      <c r="A1090" s="364" t="s">
        <v>1551</v>
      </c>
      <c r="B1090" s="364" t="s">
        <v>661</v>
      </c>
      <c r="C1090" s="364" t="s">
        <v>677</v>
      </c>
      <c r="D1090" s="364" t="s">
        <v>90</v>
      </c>
      <c r="E1090" s="364" t="s">
        <v>1550</v>
      </c>
      <c r="F1090" s="364" t="s">
        <v>1550</v>
      </c>
      <c r="G1090" s="364" t="s">
        <v>658</v>
      </c>
      <c r="H1090" s="364" t="s">
        <v>1549</v>
      </c>
      <c r="I1090" s="364" t="s">
        <v>1548</v>
      </c>
      <c r="J1090" s="364" t="s">
        <v>673</v>
      </c>
      <c r="K1090" s="364" t="s">
        <v>668</v>
      </c>
      <c r="L1090" s="364" t="s">
        <v>190</v>
      </c>
      <c r="M1090" s="364" t="s">
        <v>56</v>
      </c>
      <c r="N1090" s="364" t="s">
        <v>654</v>
      </c>
      <c r="O1090" s="364" t="s">
        <v>653</v>
      </c>
      <c r="P1090" s="364" t="s">
        <v>198</v>
      </c>
      <c r="Q1090" s="364" t="s">
        <v>652</v>
      </c>
      <c r="R1090" s="364" t="s">
        <v>88</v>
      </c>
      <c r="S1090" s="364" t="s">
        <v>88</v>
      </c>
      <c r="T1090" s="364" t="s">
        <v>88</v>
      </c>
      <c r="U1090" s="364" t="s">
        <v>88</v>
      </c>
      <c r="V1090" s="364" t="s">
        <v>88</v>
      </c>
      <c r="W1090" s="364" t="s">
        <v>88</v>
      </c>
      <c r="X1090" s="364" t="s">
        <v>88</v>
      </c>
      <c r="Y1090" s="364" t="s">
        <v>88</v>
      </c>
      <c r="Z1090" s="364" t="s">
        <v>1165</v>
      </c>
      <c r="AA1090" s="364" t="s">
        <v>1164</v>
      </c>
      <c r="AB1090" s="364" t="s">
        <v>649</v>
      </c>
      <c r="AC1090" s="364" t="s">
        <v>649</v>
      </c>
      <c r="AD1090" s="364" t="s">
        <v>88</v>
      </c>
      <c r="AE1090" s="364" t="s">
        <v>88</v>
      </c>
      <c r="AF1090" s="364" t="s">
        <v>88</v>
      </c>
      <c r="AG1090" s="364" t="s">
        <v>88</v>
      </c>
      <c r="AH1090" s="364" t="s">
        <v>88</v>
      </c>
      <c r="AI1090" s="364" t="s">
        <v>1155</v>
      </c>
      <c r="AJ1090" s="364" t="s">
        <v>710</v>
      </c>
      <c r="AK1090" s="364" t="s">
        <v>647</v>
      </c>
      <c r="AL1090" s="364" t="s">
        <v>88</v>
      </c>
      <c r="AM1090" s="364" t="s">
        <v>668</v>
      </c>
      <c r="AN1090" s="364" t="s">
        <v>644</v>
      </c>
    </row>
    <row r="1091" spans="1:40" x14ac:dyDescent="0.3">
      <c r="A1091" s="364" t="s">
        <v>1551</v>
      </c>
      <c r="B1091" s="364" t="s">
        <v>661</v>
      </c>
      <c r="C1091" s="364" t="s">
        <v>677</v>
      </c>
      <c r="D1091" s="364" t="s">
        <v>90</v>
      </c>
      <c r="E1091" s="364" t="s">
        <v>1550</v>
      </c>
      <c r="F1091" s="364" t="s">
        <v>1550</v>
      </c>
      <c r="G1091" s="364" t="s">
        <v>658</v>
      </c>
      <c r="H1091" s="364" t="s">
        <v>1549</v>
      </c>
      <c r="I1091" s="364" t="s">
        <v>1548</v>
      </c>
      <c r="J1091" s="364" t="s">
        <v>673</v>
      </c>
      <c r="K1091" s="364" t="s">
        <v>668</v>
      </c>
      <c r="L1091" s="364" t="s">
        <v>190</v>
      </c>
      <c r="M1091" s="364" t="s">
        <v>241</v>
      </c>
      <c r="N1091" s="364" t="s">
        <v>654</v>
      </c>
      <c r="O1091" s="364" t="s">
        <v>653</v>
      </c>
      <c r="P1091" s="364" t="s">
        <v>198</v>
      </c>
      <c r="Q1091" s="364" t="s">
        <v>652</v>
      </c>
      <c r="R1091" s="364" t="s">
        <v>88</v>
      </c>
      <c r="S1091" s="364" t="s">
        <v>88</v>
      </c>
      <c r="T1091" s="364" t="s">
        <v>88</v>
      </c>
      <c r="U1091" s="364" t="s">
        <v>88</v>
      </c>
      <c r="V1091" s="364" t="s">
        <v>88</v>
      </c>
      <c r="W1091" s="364" t="s">
        <v>88</v>
      </c>
      <c r="X1091" s="364" t="s">
        <v>88</v>
      </c>
      <c r="Y1091" s="364" t="s">
        <v>88</v>
      </c>
      <c r="Z1091" s="364" t="s">
        <v>1170</v>
      </c>
      <c r="AA1091" s="364" t="s">
        <v>1169</v>
      </c>
      <c r="AB1091" s="364" t="s">
        <v>649</v>
      </c>
      <c r="AC1091" s="364" t="s">
        <v>649</v>
      </c>
      <c r="AD1091" s="364" t="s">
        <v>88</v>
      </c>
      <c r="AE1091" s="364" t="s">
        <v>88</v>
      </c>
      <c r="AF1091" s="364" t="s">
        <v>88</v>
      </c>
      <c r="AG1091" s="364" t="s">
        <v>88</v>
      </c>
      <c r="AH1091" s="364" t="s">
        <v>88</v>
      </c>
      <c r="AI1091" s="364" t="s">
        <v>1155</v>
      </c>
      <c r="AJ1091" s="364" t="s">
        <v>710</v>
      </c>
      <c r="AK1091" s="364" t="s">
        <v>647</v>
      </c>
      <c r="AL1091" s="364" t="s">
        <v>88</v>
      </c>
      <c r="AM1091" s="364" t="s">
        <v>668</v>
      </c>
      <c r="AN1091" s="364" t="s">
        <v>644</v>
      </c>
    </row>
    <row r="1092" spans="1:40" x14ac:dyDescent="0.3">
      <c r="A1092" s="364" t="s">
        <v>1551</v>
      </c>
      <c r="B1092" s="364" t="s">
        <v>661</v>
      </c>
      <c r="C1092" s="364" t="s">
        <v>677</v>
      </c>
      <c r="D1092" s="364" t="s">
        <v>90</v>
      </c>
      <c r="E1092" s="364" t="s">
        <v>1550</v>
      </c>
      <c r="F1092" s="364" t="s">
        <v>1550</v>
      </c>
      <c r="G1092" s="364" t="s">
        <v>658</v>
      </c>
      <c r="H1092" s="364" t="s">
        <v>1549</v>
      </c>
      <c r="I1092" s="364" t="s">
        <v>1548</v>
      </c>
      <c r="J1092" s="364" t="s">
        <v>673</v>
      </c>
      <c r="K1092" s="364" t="s">
        <v>668</v>
      </c>
      <c r="L1092" s="364" t="s">
        <v>190</v>
      </c>
      <c r="M1092" s="364" t="s">
        <v>240</v>
      </c>
      <c r="N1092" s="364" t="s">
        <v>654</v>
      </c>
      <c r="O1092" s="364" t="s">
        <v>653</v>
      </c>
      <c r="P1092" s="364" t="s">
        <v>198</v>
      </c>
      <c r="Q1092" s="364" t="s">
        <v>652</v>
      </c>
      <c r="R1092" s="364" t="s">
        <v>88</v>
      </c>
      <c r="S1092" s="364" t="s">
        <v>88</v>
      </c>
      <c r="T1092" s="364" t="s">
        <v>88</v>
      </c>
      <c r="U1092" s="364" t="s">
        <v>88</v>
      </c>
      <c r="V1092" s="364" t="s">
        <v>88</v>
      </c>
      <c r="W1092" s="364" t="s">
        <v>88</v>
      </c>
      <c r="X1092" s="364" t="s">
        <v>88</v>
      </c>
      <c r="Y1092" s="364" t="s">
        <v>88</v>
      </c>
      <c r="Z1092" s="364" t="s">
        <v>1163</v>
      </c>
      <c r="AA1092" s="364" t="s">
        <v>1162</v>
      </c>
      <c r="AB1092" s="364" t="s">
        <v>649</v>
      </c>
      <c r="AC1092" s="364" t="s">
        <v>649</v>
      </c>
      <c r="AD1092" s="364" t="s">
        <v>88</v>
      </c>
      <c r="AE1092" s="364" t="s">
        <v>88</v>
      </c>
      <c r="AF1092" s="364" t="s">
        <v>88</v>
      </c>
      <c r="AG1092" s="364" t="s">
        <v>88</v>
      </c>
      <c r="AH1092" s="364" t="s">
        <v>88</v>
      </c>
      <c r="AI1092" s="364" t="s">
        <v>1155</v>
      </c>
      <c r="AJ1092" s="364" t="s">
        <v>710</v>
      </c>
      <c r="AK1092" s="364" t="s">
        <v>647</v>
      </c>
      <c r="AL1092" s="364" t="s">
        <v>88</v>
      </c>
      <c r="AM1092" s="364" t="s">
        <v>668</v>
      </c>
      <c r="AN1092" s="364" t="s">
        <v>644</v>
      </c>
    </row>
    <row r="1093" spans="1:40" x14ac:dyDescent="0.3">
      <c r="A1093" s="364" t="s">
        <v>1547</v>
      </c>
      <c r="B1093" s="364" t="s">
        <v>661</v>
      </c>
      <c r="C1093" s="364" t="s">
        <v>677</v>
      </c>
      <c r="D1093" s="364" t="s">
        <v>90</v>
      </c>
      <c r="E1093" s="364" t="s">
        <v>1546</v>
      </c>
      <c r="F1093" s="364" t="s">
        <v>1546</v>
      </c>
      <c r="G1093" s="364" t="s">
        <v>658</v>
      </c>
      <c r="H1093" s="364" t="s">
        <v>1545</v>
      </c>
      <c r="I1093" s="364" t="s">
        <v>1294</v>
      </c>
      <c r="J1093" s="364" t="s">
        <v>673</v>
      </c>
      <c r="K1093" s="364" t="s">
        <v>668</v>
      </c>
      <c r="L1093" s="364" t="s">
        <v>190</v>
      </c>
      <c r="M1093" s="364" t="s">
        <v>61</v>
      </c>
      <c r="N1093" s="364" t="s">
        <v>654</v>
      </c>
      <c r="O1093" s="364" t="s">
        <v>653</v>
      </c>
      <c r="P1093" s="364" t="s">
        <v>198</v>
      </c>
      <c r="Q1093" s="364" t="s">
        <v>652</v>
      </c>
      <c r="R1093" s="364" t="s">
        <v>88</v>
      </c>
      <c r="S1093" s="364" t="s">
        <v>88</v>
      </c>
      <c r="T1093" s="364" t="s">
        <v>88</v>
      </c>
      <c r="U1093" s="364" t="s">
        <v>88</v>
      </c>
      <c r="V1093" s="364" t="s">
        <v>88</v>
      </c>
      <c r="W1093" s="364" t="s">
        <v>88</v>
      </c>
      <c r="X1093" s="364" t="s">
        <v>88</v>
      </c>
      <c r="Y1093" s="364" t="s">
        <v>88</v>
      </c>
      <c r="Z1093" s="364" t="s">
        <v>1021</v>
      </c>
      <c r="AA1093" s="364" t="s">
        <v>671</v>
      </c>
      <c r="AB1093" s="364" t="s">
        <v>649</v>
      </c>
      <c r="AC1093" s="364" t="s">
        <v>649</v>
      </c>
      <c r="AD1093" s="364" t="s">
        <v>88</v>
      </c>
      <c r="AE1093" s="364" t="s">
        <v>88</v>
      </c>
      <c r="AF1093" s="364" t="s">
        <v>88</v>
      </c>
      <c r="AG1093" s="364" t="s">
        <v>88</v>
      </c>
      <c r="AH1093" s="364" t="s">
        <v>88</v>
      </c>
      <c r="AI1093" s="364" t="s">
        <v>1155</v>
      </c>
      <c r="AJ1093" s="364" t="s">
        <v>710</v>
      </c>
      <c r="AK1093" s="364" t="s">
        <v>647</v>
      </c>
      <c r="AL1093" s="364" t="s">
        <v>88</v>
      </c>
      <c r="AM1093" s="364" t="s">
        <v>668</v>
      </c>
      <c r="AN1093" s="364" t="s">
        <v>644</v>
      </c>
    </row>
    <row r="1094" spans="1:40" x14ac:dyDescent="0.3">
      <c r="A1094" s="364" t="s">
        <v>1547</v>
      </c>
      <c r="B1094" s="364" t="s">
        <v>661</v>
      </c>
      <c r="C1094" s="364" t="s">
        <v>677</v>
      </c>
      <c r="D1094" s="364" t="s">
        <v>90</v>
      </c>
      <c r="E1094" s="364" t="s">
        <v>1546</v>
      </c>
      <c r="F1094" s="364" t="s">
        <v>1546</v>
      </c>
      <c r="G1094" s="364" t="s">
        <v>658</v>
      </c>
      <c r="H1094" s="364" t="s">
        <v>1545</v>
      </c>
      <c r="I1094" s="364" t="s">
        <v>1294</v>
      </c>
      <c r="J1094" s="364" t="s">
        <v>673</v>
      </c>
      <c r="K1094" s="364" t="s">
        <v>668</v>
      </c>
      <c r="L1094" s="364" t="s">
        <v>190</v>
      </c>
      <c r="M1094" s="364" t="s">
        <v>242</v>
      </c>
      <c r="N1094" s="364" t="s">
        <v>654</v>
      </c>
      <c r="O1094" s="364" t="s">
        <v>653</v>
      </c>
      <c r="P1094" s="364" t="s">
        <v>198</v>
      </c>
      <c r="Q1094" s="364" t="s">
        <v>652</v>
      </c>
      <c r="R1094" s="364" t="s">
        <v>88</v>
      </c>
      <c r="S1094" s="364" t="s">
        <v>88</v>
      </c>
      <c r="T1094" s="364" t="s">
        <v>88</v>
      </c>
      <c r="U1094" s="364" t="s">
        <v>88</v>
      </c>
      <c r="V1094" s="364" t="s">
        <v>88</v>
      </c>
      <c r="W1094" s="364" t="s">
        <v>88</v>
      </c>
      <c r="X1094" s="364" t="s">
        <v>88</v>
      </c>
      <c r="Y1094" s="364" t="s">
        <v>88</v>
      </c>
      <c r="Z1094" s="364" t="s">
        <v>1157</v>
      </c>
      <c r="AA1094" s="364" t="s">
        <v>1156</v>
      </c>
      <c r="AB1094" s="364" t="s">
        <v>649</v>
      </c>
      <c r="AC1094" s="364" t="s">
        <v>649</v>
      </c>
      <c r="AD1094" s="364" t="s">
        <v>88</v>
      </c>
      <c r="AE1094" s="364" t="s">
        <v>88</v>
      </c>
      <c r="AF1094" s="364" t="s">
        <v>88</v>
      </c>
      <c r="AG1094" s="364" t="s">
        <v>88</v>
      </c>
      <c r="AH1094" s="364" t="s">
        <v>88</v>
      </c>
      <c r="AI1094" s="364" t="s">
        <v>1155</v>
      </c>
      <c r="AJ1094" s="364" t="s">
        <v>710</v>
      </c>
      <c r="AK1094" s="364" t="s">
        <v>647</v>
      </c>
      <c r="AL1094" s="364" t="s">
        <v>88</v>
      </c>
      <c r="AM1094" s="364" t="s">
        <v>668</v>
      </c>
      <c r="AN1094" s="364" t="s">
        <v>644</v>
      </c>
    </row>
    <row r="1095" spans="1:40" x14ac:dyDescent="0.3">
      <c r="A1095" s="364" t="s">
        <v>1547</v>
      </c>
      <c r="B1095" s="364" t="s">
        <v>661</v>
      </c>
      <c r="C1095" s="364" t="s">
        <v>677</v>
      </c>
      <c r="D1095" s="364" t="s">
        <v>90</v>
      </c>
      <c r="E1095" s="364" t="s">
        <v>1546</v>
      </c>
      <c r="F1095" s="364" t="s">
        <v>1546</v>
      </c>
      <c r="G1095" s="364" t="s">
        <v>658</v>
      </c>
      <c r="H1095" s="364" t="s">
        <v>1545</v>
      </c>
      <c r="I1095" s="364" t="s">
        <v>1294</v>
      </c>
      <c r="J1095" s="364" t="s">
        <v>673</v>
      </c>
      <c r="K1095" s="364" t="s">
        <v>668</v>
      </c>
      <c r="L1095" s="364" t="s">
        <v>190</v>
      </c>
      <c r="M1095" s="364" t="s">
        <v>1168</v>
      </c>
      <c r="N1095" s="364" t="s">
        <v>654</v>
      </c>
      <c r="O1095" s="364" t="s">
        <v>653</v>
      </c>
      <c r="P1095" s="364" t="s">
        <v>198</v>
      </c>
      <c r="Q1095" s="364" t="s">
        <v>652</v>
      </c>
      <c r="R1095" s="364" t="s">
        <v>88</v>
      </c>
      <c r="S1095" s="364" t="s">
        <v>88</v>
      </c>
      <c r="T1095" s="364" t="s">
        <v>88</v>
      </c>
      <c r="U1095" s="364" t="s">
        <v>88</v>
      </c>
      <c r="V1095" s="364" t="s">
        <v>88</v>
      </c>
      <c r="W1095" s="364" t="s">
        <v>88</v>
      </c>
      <c r="X1095" s="364" t="s">
        <v>88</v>
      </c>
      <c r="Y1095" s="364" t="s">
        <v>88</v>
      </c>
      <c r="Z1095" s="364" t="s">
        <v>1167</v>
      </c>
      <c r="AA1095" s="364" t="s">
        <v>1166</v>
      </c>
      <c r="AB1095" s="364" t="s">
        <v>649</v>
      </c>
      <c r="AC1095" s="364" t="s">
        <v>649</v>
      </c>
      <c r="AD1095" s="364" t="s">
        <v>88</v>
      </c>
      <c r="AE1095" s="364" t="s">
        <v>88</v>
      </c>
      <c r="AF1095" s="364" t="s">
        <v>88</v>
      </c>
      <c r="AG1095" s="364" t="s">
        <v>88</v>
      </c>
      <c r="AH1095" s="364" t="s">
        <v>88</v>
      </c>
      <c r="AI1095" s="364" t="s">
        <v>1155</v>
      </c>
      <c r="AJ1095" s="364" t="s">
        <v>710</v>
      </c>
      <c r="AK1095" s="364" t="s">
        <v>647</v>
      </c>
      <c r="AL1095" s="364" t="s">
        <v>88</v>
      </c>
      <c r="AM1095" s="364" t="s">
        <v>668</v>
      </c>
      <c r="AN1095" s="364" t="s">
        <v>644</v>
      </c>
    </row>
    <row r="1096" spans="1:40" x14ac:dyDescent="0.3">
      <c r="A1096" s="364" t="s">
        <v>1547</v>
      </c>
      <c r="B1096" s="364" t="s">
        <v>661</v>
      </c>
      <c r="C1096" s="364" t="s">
        <v>677</v>
      </c>
      <c r="D1096" s="364" t="s">
        <v>90</v>
      </c>
      <c r="E1096" s="364" t="s">
        <v>1546</v>
      </c>
      <c r="F1096" s="364" t="s">
        <v>1546</v>
      </c>
      <c r="G1096" s="364" t="s">
        <v>658</v>
      </c>
      <c r="H1096" s="364" t="s">
        <v>1545</v>
      </c>
      <c r="I1096" s="364" t="s">
        <v>1294</v>
      </c>
      <c r="J1096" s="364" t="s">
        <v>673</v>
      </c>
      <c r="K1096" s="364" t="s">
        <v>668</v>
      </c>
      <c r="L1096" s="364" t="s">
        <v>190</v>
      </c>
      <c r="M1096" s="364" t="s">
        <v>713</v>
      </c>
      <c r="N1096" s="364" t="s">
        <v>654</v>
      </c>
      <c r="O1096" s="364" t="s">
        <v>653</v>
      </c>
      <c r="P1096" s="364" t="s">
        <v>198</v>
      </c>
      <c r="Q1096" s="364" t="s">
        <v>652</v>
      </c>
      <c r="R1096" s="364" t="s">
        <v>88</v>
      </c>
      <c r="S1096" s="364" t="s">
        <v>88</v>
      </c>
      <c r="T1096" s="364" t="s">
        <v>88</v>
      </c>
      <c r="U1096" s="364" t="s">
        <v>88</v>
      </c>
      <c r="V1096" s="364" t="s">
        <v>88</v>
      </c>
      <c r="W1096" s="364" t="s">
        <v>88</v>
      </c>
      <c r="X1096" s="364" t="s">
        <v>88</v>
      </c>
      <c r="Y1096" s="364" t="s">
        <v>88</v>
      </c>
      <c r="Z1096" s="364" t="s">
        <v>712</v>
      </c>
      <c r="AA1096" s="364" t="s">
        <v>711</v>
      </c>
      <c r="AB1096" s="364" t="s">
        <v>649</v>
      </c>
      <c r="AC1096" s="364" t="s">
        <v>649</v>
      </c>
      <c r="AD1096" s="364" t="s">
        <v>88</v>
      </c>
      <c r="AE1096" s="364" t="s">
        <v>88</v>
      </c>
      <c r="AF1096" s="364" t="s">
        <v>88</v>
      </c>
      <c r="AG1096" s="364" t="s">
        <v>88</v>
      </c>
      <c r="AH1096" s="364" t="s">
        <v>88</v>
      </c>
      <c r="AI1096" s="364" t="s">
        <v>1155</v>
      </c>
      <c r="AJ1096" s="364" t="s">
        <v>710</v>
      </c>
      <c r="AK1096" s="364" t="s">
        <v>647</v>
      </c>
      <c r="AL1096" s="364" t="s">
        <v>88</v>
      </c>
      <c r="AM1096" s="364" t="s">
        <v>668</v>
      </c>
      <c r="AN1096" s="364" t="s">
        <v>644</v>
      </c>
    </row>
    <row r="1097" spans="1:40" x14ac:dyDescent="0.3">
      <c r="A1097" s="364" t="s">
        <v>1547</v>
      </c>
      <c r="B1097" s="364" t="s">
        <v>661</v>
      </c>
      <c r="C1097" s="364" t="s">
        <v>677</v>
      </c>
      <c r="D1097" s="364" t="s">
        <v>90</v>
      </c>
      <c r="E1097" s="364" t="s">
        <v>1546</v>
      </c>
      <c r="F1097" s="364" t="s">
        <v>1546</v>
      </c>
      <c r="G1097" s="364" t="s">
        <v>658</v>
      </c>
      <c r="H1097" s="364" t="s">
        <v>1545</v>
      </c>
      <c r="I1097" s="364" t="s">
        <v>1294</v>
      </c>
      <c r="J1097" s="364" t="s">
        <v>673</v>
      </c>
      <c r="K1097" s="364" t="s">
        <v>668</v>
      </c>
      <c r="L1097" s="364" t="s">
        <v>190</v>
      </c>
      <c r="M1097" s="364" t="s">
        <v>56</v>
      </c>
      <c r="N1097" s="364" t="s">
        <v>654</v>
      </c>
      <c r="O1097" s="364" t="s">
        <v>653</v>
      </c>
      <c r="P1097" s="364" t="s">
        <v>198</v>
      </c>
      <c r="Q1097" s="364" t="s">
        <v>652</v>
      </c>
      <c r="R1097" s="364" t="s">
        <v>88</v>
      </c>
      <c r="S1097" s="364" t="s">
        <v>88</v>
      </c>
      <c r="T1097" s="364" t="s">
        <v>88</v>
      </c>
      <c r="U1097" s="364" t="s">
        <v>88</v>
      </c>
      <c r="V1097" s="364" t="s">
        <v>88</v>
      </c>
      <c r="W1097" s="364" t="s">
        <v>88</v>
      </c>
      <c r="X1097" s="364" t="s">
        <v>88</v>
      </c>
      <c r="Y1097" s="364" t="s">
        <v>88</v>
      </c>
      <c r="Z1097" s="364" t="s">
        <v>1165</v>
      </c>
      <c r="AA1097" s="364" t="s">
        <v>1164</v>
      </c>
      <c r="AB1097" s="364" t="s">
        <v>649</v>
      </c>
      <c r="AC1097" s="364" t="s">
        <v>649</v>
      </c>
      <c r="AD1097" s="364" t="s">
        <v>88</v>
      </c>
      <c r="AE1097" s="364" t="s">
        <v>88</v>
      </c>
      <c r="AF1097" s="364" t="s">
        <v>88</v>
      </c>
      <c r="AG1097" s="364" t="s">
        <v>88</v>
      </c>
      <c r="AH1097" s="364" t="s">
        <v>88</v>
      </c>
      <c r="AI1097" s="364" t="s">
        <v>1155</v>
      </c>
      <c r="AJ1097" s="364" t="s">
        <v>710</v>
      </c>
      <c r="AK1097" s="364" t="s">
        <v>647</v>
      </c>
      <c r="AL1097" s="364" t="s">
        <v>88</v>
      </c>
      <c r="AM1097" s="364" t="s">
        <v>668</v>
      </c>
      <c r="AN1097" s="364" t="s">
        <v>644</v>
      </c>
    </row>
    <row r="1098" spans="1:40" x14ac:dyDescent="0.3">
      <c r="A1098" s="364" t="s">
        <v>1547</v>
      </c>
      <c r="B1098" s="364" t="s">
        <v>661</v>
      </c>
      <c r="C1098" s="364" t="s">
        <v>677</v>
      </c>
      <c r="D1098" s="364" t="s">
        <v>90</v>
      </c>
      <c r="E1098" s="364" t="s">
        <v>1546</v>
      </c>
      <c r="F1098" s="364" t="s">
        <v>1546</v>
      </c>
      <c r="G1098" s="364" t="s">
        <v>658</v>
      </c>
      <c r="H1098" s="364" t="s">
        <v>1545</v>
      </c>
      <c r="I1098" s="364" t="s">
        <v>1294</v>
      </c>
      <c r="J1098" s="364" t="s">
        <v>673</v>
      </c>
      <c r="K1098" s="364" t="s">
        <v>668</v>
      </c>
      <c r="L1098" s="364" t="s">
        <v>190</v>
      </c>
      <c r="M1098" s="364" t="s">
        <v>241</v>
      </c>
      <c r="N1098" s="364" t="s">
        <v>654</v>
      </c>
      <c r="O1098" s="364" t="s">
        <v>653</v>
      </c>
      <c r="P1098" s="364" t="s">
        <v>198</v>
      </c>
      <c r="Q1098" s="364" t="s">
        <v>652</v>
      </c>
      <c r="R1098" s="364" t="s">
        <v>88</v>
      </c>
      <c r="S1098" s="364" t="s">
        <v>88</v>
      </c>
      <c r="T1098" s="364" t="s">
        <v>88</v>
      </c>
      <c r="U1098" s="364" t="s">
        <v>88</v>
      </c>
      <c r="V1098" s="364" t="s">
        <v>88</v>
      </c>
      <c r="W1098" s="364" t="s">
        <v>88</v>
      </c>
      <c r="X1098" s="364" t="s">
        <v>88</v>
      </c>
      <c r="Y1098" s="364" t="s">
        <v>88</v>
      </c>
      <c r="Z1098" s="364" t="s">
        <v>1170</v>
      </c>
      <c r="AA1098" s="364" t="s">
        <v>1169</v>
      </c>
      <c r="AB1098" s="364" t="s">
        <v>649</v>
      </c>
      <c r="AC1098" s="364" t="s">
        <v>649</v>
      </c>
      <c r="AD1098" s="364" t="s">
        <v>88</v>
      </c>
      <c r="AE1098" s="364" t="s">
        <v>88</v>
      </c>
      <c r="AF1098" s="364" t="s">
        <v>88</v>
      </c>
      <c r="AG1098" s="364" t="s">
        <v>88</v>
      </c>
      <c r="AH1098" s="364" t="s">
        <v>88</v>
      </c>
      <c r="AI1098" s="364" t="s">
        <v>1155</v>
      </c>
      <c r="AJ1098" s="364" t="s">
        <v>710</v>
      </c>
      <c r="AK1098" s="364" t="s">
        <v>647</v>
      </c>
      <c r="AL1098" s="364" t="s">
        <v>88</v>
      </c>
      <c r="AM1098" s="364" t="s">
        <v>668</v>
      </c>
      <c r="AN1098" s="364" t="s">
        <v>644</v>
      </c>
    </row>
    <row r="1099" spans="1:40" x14ac:dyDescent="0.3">
      <c r="A1099" s="364" t="s">
        <v>1547</v>
      </c>
      <c r="B1099" s="364" t="s">
        <v>661</v>
      </c>
      <c r="C1099" s="364" t="s">
        <v>677</v>
      </c>
      <c r="D1099" s="364" t="s">
        <v>90</v>
      </c>
      <c r="E1099" s="364" t="s">
        <v>1546</v>
      </c>
      <c r="F1099" s="364" t="s">
        <v>1546</v>
      </c>
      <c r="G1099" s="364" t="s">
        <v>658</v>
      </c>
      <c r="H1099" s="364" t="s">
        <v>1545</v>
      </c>
      <c r="I1099" s="364" t="s">
        <v>1294</v>
      </c>
      <c r="J1099" s="364" t="s">
        <v>673</v>
      </c>
      <c r="K1099" s="364" t="s">
        <v>668</v>
      </c>
      <c r="L1099" s="364" t="s">
        <v>190</v>
      </c>
      <c r="M1099" s="364" t="s">
        <v>240</v>
      </c>
      <c r="N1099" s="364" t="s">
        <v>654</v>
      </c>
      <c r="O1099" s="364" t="s">
        <v>653</v>
      </c>
      <c r="P1099" s="364" t="s">
        <v>198</v>
      </c>
      <c r="Q1099" s="364" t="s">
        <v>652</v>
      </c>
      <c r="R1099" s="364" t="s">
        <v>88</v>
      </c>
      <c r="S1099" s="364" t="s">
        <v>88</v>
      </c>
      <c r="T1099" s="364" t="s">
        <v>88</v>
      </c>
      <c r="U1099" s="364" t="s">
        <v>88</v>
      </c>
      <c r="V1099" s="364" t="s">
        <v>88</v>
      </c>
      <c r="W1099" s="364" t="s">
        <v>88</v>
      </c>
      <c r="X1099" s="364" t="s">
        <v>88</v>
      </c>
      <c r="Y1099" s="364" t="s">
        <v>88</v>
      </c>
      <c r="Z1099" s="364" t="s">
        <v>1163</v>
      </c>
      <c r="AA1099" s="364" t="s">
        <v>1162</v>
      </c>
      <c r="AB1099" s="364" t="s">
        <v>649</v>
      </c>
      <c r="AC1099" s="364" t="s">
        <v>649</v>
      </c>
      <c r="AD1099" s="364" t="s">
        <v>88</v>
      </c>
      <c r="AE1099" s="364" t="s">
        <v>88</v>
      </c>
      <c r="AF1099" s="364" t="s">
        <v>88</v>
      </c>
      <c r="AG1099" s="364" t="s">
        <v>88</v>
      </c>
      <c r="AH1099" s="364" t="s">
        <v>88</v>
      </c>
      <c r="AI1099" s="364" t="s">
        <v>1155</v>
      </c>
      <c r="AJ1099" s="364" t="s">
        <v>710</v>
      </c>
      <c r="AK1099" s="364" t="s">
        <v>647</v>
      </c>
      <c r="AL1099" s="364" t="s">
        <v>88</v>
      </c>
      <c r="AM1099" s="364" t="s">
        <v>668</v>
      </c>
      <c r="AN1099" s="364" t="s">
        <v>644</v>
      </c>
    </row>
    <row r="1100" spans="1:40" x14ac:dyDescent="0.3">
      <c r="A1100" s="364" t="s">
        <v>1544</v>
      </c>
      <c r="B1100" s="364" t="s">
        <v>661</v>
      </c>
      <c r="C1100" s="364" t="s">
        <v>677</v>
      </c>
      <c r="D1100" s="364" t="s">
        <v>87</v>
      </c>
      <c r="E1100" s="364" t="s">
        <v>1504</v>
      </c>
      <c r="F1100" s="364" t="s">
        <v>1504</v>
      </c>
      <c r="G1100" s="364" t="s">
        <v>658</v>
      </c>
      <c r="H1100" s="364" t="s">
        <v>1543</v>
      </c>
      <c r="I1100" s="364" t="s">
        <v>1542</v>
      </c>
      <c r="J1100" s="364" t="s">
        <v>673</v>
      </c>
      <c r="K1100" s="364" t="s">
        <v>668</v>
      </c>
      <c r="L1100" s="364" t="s">
        <v>190</v>
      </c>
      <c r="M1100" s="364" t="s">
        <v>58</v>
      </c>
      <c r="N1100" s="364" t="s">
        <v>654</v>
      </c>
      <c r="O1100" s="364" t="s">
        <v>653</v>
      </c>
      <c r="P1100" s="364" t="s">
        <v>198</v>
      </c>
      <c r="Q1100" s="364" t="s">
        <v>652</v>
      </c>
      <c r="R1100" s="364" t="s">
        <v>88</v>
      </c>
      <c r="S1100" s="364" t="s">
        <v>88</v>
      </c>
      <c r="T1100" s="364" t="s">
        <v>88</v>
      </c>
      <c r="U1100" s="364" t="s">
        <v>88</v>
      </c>
      <c r="V1100" s="364" t="s">
        <v>88</v>
      </c>
      <c r="W1100" s="364" t="s">
        <v>88</v>
      </c>
      <c r="X1100" s="364" t="s">
        <v>88</v>
      </c>
      <c r="Y1100" s="364" t="s">
        <v>88</v>
      </c>
      <c r="Z1100" s="364" t="s">
        <v>702</v>
      </c>
      <c r="AA1100" s="364" t="s">
        <v>701</v>
      </c>
      <c r="AB1100" s="364" t="s">
        <v>649</v>
      </c>
      <c r="AC1100" s="364" t="s">
        <v>649</v>
      </c>
      <c r="AD1100" s="364" t="s">
        <v>88</v>
      </c>
      <c r="AE1100" s="364" t="s">
        <v>88</v>
      </c>
      <c r="AF1100" s="364" t="s">
        <v>88</v>
      </c>
      <c r="AG1100" s="364" t="s">
        <v>88</v>
      </c>
      <c r="AH1100" s="364" t="s">
        <v>88</v>
      </c>
      <c r="AI1100" s="364" t="s">
        <v>1199</v>
      </c>
      <c r="AJ1100" s="364" t="s">
        <v>670</v>
      </c>
      <c r="AK1100" s="364" t="s">
        <v>669</v>
      </c>
      <c r="AL1100" s="364" t="s">
        <v>88</v>
      </c>
      <c r="AM1100" s="364" t="s">
        <v>668</v>
      </c>
      <c r="AN1100" s="364" t="s">
        <v>644</v>
      </c>
    </row>
    <row r="1101" spans="1:40" x14ac:dyDescent="0.3">
      <c r="A1101" s="364" t="s">
        <v>1544</v>
      </c>
      <c r="B1101" s="364" t="s">
        <v>661</v>
      </c>
      <c r="C1101" s="364" t="s">
        <v>677</v>
      </c>
      <c r="D1101" s="364" t="s">
        <v>87</v>
      </c>
      <c r="E1101" s="364" t="s">
        <v>1504</v>
      </c>
      <c r="F1101" s="364" t="s">
        <v>1504</v>
      </c>
      <c r="G1101" s="364" t="s">
        <v>658</v>
      </c>
      <c r="H1101" s="364" t="s">
        <v>1543</v>
      </c>
      <c r="I1101" s="364" t="s">
        <v>1542</v>
      </c>
      <c r="J1101" s="364" t="s">
        <v>673</v>
      </c>
      <c r="K1101" s="364" t="s">
        <v>668</v>
      </c>
      <c r="L1101" s="364" t="s">
        <v>190</v>
      </c>
      <c r="M1101" s="364" t="s">
        <v>166</v>
      </c>
      <c r="N1101" s="364" t="s">
        <v>654</v>
      </c>
      <c r="O1101" s="364" t="s">
        <v>653</v>
      </c>
      <c r="P1101" s="364" t="s">
        <v>198</v>
      </c>
      <c r="Q1101" s="364" t="s">
        <v>652</v>
      </c>
      <c r="R1101" s="364" t="s">
        <v>88</v>
      </c>
      <c r="S1101" s="364" t="s">
        <v>88</v>
      </c>
      <c r="T1101" s="364" t="s">
        <v>88</v>
      </c>
      <c r="U1101" s="364" t="s">
        <v>88</v>
      </c>
      <c r="V1101" s="364" t="s">
        <v>88</v>
      </c>
      <c r="W1101" s="364" t="s">
        <v>88</v>
      </c>
      <c r="X1101" s="364" t="s">
        <v>88</v>
      </c>
      <c r="Y1101" s="364" t="s">
        <v>88</v>
      </c>
      <c r="Z1101" s="364" t="s">
        <v>877</v>
      </c>
      <c r="AA1101" s="364" t="s">
        <v>876</v>
      </c>
      <c r="AB1101" s="364" t="s">
        <v>649</v>
      </c>
      <c r="AC1101" s="364" t="s">
        <v>649</v>
      </c>
      <c r="AD1101" s="364" t="s">
        <v>88</v>
      </c>
      <c r="AE1101" s="364" t="s">
        <v>88</v>
      </c>
      <c r="AF1101" s="364" t="s">
        <v>88</v>
      </c>
      <c r="AG1101" s="364" t="s">
        <v>88</v>
      </c>
      <c r="AH1101" s="364" t="s">
        <v>88</v>
      </c>
      <c r="AI1101" s="364" t="s">
        <v>1199</v>
      </c>
      <c r="AJ1101" s="364" t="s">
        <v>670</v>
      </c>
      <c r="AK1101" s="364" t="s">
        <v>669</v>
      </c>
      <c r="AL1101" s="364" t="s">
        <v>88</v>
      </c>
      <c r="AM1101" s="364" t="s">
        <v>668</v>
      </c>
      <c r="AN1101" s="364" t="s">
        <v>644</v>
      </c>
    </row>
    <row r="1102" spans="1:40" x14ac:dyDescent="0.3">
      <c r="A1102" s="364" t="s">
        <v>1541</v>
      </c>
      <c r="B1102" s="364" t="s">
        <v>661</v>
      </c>
      <c r="C1102" s="364" t="s">
        <v>677</v>
      </c>
      <c r="D1102" s="364" t="s">
        <v>87</v>
      </c>
      <c r="E1102" s="364" t="s">
        <v>1504</v>
      </c>
      <c r="F1102" s="364" t="s">
        <v>1504</v>
      </c>
      <c r="G1102" s="364" t="s">
        <v>658</v>
      </c>
      <c r="H1102" s="364" t="s">
        <v>1540</v>
      </c>
      <c r="I1102" s="364" t="s">
        <v>1539</v>
      </c>
      <c r="J1102" s="364" t="s">
        <v>673</v>
      </c>
      <c r="K1102" s="364" t="s">
        <v>668</v>
      </c>
      <c r="L1102" s="364" t="s">
        <v>190</v>
      </c>
      <c r="M1102" s="364" t="s">
        <v>60</v>
      </c>
      <c r="N1102" s="364" t="s">
        <v>654</v>
      </c>
      <c r="O1102" s="364" t="s">
        <v>653</v>
      </c>
      <c r="P1102" s="364" t="s">
        <v>198</v>
      </c>
      <c r="Q1102" s="364" t="s">
        <v>652</v>
      </c>
      <c r="R1102" s="364" t="s">
        <v>88</v>
      </c>
      <c r="S1102" s="364" t="s">
        <v>88</v>
      </c>
      <c r="T1102" s="364" t="s">
        <v>88</v>
      </c>
      <c r="U1102" s="364" t="s">
        <v>88</v>
      </c>
      <c r="V1102" s="364" t="s">
        <v>88</v>
      </c>
      <c r="W1102" s="364" t="s">
        <v>88</v>
      </c>
      <c r="X1102" s="364" t="s">
        <v>88</v>
      </c>
      <c r="Y1102" s="364" t="s">
        <v>88</v>
      </c>
      <c r="Z1102" s="364" t="s">
        <v>709</v>
      </c>
      <c r="AA1102" s="364" t="s">
        <v>708</v>
      </c>
      <c r="AB1102" s="364" t="s">
        <v>649</v>
      </c>
      <c r="AC1102" s="364" t="s">
        <v>649</v>
      </c>
      <c r="AD1102" s="364" t="s">
        <v>88</v>
      </c>
      <c r="AE1102" s="364" t="s">
        <v>88</v>
      </c>
      <c r="AF1102" s="364" t="s">
        <v>88</v>
      </c>
      <c r="AG1102" s="364" t="s">
        <v>88</v>
      </c>
      <c r="AH1102" s="364" t="s">
        <v>88</v>
      </c>
      <c r="AI1102" s="364" t="s">
        <v>1199</v>
      </c>
      <c r="AJ1102" s="364" t="s">
        <v>670</v>
      </c>
      <c r="AK1102" s="364" t="s">
        <v>669</v>
      </c>
      <c r="AL1102" s="364" t="s">
        <v>88</v>
      </c>
      <c r="AM1102" s="364" t="s">
        <v>668</v>
      </c>
      <c r="AN1102" s="364" t="s">
        <v>644</v>
      </c>
    </row>
    <row r="1103" spans="1:40" x14ac:dyDescent="0.3">
      <c r="A1103" s="364" t="s">
        <v>1538</v>
      </c>
      <c r="B1103" s="364" t="s">
        <v>661</v>
      </c>
      <c r="C1103" s="364" t="s">
        <v>1160</v>
      </c>
      <c r="D1103" s="364" t="s">
        <v>87</v>
      </c>
      <c r="E1103" s="364" t="s">
        <v>1508</v>
      </c>
      <c r="F1103" s="364" t="s">
        <v>1508</v>
      </c>
      <c r="G1103" s="364" t="s">
        <v>658</v>
      </c>
      <c r="H1103" s="364" t="s">
        <v>1537</v>
      </c>
      <c r="I1103" s="364" t="s">
        <v>88</v>
      </c>
      <c r="J1103" s="364" t="s">
        <v>88</v>
      </c>
      <c r="K1103" s="364" t="s">
        <v>88</v>
      </c>
      <c r="L1103" s="364" t="s">
        <v>88</v>
      </c>
      <c r="M1103" s="364" t="s">
        <v>138</v>
      </c>
      <c r="N1103" s="364" t="s">
        <v>654</v>
      </c>
      <c r="O1103" s="364" t="s">
        <v>653</v>
      </c>
      <c r="P1103" s="364" t="s">
        <v>88</v>
      </c>
      <c r="Q1103" s="364" t="s">
        <v>88</v>
      </c>
      <c r="R1103" s="364" t="s">
        <v>88</v>
      </c>
      <c r="S1103" s="364" t="s">
        <v>88</v>
      </c>
      <c r="T1103" s="364" t="s">
        <v>88</v>
      </c>
      <c r="U1103" s="364" t="s">
        <v>88</v>
      </c>
      <c r="V1103" s="364" t="s">
        <v>88</v>
      </c>
      <c r="W1103" s="364" t="s">
        <v>88</v>
      </c>
      <c r="X1103" s="364" t="s">
        <v>88</v>
      </c>
      <c r="Y1103" s="364" t="s">
        <v>88</v>
      </c>
      <c r="Z1103" s="364" t="s">
        <v>88</v>
      </c>
      <c r="AA1103" s="364" t="s">
        <v>649</v>
      </c>
      <c r="AB1103" s="364" t="s">
        <v>88</v>
      </c>
      <c r="AC1103" s="364" t="s">
        <v>88</v>
      </c>
      <c r="AD1103" s="364" t="s">
        <v>88</v>
      </c>
      <c r="AE1103" s="364" t="s">
        <v>88</v>
      </c>
      <c r="AF1103" s="364" t="s">
        <v>88</v>
      </c>
      <c r="AG1103" s="364" t="s">
        <v>88</v>
      </c>
      <c r="AH1103" s="364" t="s">
        <v>88</v>
      </c>
      <c r="AI1103" s="364" t="s">
        <v>1536</v>
      </c>
      <c r="AJ1103" s="364" t="s">
        <v>793</v>
      </c>
      <c r="AK1103" s="364" t="s">
        <v>88</v>
      </c>
      <c r="AL1103" s="364" t="s">
        <v>88</v>
      </c>
      <c r="AM1103" s="364" t="s">
        <v>88</v>
      </c>
      <c r="AN1103" s="364" t="s">
        <v>792</v>
      </c>
    </row>
    <row r="1104" spans="1:40" x14ac:dyDescent="0.3">
      <c r="A1104" s="364" t="s">
        <v>1535</v>
      </c>
      <c r="B1104" s="364" t="s">
        <v>661</v>
      </c>
      <c r="C1104" s="364" t="s">
        <v>677</v>
      </c>
      <c r="D1104" s="364" t="s">
        <v>87</v>
      </c>
      <c r="E1104" s="364" t="s">
        <v>944</v>
      </c>
      <c r="F1104" s="364" t="s">
        <v>944</v>
      </c>
      <c r="G1104" s="364" t="s">
        <v>658</v>
      </c>
      <c r="H1104" s="364" t="s">
        <v>684</v>
      </c>
      <c r="I1104" s="364" t="s">
        <v>943</v>
      </c>
      <c r="J1104" s="364" t="s">
        <v>673</v>
      </c>
      <c r="K1104" s="364" t="s">
        <v>668</v>
      </c>
      <c r="L1104" s="364" t="s">
        <v>190</v>
      </c>
      <c r="M1104" s="364" t="s">
        <v>58</v>
      </c>
      <c r="N1104" s="364" t="s">
        <v>654</v>
      </c>
      <c r="O1104" s="364" t="s">
        <v>653</v>
      </c>
      <c r="P1104" s="364" t="s">
        <v>198</v>
      </c>
      <c r="Q1104" s="364" t="s">
        <v>652</v>
      </c>
      <c r="R1104" s="364" t="s">
        <v>88</v>
      </c>
      <c r="S1104" s="364" t="s">
        <v>88</v>
      </c>
      <c r="T1104" s="364" t="s">
        <v>88</v>
      </c>
      <c r="U1104" s="364" t="s">
        <v>88</v>
      </c>
      <c r="V1104" s="364" t="s">
        <v>88</v>
      </c>
      <c r="W1104" s="364" t="s">
        <v>88</v>
      </c>
      <c r="X1104" s="364" t="s">
        <v>88</v>
      </c>
      <c r="Y1104" s="364" t="s">
        <v>88</v>
      </c>
      <c r="Z1104" s="364" t="s">
        <v>702</v>
      </c>
      <c r="AA1104" s="364" t="s">
        <v>701</v>
      </c>
      <c r="AB1104" s="364" t="s">
        <v>649</v>
      </c>
      <c r="AC1104" s="364" t="s">
        <v>649</v>
      </c>
      <c r="AD1104" s="364" t="s">
        <v>88</v>
      </c>
      <c r="AE1104" s="364" t="s">
        <v>88</v>
      </c>
      <c r="AF1104" s="364" t="s">
        <v>88</v>
      </c>
      <c r="AG1104" s="364" t="s">
        <v>88</v>
      </c>
      <c r="AH1104" s="364" t="s">
        <v>88</v>
      </c>
      <c r="AI1104" s="364" t="s">
        <v>1199</v>
      </c>
      <c r="AJ1104" s="364" t="s">
        <v>670</v>
      </c>
      <c r="AK1104" s="364" t="s">
        <v>669</v>
      </c>
      <c r="AL1104" s="364" t="s">
        <v>88</v>
      </c>
      <c r="AM1104" s="364" t="s">
        <v>668</v>
      </c>
      <c r="AN1104" s="364" t="s">
        <v>644</v>
      </c>
    </row>
    <row r="1105" spans="1:40" x14ac:dyDescent="0.3">
      <c r="A1105" s="364" t="s">
        <v>1535</v>
      </c>
      <c r="B1105" s="364" t="s">
        <v>661</v>
      </c>
      <c r="C1105" s="364" t="s">
        <v>677</v>
      </c>
      <c r="D1105" s="364" t="s">
        <v>87</v>
      </c>
      <c r="E1105" s="364" t="s">
        <v>944</v>
      </c>
      <c r="F1105" s="364" t="s">
        <v>944</v>
      </c>
      <c r="G1105" s="364" t="s">
        <v>658</v>
      </c>
      <c r="H1105" s="364" t="s">
        <v>684</v>
      </c>
      <c r="I1105" s="364" t="s">
        <v>943</v>
      </c>
      <c r="J1105" s="364" t="s">
        <v>673</v>
      </c>
      <c r="K1105" s="364" t="s">
        <v>668</v>
      </c>
      <c r="L1105" s="364" t="s">
        <v>190</v>
      </c>
      <c r="M1105" s="364" t="s">
        <v>166</v>
      </c>
      <c r="N1105" s="364" t="s">
        <v>654</v>
      </c>
      <c r="O1105" s="364" t="s">
        <v>653</v>
      </c>
      <c r="P1105" s="364" t="s">
        <v>198</v>
      </c>
      <c r="Q1105" s="364" t="s">
        <v>652</v>
      </c>
      <c r="R1105" s="364" t="s">
        <v>88</v>
      </c>
      <c r="S1105" s="364" t="s">
        <v>88</v>
      </c>
      <c r="T1105" s="364" t="s">
        <v>88</v>
      </c>
      <c r="U1105" s="364" t="s">
        <v>88</v>
      </c>
      <c r="V1105" s="364" t="s">
        <v>88</v>
      </c>
      <c r="W1105" s="364" t="s">
        <v>88</v>
      </c>
      <c r="X1105" s="364" t="s">
        <v>88</v>
      </c>
      <c r="Y1105" s="364" t="s">
        <v>88</v>
      </c>
      <c r="Z1105" s="364" t="s">
        <v>877</v>
      </c>
      <c r="AA1105" s="364" t="s">
        <v>876</v>
      </c>
      <c r="AB1105" s="364" t="s">
        <v>649</v>
      </c>
      <c r="AC1105" s="364" t="s">
        <v>649</v>
      </c>
      <c r="AD1105" s="364" t="s">
        <v>88</v>
      </c>
      <c r="AE1105" s="364" t="s">
        <v>88</v>
      </c>
      <c r="AF1105" s="364" t="s">
        <v>88</v>
      </c>
      <c r="AG1105" s="364" t="s">
        <v>88</v>
      </c>
      <c r="AH1105" s="364" t="s">
        <v>88</v>
      </c>
      <c r="AI1105" s="364" t="s">
        <v>1199</v>
      </c>
      <c r="AJ1105" s="364" t="s">
        <v>670</v>
      </c>
      <c r="AK1105" s="364" t="s">
        <v>669</v>
      </c>
      <c r="AL1105" s="364" t="s">
        <v>88</v>
      </c>
      <c r="AM1105" s="364" t="s">
        <v>668</v>
      </c>
      <c r="AN1105" s="364" t="s">
        <v>644</v>
      </c>
    </row>
    <row r="1106" spans="1:40" x14ac:dyDescent="0.3">
      <c r="A1106" s="364" t="s">
        <v>1534</v>
      </c>
      <c r="B1106" s="364" t="s">
        <v>661</v>
      </c>
      <c r="C1106" s="364" t="s">
        <v>677</v>
      </c>
      <c r="D1106" s="364" t="s">
        <v>87</v>
      </c>
      <c r="E1106" s="364" t="s">
        <v>1141</v>
      </c>
      <c r="F1106" s="364" t="s">
        <v>1141</v>
      </c>
      <c r="G1106" s="364" t="s">
        <v>658</v>
      </c>
      <c r="H1106" s="364" t="s">
        <v>1533</v>
      </c>
      <c r="I1106" s="364" t="s">
        <v>1532</v>
      </c>
      <c r="J1106" s="364" t="s">
        <v>673</v>
      </c>
      <c r="K1106" s="364" t="s">
        <v>668</v>
      </c>
      <c r="L1106" s="364" t="s">
        <v>190</v>
      </c>
      <c r="M1106" s="364" t="s">
        <v>60</v>
      </c>
      <c r="N1106" s="364" t="s">
        <v>654</v>
      </c>
      <c r="O1106" s="364" t="s">
        <v>653</v>
      </c>
      <c r="P1106" s="364" t="s">
        <v>198</v>
      </c>
      <c r="Q1106" s="364" t="s">
        <v>652</v>
      </c>
      <c r="R1106" s="364" t="s">
        <v>88</v>
      </c>
      <c r="S1106" s="364" t="s">
        <v>88</v>
      </c>
      <c r="T1106" s="364" t="s">
        <v>88</v>
      </c>
      <c r="U1106" s="364" t="s">
        <v>88</v>
      </c>
      <c r="V1106" s="364" t="s">
        <v>88</v>
      </c>
      <c r="W1106" s="364" t="s">
        <v>88</v>
      </c>
      <c r="X1106" s="364" t="s">
        <v>88</v>
      </c>
      <c r="Y1106" s="364" t="s">
        <v>88</v>
      </c>
      <c r="Z1106" s="364" t="s">
        <v>709</v>
      </c>
      <c r="AA1106" s="364" t="s">
        <v>708</v>
      </c>
      <c r="AB1106" s="364" t="s">
        <v>649</v>
      </c>
      <c r="AC1106" s="364" t="s">
        <v>649</v>
      </c>
      <c r="AD1106" s="364" t="s">
        <v>88</v>
      </c>
      <c r="AE1106" s="364" t="s">
        <v>88</v>
      </c>
      <c r="AF1106" s="364" t="s">
        <v>88</v>
      </c>
      <c r="AG1106" s="364" t="s">
        <v>88</v>
      </c>
      <c r="AH1106" s="364" t="s">
        <v>88</v>
      </c>
      <c r="AI1106" s="364" t="s">
        <v>1199</v>
      </c>
      <c r="AJ1106" s="364" t="s">
        <v>670</v>
      </c>
      <c r="AK1106" s="364" t="s">
        <v>669</v>
      </c>
      <c r="AL1106" s="364" t="s">
        <v>88</v>
      </c>
      <c r="AM1106" s="364" t="s">
        <v>668</v>
      </c>
      <c r="AN1106" s="364" t="s">
        <v>644</v>
      </c>
    </row>
    <row r="1107" spans="1:40" x14ac:dyDescent="0.3">
      <c r="A1107" s="364" t="s">
        <v>1531</v>
      </c>
      <c r="B1107" s="364" t="s">
        <v>661</v>
      </c>
      <c r="C1107" s="364" t="s">
        <v>677</v>
      </c>
      <c r="D1107" s="364" t="s">
        <v>87</v>
      </c>
      <c r="E1107" s="364" t="s">
        <v>1528</v>
      </c>
      <c r="F1107" s="364" t="s">
        <v>1528</v>
      </c>
      <c r="G1107" s="364" t="s">
        <v>658</v>
      </c>
      <c r="H1107" s="364" t="s">
        <v>1530</v>
      </c>
      <c r="I1107" s="364" t="s">
        <v>1522</v>
      </c>
      <c r="J1107" s="364" t="s">
        <v>673</v>
      </c>
      <c r="K1107" s="364" t="s">
        <v>668</v>
      </c>
      <c r="L1107" s="364" t="s">
        <v>190</v>
      </c>
      <c r="M1107" s="364" t="s">
        <v>58</v>
      </c>
      <c r="N1107" s="364" t="s">
        <v>654</v>
      </c>
      <c r="O1107" s="364" t="s">
        <v>653</v>
      </c>
      <c r="P1107" s="364" t="s">
        <v>198</v>
      </c>
      <c r="Q1107" s="364" t="s">
        <v>652</v>
      </c>
      <c r="R1107" s="364" t="s">
        <v>88</v>
      </c>
      <c r="S1107" s="364" t="s">
        <v>88</v>
      </c>
      <c r="T1107" s="364" t="s">
        <v>88</v>
      </c>
      <c r="U1107" s="364" t="s">
        <v>88</v>
      </c>
      <c r="V1107" s="364" t="s">
        <v>88</v>
      </c>
      <c r="W1107" s="364" t="s">
        <v>88</v>
      </c>
      <c r="X1107" s="364" t="s">
        <v>88</v>
      </c>
      <c r="Y1107" s="364" t="s">
        <v>88</v>
      </c>
      <c r="Z1107" s="364" t="s">
        <v>702</v>
      </c>
      <c r="AA1107" s="364" t="s">
        <v>701</v>
      </c>
      <c r="AB1107" s="364" t="s">
        <v>649</v>
      </c>
      <c r="AC1107" s="364" t="s">
        <v>649</v>
      </c>
      <c r="AD1107" s="364" t="s">
        <v>88</v>
      </c>
      <c r="AE1107" s="364" t="s">
        <v>88</v>
      </c>
      <c r="AF1107" s="364" t="s">
        <v>88</v>
      </c>
      <c r="AG1107" s="364" t="s">
        <v>88</v>
      </c>
      <c r="AH1107" s="364" t="s">
        <v>88</v>
      </c>
      <c r="AI1107" s="364" t="s">
        <v>1199</v>
      </c>
      <c r="AJ1107" s="364" t="s">
        <v>670</v>
      </c>
      <c r="AK1107" s="364" t="s">
        <v>669</v>
      </c>
      <c r="AL1107" s="364" t="s">
        <v>88</v>
      </c>
      <c r="AM1107" s="364" t="s">
        <v>668</v>
      </c>
      <c r="AN1107" s="364" t="s">
        <v>644</v>
      </c>
    </row>
    <row r="1108" spans="1:40" x14ac:dyDescent="0.3">
      <c r="A1108" s="364" t="s">
        <v>1531</v>
      </c>
      <c r="B1108" s="364" t="s">
        <v>661</v>
      </c>
      <c r="C1108" s="364" t="s">
        <v>677</v>
      </c>
      <c r="D1108" s="364" t="s">
        <v>87</v>
      </c>
      <c r="E1108" s="364" t="s">
        <v>1528</v>
      </c>
      <c r="F1108" s="364" t="s">
        <v>1528</v>
      </c>
      <c r="G1108" s="364" t="s">
        <v>658</v>
      </c>
      <c r="H1108" s="364" t="s">
        <v>1530</v>
      </c>
      <c r="I1108" s="364" t="s">
        <v>1522</v>
      </c>
      <c r="J1108" s="364" t="s">
        <v>673</v>
      </c>
      <c r="K1108" s="364" t="s">
        <v>668</v>
      </c>
      <c r="L1108" s="364" t="s">
        <v>190</v>
      </c>
      <c r="M1108" s="364" t="s">
        <v>166</v>
      </c>
      <c r="N1108" s="364" t="s">
        <v>654</v>
      </c>
      <c r="O1108" s="364" t="s">
        <v>653</v>
      </c>
      <c r="P1108" s="364" t="s">
        <v>198</v>
      </c>
      <c r="Q1108" s="364" t="s">
        <v>652</v>
      </c>
      <c r="R1108" s="364" t="s">
        <v>88</v>
      </c>
      <c r="S1108" s="364" t="s">
        <v>88</v>
      </c>
      <c r="T1108" s="364" t="s">
        <v>88</v>
      </c>
      <c r="U1108" s="364" t="s">
        <v>88</v>
      </c>
      <c r="V1108" s="364" t="s">
        <v>88</v>
      </c>
      <c r="W1108" s="364" t="s">
        <v>88</v>
      </c>
      <c r="X1108" s="364" t="s">
        <v>88</v>
      </c>
      <c r="Y1108" s="364" t="s">
        <v>88</v>
      </c>
      <c r="Z1108" s="364" t="s">
        <v>877</v>
      </c>
      <c r="AA1108" s="364" t="s">
        <v>876</v>
      </c>
      <c r="AB1108" s="364" t="s">
        <v>649</v>
      </c>
      <c r="AC1108" s="364" t="s">
        <v>649</v>
      </c>
      <c r="AD1108" s="364" t="s">
        <v>88</v>
      </c>
      <c r="AE1108" s="364" t="s">
        <v>88</v>
      </c>
      <c r="AF1108" s="364" t="s">
        <v>88</v>
      </c>
      <c r="AG1108" s="364" t="s">
        <v>88</v>
      </c>
      <c r="AH1108" s="364" t="s">
        <v>88</v>
      </c>
      <c r="AI1108" s="364" t="s">
        <v>1199</v>
      </c>
      <c r="AJ1108" s="364" t="s">
        <v>670</v>
      </c>
      <c r="AK1108" s="364" t="s">
        <v>669</v>
      </c>
      <c r="AL1108" s="364" t="s">
        <v>88</v>
      </c>
      <c r="AM1108" s="364" t="s">
        <v>668</v>
      </c>
      <c r="AN1108" s="364" t="s">
        <v>644</v>
      </c>
    </row>
    <row r="1109" spans="1:40" x14ac:dyDescent="0.3">
      <c r="A1109" s="364" t="s">
        <v>1529</v>
      </c>
      <c r="B1109" s="364" t="s">
        <v>661</v>
      </c>
      <c r="C1109" s="364" t="s">
        <v>677</v>
      </c>
      <c r="D1109" s="364" t="s">
        <v>87</v>
      </c>
      <c r="E1109" s="364" t="s">
        <v>1528</v>
      </c>
      <c r="F1109" s="364" t="s">
        <v>1528</v>
      </c>
      <c r="G1109" s="364" t="s">
        <v>658</v>
      </c>
      <c r="H1109" s="364" t="s">
        <v>1527</v>
      </c>
      <c r="I1109" s="364" t="s">
        <v>1486</v>
      </c>
      <c r="J1109" s="364" t="s">
        <v>673</v>
      </c>
      <c r="K1109" s="364" t="s">
        <v>668</v>
      </c>
      <c r="L1109" s="364" t="s">
        <v>190</v>
      </c>
      <c r="M1109" s="364" t="s">
        <v>60</v>
      </c>
      <c r="N1109" s="364" t="s">
        <v>654</v>
      </c>
      <c r="O1109" s="364" t="s">
        <v>653</v>
      </c>
      <c r="P1109" s="364" t="s">
        <v>198</v>
      </c>
      <c r="Q1109" s="364" t="s">
        <v>652</v>
      </c>
      <c r="R1109" s="364" t="s">
        <v>88</v>
      </c>
      <c r="S1109" s="364" t="s">
        <v>88</v>
      </c>
      <c r="T1109" s="364" t="s">
        <v>88</v>
      </c>
      <c r="U1109" s="364" t="s">
        <v>88</v>
      </c>
      <c r="V1109" s="364" t="s">
        <v>88</v>
      </c>
      <c r="W1109" s="364" t="s">
        <v>88</v>
      </c>
      <c r="X1109" s="364" t="s">
        <v>88</v>
      </c>
      <c r="Y1109" s="364" t="s">
        <v>88</v>
      </c>
      <c r="Z1109" s="364" t="s">
        <v>709</v>
      </c>
      <c r="AA1109" s="364" t="s">
        <v>708</v>
      </c>
      <c r="AB1109" s="364" t="s">
        <v>649</v>
      </c>
      <c r="AC1109" s="364" t="s">
        <v>649</v>
      </c>
      <c r="AD1109" s="364" t="s">
        <v>88</v>
      </c>
      <c r="AE1109" s="364" t="s">
        <v>88</v>
      </c>
      <c r="AF1109" s="364" t="s">
        <v>88</v>
      </c>
      <c r="AG1109" s="364" t="s">
        <v>88</v>
      </c>
      <c r="AH1109" s="364" t="s">
        <v>88</v>
      </c>
      <c r="AI1109" s="364" t="s">
        <v>1199</v>
      </c>
      <c r="AJ1109" s="364" t="s">
        <v>670</v>
      </c>
      <c r="AK1109" s="364" t="s">
        <v>687</v>
      </c>
      <c r="AL1109" s="364" t="s">
        <v>88</v>
      </c>
      <c r="AM1109" s="364" t="s">
        <v>668</v>
      </c>
      <c r="AN1109" s="364" t="s">
        <v>644</v>
      </c>
    </row>
    <row r="1110" spans="1:40" x14ac:dyDescent="0.3">
      <c r="A1110" s="364" t="s">
        <v>1526</v>
      </c>
      <c r="B1110" s="364" t="s">
        <v>661</v>
      </c>
      <c r="C1110" s="364" t="s">
        <v>677</v>
      </c>
      <c r="D1110" s="364" t="s">
        <v>87</v>
      </c>
      <c r="E1110" s="364" t="s">
        <v>1313</v>
      </c>
      <c r="F1110" s="364" t="s">
        <v>1313</v>
      </c>
      <c r="G1110" s="364" t="s">
        <v>658</v>
      </c>
      <c r="H1110" s="364" t="s">
        <v>1525</v>
      </c>
      <c r="I1110" s="364" t="s">
        <v>1486</v>
      </c>
      <c r="J1110" s="364" t="s">
        <v>673</v>
      </c>
      <c r="K1110" s="364" t="s">
        <v>668</v>
      </c>
      <c r="L1110" s="364" t="s">
        <v>190</v>
      </c>
      <c r="M1110" s="364" t="s">
        <v>60</v>
      </c>
      <c r="N1110" s="364" t="s">
        <v>654</v>
      </c>
      <c r="O1110" s="364" t="s">
        <v>653</v>
      </c>
      <c r="P1110" s="364" t="s">
        <v>198</v>
      </c>
      <c r="Q1110" s="364" t="s">
        <v>652</v>
      </c>
      <c r="R1110" s="364" t="s">
        <v>88</v>
      </c>
      <c r="S1110" s="364" t="s">
        <v>88</v>
      </c>
      <c r="T1110" s="364" t="s">
        <v>88</v>
      </c>
      <c r="U1110" s="364" t="s">
        <v>88</v>
      </c>
      <c r="V1110" s="364" t="s">
        <v>88</v>
      </c>
      <c r="W1110" s="364" t="s">
        <v>88</v>
      </c>
      <c r="X1110" s="364" t="s">
        <v>88</v>
      </c>
      <c r="Y1110" s="364" t="s">
        <v>88</v>
      </c>
      <c r="Z1110" s="364" t="s">
        <v>709</v>
      </c>
      <c r="AA1110" s="364" t="s">
        <v>708</v>
      </c>
      <c r="AB1110" s="364" t="s">
        <v>649</v>
      </c>
      <c r="AC1110" s="364" t="s">
        <v>649</v>
      </c>
      <c r="AD1110" s="364" t="s">
        <v>88</v>
      </c>
      <c r="AE1110" s="364" t="s">
        <v>88</v>
      </c>
      <c r="AF1110" s="364" t="s">
        <v>88</v>
      </c>
      <c r="AG1110" s="364" t="s">
        <v>88</v>
      </c>
      <c r="AH1110" s="364" t="s">
        <v>88</v>
      </c>
      <c r="AI1110" s="364" t="s">
        <v>1199</v>
      </c>
      <c r="AJ1110" s="364" t="s">
        <v>670</v>
      </c>
      <c r="AK1110" s="364" t="s">
        <v>687</v>
      </c>
      <c r="AL1110" s="364" t="s">
        <v>88</v>
      </c>
      <c r="AM1110" s="364" t="s">
        <v>668</v>
      </c>
      <c r="AN1110" s="364" t="s">
        <v>644</v>
      </c>
    </row>
    <row r="1111" spans="1:40" x14ac:dyDescent="0.3">
      <c r="A1111" s="364" t="s">
        <v>1524</v>
      </c>
      <c r="B1111" s="364" t="s">
        <v>661</v>
      </c>
      <c r="C1111" s="364" t="s">
        <v>677</v>
      </c>
      <c r="D1111" s="364" t="s">
        <v>87</v>
      </c>
      <c r="E1111" s="364" t="s">
        <v>1313</v>
      </c>
      <c r="F1111" s="364" t="s">
        <v>1313</v>
      </c>
      <c r="G1111" s="364" t="s">
        <v>658</v>
      </c>
      <c r="H1111" s="364" t="s">
        <v>1523</v>
      </c>
      <c r="I1111" s="364" t="s">
        <v>1522</v>
      </c>
      <c r="J1111" s="364" t="s">
        <v>673</v>
      </c>
      <c r="K1111" s="364" t="s">
        <v>668</v>
      </c>
      <c r="L1111" s="364" t="s">
        <v>190</v>
      </c>
      <c r="M1111" s="364" t="s">
        <v>58</v>
      </c>
      <c r="N1111" s="364" t="s">
        <v>654</v>
      </c>
      <c r="O1111" s="364" t="s">
        <v>653</v>
      </c>
      <c r="P1111" s="364" t="s">
        <v>198</v>
      </c>
      <c r="Q1111" s="364" t="s">
        <v>652</v>
      </c>
      <c r="R1111" s="364" t="s">
        <v>88</v>
      </c>
      <c r="S1111" s="364" t="s">
        <v>88</v>
      </c>
      <c r="T1111" s="364" t="s">
        <v>88</v>
      </c>
      <c r="U1111" s="364" t="s">
        <v>88</v>
      </c>
      <c r="V1111" s="364" t="s">
        <v>88</v>
      </c>
      <c r="W1111" s="364" t="s">
        <v>88</v>
      </c>
      <c r="X1111" s="364" t="s">
        <v>88</v>
      </c>
      <c r="Y1111" s="364" t="s">
        <v>88</v>
      </c>
      <c r="Z1111" s="364" t="s">
        <v>702</v>
      </c>
      <c r="AA1111" s="364" t="s">
        <v>701</v>
      </c>
      <c r="AB1111" s="364" t="s">
        <v>649</v>
      </c>
      <c r="AC1111" s="364" t="s">
        <v>649</v>
      </c>
      <c r="AD1111" s="364" t="s">
        <v>88</v>
      </c>
      <c r="AE1111" s="364" t="s">
        <v>88</v>
      </c>
      <c r="AF1111" s="364" t="s">
        <v>88</v>
      </c>
      <c r="AG1111" s="364" t="s">
        <v>88</v>
      </c>
      <c r="AH1111" s="364" t="s">
        <v>88</v>
      </c>
      <c r="AI1111" s="364" t="s">
        <v>1199</v>
      </c>
      <c r="AJ1111" s="364" t="s">
        <v>670</v>
      </c>
      <c r="AK1111" s="364" t="s">
        <v>669</v>
      </c>
      <c r="AL1111" s="364" t="s">
        <v>88</v>
      </c>
      <c r="AM1111" s="364" t="s">
        <v>668</v>
      </c>
      <c r="AN1111" s="364" t="s">
        <v>644</v>
      </c>
    </row>
    <row r="1112" spans="1:40" x14ac:dyDescent="0.3">
      <c r="A1112" s="364" t="s">
        <v>1524</v>
      </c>
      <c r="B1112" s="364" t="s">
        <v>661</v>
      </c>
      <c r="C1112" s="364" t="s">
        <v>677</v>
      </c>
      <c r="D1112" s="364" t="s">
        <v>87</v>
      </c>
      <c r="E1112" s="364" t="s">
        <v>1313</v>
      </c>
      <c r="F1112" s="364" t="s">
        <v>1313</v>
      </c>
      <c r="G1112" s="364" t="s">
        <v>658</v>
      </c>
      <c r="H1112" s="364" t="s">
        <v>1523</v>
      </c>
      <c r="I1112" s="364" t="s">
        <v>1522</v>
      </c>
      <c r="J1112" s="364" t="s">
        <v>673</v>
      </c>
      <c r="K1112" s="364" t="s">
        <v>668</v>
      </c>
      <c r="L1112" s="364" t="s">
        <v>190</v>
      </c>
      <c r="M1112" s="364" t="s">
        <v>166</v>
      </c>
      <c r="N1112" s="364" t="s">
        <v>654</v>
      </c>
      <c r="O1112" s="364" t="s">
        <v>653</v>
      </c>
      <c r="P1112" s="364" t="s">
        <v>198</v>
      </c>
      <c r="Q1112" s="364" t="s">
        <v>652</v>
      </c>
      <c r="R1112" s="364" t="s">
        <v>88</v>
      </c>
      <c r="S1112" s="364" t="s">
        <v>88</v>
      </c>
      <c r="T1112" s="364" t="s">
        <v>88</v>
      </c>
      <c r="U1112" s="364" t="s">
        <v>88</v>
      </c>
      <c r="V1112" s="364" t="s">
        <v>88</v>
      </c>
      <c r="W1112" s="364" t="s">
        <v>88</v>
      </c>
      <c r="X1112" s="364" t="s">
        <v>88</v>
      </c>
      <c r="Y1112" s="364" t="s">
        <v>88</v>
      </c>
      <c r="Z1112" s="364" t="s">
        <v>877</v>
      </c>
      <c r="AA1112" s="364" t="s">
        <v>876</v>
      </c>
      <c r="AB1112" s="364" t="s">
        <v>649</v>
      </c>
      <c r="AC1112" s="364" t="s">
        <v>649</v>
      </c>
      <c r="AD1112" s="364" t="s">
        <v>88</v>
      </c>
      <c r="AE1112" s="364" t="s">
        <v>88</v>
      </c>
      <c r="AF1112" s="364" t="s">
        <v>88</v>
      </c>
      <c r="AG1112" s="364" t="s">
        <v>88</v>
      </c>
      <c r="AH1112" s="364" t="s">
        <v>88</v>
      </c>
      <c r="AI1112" s="364" t="s">
        <v>1199</v>
      </c>
      <c r="AJ1112" s="364" t="s">
        <v>670</v>
      </c>
      <c r="AK1112" s="364" t="s">
        <v>669</v>
      </c>
      <c r="AL1112" s="364" t="s">
        <v>88</v>
      </c>
      <c r="AM1112" s="364" t="s">
        <v>668</v>
      </c>
      <c r="AN1112" s="364" t="s">
        <v>644</v>
      </c>
    </row>
    <row r="1113" spans="1:40" x14ac:dyDescent="0.3">
      <c r="A1113" s="364" t="s">
        <v>1521</v>
      </c>
      <c r="B1113" s="364" t="s">
        <v>661</v>
      </c>
      <c r="C1113" s="364" t="s">
        <v>677</v>
      </c>
      <c r="D1113" s="364" t="s">
        <v>90</v>
      </c>
      <c r="E1113" s="364" t="s">
        <v>1520</v>
      </c>
      <c r="F1113" s="364" t="s">
        <v>1520</v>
      </c>
      <c r="G1113" s="364" t="s">
        <v>658</v>
      </c>
      <c r="H1113" s="364" t="s">
        <v>1519</v>
      </c>
      <c r="I1113" s="364" t="s">
        <v>1518</v>
      </c>
      <c r="J1113" s="364" t="s">
        <v>673</v>
      </c>
      <c r="K1113" s="364" t="s">
        <v>668</v>
      </c>
      <c r="L1113" s="364" t="s">
        <v>190</v>
      </c>
      <c r="M1113" s="364" t="s">
        <v>61</v>
      </c>
      <c r="N1113" s="364" t="s">
        <v>654</v>
      </c>
      <c r="O1113" s="364" t="s">
        <v>653</v>
      </c>
      <c r="P1113" s="364" t="s">
        <v>198</v>
      </c>
      <c r="Q1113" s="364" t="s">
        <v>652</v>
      </c>
      <c r="R1113" s="364" t="s">
        <v>88</v>
      </c>
      <c r="S1113" s="364" t="s">
        <v>88</v>
      </c>
      <c r="T1113" s="364" t="s">
        <v>88</v>
      </c>
      <c r="U1113" s="364" t="s">
        <v>88</v>
      </c>
      <c r="V1113" s="364" t="s">
        <v>88</v>
      </c>
      <c r="W1113" s="364" t="s">
        <v>88</v>
      </c>
      <c r="X1113" s="364" t="s">
        <v>88</v>
      </c>
      <c r="Y1113" s="364" t="s">
        <v>88</v>
      </c>
      <c r="Z1113" s="364" t="s">
        <v>1021</v>
      </c>
      <c r="AA1113" s="364" t="s">
        <v>671</v>
      </c>
      <c r="AB1113" s="364" t="s">
        <v>649</v>
      </c>
      <c r="AC1113" s="364" t="s">
        <v>649</v>
      </c>
      <c r="AD1113" s="364" t="s">
        <v>88</v>
      </c>
      <c r="AE1113" s="364" t="s">
        <v>88</v>
      </c>
      <c r="AF1113" s="364" t="s">
        <v>88</v>
      </c>
      <c r="AG1113" s="364" t="s">
        <v>88</v>
      </c>
      <c r="AH1113" s="364" t="s">
        <v>88</v>
      </c>
      <c r="AI1113" s="364" t="s">
        <v>1155</v>
      </c>
      <c r="AJ1113" s="364" t="s">
        <v>710</v>
      </c>
      <c r="AK1113" s="364" t="s">
        <v>647</v>
      </c>
      <c r="AL1113" s="364" t="s">
        <v>88</v>
      </c>
      <c r="AM1113" s="364" t="s">
        <v>668</v>
      </c>
      <c r="AN1113" s="364" t="s">
        <v>644</v>
      </c>
    </row>
    <row r="1114" spans="1:40" x14ac:dyDescent="0.3">
      <c r="A1114" s="364" t="s">
        <v>1521</v>
      </c>
      <c r="B1114" s="364" t="s">
        <v>661</v>
      </c>
      <c r="C1114" s="364" t="s">
        <v>677</v>
      </c>
      <c r="D1114" s="364" t="s">
        <v>90</v>
      </c>
      <c r="E1114" s="364" t="s">
        <v>1520</v>
      </c>
      <c r="F1114" s="364" t="s">
        <v>1520</v>
      </c>
      <c r="G1114" s="364" t="s">
        <v>658</v>
      </c>
      <c r="H1114" s="364" t="s">
        <v>1519</v>
      </c>
      <c r="I1114" s="364" t="s">
        <v>1518</v>
      </c>
      <c r="J1114" s="364" t="s">
        <v>673</v>
      </c>
      <c r="K1114" s="364" t="s">
        <v>668</v>
      </c>
      <c r="L1114" s="364" t="s">
        <v>190</v>
      </c>
      <c r="M1114" s="364" t="s">
        <v>242</v>
      </c>
      <c r="N1114" s="364" t="s">
        <v>654</v>
      </c>
      <c r="O1114" s="364" t="s">
        <v>653</v>
      </c>
      <c r="P1114" s="364" t="s">
        <v>198</v>
      </c>
      <c r="Q1114" s="364" t="s">
        <v>652</v>
      </c>
      <c r="R1114" s="364" t="s">
        <v>88</v>
      </c>
      <c r="S1114" s="364" t="s">
        <v>88</v>
      </c>
      <c r="T1114" s="364" t="s">
        <v>88</v>
      </c>
      <c r="U1114" s="364" t="s">
        <v>88</v>
      </c>
      <c r="V1114" s="364" t="s">
        <v>88</v>
      </c>
      <c r="W1114" s="364" t="s">
        <v>88</v>
      </c>
      <c r="X1114" s="364" t="s">
        <v>88</v>
      </c>
      <c r="Y1114" s="364" t="s">
        <v>88</v>
      </c>
      <c r="Z1114" s="364" t="s">
        <v>1157</v>
      </c>
      <c r="AA1114" s="364" t="s">
        <v>1156</v>
      </c>
      <c r="AB1114" s="364" t="s">
        <v>649</v>
      </c>
      <c r="AC1114" s="364" t="s">
        <v>649</v>
      </c>
      <c r="AD1114" s="364" t="s">
        <v>88</v>
      </c>
      <c r="AE1114" s="364" t="s">
        <v>88</v>
      </c>
      <c r="AF1114" s="364" t="s">
        <v>88</v>
      </c>
      <c r="AG1114" s="364" t="s">
        <v>88</v>
      </c>
      <c r="AH1114" s="364" t="s">
        <v>88</v>
      </c>
      <c r="AI1114" s="364" t="s">
        <v>1155</v>
      </c>
      <c r="AJ1114" s="364" t="s">
        <v>710</v>
      </c>
      <c r="AK1114" s="364" t="s">
        <v>647</v>
      </c>
      <c r="AL1114" s="364" t="s">
        <v>88</v>
      </c>
      <c r="AM1114" s="364" t="s">
        <v>668</v>
      </c>
      <c r="AN1114" s="364" t="s">
        <v>644</v>
      </c>
    </row>
    <row r="1115" spans="1:40" x14ac:dyDescent="0.3">
      <c r="A1115" s="364" t="s">
        <v>1521</v>
      </c>
      <c r="B1115" s="364" t="s">
        <v>661</v>
      </c>
      <c r="C1115" s="364" t="s">
        <v>677</v>
      </c>
      <c r="D1115" s="364" t="s">
        <v>90</v>
      </c>
      <c r="E1115" s="364" t="s">
        <v>1520</v>
      </c>
      <c r="F1115" s="364" t="s">
        <v>1520</v>
      </c>
      <c r="G1115" s="364" t="s">
        <v>658</v>
      </c>
      <c r="H1115" s="364" t="s">
        <v>1519</v>
      </c>
      <c r="I1115" s="364" t="s">
        <v>1518</v>
      </c>
      <c r="J1115" s="364" t="s">
        <v>673</v>
      </c>
      <c r="K1115" s="364" t="s">
        <v>668</v>
      </c>
      <c r="L1115" s="364" t="s">
        <v>190</v>
      </c>
      <c r="M1115" s="364" t="s">
        <v>1168</v>
      </c>
      <c r="N1115" s="364" t="s">
        <v>654</v>
      </c>
      <c r="O1115" s="364" t="s">
        <v>653</v>
      </c>
      <c r="P1115" s="364" t="s">
        <v>198</v>
      </c>
      <c r="Q1115" s="364" t="s">
        <v>652</v>
      </c>
      <c r="R1115" s="364" t="s">
        <v>88</v>
      </c>
      <c r="S1115" s="364" t="s">
        <v>88</v>
      </c>
      <c r="T1115" s="364" t="s">
        <v>88</v>
      </c>
      <c r="U1115" s="364" t="s">
        <v>88</v>
      </c>
      <c r="V1115" s="364" t="s">
        <v>88</v>
      </c>
      <c r="W1115" s="364" t="s">
        <v>88</v>
      </c>
      <c r="X1115" s="364" t="s">
        <v>88</v>
      </c>
      <c r="Y1115" s="364" t="s">
        <v>88</v>
      </c>
      <c r="Z1115" s="364" t="s">
        <v>1167</v>
      </c>
      <c r="AA1115" s="364" t="s">
        <v>1166</v>
      </c>
      <c r="AB1115" s="364" t="s">
        <v>649</v>
      </c>
      <c r="AC1115" s="364" t="s">
        <v>649</v>
      </c>
      <c r="AD1115" s="364" t="s">
        <v>88</v>
      </c>
      <c r="AE1115" s="364" t="s">
        <v>88</v>
      </c>
      <c r="AF1115" s="364" t="s">
        <v>88</v>
      </c>
      <c r="AG1115" s="364" t="s">
        <v>88</v>
      </c>
      <c r="AH1115" s="364" t="s">
        <v>88</v>
      </c>
      <c r="AI1115" s="364" t="s">
        <v>1155</v>
      </c>
      <c r="AJ1115" s="364" t="s">
        <v>710</v>
      </c>
      <c r="AK1115" s="364" t="s">
        <v>647</v>
      </c>
      <c r="AL1115" s="364" t="s">
        <v>88</v>
      </c>
      <c r="AM1115" s="364" t="s">
        <v>668</v>
      </c>
      <c r="AN1115" s="364" t="s">
        <v>644</v>
      </c>
    </row>
    <row r="1116" spans="1:40" x14ac:dyDescent="0.3">
      <c r="A1116" s="364" t="s">
        <v>1521</v>
      </c>
      <c r="B1116" s="364" t="s">
        <v>661</v>
      </c>
      <c r="C1116" s="364" t="s">
        <v>677</v>
      </c>
      <c r="D1116" s="364" t="s">
        <v>90</v>
      </c>
      <c r="E1116" s="364" t="s">
        <v>1520</v>
      </c>
      <c r="F1116" s="364" t="s">
        <v>1520</v>
      </c>
      <c r="G1116" s="364" t="s">
        <v>658</v>
      </c>
      <c r="H1116" s="364" t="s">
        <v>1519</v>
      </c>
      <c r="I1116" s="364" t="s">
        <v>1518</v>
      </c>
      <c r="J1116" s="364" t="s">
        <v>673</v>
      </c>
      <c r="K1116" s="364" t="s">
        <v>668</v>
      </c>
      <c r="L1116" s="364" t="s">
        <v>190</v>
      </c>
      <c r="M1116" s="364" t="s">
        <v>713</v>
      </c>
      <c r="N1116" s="364" t="s">
        <v>654</v>
      </c>
      <c r="O1116" s="364" t="s">
        <v>653</v>
      </c>
      <c r="P1116" s="364" t="s">
        <v>198</v>
      </c>
      <c r="Q1116" s="364" t="s">
        <v>652</v>
      </c>
      <c r="R1116" s="364" t="s">
        <v>88</v>
      </c>
      <c r="S1116" s="364" t="s">
        <v>88</v>
      </c>
      <c r="T1116" s="364" t="s">
        <v>88</v>
      </c>
      <c r="U1116" s="364" t="s">
        <v>88</v>
      </c>
      <c r="V1116" s="364" t="s">
        <v>88</v>
      </c>
      <c r="W1116" s="364" t="s">
        <v>88</v>
      </c>
      <c r="X1116" s="364" t="s">
        <v>88</v>
      </c>
      <c r="Y1116" s="364" t="s">
        <v>88</v>
      </c>
      <c r="Z1116" s="364" t="s">
        <v>712</v>
      </c>
      <c r="AA1116" s="364" t="s">
        <v>711</v>
      </c>
      <c r="AB1116" s="364" t="s">
        <v>649</v>
      </c>
      <c r="AC1116" s="364" t="s">
        <v>649</v>
      </c>
      <c r="AD1116" s="364" t="s">
        <v>88</v>
      </c>
      <c r="AE1116" s="364" t="s">
        <v>88</v>
      </c>
      <c r="AF1116" s="364" t="s">
        <v>88</v>
      </c>
      <c r="AG1116" s="364" t="s">
        <v>88</v>
      </c>
      <c r="AH1116" s="364" t="s">
        <v>88</v>
      </c>
      <c r="AI1116" s="364" t="s">
        <v>1155</v>
      </c>
      <c r="AJ1116" s="364" t="s">
        <v>710</v>
      </c>
      <c r="AK1116" s="364" t="s">
        <v>647</v>
      </c>
      <c r="AL1116" s="364" t="s">
        <v>88</v>
      </c>
      <c r="AM1116" s="364" t="s">
        <v>668</v>
      </c>
      <c r="AN1116" s="364" t="s">
        <v>644</v>
      </c>
    </row>
    <row r="1117" spans="1:40" x14ac:dyDescent="0.3">
      <c r="A1117" s="364" t="s">
        <v>1521</v>
      </c>
      <c r="B1117" s="364" t="s">
        <v>661</v>
      </c>
      <c r="C1117" s="364" t="s">
        <v>677</v>
      </c>
      <c r="D1117" s="364" t="s">
        <v>90</v>
      </c>
      <c r="E1117" s="364" t="s">
        <v>1520</v>
      </c>
      <c r="F1117" s="364" t="s">
        <v>1520</v>
      </c>
      <c r="G1117" s="364" t="s">
        <v>658</v>
      </c>
      <c r="H1117" s="364" t="s">
        <v>1519</v>
      </c>
      <c r="I1117" s="364" t="s">
        <v>1518</v>
      </c>
      <c r="J1117" s="364" t="s">
        <v>673</v>
      </c>
      <c r="K1117" s="364" t="s">
        <v>668</v>
      </c>
      <c r="L1117" s="364" t="s">
        <v>190</v>
      </c>
      <c r="M1117" s="364" t="s">
        <v>56</v>
      </c>
      <c r="N1117" s="364" t="s">
        <v>654</v>
      </c>
      <c r="O1117" s="364" t="s">
        <v>653</v>
      </c>
      <c r="P1117" s="364" t="s">
        <v>198</v>
      </c>
      <c r="Q1117" s="364" t="s">
        <v>652</v>
      </c>
      <c r="R1117" s="364" t="s">
        <v>88</v>
      </c>
      <c r="S1117" s="364" t="s">
        <v>88</v>
      </c>
      <c r="T1117" s="364" t="s">
        <v>88</v>
      </c>
      <c r="U1117" s="364" t="s">
        <v>88</v>
      </c>
      <c r="V1117" s="364" t="s">
        <v>88</v>
      </c>
      <c r="W1117" s="364" t="s">
        <v>88</v>
      </c>
      <c r="X1117" s="364" t="s">
        <v>88</v>
      </c>
      <c r="Y1117" s="364" t="s">
        <v>88</v>
      </c>
      <c r="Z1117" s="364" t="s">
        <v>1165</v>
      </c>
      <c r="AA1117" s="364" t="s">
        <v>1164</v>
      </c>
      <c r="AB1117" s="364" t="s">
        <v>649</v>
      </c>
      <c r="AC1117" s="364" t="s">
        <v>649</v>
      </c>
      <c r="AD1117" s="364" t="s">
        <v>88</v>
      </c>
      <c r="AE1117" s="364" t="s">
        <v>88</v>
      </c>
      <c r="AF1117" s="364" t="s">
        <v>88</v>
      </c>
      <c r="AG1117" s="364" t="s">
        <v>88</v>
      </c>
      <c r="AH1117" s="364" t="s">
        <v>88</v>
      </c>
      <c r="AI1117" s="364" t="s">
        <v>1155</v>
      </c>
      <c r="AJ1117" s="364" t="s">
        <v>710</v>
      </c>
      <c r="AK1117" s="364" t="s">
        <v>647</v>
      </c>
      <c r="AL1117" s="364" t="s">
        <v>88</v>
      </c>
      <c r="AM1117" s="364" t="s">
        <v>668</v>
      </c>
      <c r="AN1117" s="364" t="s">
        <v>644</v>
      </c>
    </row>
    <row r="1118" spans="1:40" x14ac:dyDescent="0.3">
      <c r="A1118" s="364" t="s">
        <v>1521</v>
      </c>
      <c r="B1118" s="364" t="s">
        <v>661</v>
      </c>
      <c r="C1118" s="364" t="s">
        <v>677</v>
      </c>
      <c r="D1118" s="364" t="s">
        <v>90</v>
      </c>
      <c r="E1118" s="364" t="s">
        <v>1520</v>
      </c>
      <c r="F1118" s="364" t="s">
        <v>1520</v>
      </c>
      <c r="G1118" s="364" t="s">
        <v>658</v>
      </c>
      <c r="H1118" s="364" t="s">
        <v>1519</v>
      </c>
      <c r="I1118" s="364" t="s">
        <v>1518</v>
      </c>
      <c r="J1118" s="364" t="s">
        <v>673</v>
      </c>
      <c r="K1118" s="364" t="s">
        <v>668</v>
      </c>
      <c r="L1118" s="364" t="s">
        <v>190</v>
      </c>
      <c r="M1118" s="364" t="s">
        <v>241</v>
      </c>
      <c r="N1118" s="364" t="s">
        <v>654</v>
      </c>
      <c r="O1118" s="364" t="s">
        <v>653</v>
      </c>
      <c r="P1118" s="364" t="s">
        <v>198</v>
      </c>
      <c r="Q1118" s="364" t="s">
        <v>652</v>
      </c>
      <c r="R1118" s="364" t="s">
        <v>88</v>
      </c>
      <c r="S1118" s="364" t="s">
        <v>88</v>
      </c>
      <c r="T1118" s="364" t="s">
        <v>88</v>
      </c>
      <c r="U1118" s="364" t="s">
        <v>88</v>
      </c>
      <c r="V1118" s="364" t="s">
        <v>88</v>
      </c>
      <c r="W1118" s="364" t="s">
        <v>88</v>
      </c>
      <c r="X1118" s="364" t="s">
        <v>88</v>
      </c>
      <c r="Y1118" s="364" t="s">
        <v>88</v>
      </c>
      <c r="Z1118" s="364" t="s">
        <v>1170</v>
      </c>
      <c r="AA1118" s="364" t="s">
        <v>1169</v>
      </c>
      <c r="AB1118" s="364" t="s">
        <v>649</v>
      </c>
      <c r="AC1118" s="364" t="s">
        <v>649</v>
      </c>
      <c r="AD1118" s="364" t="s">
        <v>88</v>
      </c>
      <c r="AE1118" s="364" t="s">
        <v>88</v>
      </c>
      <c r="AF1118" s="364" t="s">
        <v>88</v>
      </c>
      <c r="AG1118" s="364" t="s">
        <v>88</v>
      </c>
      <c r="AH1118" s="364" t="s">
        <v>88</v>
      </c>
      <c r="AI1118" s="364" t="s">
        <v>1155</v>
      </c>
      <c r="AJ1118" s="364" t="s">
        <v>710</v>
      </c>
      <c r="AK1118" s="364" t="s">
        <v>647</v>
      </c>
      <c r="AL1118" s="364" t="s">
        <v>88</v>
      </c>
      <c r="AM1118" s="364" t="s">
        <v>668</v>
      </c>
      <c r="AN1118" s="364" t="s">
        <v>644</v>
      </c>
    </row>
    <row r="1119" spans="1:40" x14ac:dyDescent="0.3">
      <c r="A1119" s="364" t="s">
        <v>1521</v>
      </c>
      <c r="B1119" s="364" t="s">
        <v>661</v>
      </c>
      <c r="C1119" s="364" t="s">
        <v>677</v>
      </c>
      <c r="D1119" s="364" t="s">
        <v>90</v>
      </c>
      <c r="E1119" s="364" t="s">
        <v>1520</v>
      </c>
      <c r="F1119" s="364" t="s">
        <v>1520</v>
      </c>
      <c r="G1119" s="364" t="s">
        <v>658</v>
      </c>
      <c r="H1119" s="364" t="s">
        <v>1519</v>
      </c>
      <c r="I1119" s="364" t="s">
        <v>1518</v>
      </c>
      <c r="J1119" s="364" t="s">
        <v>673</v>
      </c>
      <c r="K1119" s="364" t="s">
        <v>668</v>
      </c>
      <c r="L1119" s="364" t="s">
        <v>190</v>
      </c>
      <c r="M1119" s="364" t="s">
        <v>240</v>
      </c>
      <c r="N1119" s="364" t="s">
        <v>654</v>
      </c>
      <c r="O1119" s="364" t="s">
        <v>653</v>
      </c>
      <c r="P1119" s="364" t="s">
        <v>198</v>
      </c>
      <c r="Q1119" s="364" t="s">
        <v>652</v>
      </c>
      <c r="R1119" s="364" t="s">
        <v>88</v>
      </c>
      <c r="S1119" s="364" t="s">
        <v>88</v>
      </c>
      <c r="T1119" s="364" t="s">
        <v>88</v>
      </c>
      <c r="U1119" s="364" t="s">
        <v>88</v>
      </c>
      <c r="V1119" s="364" t="s">
        <v>88</v>
      </c>
      <c r="W1119" s="364" t="s">
        <v>88</v>
      </c>
      <c r="X1119" s="364" t="s">
        <v>88</v>
      </c>
      <c r="Y1119" s="364" t="s">
        <v>88</v>
      </c>
      <c r="Z1119" s="364" t="s">
        <v>1163</v>
      </c>
      <c r="AA1119" s="364" t="s">
        <v>1162</v>
      </c>
      <c r="AB1119" s="364" t="s">
        <v>649</v>
      </c>
      <c r="AC1119" s="364" t="s">
        <v>649</v>
      </c>
      <c r="AD1119" s="364" t="s">
        <v>88</v>
      </c>
      <c r="AE1119" s="364" t="s">
        <v>88</v>
      </c>
      <c r="AF1119" s="364" t="s">
        <v>88</v>
      </c>
      <c r="AG1119" s="364" t="s">
        <v>88</v>
      </c>
      <c r="AH1119" s="364" t="s">
        <v>88</v>
      </c>
      <c r="AI1119" s="364" t="s">
        <v>1155</v>
      </c>
      <c r="AJ1119" s="364" t="s">
        <v>710</v>
      </c>
      <c r="AK1119" s="364" t="s">
        <v>647</v>
      </c>
      <c r="AL1119" s="364" t="s">
        <v>88</v>
      </c>
      <c r="AM1119" s="364" t="s">
        <v>668</v>
      </c>
      <c r="AN1119" s="364" t="s">
        <v>644</v>
      </c>
    </row>
    <row r="1120" spans="1:40" x14ac:dyDescent="0.3">
      <c r="A1120" s="364" t="s">
        <v>1517</v>
      </c>
      <c r="B1120" s="364" t="s">
        <v>661</v>
      </c>
      <c r="C1120" s="364" t="s">
        <v>677</v>
      </c>
      <c r="D1120" s="364" t="s">
        <v>90</v>
      </c>
      <c r="E1120" s="364" t="s">
        <v>1516</v>
      </c>
      <c r="F1120" s="364" t="s">
        <v>1516</v>
      </c>
      <c r="G1120" s="364" t="s">
        <v>658</v>
      </c>
      <c r="H1120" s="364" t="s">
        <v>1515</v>
      </c>
      <c r="I1120" s="364" t="s">
        <v>1514</v>
      </c>
      <c r="J1120" s="364" t="s">
        <v>673</v>
      </c>
      <c r="K1120" s="364" t="s">
        <v>668</v>
      </c>
      <c r="L1120" s="364" t="s">
        <v>190</v>
      </c>
      <c r="M1120" s="364" t="s">
        <v>61</v>
      </c>
      <c r="N1120" s="364" t="s">
        <v>654</v>
      </c>
      <c r="O1120" s="364" t="s">
        <v>653</v>
      </c>
      <c r="P1120" s="364" t="s">
        <v>198</v>
      </c>
      <c r="Q1120" s="364" t="s">
        <v>652</v>
      </c>
      <c r="R1120" s="364" t="s">
        <v>88</v>
      </c>
      <c r="S1120" s="364" t="s">
        <v>88</v>
      </c>
      <c r="T1120" s="364" t="s">
        <v>88</v>
      </c>
      <c r="U1120" s="364" t="s">
        <v>88</v>
      </c>
      <c r="V1120" s="364" t="s">
        <v>88</v>
      </c>
      <c r="W1120" s="364" t="s">
        <v>88</v>
      </c>
      <c r="X1120" s="364" t="s">
        <v>88</v>
      </c>
      <c r="Y1120" s="364" t="s">
        <v>88</v>
      </c>
      <c r="Z1120" s="364" t="s">
        <v>1021</v>
      </c>
      <c r="AA1120" s="364" t="s">
        <v>671</v>
      </c>
      <c r="AB1120" s="364" t="s">
        <v>649</v>
      </c>
      <c r="AC1120" s="364" t="s">
        <v>649</v>
      </c>
      <c r="AD1120" s="364" t="s">
        <v>88</v>
      </c>
      <c r="AE1120" s="364" t="s">
        <v>88</v>
      </c>
      <c r="AF1120" s="364" t="s">
        <v>88</v>
      </c>
      <c r="AG1120" s="364" t="s">
        <v>88</v>
      </c>
      <c r="AH1120" s="364" t="s">
        <v>88</v>
      </c>
      <c r="AI1120" s="364" t="s">
        <v>1155</v>
      </c>
      <c r="AJ1120" s="364" t="s">
        <v>710</v>
      </c>
      <c r="AK1120" s="364" t="s">
        <v>647</v>
      </c>
      <c r="AL1120" s="364" t="s">
        <v>88</v>
      </c>
      <c r="AM1120" s="364" t="s">
        <v>668</v>
      </c>
      <c r="AN1120" s="364" t="s">
        <v>644</v>
      </c>
    </row>
    <row r="1121" spans="1:40" x14ac:dyDescent="0.3">
      <c r="A1121" s="364" t="s">
        <v>1517</v>
      </c>
      <c r="B1121" s="364" t="s">
        <v>661</v>
      </c>
      <c r="C1121" s="364" t="s">
        <v>677</v>
      </c>
      <c r="D1121" s="364" t="s">
        <v>90</v>
      </c>
      <c r="E1121" s="364" t="s">
        <v>1516</v>
      </c>
      <c r="F1121" s="364" t="s">
        <v>1516</v>
      </c>
      <c r="G1121" s="364" t="s">
        <v>658</v>
      </c>
      <c r="H1121" s="364" t="s">
        <v>1515</v>
      </c>
      <c r="I1121" s="364" t="s">
        <v>1514</v>
      </c>
      <c r="J1121" s="364" t="s">
        <v>673</v>
      </c>
      <c r="K1121" s="364" t="s">
        <v>668</v>
      </c>
      <c r="L1121" s="364" t="s">
        <v>190</v>
      </c>
      <c r="M1121" s="364" t="s">
        <v>242</v>
      </c>
      <c r="N1121" s="364" t="s">
        <v>654</v>
      </c>
      <c r="O1121" s="364" t="s">
        <v>653</v>
      </c>
      <c r="P1121" s="364" t="s">
        <v>198</v>
      </c>
      <c r="Q1121" s="364" t="s">
        <v>652</v>
      </c>
      <c r="R1121" s="364" t="s">
        <v>88</v>
      </c>
      <c r="S1121" s="364" t="s">
        <v>88</v>
      </c>
      <c r="T1121" s="364" t="s">
        <v>88</v>
      </c>
      <c r="U1121" s="364" t="s">
        <v>88</v>
      </c>
      <c r="V1121" s="364" t="s">
        <v>88</v>
      </c>
      <c r="W1121" s="364" t="s">
        <v>88</v>
      </c>
      <c r="X1121" s="364" t="s">
        <v>88</v>
      </c>
      <c r="Y1121" s="364" t="s">
        <v>88</v>
      </c>
      <c r="Z1121" s="364" t="s">
        <v>1157</v>
      </c>
      <c r="AA1121" s="364" t="s">
        <v>1156</v>
      </c>
      <c r="AB1121" s="364" t="s">
        <v>649</v>
      </c>
      <c r="AC1121" s="364" t="s">
        <v>649</v>
      </c>
      <c r="AD1121" s="364" t="s">
        <v>88</v>
      </c>
      <c r="AE1121" s="364" t="s">
        <v>88</v>
      </c>
      <c r="AF1121" s="364" t="s">
        <v>88</v>
      </c>
      <c r="AG1121" s="364" t="s">
        <v>88</v>
      </c>
      <c r="AH1121" s="364" t="s">
        <v>88</v>
      </c>
      <c r="AI1121" s="364" t="s">
        <v>1155</v>
      </c>
      <c r="AJ1121" s="364" t="s">
        <v>710</v>
      </c>
      <c r="AK1121" s="364" t="s">
        <v>647</v>
      </c>
      <c r="AL1121" s="364" t="s">
        <v>88</v>
      </c>
      <c r="AM1121" s="364" t="s">
        <v>668</v>
      </c>
      <c r="AN1121" s="364" t="s">
        <v>644</v>
      </c>
    </row>
    <row r="1122" spans="1:40" x14ac:dyDescent="0.3">
      <c r="A1122" s="364" t="s">
        <v>1517</v>
      </c>
      <c r="B1122" s="364" t="s">
        <v>661</v>
      </c>
      <c r="C1122" s="364" t="s">
        <v>677</v>
      </c>
      <c r="D1122" s="364" t="s">
        <v>90</v>
      </c>
      <c r="E1122" s="364" t="s">
        <v>1516</v>
      </c>
      <c r="F1122" s="364" t="s">
        <v>1516</v>
      </c>
      <c r="G1122" s="364" t="s">
        <v>658</v>
      </c>
      <c r="H1122" s="364" t="s">
        <v>1515</v>
      </c>
      <c r="I1122" s="364" t="s">
        <v>1514</v>
      </c>
      <c r="J1122" s="364" t="s">
        <v>673</v>
      </c>
      <c r="K1122" s="364" t="s">
        <v>668</v>
      </c>
      <c r="L1122" s="364" t="s">
        <v>190</v>
      </c>
      <c r="M1122" s="364" t="s">
        <v>54</v>
      </c>
      <c r="N1122" s="364" t="s">
        <v>654</v>
      </c>
      <c r="O1122" s="364" t="s">
        <v>653</v>
      </c>
      <c r="P1122" s="364" t="s">
        <v>198</v>
      </c>
      <c r="Q1122" s="364" t="s">
        <v>652</v>
      </c>
      <c r="R1122" s="364" t="s">
        <v>88</v>
      </c>
      <c r="S1122" s="364" t="s">
        <v>88</v>
      </c>
      <c r="T1122" s="364" t="s">
        <v>88</v>
      </c>
      <c r="U1122" s="364" t="s">
        <v>88</v>
      </c>
      <c r="V1122" s="364" t="s">
        <v>88</v>
      </c>
      <c r="W1122" s="364" t="s">
        <v>88</v>
      </c>
      <c r="X1122" s="364" t="s">
        <v>88</v>
      </c>
      <c r="Y1122" s="364" t="s">
        <v>88</v>
      </c>
      <c r="Z1122" s="364" t="s">
        <v>1265</v>
      </c>
      <c r="AA1122" s="364" t="s">
        <v>649</v>
      </c>
      <c r="AB1122" s="364" t="s">
        <v>649</v>
      </c>
      <c r="AC1122" s="364" t="s">
        <v>649</v>
      </c>
      <c r="AD1122" s="364" t="s">
        <v>88</v>
      </c>
      <c r="AE1122" s="364" t="s">
        <v>88</v>
      </c>
      <c r="AF1122" s="364" t="s">
        <v>88</v>
      </c>
      <c r="AG1122" s="364" t="s">
        <v>88</v>
      </c>
      <c r="AH1122" s="364" t="s">
        <v>88</v>
      </c>
      <c r="AI1122" s="364" t="s">
        <v>1155</v>
      </c>
      <c r="AJ1122" s="364" t="s">
        <v>710</v>
      </c>
      <c r="AK1122" s="364" t="s">
        <v>647</v>
      </c>
      <c r="AL1122" s="364" t="s">
        <v>88</v>
      </c>
      <c r="AM1122" s="364" t="s">
        <v>668</v>
      </c>
      <c r="AN1122" s="364" t="s">
        <v>644</v>
      </c>
    </row>
    <row r="1123" spans="1:40" x14ac:dyDescent="0.3">
      <c r="A1123" s="364" t="s">
        <v>1517</v>
      </c>
      <c r="B1123" s="364" t="s">
        <v>661</v>
      </c>
      <c r="C1123" s="364" t="s">
        <v>677</v>
      </c>
      <c r="D1123" s="364" t="s">
        <v>90</v>
      </c>
      <c r="E1123" s="364" t="s">
        <v>1516</v>
      </c>
      <c r="F1123" s="364" t="s">
        <v>1516</v>
      </c>
      <c r="G1123" s="364" t="s">
        <v>658</v>
      </c>
      <c r="H1123" s="364" t="s">
        <v>1515</v>
      </c>
      <c r="I1123" s="364" t="s">
        <v>1514</v>
      </c>
      <c r="J1123" s="364" t="s">
        <v>673</v>
      </c>
      <c r="K1123" s="364" t="s">
        <v>668</v>
      </c>
      <c r="L1123" s="364" t="s">
        <v>190</v>
      </c>
      <c r="M1123" s="364" t="s">
        <v>1168</v>
      </c>
      <c r="N1123" s="364" t="s">
        <v>654</v>
      </c>
      <c r="O1123" s="364" t="s">
        <v>653</v>
      </c>
      <c r="P1123" s="364" t="s">
        <v>198</v>
      </c>
      <c r="Q1123" s="364" t="s">
        <v>652</v>
      </c>
      <c r="R1123" s="364" t="s">
        <v>88</v>
      </c>
      <c r="S1123" s="364" t="s">
        <v>88</v>
      </c>
      <c r="T1123" s="364" t="s">
        <v>88</v>
      </c>
      <c r="U1123" s="364" t="s">
        <v>88</v>
      </c>
      <c r="V1123" s="364" t="s">
        <v>88</v>
      </c>
      <c r="W1123" s="364" t="s">
        <v>88</v>
      </c>
      <c r="X1123" s="364" t="s">
        <v>88</v>
      </c>
      <c r="Y1123" s="364" t="s">
        <v>88</v>
      </c>
      <c r="Z1123" s="364" t="s">
        <v>1167</v>
      </c>
      <c r="AA1123" s="364" t="s">
        <v>1166</v>
      </c>
      <c r="AB1123" s="364" t="s">
        <v>649</v>
      </c>
      <c r="AC1123" s="364" t="s">
        <v>649</v>
      </c>
      <c r="AD1123" s="364" t="s">
        <v>88</v>
      </c>
      <c r="AE1123" s="364" t="s">
        <v>88</v>
      </c>
      <c r="AF1123" s="364" t="s">
        <v>88</v>
      </c>
      <c r="AG1123" s="364" t="s">
        <v>88</v>
      </c>
      <c r="AH1123" s="364" t="s">
        <v>88</v>
      </c>
      <c r="AI1123" s="364" t="s">
        <v>1155</v>
      </c>
      <c r="AJ1123" s="364" t="s">
        <v>710</v>
      </c>
      <c r="AK1123" s="364" t="s">
        <v>647</v>
      </c>
      <c r="AL1123" s="364" t="s">
        <v>88</v>
      </c>
      <c r="AM1123" s="364" t="s">
        <v>668</v>
      </c>
      <c r="AN1123" s="364" t="s">
        <v>644</v>
      </c>
    </row>
    <row r="1124" spans="1:40" x14ac:dyDescent="0.3">
      <c r="A1124" s="364" t="s">
        <v>1517</v>
      </c>
      <c r="B1124" s="364" t="s">
        <v>661</v>
      </c>
      <c r="C1124" s="364" t="s">
        <v>677</v>
      </c>
      <c r="D1124" s="364" t="s">
        <v>90</v>
      </c>
      <c r="E1124" s="364" t="s">
        <v>1516</v>
      </c>
      <c r="F1124" s="364" t="s">
        <v>1516</v>
      </c>
      <c r="G1124" s="364" t="s">
        <v>658</v>
      </c>
      <c r="H1124" s="364" t="s">
        <v>1515</v>
      </c>
      <c r="I1124" s="364" t="s">
        <v>1514</v>
      </c>
      <c r="J1124" s="364" t="s">
        <v>673</v>
      </c>
      <c r="K1124" s="364" t="s">
        <v>668</v>
      </c>
      <c r="L1124" s="364" t="s">
        <v>190</v>
      </c>
      <c r="M1124" s="364" t="s">
        <v>713</v>
      </c>
      <c r="N1124" s="364" t="s">
        <v>654</v>
      </c>
      <c r="O1124" s="364" t="s">
        <v>653</v>
      </c>
      <c r="P1124" s="364" t="s">
        <v>198</v>
      </c>
      <c r="Q1124" s="364" t="s">
        <v>652</v>
      </c>
      <c r="R1124" s="364" t="s">
        <v>88</v>
      </c>
      <c r="S1124" s="364" t="s">
        <v>88</v>
      </c>
      <c r="T1124" s="364" t="s">
        <v>88</v>
      </c>
      <c r="U1124" s="364" t="s">
        <v>88</v>
      </c>
      <c r="V1124" s="364" t="s">
        <v>88</v>
      </c>
      <c r="W1124" s="364" t="s">
        <v>88</v>
      </c>
      <c r="X1124" s="364" t="s">
        <v>88</v>
      </c>
      <c r="Y1124" s="364" t="s">
        <v>88</v>
      </c>
      <c r="Z1124" s="364" t="s">
        <v>712</v>
      </c>
      <c r="AA1124" s="364" t="s">
        <v>711</v>
      </c>
      <c r="AB1124" s="364" t="s">
        <v>649</v>
      </c>
      <c r="AC1124" s="364" t="s">
        <v>649</v>
      </c>
      <c r="AD1124" s="364" t="s">
        <v>88</v>
      </c>
      <c r="AE1124" s="364" t="s">
        <v>88</v>
      </c>
      <c r="AF1124" s="364" t="s">
        <v>88</v>
      </c>
      <c r="AG1124" s="364" t="s">
        <v>88</v>
      </c>
      <c r="AH1124" s="364" t="s">
        <v>88</v>
      </c>
      <c r="AI1124" s="364" t="s">
        <v>1155</v>
      </c>
      <c r="AJ1124" s="364" t="s">
        <v>710</v>
      </c>
      <c r="AK1124" s="364" t="s">
        <v>647</v>
      </c>
      <c r="AL1124" s="364" t="s">
        <v>88</v>
      </c>
      <c r="AM1124" s="364" t="s">
        <v>668</v>
      </c>
      <c r="AN1124" s="364" t="s">
        <v>644</v>
      </c>
    </row>
    <row r="1125" spans="1:40" x14ac:dyDescent="0.3">
      <c r="A1125" s="364" t="s">
        <v>1517</v>
      </c>
      <c r="B1125" s="364" t="s">
        <v>661</v>
      </c>
      <c r="C1125" s="364" t="s">
        <v>677</v>
      </c>
      <c r="D1125" s="364" t="s">
        <v>90</v>
      </c>
      <c r="E1125" s="364" t="s">
        <v>1516</v>
      </c>
      <c r="F1125" s="364" t="s">
        <v>1516</v>
      </c>
      <c r="G1125" s="364" t="s">
        <v>658</v>
      </c>
      <c r="H1125" s="364" t="s">
        <v>1515</v>
      </c>
      <c r="I1125" s="364" t="s">
        <v>1514</v>
      </c>
      <c r="J1125" s="364" t="s">
        <v>673</v>
      </c>
      <c r="K1125" s="364" t="s">
        <v>668</v>
      </c>
      <c r="L1125" s="364" t="s">
        <v>190</v>
      </c>
      <c r="M1125" s="364" t="s">
        <v>56</v>
      </c>
      <c r="N1125" s="364" t="s">
        <v>654</v>
      </c>
      <c r="O1125" s="364" t="s">
        <v>653</v>
      </c>
      <c r="P1125" s="364" t="s">
        <v>198</v>
      </c>
      <c r="Q1125" s="364" t="s">
        <v>652</v>
      </c>
      <c r="R1125" s="364" t="s">
        <v>88</v>
      </c>
      <c r="S1125" s="364" t="s">
        <v>88</v>
      </c>
      <c r="T1125" s="364" t="s">
        <v>88</v>
      </c>
      <c r="U1125" s="364" t="s">
        <v>88</v>
      </c>
      <c r="V1125" s="364" t="s">
        <v>88</v>
      </c>
      <c r="W1125" s="364" t="s">
        <v>88</v>
      </c>
      <c r="X1125" s="364" t="s">
        <v>88</v>
      </c>
      <c r="Y1125" s="364" t="s">
        <v>88</v>
      </c>
      <c r="Z1125" s="364" t="s">
        <v>1165</v>
      </c>
      <c r="AA1125" s="364" t="s">
        <v>1164</v>
      </c>
      <c r="AB1125" s="364" t="s">
        <v>649</v>
      </c>
      <c r="AC1125" s="364" t="s">
        <v>649</v>
      </c>
      <c r="AD1125" s="364" t="s">
        <v>88</v>
      </c>
      <c r="AE1125" s="364" t="s">
        <v>88</v>
      </c>
      <c r="AF1125" s="364" t="s">
        <v>88</v>
      </c>
      <c r="AG1125" s="364" t="s">
        <v>88</v>
      </c>
      <c r="AH1125" s="364" t="s">
        <v>88</v>
      </c>
      <c r="AI1125" s="364" t="s">
        <v>1155</v>
      </c>
      <c r="AJ1125" s="364" t="s">
        <v>710</v>
      </c>
      <c r="AK1125" s="364" t="s">
        <v>647</v>
      </c>
      <c r="AL1125" s="364" t="s">
        <v>88</v>
      </c>
      <c r="AM1125" s="364" t="s">
        <v>668</v>
      </c>
      <c r="AN1125" s="364" t="s">
        <v>644</v>
      </c>
    </row>
    <row r="1126" spans="1:40" x14ac:dyDescent="0.3">
      <c r="A1126" s="364" t="s">
        <v>1517</v>
      </c>
      <c r="B1126" s="364" t="s">
        <v>661</v>
      </c>
      <c r="C1126" s="364" t="s">
        <v>677</v>
      </c>
      <c r="D1126" s="364" t="s">
        <v>90</v>
      </c>
      <c r="E1126" s="364" t="s">
        <v>1516</v>
      </c>
      <c r="F1126" s="364" t="s">
        <v>1516</v>
      </c>
      <c r="G1126" s="364" t="s">
        <v>658</v>
      </c>
      <c r="H1126" s="364" t="s">
        <v>1515</v>
      </c>
      <c r="I1126" s="364" t="s">
        <v>1514</v>
      </c>
      <c r="J1126" s="364" t="s">
        <v>673</v>
      </c>
      <c r="K1126" s="364" t="s">
        <v>668</v>
      </c>
      <c r="L1126" s="364" t="s">
        <v>190</v>
      </c>
      <c r="M1126" s="364" t="s">
        <v>241</v>
      </c>
      <c r="N1126" s="364" t="s">
        <v>654</v>
      </c>
      <c r="O1126" s="364" t="s">
        <v>653</v>
      </c>
      <c r="P1126" s="364" t="s">
        <v>198</v>
      </c>
      <c r="Q1126" s="364" t="s">
        <v>652</v>
      </c>
      <c r="R1126" s="364" t="s">
        <v>88</v>
      </c>
      <c r="S1126" s="364" t="s">
        <v>88</v>
      </c>
      <c r="T1126" s="364" t="s">
        <v>88</v>
      </c>
      <c r="U1126" s="364" t="s">
        <v>88</v>
      </c>
      <c r="V1126" s="364" t="s">
        <v>88</v>
      </c>
      <c r="W1126" s="364" t="s">
        <v>88</v>
      </c>
      <c r="X1126" s="364" t="s">
        <v>88</v>
      </c>
      <c r="Y1126" s="364" t="s">
        <v>88</v>
      </c>
      <c r="Z1126" s="364" t="s">
        <v>1170</v>
      </c>
      <c r="AA1126" s="364" t="s">
        <v>1169</v>
      </c>
      <c r="AB1126" s="364" t="s">
        <v>649</v>
      </c>
      <c r="AC1126" s="364" t="s">
        <v>649</v>
      </c>
      <c r="AD1126" s="364" t="s">
        <v>88</v>
      </c>
      <c r="AE1126" s="364" t="s">
        <v>88</v>
      </c>
      <c r="AF1126" s="364" t="s">
        <v>88</v>
      </c>
      <c r="AG1126" s="364" t="s">
        <v>88</v>
      </c>
      <c r="AH1126" s="364" t="s">
        <v>88</v>
      </c>
      <c r="AI1126" s="364" t="s">
        <v>1155</v>
      </c>
      <c r="AJ1126" s="364" t="s">
        <v>710</v>
      </c>
      <c r="AK1126" s="364" t="s">
        <v>647</v>
      </c>
      <c r="AL1126" s="364" t="s">
        <v>88</v>
      </c>
      <c r="AM1126" s="364" t="s">
        <v>668</v>
      </c>
      <c r="AN1126" s="364" t="s">
        <v>644</v>
      </c>
    </row>
    <row r="1127" spans="1:40" x14ac:dyDescent="0.3">
      <c r="A1127" s="364" t="s">
        <v>1517</v>
      </c>
      <c r="B1127" s="364" t="s">
        <v>661</v>
      </c>
      <c r="C1127" s="364" t="s">
        <v>677</v>
      </c>
      <c r="D1127" s="364" t="s">
        <v>90</v>
      </c>
      <c r="E1127" s="364" t="s">
        <v>1516</v>
      </c>
      <c r="F1127" s="364" t="s">
        <v>1516</v>
      </c>
      <c r="G1127" s="364" t="s">
        <v>658</v>
      </c>
      <c r="H1127" s="364" t="s">
        <v>1515</v>
      </c>
      <c r="I1127" s="364" t="s">
        <v>1514</v>
      </c>
      <c r="J1127" s="364" t="s">
        <v>673</v>
      </c>
      <c r="K1127" s="364" t="s">
        <v>668</v>
      </c>
      <c r="L1127" s="364" t="s">
        <v>190</v>
      </c>
      <c r="M1127" s="364" t="s">
        <v>240</v>
      </c>
      <c r="N1127" s="364" t="s">
        <v>654</v>
      </c>
      <c r="O1127" s="364" t="s">
        <v>653</v>
      </c>
      <c r="P1127" s="364" t="s">
        <v>198</v>
      </c>
      <c r="Q1127" s="364" t="s">
        <v>652</v>
      </c>
      <c r="R1127" s="364" t="s">
        <v>88</v>
      </c>
      <c r="S1127" s="364" t="s">
        <v>88</v>
      </c>
      <c r="T1127" s="364" t="s">
        <v>88</v>
      </c>
      <c r="U1127" s="364" t="s">
        <v>88</v>
      </c>
      <c r="V1127" s="364" t="s">
        <v>88</v>
      </c>
      <c r="W1127" s="364" t="s">
        <v>88</v>
      </c>
      <c r="X1127" s="364" t="s">
        <v>88</v>
      </c>
      <c r="Y1127" s="364" t="s">
        <v>88</v>
      </c>
      <c r="Z1127" s="364" t="s">
        <v>1163</v>
      </c>
      <c r="AA1127" s="364" t="s">
        <v>1162</v>
      </c>
      <c r="AB1127" s="364" t="s">
        <v>649</v>
      </c>
      <c r="AC1127" s="364" t="s">
        <v>649</v>
      </c>
      <c r="AD1127" s="364" t="s">
        <v>88</v>
      </c>
      <c r="AE1127" s="364" t="s">
        <v>88</v>
      </c>
      <c r="AF1127" s="364" t="s">
        <v>88</v>
      </c>
      <c r="AG1127" s="364" t="s">
        <v>88</v>
      </c>
      <c r="AH1127" s="364" t="s">
        <v>88</v>
      </c>
      <c r="AI1127" s="364" t="s">
        <v>1155</v>
      </c>
      <c r="AJ1127" s="364" t="s">
        <v>710</v>
      </c>
      <c r="AK1127" s="364" t="s">
        <v>647</v>
      </c>
      <c r="AL1127" s="364" t="s">
        <v>88</v>
      </c>
      <c r="AM1127" s="364" t="s">
        <v>668</v>
      </c>
      <c r="AN1127" s="364" t="s">
        <v>644</v>
      </c>
    </row>
    <row r="1128" spans="1:40" x14ac:dyDescent="0.3">
      <c r="A1128" s="364" t="s">
        <v>1513</v>
      </c>
      <c r="B1128" s="364" t="s">
        <v>661</v>
      </c>
      <c r="C1128" s="364" t="s">
        <v>677</v>
      </c>
      <c r="D1128" s="364" t="s">
        <v>90</v>
      </c>
      <c r="E1128" s="364" t="s">
        <v>1512</v>
      </c>
      <c r="F1128" s="364" t="s">
        <v>1512</v>
      </c>
      <c r="G1128" s="364" t="s">
        <v>658</v>
      </c>
      <c r="H1128" s="364" t="s">
        <v>1511</v>
      </c>
      <c r="I1128" s="364" t="s">
        <v>1510</v>
      </c>
      <c r="J1128" s="364" t="s">
        <v>673</v>
      </c>
      <c r="K1128" s="364" t="s">
        <v>668</v>
      </c>
      <c r="L1128" s="364" t="s">
        <v>190</v>
      </c>
      <c r="M1128" s="364" t="s">
        <v>61</v>
      </c>
      <c r="N1128" s="364" t="s">
        <v>654</v>
      </c>
      <c r="O1128" s="364" t="s">
        <v>653</v>
      </c>
      <c r="P1128" s="364" t="s">
        <v>198</v>
      </c>
      <c r="Q1128" s="364" t="s">
        <v>652</v>
      </c>
      <c r="R1128" s="364" t="s">
        <v>88</v>
      </c>
      <c r="S1128" s="364" t="s">
        <v>88</v>
      </c>
      <c r="T1128" s="364" t="s">
        <v>88</v>
      </c>
      <c r="U1128" s="364" t="s">
        <v>88</v>
      </c>
      <c r="V1128" s="364" t="s">
        <v>88</v>
      </c>
      <c r="W1128" s="364" t="s">
        <v>88</v>
      </c>
      <c r="X1128" s="364" t="s">
        <v>88</v>
      </c>
      <c r="Y1128" s="364" t="s">
        <v>88</v>
      </c>
      <c r="Z1128" s="364" t="s">
        <v>1021</v>
      </c>
      <c r="AA1128" s="364" t="s">
        <v>671</v>
      </c>
      <c r="AB1128" s="364" t="s">
        <v>649</v>
      </c>
      <c r="AC1128" s="364" t="s">
        <v>649</v>
      </c>
      <c r="AD1128" s="364" t="s">
        <v>88</v>
      </c>
      <c r="AE1128" s="364" t="s">
        <v>88</v>
      </c>
      <c r="AF1128" s="364" t="s">
        <v>88</v>
      </c>
      <c r="AG1128" s="364" t="s">
        <v>88</v>
      </c>
      <c r="AH1128" s="364" t="s">
        <v>88</v>
      </c>
      <c r="AI1128" s="364" t="s">
        <v>1155</v>
      </c>
      <c r="AJ1128" s="364" t="s">
        <v>710</v>
      </c>
      <c r="AK1128" s="364" t="s">
        <v>647</v>
      </c>
      <c r="AL1128" s="364" t="s">
        <v>88</v>
      </c>
      <c r="AM1128" s="364" t="s">
        <v>668</v>
      </c>
      <c r="AN1128" s="364" t="s">
        <v>644</v>
      </c>
    </row>
    <row r="1129" spans="1:40" x14ac:dyDescent="0.3">
      <c r="A1129" s="364" t="s">
        <v>1513</v>
      </c>
      <c r="B1129" s="364" t="s">
        <v>661</v>
      </c>
      <c r="C1129" s="364" t="s">
        <v>677</v>
      </c>
      <c r="D1129" s="364" t="s">
        <v>90</v>
      </c>
      <c r="E1129" s="364" t="s">
        <v>1512</v>
      </c>
      <c r="F1129" s="364" t="s">
        <v>1512</v>
      </c>
      <c r="G1129" s="364" t="s">
        <v>658</v>
      </c>
      <c r="H1129" s="364" t="s">
        <v>1511</v>
      </c>
      <c r="I1129" s="364" t="s">
        <v>1510</v>
      </c>
      <c r="J1129" s="364" t="s">
        <v>673</v>
      </c>
      <c r="K1129" s="364" t="s">
        <v>668</v>
      </c>
      <c r="L1129" s="364" t="s">
        <v>190</v>
      </c>
      <c r="M1129" s="364" t="s">
        <v>242</v>
      </c>
      <c r="N1129" s="364" t="s">
        <v>654</v>
      </c>
      <c r="O1129" s="364" t="s">
        <v>653</v>
      </c>
      <c r="P1129" s="364" t="s">
        <v>198</v>
      </c>
      <c r="Q1129" s="364" t="s">
        <v>652</v>
      </c>
      <c r="R1129" s="364" t="s">
        <v>88</v>
      </c>
      <c r="S1129" s="364" t="s">
        <v>88</v>
      </c>
      <c r="T1129" s="364" t="s">
        <v>88</v>
      </c>
      <c r="U1129" s="364" t="s">
        <v>88</v>
      </c>
      <c r="V1129" s="364" t="s">
        <v>88</v>
      </c>
      <c r="W1129" s="364" t="s">
        <v>88</v>
      </c>
      <c r="X1129" s="364" t="s">
        <v>88</v>
      </c>
      <c r="Y1129" s="364" t="s">
        <v>88</v>
      </c>
      <c r="Z1129" s="364" t="s">
        <v>1157</v>
      </c>
      <c r="AA1129" s="364" t="s">
        <v>1156</v>
      </c>
      <c r="AB1129" s="364" t="s">
        <v>649</v>
      </c>
      <c r="AC1129" s="364" t="s">
        <v>649</v>
      </c>
      <c r="AD1129" s="364" t="s">
        <v>88</v>
      </c>
      <c r="AE1129" s="364" t="s">
        <v>88</v>
      </c>
      <c r="AF1129" s="364" t="s">
        <v>88</v>
      </c>
      <c r="AG1129" s="364" t="s">
        <v>88</v>
      </c>
      <c r="AH1129" s="364" t="s">
        <v>88</v>
      </c>
      <c r="AI1129" s="364" t="s">
        <v>1155</v>
      </c>
      <c r="AJ1129" s="364" t="s">
        <v>710</v>
      </c>
      <c r="AK1129" s="364" t="s">
        <v>647</v>
      </c>
      <c r="AL1129" s="364" t="s">
        <v>88</v>
      </c>
      <c r="AM1129" s="364" t="s">
        <v>668</v>
      </c>
      <c r="AN1129" s="364" t="s">
        <v>644</v>
      </c>
    </row>
    <row r="1130" spans="1:40" x14ac:dyDescent="0.3">
      <c r="A1130" s="364" t="s">
        <v>1513</v>
      </c>
      <c r="B1130" s="364" t="s">
        <v>661</v>
      </c>
      <c r="C1130" s="364" t="s">
        <v>677</v>
      </c>
      <c r="D1130" s="364" t="s">
        <v>90</v>
      </c>
      <c r="E1130" s="364" t="s">
        <v>1512</v>
      </c>
      <c r="F1130" s="364" t="s">
        <v>1512</v>
      </c>
      <c r="G1130" s="364" t="s">
        <v>658</v>
      </c>
      <c r="H1130" s="364" t="s">
        <v>1511</v>
      </c>
      <c r="I1130" s="364" t="s">
        <v>1510</v>
      </c>
      <c r="J1130" s="364" t="s">
        <v>673</v>
      </c>
      <c r="K1130" s="364" t="s">
        <v>668</v>
      </c>
      <c r="L1130" s="364" t="s">
        <v>190</v>
      </c>
      <c r="M1130" s="364" t="s">
        <v>1168</v>
      </c>
      <c r="N1130" s="364" t="s">
        <v>654</v>
      </c>
      <c r="O1130" s="364" t="s">
        <v>653</v>
      </c>
      <c r="P1130" s="364" t="s">
        <v>198</v>
      </c>
      <c r="Q1130" s="364" t="s">
        <v>652</v>
      </c>
      <c r="R1130" s="364" t="s">
        <v>88</v>
      </c>
      <c r="S1130" s="364" t="s">
        <v>88</v>
      </c>
      <c r="T1130" s="364" t="s">
        <v>88</v>
      </c>
      <c r="U1130" s="364" t="s">
        <v>88</v>
      </c>
      <c r="V1130" s="364" t="s">
        <v>88</v>
      </c>
      <c r="W1130" s="364" t="s">
        <v>88</v>
      </c>
      <c r="X1130" s="364" t="s">
        <v>88</v>
      </c>
      <c r="Y1130" s="364" t="s">
        <v>88</v>
      </c>
      <c r="Z1130" s="364" t="s">
        <v>1167</v>
      </c>
      <c r="AA1130" s="364" t="s">
        <v>1166</v>
      </c>
      <c r="AB1130" s="364" t="s">
        <v>649</v>
      </c>
      <c r="AC1130" s="364" t="s">
        <v>649</v>
      </c>
      <c r="AD1130" s="364" t="s">
        <v>88</v>
      </c>
      <c r="AE1130" s="364" t="s">
        <v>88</v>
      </c>
      <c r="AF1130" s="364" t="s">
        <v>88</v>
      </c>
      <c r="AG1130" s="364" t="s">
        <v>88</v>
      </c>
      <c r="AH1130" s="364" t="s">
        <v>88</v>
      </c>
      <c r="AI1130" s="364" t="s">
        <v>1155</v>
      </c>
      <c r="AJ1130" s="364" t="s">
        <v>710</v>
      </c>
      <c r="AK1130" s="364" t="s">
        <v>647</v>
      </c>
      <c r="AL1130" s="364" t="s">
        <v>88</v>
      </c>
      <c r="AM1130" s="364" t="s">
        <v>668</v>
      </c>
      <c r="AN1130" s="364" t="s">
        <v>644</v>
      </c>
    </row>
    <row r="1131" spans="1:40" x14ac:dyDescent="0.3">
      <c r="A1131" s="364" t="s">
        <v>1513</v>
      </c>
      <c r="B1131" s="364" t="s">
        <v>661</v>
      </c>
      <c r="C1131" s="364" t="s">
        <v>677</v>
      </c>
      <c r="D1131" s="364" t="s">
        <v>90</v>
      </c>
      <c r="E1131" s="364" t="s">
        <v>1512</v>
      </c>
      <c r="F1131" s="364" t="s">
        <v>1512</v>
      </c>
      <c r="G1131" s="364" t="s">
        <v>658</v>
      </c>
      <c r="H1131" s="364" t="s">
        <v>1511</v>
      </c>
      <c r="I1131" s="364" t="s">
        <v>1510</v>
      </c>
      <c r="J1131" s="364" t="s">
        <v>673</v>
      </c>
      <c r="K1131" s="364" t="s">
        <v>668</v>
      </c>
      <c r="L1131" s="364" t="s">
        <v>190</v>
      </c>
      <c r="M1131" s="364" t="s">
        <v>713</v>
      </c>
      <c r="N1131" s="364" t="s">
        <v>654</v>
      </c>
      <c r="O1131" s="364" t="s">
        <v>653</v>
      </c>
      <c r="P1131" s="364" t="s">
        <v>198</v>
      </c>
      <c r="Q1131" s="364" t="s">
        <v>652</v>
      </c>
      <c r="R1131" s="364" t="s">
        <v>88</v>
      </c>
      <c r="S1131" s="364" t="s">
        <v>88</v>
      </c>
      <c r="T1131" s="364" t="s">
        <v>88</v>
      </c>
      <c r="U1131" s="364" t="s">
        <v>88</v>
      </c>
      <c r="V1131" s="364" t="s">
        <v>88</v>
      </c>
      <c r="W1131" s="364" t="s">
        <v>88</v>
      </c>
      <c r="X1131" s="364" t="s">
        <v>88</v>
      </c>
      <c r="Y1131" s="364" t="s">
        <v>88</v>
      </c>
      <c r="Z1131" s="364" t="s">
        <v>712</v>
      </c>
      <c r="AA1131" s="364" t="s">
        <v>711</v>
      </c>
      <c r="AB1131" s="364" t="s">
        <v>649</v>
      </c>
      <c r="AC1131" s="364" t="s">
        <v>649</v>
      </c>
      <c r="AD1131" s="364" t="s">
        <v>88</v>
      </c>
      <c r="AE1131" s="364" t="s">
        <v>88</v>
      </c>
      <c r="AF1131" s="364" t="s">
        <v>88</v>
      </c>
      <c r="AG1131" s="364" t="s">
        <v>88</v>
      </c>
      <c r="AH1131" s="364" t="s">
        <v>88</v>
      </c>
      <c r="AI1131" s="364" t="s">
        <v>1155</v>
      </c>
      <c r="AJ1131" s="364" t="s">
        <v>710</v>
      </c>
      <c r="AK1131" s="364" t="s">
        <v>647</v>
      </c>
      <c r="AL1131" s="364" t="s">
        <v>88</v>
      </c>
      <c r="AM1131" s="364" t="s">
        <v>668</v>
      </c>
      <c r="AN1131" s="364" t="s">
        <v>644</v>
      </c>
    </row>
    <row r="1132" spans="1:40" x14ac:dyDescent="0.3">
      <c r="A1132" s="364" t="s">
        <v>1513</v>
      </c>
      <c r="B1132" s="364" t="s">
        <v>661</v>
      </c>
      <c r="C1132" s="364" t="s">
        <v>677</v>
      </c>
      <c r="D1132" s="364" t="s">
        <v>90</v>
      </c>
      <c r="E1132" s="364" t="s">
        <v>1512</v>
      </c>
      <c r="F1132" s="364" t="s">
        <v>1512</v>
      </c>
      <c r="G1132" s="364" t="s">
        <v>658</v>
      </c>
      <c r="H1132" s="364" t="s">
        <v>1511</v>
      </c>
      <c r="I1132" s="364" t="s">
        <v>1510</v>
      </c>
      <c r="J1132" s="364" t="s">
        <v>673</v>
      </c>
      <c r="K1132" s="364" t="s">
        <v>668</v>
      </c>
      <c r="L1132" s="364" t="s">
        <v>190</v>
      </c>
      <c r="M1132" s="364" t="s">
        <v>56</v>
      </c>
      <c r="N1132" s="364" t="s">
        <v>654</v>
      </c>
      <c r="O1132" s="364" t="s">
        <v>653</v>
      </c>
      <c r="P1132" s="364" t="s">
        <v>198</v>
      </c>
      <c r="Q1132" s="364" t="s">
        <v>652</v>
      </c>
      <c r="R1132" s="364" t="s">
        <v>88</v>
      </c>
      <c r="S1132" s="364" t="s">
        <v>88</v>
      </c>
      <c r="T1132" s="364" t="s">
        <v>88</v>
      </c>
      <c r="U1132" s="364" t="s">
        <v>88</v>
      </c>
      <c r="V1132" s="364" t="s">
        <v>88</v>
      </c>
      <c r="W1132" s="364" t="s">
        <v>88</v>
      </c>
      <c r="X1132" s="364" t="s">
        <v>88</v>
      </c>
      <c r="Y1132" s="364" t="s">
        <v>88</v>
      </c>
      <c r="Z1132" s="364" t="s">
        <v>1165</v>
      </c>
      <c r="AA1132" s="364" t="s">
        <v>1164</v>
      </c>
      <c r="AB1132" s="364" t="s">
        <v>649</v>
      </c>
      <c r="AC1132" s="364" t="s">
        <v>649</v>
      </c>
      <c r="AD1132" s="364" t="s">
        <v>88</v>
      </c>
      <c r="AE1132" s="364" t="s">
        <v>88</v>
      </c>
      <c r="AF1132" s="364" t="s">
        <v>88</v>
      </c>
      <c r="AG1132" s="364" t="s">
        <v>88</v>
      </c>
      <c r="AH1132" s="364" t="s">
        <v>88</v>
      </c>
      <c r="AI1132" s="364" t="s">
        <v>1155</v>
      </c>
      <c r="AJ1132" s="364" t="s">
        <v>710</v>
      </c>
      <c r="AK1132" s="364" t="s">
        <v>647</v>
      </c>
      <c r="AL1132" s="364" t="s">
        <v>88</v>
      </c>
      <c r="AM1132" s="364" t="s">
        <v>668</v>
      </c>
      <c r="AN1132" s="364" t="s">
        <v>644</v>
      </c>
    </row>
    <row r="1133" spans="1:40" x14ac:dyDescent="0.3">
      <c r="A1133" s="364" t="s">
        <v>1513</v>
      </c>
      <c r="B1133" s="364" t="s">
        <v>661</v>
      </c>
      <c r="C1133" s="364" t="s">
        <v>677</v>
      </c>
      <c r="D1133" s="364" t="s">
        <v>90</v>
      </c>
      <c r="E1133" s="364" t="s">
        <v>1512</v>
      </c>
      <c r="F1133" s="364" t="s">
        <v>1512</v>
      </c>
      <c r="G1133" s="364" t="s">
        <v>658</v>
      </c>
      <c r="H1133" s="364" t="s">
        <v>1511</v>
      </c>
      <c r="I1133" s="364" t="s">
        <v>1510</v>
      </c>
      <c r="J1133" s="364" t="s">
        <v>673</v>
      </c>
      <c r="K1133" s="364" t="s">
        <v>668</v>
      </c>
      <c r="L1133" s="364" t="s">
        <v>190</v>
      </c>
      <c r="M1133" s="364" t="s">
        <v>241</v>
      </c>
      <c r="N1133" s="364" t="s">
        <v>654</v>
      </c>
      <c r="O1133" s="364" t="s">
        <v>653</v>
      </c>
      <c r="P1133" s="364" t="s">
        <v>198</v>
      </c>
      <c r="Q1133" s="364" t="s">
        <v>652</v>
      </c>
      <c r="R1133" s="364" t="s">
        <v>88</v>
      </c>
      <c r="S1133" s="364" t="s">
        <v>88</v>
      </c>
      <c r="T1133" s="364" t="s">
        <v>88</v>
      </c>
      <c r="U1133" s="364" t="s">
        <v>88</v>
      </c>
      <c r="V1133" s="364" t="s">
        <v>88</v>
      </c>
      <c r="W1133" s="364" t="s">
        <v>88</v>
      </c>
      <c r="X1133" s="364" t="s">
        <v>88</v>
      </c>
      <c r="Y1133" s="364" t="s">
        <v>88</v>
      </c>
      <c r="Z1133" s="364" t="s">
        <v>1170</v>
      </c>
      <c r="AA1133" s="364" t="s">
        <v>1169</v>
      </c>
      <c r="AB1133" s="364" t="s">
        <v>649</v>
      </c>
      <c r="AC1133" s="364" t="s">
        <v>649</v>
      </c>
      <c r="AD1133" s="364" t="s">
        <v>88</v>
      </c>
      <c r="AE1133" s="364" t="s">
        <v>88</v>
      </c>
      <c r="AF1133" s="364" t="s">
        <v>88</v>
      </c>
      <c r="AG1133" s="364" t="s">
        <v>88</v>
      </c>
      <c r="AH1133" s="364" t="s">
        <v>88</v>
      </c>
      <c r="AI1133" s="364" t="s">
        <v>1155</v>
      </c>
      <c r="AJ1133" s="364" t="s">
        <v>710</v>
      </c>
      <c r="AK1133" s="364" t="s">
        <v>647</v>
      </c>
      <c r="AL1133" s="364" t="s">
        <v>88</v>
      </c>
      <c r="AM1133" s="364" t="s">
        <v>668</v>
      </c>
      <c r="AN1133" s="364" t="s">
        <v>644</v>
      </c>
    </row>
    <row r="1134" spans="1:40" x14ac:dyDescent="0.3">
      <c r="A1134" s="364" t="s">
        <v>1513</v>
      </c>
      <c r="B1134" s="364" t="s">
        <v>661</v>
      </c>
      <c r="C1134" s="364" t="s">
        <v>677</v>
      </c>
      <c r="D1134" s="364" t="s">
        <v>90</v>
      </c>
      <c r="E1134" s="364" t="s">
        <v>1512</v>
      </c>
      <c r="F1134" s="364" t="s">
        <v>1512</v>
      </c>
      <c r="G1134" s="364" t="s">
        <v>658</v>
      </c>
      <c r="H1134" s="364" t="s">
        <v>1511</v>
      </c>
      <c r="I1134" s="364" t="s">
        <v>1510</v>
      </c>
      <c r="J1134" s="364" t="s">
        <v>673</v>
      </c>
      <c r="K1134" s="364" t="s">
        <v>668</v>
      </c>
      <c r="L1134" s="364" t="s">
        <v>190</v>
      </c>
      <c r="M1134" s="364" t="s">
        <v>240</v>
      </c>
      <c r="N1134" s="364" t="s">
        <v>654</v>
      </c>
      <c r="O1134" s="364" t="s">
        <v>653</v>
      </c>
      <c r="P1134" s="364" t="s">
        <v>198</v>
      </c>
      <c r="Q1134" s="364" t="s">
        <v>652</v>
      </c>
      <c r="R1134" s="364" t="s">
        <v>88</v>
      </c>
      <c r="S1134" s="364" t="s">
        <v>88</v>
      </c>
      <c r="T1134" s="364" t="s">
        <v>88</v>
      </c>
      <c r="U1134" s="364" t="s">
        <v>88</v>
      </c>
      <c r="V1134" s="364" t="s">
        <v>88</v>
      </c>
      <c r="W1134" s="364" t="s">
        <v>88</v>
      </c>
      <c r="X1134" s="364" t="s">
        <v>88</v>
      </c>
      <c r="Y1134" s="364" t="s">
        <v>88</v>
      </c>
      <c r="Z1134" s="364" t="s">
        <v>1163</v>
      </c>
      <c r="AA1134" s="364" t="s">
        <v>1162</v>
      </c>
      <c r="AB1134" s="364" t="s">
        <v>649</v>
      </c>
      <c r="AC1134" s="364" t="s">
        <v>649</v>
      </c>
      <c r="AD1134" s="364" t="s">
        <v>88</v>
      </c>
      <c r="AE1134" s="364" t="s">
        <v>88</v>
      </c>
      <c r="AF1134" s="364" t="s">
        <v>88</v>
      </c>
      <c r="AG1134" s="364" t="s">
        <v>88</v>
      </c>
      <c r="AH1134" s="364" t="s">
        <v>88</v>
      </c>
      <c r="AI1134" s="364" t="s">
        <v>1155</v>
      </c>
      <c r="AJ1134" s="364" t="s">
        <v>710</v>
      </c>
      <c r="AK1134" s="364" t="s">
        <v>647</v>
      </c>
      <c r="AL1134" s="364" t="s">
        <v>88</v>
      </c>
      <c r="AM1134" s="364" t="s">
        <v>668</v>
      </c>
      <c r="AN1134" s="364" t="s">
        <v>644</v>
      </c>
    </row>
    <row r="1135" spans="1:40" x14ac:dyDescent="0.3">
      <c r="A1135" s="364" t="s">
        <v>1513</v>
      </c>
      <c r="B1135" s="364" t="s">
        <v>661</v>
      </c>
      <c r="C1135" s="364" t="s">
        <v>677</v>
      </c>
      <c r="D1135" s="364" t="s">
        <v>90</v>
      </c>
      <c r="E1135" s="364" t="s">
        <v>1512</v>
      </c>
      <c r="F1135" s="364" t="s">
        <v>1512</v>
      </c>
      <c r="G1135" s="364" t="s">
        <v>658</v>
      </c>
      <c r="H1135" s="364" t="s">
        <v>1511</v>
      </c>
      <c r="I1135" s="364" t="s">
        <v>1510</v>
      </c>
      <c r="J1135" s="364" t="s">
        <v>673</v>
      </c>
      <c r="K1135" s="364" t="s">
        <v>668</v>
      </c>
      <c r="L1135" s="364" t="s">
        <v>190</v>
      </c>
      <c r="M1135" s="364" t="s">
        <v>417</v>
      </c>
      <c r="N1135" s="364" t="s">
        <v>654</v>
      </c>
      <c r="O1135" s="364" t="s">
        <v>653</v>
      </c>
      <c r="P1135" s="364" t="s">
        <v>198</v>
      </c>
      <c r="Q1135" s="364" t="s">
        <v>652</v>
      </c>
      <c r="R1135" s="364" t="s">
        <v>88</v>
      </c>
      <c r="S1135" s="364" t="s">
        <v>88</v>
      </c>
      <c r="T1135" s="364" t="s">
        <v>88</v>
      </c>
      <c r="U1135" s="364" t="s">
        <v>88</v>
      </c>
      <c r="V1135" s="364" t="s">
        <v>88</v>
      </c>
      <c r="W1135" s="364" t="s">
        <v>88</v>
      </c>
      <c r="X1135" s="364" t="s">
        <v>88</v>
      </c>
      <c r="Y1135" s="364" t="s">
        <v>88</v>
      </c>
      <c r="Z1135" s="364" t="s">
        <v>1261</v>
      </c>
      <c r="AA1135" s="364" t="s">
        <v>649</v>
      </c>
      <c r="AB1135" s="364" t="s">
        <v>649</v>
      </c>
      <c r="AC1135" s="364" t="s">
        <v>649</v>
      </c>
      <c r="AD1135" s="364" t="s">
        <v>88</v>
      </c>
      <c r="AE1135" s="364" t="s">
        <v>88</v>
      </c>
      <c r="AF1135" s="364" t="s">
        <v>88</v>
      </c>
      <c r="AG1135" s="364" t="s">
        <v>88</v>
      </c>
      <c r="AH1135" s="364" t="s">
        <v>88</v>
      </c>
      <c r="AI1135" s="364" t="s">
        <v>1155</v>
      </c>
      <c r="AJ1135" s="364" t="s">
        <v>710</v>
      </c>
      <c r="AK1135" s="364" t="s">
        <v>647</v>
      </c>
      <c r="AL1135" s="364" t="s">
        <v>88</v>
      </c>
      <c r="AM1135" s="364" t="s">
        <v>668</v>
      </c>
      <c r="AN1135" s="364" t="s">
        <v>644</v>
      </c>
    </row>
    <row r="1136" spans="1:40" x14ac:dyDescent="0.3">
      <c r="A1136" s="364" t="s">
        <v>1509</v>
      </c>
      <c r="B1136" s="364" t="s">
        <v>661</v>
      </c>
      <c r="C1136" s="364" t="s">
        <v>677</v>
      </c>
      <c r="D1136" s="364" t="s">
        <v>90</v>
      </c>
      <c r="E1136" s="364" t="s">
        <v>1508</v>
      </c>
      <c r="F1136" s="364" t="s">
        <v>1508</v>
      </c>
      <c r="G1136" s="364" t="s">
        <v>658</v>
      </c>
      <c r="H1136" s="364" t="s">
        <v>1507</v>
      </c>
      <c r="I1136" s="364" t="s">
        <v>1506</v>
      </c>
      <c r="J1136" s="364" t="s">
        <v>673</v>
      </c>
      <c r="K1136" s="364" t="s">
        <v>668</v>
      </c>
      <c r="L1136" s="364" t="s">
        <v>190</v>
      </c>
      <c r="M1136" s="364" t="s">
        <v>61</v>
      </c>
      <c r="N1136" s="364" t="s">
        <v>654</v>
      </c>
      <c r="O1136" s="364" t="s">
        <v>653</v>
      </c>
      <c r="P1136" s="364" t="s">
        <v>198</v>
      </c>
      <c r="Q1136" s="364" t="s">
        <v>652</v>
      </c>
      <c r="R1136" s="364" t="s">
        <v>88</v>
      </c>
      <c r="S1136" s="364" t="s">
        <v>88</v>
      </c>
      <c r="T1136" s="364" t="s">
        <v>88</v>
      </c>
      <c r="U1136" s="364" t="s">
        <v>88</v>
      </c>
      <c r="V1136" s="364" t="s">
        <v>88</v>
      </c>
      <c r="W1136" s="364" t="s">
        <v>88</v>
      </c>
      <c r="X1136" s="364" t="s">
        <v>88</v>
      </c>
      <c r="Y1136" s="364" t="s">
        <v>88</v>
      </c>
      <c r="Z1136" s="364" t="s">
        <v>1021</v>
      </c>
      <c r="AA1136" s="364" t="s">
        <v>671</v>
      </c>
      <c r="AB1136" s="364" t="s">
        <v>649</v>
      </c>
      <c r="AC1136" s="364" t="s">
        <v>649</v>
      </c>
      <c r="AD1136" s="364" t="s">
        <v>88</v>
      </c>
      <c r="AE1136" s="364" t="s">
        <v>88</v>
      </c>
      <c r="AF1136" s="364" t="s">
        <v>88</v>
      </c>
      <c r="AG1136" s="364" t="s">
        <v>88</v>
      </c>
      <c r="AH1136" s="364" t="s">
        <v>88</v>
      </c>
      <c r="AI1136" s="364" t="s">
        <v>1155</v>
      </c>
      <c r="AJ1136" s="364" t="s">
        <v>710</v>
      </c>
      <c r="AK1136" s="364" t="s">
        <v>647</v>
      </c>
      <c r="AL1136" s="364" t="s">
        <v>88</v>
      </c>
      <c r="AM1136" s="364" t="s">
        <v>668</v>
      </c>
      <c r="AN1136" s="364" t="s">
        <v>644</v>
      </c>
    </row>
    <row r="1137" spans="1:40" x14ac:dyDescent="0.3">
      <c r="A1137" s="364" t="s">
        <v>1509</v>
      </c>
      <c r="B1137" s="364" t="s">
        <v>661</v>
      </c>
      <c r="C1137" s="364" t="s">
        <v>677</v>
      </c>
      <c r="D1137" s="364" t="s">
        <v>90</v>
      </c>
      <c r="E1137" s="364" t="s">
        <v>1508</v>
      </c>
      <c r="F1137" s="364" t="s">
        <v>1508</v>
      </c>
      <c r="G1137" s="364" t="s">
        <v>658</v>
      </c>
      <c r="H1137" s="364" t="s">
        <v>1507</v>
      </c>
      <c r="I1137" s="364" t="s">
        <v>1506</v>
      </c>
      <c r="J1137" s="364" t="s">
        <v>673</v>
      </c>
      <c r="K1137" s="364" t="s">
        <v>668</v>
      </c>
      <c r="L1137" s="364" t="s">
        <v>190</v>
      </c>
      <c r="M1137" s="364" t="s">
        <v>242</v>
      </c>
      <c r="N1137" s="364" t="s">
        <v>654</v>
      </c>
      <c r="O1137" s="364" t="s">
        <v>653</v>
      </c>
      <c r="P1137" s="364" t="s">
        <v>198</v>
      </c>
      <c r="Q1137" s="364" t="s">
        <v>652</v>
      </c>
      <c r="R1137" s="364" t="s">
        <v>88</v>
      </c>
      <c r="S1137" s="364" t="s">
        <v>88</v>
      </c>
      <c r="T1137" s="364" t="s">
        <v>88</v>
      </c>
      <c r="U1137" s="364" t="s">
        <v>88</v>
      </c>
      <c r="V1137" s="364" t="s">
        <v>88</v>
      </c>
      <c r="W1137" s="364" t="s">
        <v>88</v>
      </c>
      <c r="X1137" s="364" t="s">
        <v>88</v>
      </c>
      <c r="Y1137" s="364" t="s">
        <v>88</v>
      </c>
      <c r="Z1137" s="364" t="s">
        <v>1157</v>
      </c>
      <c r="AA1137" s="364" t="s">
        <v>1156</v>
      </c>
      <c r="AB1137" s="364" t="s">
        <v>649</v>
      </c>
      <c r="AC1137" s="364" t="s">
        <v>649</v>
      </c>
      <c r="AD1137" s="364" t="s">
        <v>88</v>
      </c>
      <c r="AE1137" s="364" t="s">
        <v>88</v>
      </c>
      <c r="AF1137" s="364" t="s">
        <v>88</v>
      </c>
      <c r="AG1137" s="364" t="s">
        <v>88</v>
      </c>
      <c r="AH1137" s="364" t="s">
        <v>88</v>
      </c>
      <c r="AI1137" s="364" t="s">
        <v>1155</v>
      </c>
      <c r="AJ1137" s="364" t="s">
        <v>710</v>
      </c>
      <c r="AK1137" s="364" t="s">
        <v>647</v>
      </c>
      <c r="AL1137" s="364" t="s">
        <v>88</v>
      </c>
      <c r="AM1137" s="364" t="s">
        <v>668</v>
      </c>
      <c r="AN1137" s="364" t="s">
        <v>644</v>
      </c>
    </row>
    <row r="1138" spans="1:40" x14ac:dyDescent="0.3">
      <c r="A1138" s="364" t="s">
        <v>1509</v>
      </c>
      <c r="B1138" s="364" t="s">
        <v>661</v>
      </c>
      <c r="C1138" s="364" t="s">
        <v>677</v>
      </c>
      <c r="D1138" s="364" t="s">
        <v>90</v>
      </c>
      <c r="E1138" s="364" t="s">
        <v>1508</v>
      </c>
      <c r="F1138" s="364" t="s">
        <v>1508</v>
      </c>
      <c r="G1138" s="364" t="s">
        <v>658</v>
      </c>
      <c r="H1138" s="364" t="s">
        <v>1507</v>
      </c>
      <c r="I1138" s="364" t="s">
        <v>1506</v>
      </c>
      <c r="J1138" s="364" t="s">
        <v>673</v>
      </c>
      <c r="K1138" s="364" t="s">
        <v>668</v>
      </c>
      <c r="L1138" s="364" t="s">
        <v>190</v>
      </c>
      <c r="M1138" s="364" t="s">
        <v>1168</v>
      </c>
      <c r="N1138" s="364" t="s">
        <v>654</v>
      </c>
      <c r="O1138" s="364" t="s">
        <v>653</v>
      </c>
      <c r="P1138" s="364" t="s">
        <v>198</v>
      </c>
      <c r="Q1138" s="364" t="s">
        <v>652</v>
      </c>
      <c r="R1138" s="364" t="s">
        <v>88</v>
      </c>
      <c r="S1138" s="364" t="s">
        <v>88</v>
      </c>
      <c r="T1138" s="364" t="s">
        <v>88</v>
      </c>
      <c r="U1138" s="364" t="s">
        <v>88</v>
      </c>
      <c r="V1138" s="364" t="s">
        <v>88</v>
      </c>
      <c r="W1138" s="364" t="s">
        <v>88</v>
      </c>
      <c r="X1138" s="364" t="s">
        <v>88</v>
      </c>
      <c r="Y1138" s="364" t="s">
        <v>88</v>
      </c>
      <c r="Z1138" s="364" t="s">
        <v>1167</v>
      </c>
      <c r="AA1138" s="364" t="s">
        <v>1166</v>
      </c>
      <c r="AB1138" s="364" t="s">
        <v>649</v>
      </c>
      <c r="AC1138" s="364" t="s">
        <v>649</v>
      </c>
      <c r="AD1138" s="364" t="s">
        <v>88</v>
      </c>
      <c r="AE1138" s="364" t="s">
        <v>88</v>
      </c>
      <c r="AF1138" s="364" t="s">
        <v>88</v>
      </c>
      <c r="AG1138" s="364" t="s">
        <v>88</v>
      </c>
      <c r="AH1138" s="364" t="s">
        <v>88</v>
      </c>
      <c r="AI1138" s="364" t="s">
        <v>1155</v>
      </c>
      <c r="AJ1138" s="364" t="s">
        <v>710</v>
      </c>
      <c r="AK1138" s="364" t="s">
        <v>647</v>
      </c>
      <c r="AL1138" s="364" t="s">
        <v>88</v>
      </c>
      <c r="AM1138" s="364" t="s">
        <v>668</v>
      </c>
      <c r="AN1138" s="364" t="s">
        <v>644</v>
      </c>
    </row>
    <row r="1139" spans="1:40" x14ac:dyDescent="0.3">
      <c r="A1139" s="364" t="s">
        <v>1509</v>
      </c>
      <c r="B1139" s="364" t="s">
        <v>661</v>
      </c>
      <c r="C1139" s="364" t="s">
        <v>677</v>
      </c>
      <c r="D1139" s="364" t="s">
        <v>90</v>
      </c>
      <c r="E1139" s="364" t="s">
        <v>1508</v>
      </c>
      <c r="F1139" s="364" t="s">
        <v>1508</v>
      </c>
      <c r="G1139" s="364" t="s">
        <v>658</v>
      </c>
      <c r="H1139" s="364" t="s">
        <v>1507</v>
      </c>
      <c r="I1139" s="364" t="s">
        <v>1506</v>
      </c>
      <c r="J1139" s="364" t="s">
        <v>673</v>
      </c>
      <c r="K1139" s="364" t="s">
        <v>668</v>
      </c>
      <c r="L1139" s="364" t="s">
        <v>190</v>
      </c>
      <c r="M1139" s="364" t="s">
        <v>713</v>
      </c>
      <c r="N1139" s="364" t="s">
        <v>654</v>
      </c>
      <c r="O1139" s="364" t="s">
        <v>653</v>
      </c>
      <c r="P1139" s="364" t="s">
        <v>198</v>
      </c>
      <c r="Q1139" s="364" t="s">
        <v>652</v>
      </c>
      <c r="R1139" s="364" t="s">
        <v>88</v>
      </c>
      <c r="S1139" s="364" t="s">
        <v>88</v>
      </c>
      <c r="T1139" s="364" t="s">
        <v>88</v>
      </c>
      <c r="U1139" s="364" t="s">
        <v>88</v>
      </c>
      <c r="V1139" s="364" t="s">
        <v>88</v>
      </c>
      <c r="W1139" s="364" t="s">
        <v>88</v>
      </c>
      <c r="X1139" s="364" t="s">
        <v>88</v>
      </c>
      <c r="Y1139" s="364" t="s">
        <v>88</v>
      </c>
      <c r="Z1139" s="364" t="s">
        <v>712</v>
      </c>
      <c r="AA1139" s="364" t="s">
        <v>711</v>
      </c>
      <c r="AB1139" s="364" t="s">
        <v>649</v>
      </c>
      <c r="AC1139" s="364" t="s">
        <v>649</v>
      </c>
      <c r="AD1139" s="364" t="s">
        <v>88</v>
      </c>
      <c r="AE1139" s="364" t="s">
        <v>88</v>
      </c>
      <c r="AF1139" s="364" t="s">
        <v>88</v>
      </c>
      <c r="AG1139" s="364" t="s">
        <v>88</v>
      </c>
      <c r="AH1139" s="364" t="s">
        <v>88</v>
      </c>
      <c r="AI1139" s="364" t="s">
        <v>1155</v>
      </c>
      <c r="AJ1139" s="364" t="s">
        <v>710</v>
      </c>
      <c r="AK1139" s="364" t="s">
        <v>647</v>
      </c>
      <c r="AL1139" s="364" t="s">
        <v>88</v>
      </c>
      <c r="AM1139" s="364" t="s">
        <v>668</v>
      </c>
      <c r="AN1139" s="364" t="s">
        <v>644</v>
      </c>
    </row>
    <row r="1140" spans="1:40" x14ac:dyDescent="0.3">
      <c r="A1140" s="364" t="s">
        <v>1509</v>
      </c>
      <c r="B1140" s="364" t="s">
        <v>661</v>
      </c>
      <c r="C1140" s="364" t="s">
        <v>677</v>
      </c>
      <c r="D1140" s="364" t="s">
        <v>90</v>
      </c>
      <c r="E1140" s="364" t="s">
        <v>1508</v>
      </c>
      <c r="F1140" s="364" t="s">
        <v>1508</v>
      </c>
      <c r="G1140" s="364" t="s">
        <v>658</v>
      </c>
      <c r="H1140" s="364" t="s">
        <v>1507</v>
      </c>
      <c r="I1140" s="364" t="s">
        <v>1506</v>
      </c>
      <c r="J1140" s="364" t="s">
        <v>673</v>
      </c>
      <c r="K1140" s="364" t="s">
        <v>668</v>
      </c>
      <c r="L1140" s="364" t="s">
        <v>190</v>
      </c>
      <c r="M1140" s="364" t="s">
        <v>56</v>
      </c>
      <c r="N1140" s="364" t="s">
        <v>654</v>
      </c>
      <c r="O1140" s="364" t="s">
        <v>653</v>
      </c>
      <c r="P1140" s="364" t="s">
        <v>198</v>
      </c>
      <c r="Q1140" s="364" t="s">
        <v>652</v>
      </c>
      <c r="R1140" s="364" t="s">
        <v>88</v>
      </c>
      <c r="S1140" s="364" t="s">
        <v>88</v>
      </c>
      <c r="T1140" s="364" t="s">
        <v>88</v>
      </c>
      <c r="U1140" s="364" t="s">
        <v>88</v>
      </c>
      <c r="V1140" s="364" t="s">
        <v>88</v>
      </c>
      <c r="W1140" s="364" t="s">
        <v>88</v>
      </c>
      <c r="X1140" s="364" t="s">
        <v>88</v>
      </c>
      <c r="Y1140" s="364" t="s">
        <v>88</v>
      </c>
      <c r="Z1140" s="364" t="s">
        <v>1165</v>
      </c>
      <c r="AA1140" s="364" t="s">
        <v>1164</v>
      </c>
      <c r="AB1140" s="364" t="s">
        <v>649</v>
      </c>
      <c r="AC1140" s="364" t="s">
        <v>649</v>
      </c>
      <c r="AD1140" s="364" t="s">
        <v>88</v>
      </c>
      <c r="AE1140" s="364" t="s">
        <v>88</v>
      </c>
      <c r="AF1140" s="364" t="s">
        <v>88</v>
      </c>
      <c r="AG1140" s="364" t="s">
        <v>88</v>
      </c>
      <c r="AH1140" s="364" t="s">
        <v>88</v>
      </c>
      <c r="AI1140" s="364" t="s">
        <v>1155</v>
      </c>
      <c r="AJ1140" s="364" t="s">
        <v>710</v>
      </c>
      <c r="AK1140" s="364" t="s">
        <v>647</v>
      </c>
      <c r="AL1140" s="364" t="s">
        <v>88</v>
      </c>
      <c r="AM1140" s="364" t="s">
        <v>668</v>
      </c>
      <c r="AN1140" s="364" t="s">
        <v>644</v>
      </c>
    </row>
    <row r="1141" spans="1:40" x14ac:dyDescent="0.3">
      <c r="A1141" s="364" t="s">
        <v>1509</v>
      </c>
      <c r="B1141" s="364" t="s">
        <v>661</v>
      </c>
      <c r="C1141" s="364" t="s">
        <v>677</v>
      </c>
      <c r="D1141" s="364" t="s">
        <v>90</v>
      </c>
      <c r="E1141" s="364" t="s">
        <v>1508</v>
      </c>
      <c r="F1141" s="364" t="s">
        <v>1508</v>
      </c>
      <c r="G1141" s="364" t="s">
        <v>658</v>
      </c>
      <c r="H1141" s="364" t="s">
        <v>1507</v>
      </c>
      <c r="I1141" s="364" t="s">
        <v>1506</v>
      </c>
      <c r="J1141" s="364" t="s">
        <v>673</v>
      </c>
      <c r="K1141" s="364" t="s">
        <v>668</v>
      </c>
      <c r="L1141" s="364" t="s">
        <v>190</v>
      </c>
      <c r="M1141" s="364" t="s">
        <v>241</v>
      </c>
      <c r="N1141" s="364" t="s">
        <v>654</v>
      </c>
      <c r="O1141" s="364" t="s">
        <v>653</v>
      </c>
      <c r="P1141" s="364" t="s">
        <v>198</v>
      </c>
      <c r="Q1141" s="364" t="s">
        <v>652</v>
      </c>
      <c r="R1141" s="364" t="s">
        <v>88</v>
      </c>
      <c r="S1141" s="364" t="s">
        <v>88</v>
      </c>
      <c r="T1141" s="364" t="s">
        <v>88</v>
      </c>
      <c r="U1141" s="364" t="s">
        <v>88</v>
      </c>
      <c r="V1141" s="364" t="s">
        <v>88</v>
      </c>
      <c r="W1141" s="364" t="s">
        <v>88</v>
      </c>
      <c r="X1141" s="364" t="s">
        <v>88</v>
      </c>
      <c r="Y1141" s="364" t="s">
        <v>88</v>
      </c>
      <c r="Z1141" s="364" t="s">
        <v>1170</v>
      </c>
      <c r="AA1141" s="364" t="s">
        <v>1169</v>
      </c>
      <c r="AB1141" s="364" t="s">
        <v>649</v>
      </c>
      <c r="AC1141" s="364" t="s">
        <v>649</v>
      </c>
      <c r="AD1141" s="364" t="s">
        <v>88</v>
      </c>
      <c r="AE1141" s="364" t="s">
        <v>88</v>
      </c>
      <c r="AF1141" s="364" t="s">
        <v>88</v>
      </c>
      <c r="AG1141" s="364" t="s">
        <v>88</v>
      </c>
      <c r="AH1141" s="364" t="s">
        <v>88</v>
      </c>
      <c r="AI1141" s="364" t="s">
        <v>1155</v>
      </c>
      <c r="AJ1141" s="364" t="s">
        <v>710</v>
      </c>
      <c r="AK1141" s="364" t="s">
        <v>647</v>
      </c>
      <c r="AL1141" s="364" t="s">
        <v>88</v>
      </c>
      <c r="AM1141" s="364" t="s">
        <v>668</v>
      </c>
      <c r="AN1141" s="364" t="s">
        <v>644</v>
      </c>
    </row>
    <row r="1142" spans="1:40" x14ac:dyDescent="0.3">
      <c r="A1142" s="364" t="s">
        <v>1509</v>
      </c>
      <c r="B1142" s="364" t="s">
        <v>661</v>
      </c>
      <c r="C1142" s="364" t="s">
        <v>677</v>
      </c>
      <c r="D1142" s="364" t="s">
        <v>90</v>
      </c>
      <c r="E1142" s="364" t="s">
        <v>1508</v>
      </c>
      <c r="F1142" s="364" t="s">
        <v>1508</v>
      </c>
      <c r="G1142" s="364" t="s">
        <v>658</v>
      </c>
      <c r="H1142" s="364" t="s">
        <v>1507</v>
      </c>
      <c r="I1142" s="364" t="s">
        <v>1506</v>
      </c>
      <c r="J1142" s="364" t="s">
        <v>673</v>
      </c>
      <c r="K1142" s="364" t="s">
        <v>668</v>
      </c>
      <c r="L1142" s="364" t="s">
        <v>190</v>
      </c>
      <c r="M1142" s="364" t="s">
        <v>240</v>
      </c>
      <c r="N1142" s="364" t="s">
        <v>654</v>
      </c>
      <c r="O1142" s="364" t="s">
        <v>653</v>
      </c>
      <c r="P1142" s="364" t="s">
        <v>198</v>
      </c>
      <c r="Q1142" s="364" t="s">
        <v>652</v>
      </c>
      <c r="R1142" s="364" t="s">
        <v>88</v>
      </c>
      <c r="S1142" s="364" t="s">
        <v>88</v>
      </c>
      <c r="T1142" s="364" t="s">
        <v>88</v>
      </c>
      <c r="U1142" s="364" t="s">
        <v>88</v>
      </c>
      <c r="V1142" s="364" t="s">
        <v>88</v>
      </c>
      <c r="W1142" s="364" t="s">
        <v>88</v>
      </c>
      <c r="X1142" s="364" t="s">
        <v>88</v>
      </c>
      <c r="Y1142" s="364" t="s">
        <v>88</v>
      </c>
      <c r="Z1142" s="364" t="s">
        <v>1163</v>
      </c>
      <c r="AA1142" s="364" t="s">
        <v>1162</v>
      </c>
      <c r="AB1142" s="364" t="s">
        <v>649</v>
      </c>
      <c r="AC1142" s="364" t="s">
        <v>649</v>
      </c>
      <c r="AD1142" s="364" t="s">
        <v>88</v>
      </c>
      <c r="AE1142" s="364" t="s">
        <v>88</v>
      </c>
      <c r="AF1142" s="364" t="s">
        <v>88</v>
      </c>
      <c r="AG1142" s="364" t="s">
        <v>88</v>
      </c>
      <c r="AH1142" s="364" t="s">
        <v>88</v>
      </c>
      <c r="AI1142" s="364" t="s">
        <v>1155</v>
      </c>
      <c r="AJ1142" s="364" t="s">
        <v>710</v>
      </c>
      <c r="AK1142" s="364" t="s">
        <v>647</v>
      </c>
      <c r="AL1142" s="364" t="s">
        <v>88</v>
      </c>
      <c r="AM1142" s="364" t="s">
        <v>668</v>
      </c>
      <c r="AN1142" s="364" t="s">
        <v>644</v>
      </c>
    </row>
    <row r="1143" spans="1:40" x14ac:dyDescent="0.3">
      <c r="A1143" s="364" t="s">
        <v>1509</v>
      </c>
      <c r="B1143" s="364" t="s">
        <v>661</v>
      </c>
      <c r="C1143" s="364" t="s">
        <v>677</v>
      </c>
      <c r="D1143" s="364" t="s">
        <v>90</v>
      </c>
      <c r="E1143" s="364" t="s">
        <v>1508</v>
      </c>
      <c r="F1143" s="364" t="s">
        <v>1508</v>
      </c>
      <c r="G1143" s="364" t="s">
        <v>658</v>
      </c>
      <c r="H1143" s="364" t="s">
        <v>1507</v>
      </c>
      <c r="I1143" s="364" t="s">
        <v>1506</v>
      </c>
      <c r="J1143" s="364" t="s">
        <v>673</v>
      </c>
      <c r="K1143" s="364" t="s">
        <v>668</v>
      </c>
      <c r="L1143" s="364" t="s">
        <v>190</v>
      </c>
      <c r="M1143" s="364" t="s">
        <v>417</v>
      </c>
      <c r="N1143" s="364" t="s">
        <v>654</v>
      </c>
      <c r="O1143" s="364" t="s">
        <v>653</v>
      </c>
      <c r="P1143" s="364" t="s">
        <v>198</v>
      </c>
      <c r="Q1143" s="364" t="s">
        <v>652</v>
      </c>
      <c r="R1143" s="364" t="s">
        <v>88</v>
      </c>
      <c r="S1143" s="364" t="s">
        <v>88</v>
      </c>
      <c r="T1143" s="364" t="s">
        <v>88</v>
      </c>
      <c r="U1143" s="364" t="s">
        <v>88</v>
      </c>
      <c r="V1143" s="364" t="s">
        <v>88</v>
      </c>
      <c r="W1143" s="364" t="s">
        <v>88</v>
      </c>
      <c r="X1143" s="364" t="s">
        <v>88</v>
      </c>
      <c r="Y1143" s="364" t="s">
        <v>88</v>
      </c>
      <c r="Z1143" s="364" t="s">
        <v>1261</v>
      </c>
      <c r="AA1143" s="364" t="s">
        <v>649</v>
      </c>
      <c r="AB1143" s="364" t="s">
        <v>649</v>
      </c>
      <c r="AC1143" s="364" t="s">
        <v>649</v>
      </c>
      <c r="AD1143" s="364" t="s">
        <v>88</v>
      </c>
      <c r="AE1143" s="364" t="s">
        <v>88</v>
      </c>
      <c r="AF1143" s="364" t="s">
        <v>88</v>
      </c>
      <c r="AG1143" s="364" t="s">
        <v>88</v>
      </c>
      <c r="AH1143" s="364" t="s">
        <v>88</v>
      </c>
      <c r="AI1143" s="364" t="s">
        <v>1155</v>
      </c>
      <c r="AJ1143" s="364" t="s">
        <v>710</v>
      </c>
      <c r="AK1143" s="364" t="s">
        <v>647</v>
      </c>
      <c r="AL1143" s="364" t="s">
        <v>88</v>
      </c>
      <c r="AM1143" s="364" t="s">
        <v>668</v>
      </c>
      <c r="AN1143" s="364" t="s">
        <v>644</v>
      </c>
    </row>
    <row r="1144" spans="1:40" x14ac:dyDescent="0.3">
      <c r="A1144" s="364" t="s">
        <v>1505</v>
      </c>
      <c r="B1144" s="364" t="s">
        <v>661</v>
      </c>
      <c r="C1144" s="364" t="s">
        <v>677</v>
      </c>
      <c r="D1144" s="364" t="s">
        <v>90</v>
      </c>
      <c r="E1144" s="364" t="s">
        <v>1504</v>
      </c>
      <c r="F1144" s="364" t="s">
        <v>1504</v>
      </c>
      <c r="G1144" s="364" t="s">
        <v>658</v>
      </c>
      <c r="H1144" s="364" t="s">
        <v>1503</v>
      </c>
      <c r="I1144" s="364" t="s">
        <v>1502</v>
      </c>
      <c r="J1144" s="364" t="s">
        <v>673</v>
      </c>
      <c r="K1144" s="364" t="s">
        <v>668</v>
      </c>
      <c r="L1144" s="364" t="s">
        <v>190</v>
      </c>
      <c r="M1144" s="364" t="s">
        <v>61</v>
      </c>
      <c r="N1144" s="364" t="s">
        <v>654</v>
      </c>
      <c r="O1144" s="364" t="s">
        <v>653</v>
      </c>
      <c r="P1144" s="364" t="s">
        <v>198</v>
      </c>
      <c r="Q1144" s="364" t="s">
        <v>652</v>
      </c>
      <c r="R1144" s="364" t="s">
        <v>88</v>
      </c>
      <c r="S1144" s="364" t="s">
        <v>88</v>
      </c>
      <c r="T1144" s="364" t="s">
        <v>88</v>
      </c>
      <c r="U1144" s="364" t="s">
        <v>88</v>
      </c>
      <c r="V1144" s="364" t="s">
        <v>88</v>
      </c>
      <c r="W1144" s="364" t="s">
        <v>88</v>
      </c>
      <c r="X1144" s="364" t="s">
        <v>88</v>
      </c>
      <c r="Y1144" s="364" t="s">
        <v>88</v>
      </c>
      <c r="Z1144" s="364" t="s">
        <v>1021</v>
      </c>
      <c r="AA1144" s="364" t="s">
        <v>671</v>
      </c>
      <c r="AB1144" s="364" t="s">
        <v>649</v>
      </c>
      <c r="AC1144" s="364" t="s">
        <v>649</v>
      </c>
      <c r="AD1144" s="364" t="s">
        <v>88</v>
      </c>
      <c r="AE1144" s="364" t="s">
        <v>88</v>
      </c>
      <c r="AF1144" s="364" t="s">
        <v>88</v>
      </c>
      <c r="AG1144" s="364" t="s">
        <v>88</v>
      </c>
      <c r="AH1144" s="364" t="s">
        <v>88</v>
      </c>
      <c r="AI1144" s="364" t="s">
        <v>1155</v>
      </c>
      <c r="AJ1144" s="364" t="s">
        <v>710</v>
      </c>
      <c r="AK1144" s="364" t="s">
        <v>647</v>
      </c>
      <c r="AL1144" s="364" t="s">
        <v>88</v>
      </c>
      <c r="AM1144" s="364" t="s">
        <v>668</v>
      </c>
      <c r="AN1144" s="364" t="s">
        <v>644</v>
      </c>
    </row>
    <row r="1145" spans="1:40" x14ac:dyDescent="0.3">
      <c r="A1145" s="364" t="s">
        <v>1505</v>
      </c>
      <c r="B1145" s="364" t="s">
        <v>661</v>
      </c>
      <c r="C1145" s="364" t="s">
        <v>677</v>
      </c>
      <c r="D1145" s="364" t="s">
        <v>90</v>
      </c>
      <c r="E1145" s="364" t="s">
        <v>1504</v>
      </c>
      <c r="F1145" s="364" t="s">
        <v>1504</v>
      </c>
      <c r="G1145" s="364" t="s">
        <v>658</v>
      </c>
      <c r="H1145" s="364" t="s">
        <v>1503</v>
      </c>
      <c r="I1145" s="364" t="s">
        <v>1502</v>
      </c>
      <c r="J1145" s="364" t="s">
        <v>673</v>
      </c>
      <c r="K1145" s="364" t="s">
        <v>668</v>
      </c>
      <c r="L1145" s="364" t="s">
        <v>190</v>
      </c>
      <c r="M1145" s="364" t="s">
        <v>242</v>
      </c>
      <c r="N1145" s="364" t="s">
        <v>654</v>
      </c>
      <c r="O1145" s="364" t="s">
        <v>653</v>
      </c>
      <c r="P1145" s="364" t="s">
        <v>198</v>
      </c>
      <c r="Q1145" s="364" t="s">
        <v>652</v>
      </c>
      <c r="R1145" s="364" t="s">
        <v>88</v>
      </c>
      <c r="S1145" s="364" t="s">
        <v>88</v>
      </c>
      <c r="T1145" s="364" t="s">
        <v>88</v>
      </c>
      <c r="U1145" s="364" t="s">
        <v>88</v>
      </c>
      <c r="V1145" s="364" t="s">
        <v>88</v>
      </c>
      <c r="W1145" s="364" t="s">
        <v>88</v>
      </c>
      <c r="X1145" s="364" t="s">
        <v>88</v>
      </c>
      <c r="Y1145" s="364" t="s">
        <v>88</v>
      </c>
      <c r="Z1145" s="364" t="s">
        <v>1157</v>
      </c>
      <c r="AA1145" s="364" t="s">
        <v>1156</v>
      </c>
      <c r="AB1145" s="364" t="s">
        <v>649</v>
      </c>
      <c r="AC1145" s="364" t="s">
        <v>649</v>
      </c>
      <c r="AD1145" s="364" t="s">
        <v>88</v>
      </c>
      <c r="AE1145" s="364" t="s">
        <v>88</v>
      </c>
      <c r="AF1145" s="364" t="s">
        <v>88</v>
      </c>
      <c r="AG1145" s="364" t="s">
        <v>88</v>
      </c>
      <c r="AH1145" s="364" t="s">
        <v>88</v>
      </c>
      <c r="AI1145" s="364" t="s">
        <v>1155</v>
      </c>
      <c r="AJ1145" s="364" t="s">
        <v>710</v>
      </c>
      <c r="AK1145" s="364" t="s">
        <v>647</v>
      </c>
      <c r="AL1145" s="364" t="s">
        <v>88</v>
      </c>
      <c r="AM1145" s="364" t="s">
        <v>668</v>
      </c>
      <c r="AN1145" s="364" t="s">
        <v>644</v>
      </c>
    </row>
    <row r="1146" spans="1:40" x14ac:dyDescent="0.3">
      <c r="A1146" s="364" t="s">
        <v>1505</v>
      </c>
      <c r="B1146" s="364" t="s">
        <v>661</v>
      </c>
      <c r="C1146" s="364" t="s">
        <v>677</v>
      </c>
      <c r="D1146" s="364" t="s">
        <v>90</v>
      </c>
      <c r="E1146" s="364" t="s">
        <v>1504</v>
      </c>
      <c r="F1146" s="364" t="s">
        <v>1504</v>
      </c>
      <c r="G1146" s="364" t="s">
        <v>658</v>
      </c>
      <c r="H1146" s="364" t="s">
        <v>1503</v>
      </c>
      <c r="I1146" s="364" t="s">
        <v>1502</v>
      </c>
      <c r="J1146" s="364" t="s">
        <v>673</v>
      </c>
      <c r="K1146" s="364" t="s">
        <v>668</v>
      </c>
      <c r="L1146" s="364" t="s">
        <v>190</v>
      </c>
      <c r="M1146" s="364" t="s">
        <v>1168</v>
      </c>
      <c r="N1146" s="364" t="s">
        <v>654</v>
      </c>
      <c r="O1146" s="364" t="s">
        <v>653</v>
      </c>
      <c r="P1146" s="364" t="s">
        <v>198</v>
      </c>
      <c r="Q1146" s="364" t="s">
        <v>652</v>
      </c>
      <c r="R1146" s="364" t="s">
        <v>88</v>
      </c>
      <c r="S1146" s="364" t="s">
        <v>88</v>
      </c>
      <c r="T1146" s="364" t="s">
        <v>88</v>
      </c>
      <c r="U1146" s="364" t="s">
        <v>88</v>
      </c>
      <c r="V1146" s="364" t="s">
        <v>88</v>
      </c>
      <c r="W1146" s="364" t="s">
        <v>88</v>
      </c>
      <c r="X1146" s="364" t="s">
        <v>88</v>
      </c>
      <c r="Y1146" s="364" t="s">
        <v>88</v>
      </c>
      <c r="Z1146" s="364" t="s">
        <v>1167</v>
      </c>
      <c r="AA1146" s="364" t="s">
        <v>1166</v>
      </c>
      <c r="AB1146" s="364" t="s">
        <v>649</v>
      </c>
      <c r="AC1146" s="364" t="s">
        <v>649</v>
      </c>
      <c r="AD1146" s="364" t="s">
        <v>88</v>
      </c>
      <c r="AE1146" s="364" t="s">
        <v>88</v>
      </c>
      <c r="AF1146" s="364" t="s">
        <v>88</v>
      </c>
      <c r="AG1146" s="364" t="s">
        <v>88</v>
      </c>
      <c r="AH1146" s="364" t="s">
        <v>88</v>
      </c>
      <c r="AI1146" s="364" t="s">
        <v>1155</v>
      </c>
      <c r="AJ1146" s="364" t="s">
        <v>710</v>
      </c>
      <c r="AK1146" s="364" t="s">
        <v>647</v>
      </c>
      <c r="AL1146" s="364" t="s">
        <v>88</v>
      </c>
      <c r="AM1146" s="364" t="s">
        <v>668</v>
      </c>
      <c r="AN1146" s="364" t="s">
        <v>644</v>
      </c>
    </row>
    <row r="1147" spans="1:40" x14ac:dyDescent="0.3">
      <c r="A1147" s="364" t="s">
        <v>1505</v>
      </c>
      <c r="B1147" s="364" t="s">
        <v>661</v>
      </c>
      <c r="C1147" s="364" t="s">
        <v>677</v>
      </c>
      <c r="D1147" s="364" t="s">
        <v>90</v>
      </c>
      <c r="E1147" s="364" t="s">
        <v>1504</v>
      </c>
      <c r="F1147" s="364" t="s">
        <v>1504</v>
      </c>
      <c r="G1147" s="364" t="s">
        <v>658</v>
      </c>
      <c r="H1147" s="364" t="s">
        <v>1503</v>
      </c>
      <c r="I1147" s="364" t="s">
        <v>1502</v>
      </c>
      <c r="J1147" s="364" t="s">
        <v>673</v>
      </c>
      <c r="K1147" s="364" t="s">
        <v>668</v>
      </c>
      <c r="L1147" s="364" t="s">
        <v>190</v>
      </c>
      <c r="M1147" s="364" t="s">
        <v>713</v>
      </c>
      <c r="N1147" s="364" t="s">
        <v>654</v>
      </c>
      <c r="O1147" s="364" t="s">
        <v>653</v>
      </c>
      <c r="P1147" s="364" t="s">
        <v>198</v>
      </c>
      <c r="Q1147" s="364" t="s">
        <v>652</v>
      </c>
      <c r="R1147" s="364" t="s">
        <v>88</v>
      </c>
      <c r="S1147" s="364" t="s">
        <v>88</v>
      </c>
      <c r="T1147" s="364" t="s">
        <v>88</v>
      </c>
      <c r="U1147" s="364" t="s">
        <v>88</v>
      </c>
      <c r="V1147" s="364" t="s">
        <v>88</v>
      </c>
      <c r="W1147" s="364" t="s">
        <v>88</v>
      </c>
      <c r="X1147" s="364" t="s">
        <v>88</v>
      </c>
      <c r="Y1147" s="364" t="s">
        <v>88</v>
      </c>
      <c r="Z1147" s="364" t="s">
        <v>712</v>
      </c>
      <c r="AA1147" s="364" t="s">
        <v>711</v>
      </c>
      <c r="AB1147" s="364" t="s">
        <v>649</v>
      </c>
      <c r="AC1147" s="364" t="s">
        <v>649</v>
      </c>
      <c r="AD1147" s="364" t="s">
        <v>88</v>
      </c>
      <c r="AE1147" s="364" t="s">
        <v>88</v>
      </c>
      <c r="AF1147" s="364" t="s">
        <v>88</v>
      </c>
      <c r="AG1147" s="364" t="s">
        <v>88</v>
      </c>
      <c r="AH1147" s="364" t="s">
        <v>88</v>
      </c>
      <c r="AI1147" s="364" t="s">
        <v>1155</v>
      </c>
      <c r="AJ1147" s="364" t="s">
        <v>710</v>
      </c>
      <c r="AK1147" s="364" t="s">
        <v>647</v>
      </c>
      <c r="AL1147" s="364" t="s">
        <v>88</v>
      </c>
      <c r="AM1147" s="364" t="s">
        <v>668</v>
      </c>
      <c r="AN1147" s="364" t="s">
        <v>644</v>
      </c>
    </row>
    <row r="1148" spans="1:40" x14ac:dyDescent="0.3">
      <c r="A1148" s="364" t="s">
        <v>1505</v>
      </c>
      <c r="B1148" s="364" t="s">
        <v>661</v>
      </c>
      <c r="C1148" s="364" t="s">
        <v>677</v>
      </c>
      <c r="D1148" s="364" t="s">
        <v>90</v>
      </c>
      <c r="E1148" s="364" t="s">
        <v>1504</v>
      </c>
      <c r="F1148" s="364" t="s">
        <v>1504</v>
      </c>
      <c r="G1148" s="364" t="s">
        <v>658</v>
      </c>
      <c r="H1148" s="364" t="s">
        <v>1503</v>
      </c>
      <c r="I1148" s="364" t="s">
        <v>1502</v>
      </c>
      <c r="J1148" s="364" t="s">
        <v>673</v>
      </c>
      <c r="K1148" s="364" t="s">
        <v>668</v>
      </c>
      <c r="L1148" s="364" t="s">
        <v>190</v>
      </c>
      <c r="M1148" s="364" t="s">
        <v>56</v>
      </c>
      <c r="N1148" s="364" t="s">
        <v>654</v>
      </c>
      <c r="O1148" s="364" t="s">
        <v>653</v>
      </c>
      <c r="P1148" s="364" t="s">
        <v>198</v>
      </c>
      <c r="Q1148" s="364" t="s">
        <v>652</v>
      </c>
      <c r="R1148" s="364" t="s">
        <v>88</v>
      </c>
      <c r="S1148" s="364" t="s">
        <v>88</v>
      </c>
      <c r="T1148" s="364" t="s">
        <v>88</v>
      </c>
      <c r="U1148" s="364" t="s">
        <v>88</v>
      </c>
      <c r="V1148" s="364" t="s">
        <v>88</v>
      </c>
      <c r="W1148" s="364" t="s">
        <v>88</v>
      </c>
      <c r="X1148" s="364" t="s">
        <v>88</v>
      </c>
      <c r="Y1148" s="364" t="s">
        <v>88</v>
      </c>
      <c r="Z1148" s="364" t="s">
        <v>1165</v>
      </c>
      <c r="AA1148" s="364" t="s">
        <v>1164</v>
      </c>
      <c r="AB1148" s="364" t="s">
        <v>649</v>
      </c>
      <c r="AC1148" s="364" t="s">
        <v>649</v>
      </c>
      <c r="AD1148" s="364" t="s">
        <v>88</v>
      </c>
      <c r="AE1148" s="364" t="s">
        <v>88</v>
      </c>
      <c r="AF1148" s="364" t="s">
        <v>88</v>
      </c>
      <c r="AG1148" s="364" t="s">
        <v>88</v>
      </c>
      <c r="AH1148" s="364" t="s">
        <v>88</v>
      </c>
      <c r="AI1148" s="364" t="s">
        <v>1155</v>
      </c>
      <c r="AJ1148" s="364" t="s">
        <v>710</v>
      </c>
      <c r="AK1148" s="364" t="s">
        <v>647</v>
      </c>
      <c r="AL1148" s="364" t="s">
        <v>88</v>
      </c>
      <c r="AM1148" s="364" t="s">
        <v>668</v>
      </c>
      <c r="AN1148" s="364" t="s">
        <v>644</v>
      </c>
    </row>
    <row r="1149" spans="1:40" x14ac:dyDescent="0.3">
      <c r="A1149" s="364" t="s">
        <v>1505</v>
      </c>
      <c r="B1149" s="364" t="s">
        <v>661</v>
      </c>
      <c r="C1149" s="364" t="s">
        <v>677</v>
      </c>
      <c r="D1149" s="364" t="s">
        <v>90</v>
      </c>
      <c r="E1149" s="364" t="s">
        <v>1504</v>
      </c>
      <c r="F1149" s="364" t="s">
        <v>1504</v>
      </c>
      <c r="G1149" s="364" t="s">
        <v>658</v>
      </c>
      <c r="H1149" s="364" t="s">
        <v>1503</v>
      </c>
      <c r="I1149" s="364" t="s">
        <v>1502</v>
      </c>
      <c r="J1149" s="364" t="s">
        <v>673</v>
      </c>
      <c r="K1149" s="364" t="s">
        <v>668</v>
      </c>
      <c r="L1149" s="364" t="s">
        <v>190</v>
      </c>
      <c r="M1149" s="364" t="s">
        <v>241</v>
      </c>
      <c r="N1149" s="364" t="s">
        <v>654</v>
      </c>
      <c r="O1149" s="364" t="s">
        <v>653</v>
      </c>
      <c r="P1149" s="364" t="s">
        <v>198</v>
      </c>
      <c r="Q1149" s="364" t="s">
        <v>652</v>
      </c>
      <c r="R1149" s="364" t="s">
        <v>88</v>
      </c>
      <c r="S1149" s="364" t="s">
        <v>88</v>
      </c>
      <c r="T1149" s="364" t="s">
        <v>88</v>
      </c>
      <c r="U1149" s="364" t="s">
        <v>88</v>
      </c>
      <c r="V1149" s="364" t="s">
        <v>88</v>
      </c>
      <c r="W1149" s="364" t="s">
        <v>88</v>
      </c>
      <c r="X1149" s="364" t="s">
        <v>88</v>
      </c>
      <c r="Y1149" s="364" t="s">
        <v>88</v>
      </c>
      <c r="Z1149" s="364" t="s">
        <v>1170</v>
      </c>
      <c r="AA1149" s="364" t="s">
        <v>1169</v>
      </c>
      <c r="AB1149" s="364" t="s">
        <v>649</v>
      </c>
      <c r="AC1149" s="364" t="s">
        <v>649</v>
      </c>
      <c r="AD1149" s="364" t="s">
        <v>88</v>
      </c>
      <c r="AE1149" s="364" t="s">
        <v>88</v>
      </c>
      <c r="AF1149" s="364" t="s">
        <v>88</v>
      </c>
      <c r="AG1149" s="364" t="s">
        <v>88</v>
      </c>
      <c r="AH1149" s="364" t="s">
        <v>88</v>
      </c>
      <c r="AI1149" s="364" t="s">
        <v>1155</v>
      </c>
      <c r="AJ1149" s="364" t="s">
        <v>710</v>
      </c>
      <c r="AK1149" s="364" t="s">
        <v>647</v>
      </c>
      <c r="AL1149" s="364" t="s">
        <v>88</v>
      </c>
      <c r="AM1149" s="364" t="s">
        <v>668</v>
      </c>
      <c r="AN1149" s="364" t="s">
        <v>644</v>
      </c>
    </row>
    <row r="1150" spans="1:40" x14ac:dyDescent="0.3">
      <c r="A1150" s="364" t="s">
        <v>1505</v>
      </c>
      <c r="B1150" s="364" t="s">
        <v>661</v>
      </c>
      <c r="C1150" s="364" t="s">
        <v>677</v>
      </c>
      <c r="D1150" s="364" t="s">
        <v>90</v>
      </c>
      <c r="E1150" s="364" t="s">
        <v>1504</v>
      </c>
      <c r="F1150" s="364" t="s">
        <v>1504</v>
      </c>
      <c r="G1150" s="364" t="s">
        <v>658</v>
      </c>
      <c r="H1150" s="364" t="s">
        <v>1503</v>
      </c>
      <c r="I1150" s="364" t="s">
        <v>1502</v>
      </c>
      <c r="J1150" s="364" t="s">
        <v>673</v>
      </c>
      <c r="K1150" s="364" t="s">
        <v>668</v>
      </c>
      <c r="L1150" s="364" t="s">
        <v>190</v>
      </c>
      <c r="M1150" s="364" t="s">
        <v>240</v>
      </c>
      <c r="N1150" s="364" t="s">
        <v>654</v>
      </c>
      <c r="O1150" s="364" t="s">
        <v>653</v>
      </c>
      <c r="P1150" s="364" t="s">
        <v>198</v>
      </c>
      <c r="Q1150" s="364" t="s">
        <v>652</v>
      </c>
      <c r="R1150" s="364" t="s">
        <v>88</v>
      </c>
      <c r="S1150" s="364" t="s">
        <v>88</v>
      </c>
      <c r="T1150" s="364" t="s">
        <v>88</v>
      </c>
      <c r="U1150" s="364" t="s">
        <v>88</v>
      </c>
      <c r="V1150" s="364" t="s">
        <v>88</v>
      </c>
      <c r="W1150" s="364" t="s">
        <v>88</v>
      </c>
      <c r="X1150" s="364" t="s">
        <v>88</v>
      </c>
      <c r="Y1150" s="364" t="s">
        <v>88</v>
      </c>
      <c r="Z1150" s="364" t="s">
        <v>1163</v>
      </c>
      <c r="AA1150" s="364" t="s">
        <v>1162</v>
      </c>
      <c r="AB1150" s="364" t="s">
        <v>649</v>
      </c>
      <c r="AC1150" s="364" t="s">
        <v>649</v>
      </c>
      <c r="AD1150" s="364" t="s">
        <v>88</v>
      </c>
      <c r="AE1150" s="364" t="s">
        <v>88</v>
      </c>
      <c r="AF1150" s="364" t="s">
        <v>88</v>
      </c>
      <c r="AG1150" s="364" t="s">
        <v>88</v>
      </c>
      <c r="AH1150" s="364" t="s">
        <v>88</v>
      </c>
      <c r="AI1150" s="364" t="s">
        <v>1155</v>
      </c>
      <c r="AJ1150" s="364" t="s">
        <v>710</v>
      </c>
      <c r="AK1150" s="364" t="s">
        <v>647</v>
      </c>
      <c r="AL1150" s="364" t="s">
        <v>88</v>
      </c>
      <c r="AM1150" s="364" t="s">
        <v>668</v>
      </c>
      <c r="AN1150" s="364" t="s">
        <v>644</v>
      </c>
    </row>
    <row r="1151" spans="1:40" x14ac:dyDescent="0.3">
      <c r="A1151" s="364" t="s">
        <v>1505</v>
      </c>
      <c r="B1151" s="364" t="s">
        <v>661</v>
      </c>
      <c r="C1151" s="364" t="s">
        <v>677</v>
      </c>
      <c r="D1151" s="364" t="s">
        <v>90</v>
      </c>
      <c r="E1151" s="364" t="s">
        <v>1504</v>
      </c>
      <c r="F1151" s="364" t="s">
        <v>1504</v>
      </c>
      <c r="G1151" s="364" t="s">
        <v>658</v>
      </c>
      <c r="H1151" s="364" t="s">
        <v>1503</v>
      </c>
      <c r="I1151" s="364" t="s">
        <v>1502</v>
      </c>
      <c r="J1151" s="364" t="s">
        <v>673</v>
      </c>
      <c r="K1151" s="364" t="s">
        <v>668</v>
      </c>
      <c r="L1151" s="364" t="s">
        <v>190</v>
      </c>
      <c r="M1151" s="364" t="s">
        <v>417</v>
      </c>
      <c r="N1151" s="364" t="s">
        <v>654</v>
      </c>
      <c r="O1151" s="364" t="s">
        <v>653</v>
      </c>
      <c r="P1151" s="364" t="s">
        <v>198</v>
      </c>
      <c r="Q1151" s="364" t="s">
        <v>652</v>
      </c>
      <c r="R1151" s="364" t="s">
        <v>88</v>
      </c>
      <c r="S1151" s="364" t="s">
        <v>88</v>
      </c>
      <c r="T1151" s="364" t="s">
        <v>88</v>
      </c>
      <c r="U1151" s="364" t="s">
        <v>88</v>
      </c>
      <c r="V1151" s="364" t="s">
        <v>88</v>
      </c>
      <c r="W1151" s="364" t="s">
        <v>88</v>
      </c>
      <c r="X1151" s="364" t="s">
        <v>88</v>
      </c>
      <c r="Y1151" s="364" t="s">
        <v>88</v>
      </c>
      <c r="Z1151" s="364" t="s">
        <v>1261</v>
      </c>
      <c r="AA1151" s="364" t="s">
        <v>649</v>
      </c>
      <c r="AB1151" s="364" t="s">
        <v>649</v>
      </c>
      <c r="AC1151" s="364" t="s">
        <v>649</v>
      </c>
      <c r="AD1151" s="364" t="s">
        <v>88</v>
      </c>
      <c r="AE1151" s="364" t="s">
        <v>88</v>
      </c>
      <c r="AF1151" s="364" t="s">
        <v>88</v>
      </c>
      <c r="AG1151" s="364" t="s">
        <v>88</v>
      </c>
      <c r="AH1151" s="364" t="s">
        <v>88</v>
      </c>
      <c r="AI1151" s="364" t="s">
        <v>1155</v>
      </c>
      <c r="AJ1151" s="364" t="s">
        <v>710</v>
      </c>
      <c r="AK1151" s="364" t="s">
        <v>647</v>
      </c>
      <c r="AL1151" s="364" t="s">
        <v>88</v>
      </c>
      <c r="AM1151" s="364" t="s">
        <v>668</v>
      </c>
      <c r="AN1151" s="364" t="s">
        <v>644</v>
      </c>
    </row>
    <row r="1152" spans="1:40" x14ac:dyDescent="0.3">
      <c r="A1152" s="364" t="s">
        <v>1501</v>
      </c>
      <c r="B1152" s="364" t="s">
        <v>661</v>
      </c>
      <c r="C1152" s="364" t="s">
        <v>677</v>
      </c>
      <c r="D1152" s="364" t="s">
        <v>90</v>
      </c>
      <c r="E1152" s="364" t="s">
        <v>1141</v>
      </c>
      <c r="F1152" s="364" t="s">
        <v>1141</v>
      </c>
      <c r="G1152" s="364" t="s">
        <v>658</v>
      </c>
      <c r="H1152" s="364" t="s">
        <v>1500</v>
      </c>
      <c r="I1152" s="364" t="s">
        <v>1499</v>
      </c>
      <c r="J1152" s="364" t="s">
        <v>673</v>
      </c>
      <c r="K1152" s="364" t="s">
        <v>668</v>
      </c>
      <c r="L1152" s="364" t="s">
        <v>190</v>
      </c>
      <c r="M1152" s="364" t="s">
        <v>61</v>
      </c>
      <c r="N1152" s="364" t="s">
        <v>654</v>
      </c>
      <c r="O1152" s="364" t="s">
        <v>653</v>
      </c>
      <c r="P1152" s="364" t="s">
        <v>198</v>
      </c>
      <c r="Q1152" s="364" t="s">
        <v>652</v>
      </c>
      <c r="R1152" s="364" t="s">
        <v>88</v>
      </c>
      <c r="S1152" s="364" t="s">
        <v>88</v>
      </c>
      <c r="T1152" s="364" t="s">
        <v>88</v>
      </c>
      <c r="U1152" s="364" t="s">
        <v>88</v>
      </c>
      <c r="V1152" s="364" t="s">
        <v>88</v>
      </c>
      <c r="W1152" s="364" t="s">
        <v>88</v>
      </c>
      <c r="X1152" s="364" t="s">
        <v>88</v>
      </c>
      <c r="Y1152" s="364" t="s">
        <v>88</v>
      </c>
      <c r="Z1152" s="364" t="s">
        <v>1021</v>
      </c>
      <c r="AA1152" s="364" t="s">
        <v>671</v>
      </c>
      <c r="AB1152" s="364" t="s">
        <v>649</v>
      </c>
      <c r="AC1152" s="364" t="s">
        <v>649</v>
      </c>
      <c r="AD1152" s="364" t="s">
        <v>88</v>
      </c>
      <c r="AE1152" s="364" t="s">
        <v>88</v>
      </c>
      <c r="AF1152" s="364" t="s">
        <v>88</v>
      </c>
      <c r="AG1152" s="364" t="s">
        <v>88</v>
      </c>
      <c r="AH1152" s="364" t="s">
        <v>88</v>
      </c>
      <c r="AI1152" s="364" t="s">
        <v>1155</v>
      </c>
      <c r="AJ1152" s="364" t="s">
        <v>710</v>
      </c>
      <c r="AK1152" s="364" t="s">
        <v>647</v>
      </c>
      <c r="AL1152" s="364" t="s">
        <v>88</v>
      </c>
      <c r="AM1152" s="364" t="s">
        <v>668</v>
      </c>
      <c r="AN1152" s="364" t="s">
        <v>644</v>
      </c>
    </row>
    <row r="1153" spans="1:40" x14ac:dyDescent="0.3">
      <c r="A1153" s="364" t="s">
        <v>1501</v>
      </c>
      <c r="B1153" s="364" t="s">
        <v>661</v>
      </c>
      <c r="C1153" s="364" t="s">
        <v>677</v>
      </c>
      <c r="D1153" s="364" t="s">
        <v>90</v>
      </c>
      <c r="E1153" s="364" t="s">
        <v>1141</v>
      </c>
      <c r="F1153" s="364" t="s">
        <v>1141</v>
      </c>
      <c r="G1153" s="364" t="s">
        <v>658</v>
      </c>
      <c r="H1153" s="364" t="s">
        <v>1500</v>
      </c>
      <c r="I1153" s="364" t="s">
        <v>1499</v>
      </c>
      <c r="J1153" s="364" t="s">
        <v>673</v>
      </c>
      <c r="K1153" s="364" t="s">
        <v>668</v>
      </c>
      <c r="L1153" s="364" t="s">
        <v>190</v>
      </c>
      <c r="M1153" s="364" t="s">
        <v>242</v>
      </c>
      <c r="N1153" s="364" t="s">
        <v>654</v>
      </c>
      <c r="O1153" s="364" t="s">
        <v>653</v>
      </c>
      <c r="P1153" s="364" t="s">
        <v>198</v>
      </c>
      <c r="Q1153" s="364" t="s">
        <v>652</v>
      </c>
      <c r="R1153" s="364" t="s">
        <v>88</v>
      </c>
      <c r="S1153" s="364" t="s">
        <v>88</v>
      </c>
      <c r="T1153" s="364" t="s">
        <v>88</v>
      </c>
      <c r="U1153" s="364" t="s">
        <v>88</v>
      </c>
      <c r="V1153" s="364" t="s">
        <v>88</v>
      </c>
      <c r="W1153" s="364" t="s">
        <v>88</v>
      </c>
      <c r="X1153" s="364" t="s">
        <v>88</v>
      </c>
      <c r="Y1153" s="364" t="s">
        <v>88</v>
      </c>
      <c r="Z1153" s="364" t="s">
        <v>1157</v>
      </c>
      <c r="AA1153" s="364" t="s">
        <v>1156</v>
      </c>
      <c r="AB1153" s="364" t="s">
        <v>649</v>
      </c>
      <c r="AC1153" s="364" t="s">
        <v>649</v>
      </c>
      <c r="AD1153" s="364" t="s">
        <v>88</v>
      </c>
      <c r="AE1153" s="364" t="s">
        <v>88</v>
      </c>
      <c r="AF1153" s="364" t="s">
        <v>88</v>
      </c>
      <c r="AG1153" s="364" t="s">
        <v>88</v>
      </c>
      <c r="AH1153" s="364" t="s">
        <v>88</v>
      </c>
      <c r="AI1153" s="364" t="s">
        <v>1155</v>
      </c>
      <c r="AJ1153" s="364" t="s">
        <v>710</v>
      </c>
      <c r="AK1153" s="364" t="s">
        <v>647</v>
      </c>
      <c r="AL1153" s="364" t="s">
        <v>88</v>
      </c>
      <c r="AM1153" s="364" t="s">
        <v>668</v>
      </c>
      <c r="AN1153" s="364" t="s">
        <v>644</v>
      </c>
    </row>
    <row r="1154" spans="1:40" x14ac:dyDescent="0.3">
      <c r="A1154" s="364" t="s">
        <v>1501</v>
      </c>
      <c r="B1154" s="364" t="s">
        <v>661</v>
      </c>
      <c r="C1154" s="364" t="s">
        <v>677</v>
      </c>
      <c r="D1154" s="364" t="s">
        <v>90</v>
      </c>
      <c r="E1154" s="364" t="s">
        <v>1141</v>
      </c>
      <c r="F1154" s="364" t="s">
        <v>1141</v>
      </c>
      <c r="G1154" s="364" t="s">
        <v>658</v>
      </c>
      <c r="H1154" s="364" t="s">
        <v>1500</v>
      </c>
      <c r="I1154" s="364" t="s">
        <v>1499</v>
      </c>
      <c r="J1154" s="364" t="s">
        <v>673</v>
      </c>
      <c r="K1154" s="364" t="s">
        <v>668</v>
      </c>
      <c r="L1154" s="364" t="s">
        <v>190</v>
      </c>
      <c r="M1154" s="364" t="s">
        <v>1168</v>
      </c>
      <c r="N1154" s="364" t="s">
        <v>654</v>
      </c>
      <c r="O1154" s="364" t="s">
        <v>653</v>
      </c>
      <c r="P1154" s="364" t="s">
        <v>198</v>
      </c>
      <c r="Q1154" s="364" t="s">
        <v>652</v>
      </c>
      <c r="R1154" s="364" t="s">
        <v>88</v>
      </c>
      <c r="S1154" s="364" t="s">
        <v>88</v>
      </c>
      <c r="T1154" s="364" t="s">
        <v>88</v>
      </c>
      <c r="U1154" s="364" t="s">
        <v>88</v>
      </c>
      <c r="V1154" s="364" t="s">
        <v>88</v>
      </c>
      <c r="W1154" s="364" t="s">
        <v>88</v>
      </c>
      <c r="X1154" s="364" t="s">
        <v>88</v>
      </c>
      <c r="Y1154" s="364" t="s">
        <v>88</v>
      </c>
      <c r="Z1154" s="364" t="s">
        <v>1167</v>
      </c>
      <c r="AA1154" s="364" t="s">
        <v>1166</v>
      </c>
      <c r="AB1154" s="364" t="s">
        <v>649</v>
      </c>
      <c r="AC1154" s="364" t="s">
        <v>649</v>
      </c>
      <c r="AD1154" s="364" t="s">
        <v>88</v>
      </c>
      <c r="AE1154" s="364" t="s">
        <v>88</v>
      </c>
      <c r="AF1154" s="364" t="s">
        <v>88</v>
      </c>
      <c r="AG1154" s="364" t="s">
        <v>88</v>
      </c>
      <c r="AH1154" s="364" t="s">
        <v>88</v>
      </c>
      <c r="AI1154" s="364" t="s">
        <v>1155</v>
      </c>
      <c r="AJ1154" s="364" t="s">
        <v>710</v>
      </c>
      <c r="AK1154" s="364" t="s">
        <v>647</v>
      </c>
      <c r="AL1154" s="364" t="s">
        <v>88</v>
      </c>
      <c r="AM1154" s="364" t="s">
        <v>668</v>
      </c>
      <c r="AN1154" s="364" t="s">
        <v>644</v>
      </c>
    </row>
    <row r="1155" spans="1:40" x14ac:dyDescent="0.3">
      <c r="A1155" s="364" t="s">
        <v>1501</v>
      </c>
      <c r="B1155" s="364" t="s">
        <v>661</v>
      </c>
      <c r="C1155" s="364" t="s">
        <v>677</v>
      </c>
      <c r="D1155" s="364" t="s">
        <v>90</v>
      </c>
      <c r="E1155" s="364" t="s">
        <v>1141</v>
      </c>
      <c r="F1155" s="364" t="s">
        <v>1141</v>
      </c>
      <c r="G1155" s="364" t="s">
        <v>658</v>
      </c>
      <c r="H1155" s="364" t="s">
        <v>1500</v>
      </c>
      <c r="I1155" s="364" t="s">
        <v>1499</v>
      </c>
      <c r="J1155" s="364" t="s">
        <v>673</v>
      </c>
      <c r="K1155" s="364" t="s">
        <v>668</v>
      </c>
      <c r="L1155" s="364" t="s">
        <v>190</v>
      </c>
      <c r="M1155" s="364" t="s">
        <v>713</v>
      </c>
      <c r="N1155" s="364" t="s">
        <v>654</v>
      </c>
      <c r="O1155" s="364" t="s">
        <v>653</v>
      </c>
      <c r="P1155" s="364" t="s">
        <v>198</v>
      </c>
      <c r="Q1155" s="364" t="s">
        <v>652</v>
      </c>
      <c r="R1155" s="364" t="s">
        <v>88</v>
      </c>
      <c r="S1155" s="364" t="s">
        <v>88</v>
      </c>
      <c r="T1155" s="364" t="s">
        <v>88</v>
      </c>
      <c r="U1155" s="364" t="s">
        <v>88</v>
      </c>
      <c r="V1155" s="364" t="s">
        <v>88</v>
      </c>
      <c r="W1155" s="364" t="s">
        <v>88</v>
      </c>
      <c r="X1155" s="364" t="s">
        <v>88</v>
      </c>
      <c r="Y1155" s="364" t="s">
        <v>88</v>
      </c>
      <c r="Z1155" s="364" t="s">
        <v>712</v>
      </c>
      <c r="AA1155" s="364" t="s">
        <v>711</v>
      </c>
      <c r="AB1155" s="364" t="s">
        <v>649</v>
      </c>
      <c r="AC1155" s="364" t="s">
        <v>649</v>
      </c>
      <c r="AD1155" s="364" t="s">
        <v>88</v>
      </c>
      <c r="AE1155" s="364" t="s">
        <v>88</v>
      </c>
      <c r="AF1155" s="364" t="s">
        <v>88</v>
      </c>
      <c r="AG1155" s="364" t="s">
        <v>88</v>
      </c>
      <c r="AH1155" s="364" t="s">
        <v>88</v>
      </c>
      <c r="AI1155" s="364" t="s">
        <v>1155</v>
      </c>
      <c r="AJ1155" s="364" t="s">
        <v>710</v>
      </c>
      <c r="AK1155" s="364" t="s">
        <v>647</v>
      </c>
      <c r="AL1155" s="364" t="s">
        <v>88</v>
      </c>
      <c r="AM1155" s="364" t="s">
        <v>668</v>
      </c>
      <c r="AN1155" s="364" t="s">
        <v>644</v>
      </c>
    </row>
    <row r="1156" spans="1:40" x14ac:dyDescent="0.3">
      <c r="A1156" s="364" t="s">
        <v>1501</v>
      </c>
      <c r="B1156" s="364" t="s">
        <v>661</v>
      </c>
      <c r="C1156" s="364" t="s">
        <v>677</v>
      </c>
      <c r="D1156" s="364" t="s">
        <v>90</v>
      </c>
      <c r="E1156" s="364" t="s">
        <v>1141</v>
      </c>
      <c r="F1156" s="364" t="s">
        <v>1141</v>
      </c>
      <c r="G1156" s="364" t="s">
        <v>658</v>
      </c>
      <c r="H1156" s="364" t="s">
        <v>1500</v>
      </c>
      <c r="I1156" s="364" t="s">
        <v>1499</v>
      </c>
      <c r="J1156" s="364" t="s">
        <v>673</v>
      </c>
      <c r="K1156" s="364" t="s">
        <v>668</v>
      </c>
      <c r="L1156" s="364" t="s">
        <v>190</v>
      </c>
      <c r="M1156" s="364" t="s">
        <v>56</v>
      </c>
      <c r="N1156" s="364" t="s">
        <v>654</v>
      </c>
      <c r="O1156" s="364" t="s">
        <v>653</v>
      </c>
      <c r="P1156" s="364" t="s">
        <v>198</v>
      </c>
      <c r="Q1156" s="364" t="s">
        <v>652</v>
      </c>
      <c r="R1156" s="364" t="s">
        <v>88</v>
      </c>
      <c r="S1156" s="364" t="s">
        <v>88</v>
      </c>
      <c r="T1156" s="364" t="s">
        <v>88</v>
      </c>
      <c r="U1156" s="364" t="s">
        <v>88</v>
      </c>
      <c r="V1156" s="364" t="s">
        <v>88</v>
      </c>
      <c r="W1156" s="364" t="s">
        <v>88</v>
      </c>
      <c r="X1156" s="364" t="s">
        <v>88</v>
      </c>
      <c r="Y1156" s="364" t="s">
        <v>88</v>
      </c>
      <c r="Z1156" s="364" t="s">
        <v>1165</v>
      </c>
      <c r="AA1156" s="364" t="s">
        <v>1164</v>
      </c>
      <c r="AB1156" s="364" t="s">
        <v>649</v>
      </c>
      <c r="AC1156" s="364" t="s">
        <v>649</v>
      </c>
      <c r="AD1156" s="364" t="s">
        <v>88</v>
      </c>
      <c r="AE1156" s="364" t="s">
        <v>88</v>
      </c>
      <c r="AF1156" s="364" t="s">
        <v>88</v>
      </c>
      <c r="AG1156" s="364" t="s">
        <v>88</v>
      </c>
      <c r="AH1156" s="364" t="s">
        <v>88</v>
      </c>
      <c r="AI1156" s="364" t="s">
        <v>1155</v>
      </c>
      <c r="AJ1156" s="364" t="s">
        <v>710</v>
      </c>
      <c r="AK1156" s="364" t="s">
        <v>647</v>
      </c>
      <c r="AL1156" s="364" t="s">
        <v>88</v>
      </c>
      <c r="AM1156" s="364" t="s">
        <v>668</v>
      </c>
      <c r="AN1156" s="364" t="s">
        <v>644</v>
      </c>
    </row>
    <row r="1157" spans="1:40" x14ac:dyDescent="0.3">
      <c r="A1157" s="364" t="s">
        <v>1501</v>
      </c>
      <c r="B1157" s="364" t="s">
        <v>661</v>
      </c>
      <c r="C1157" s="364" t="s">
        <v>677</v>
      </c>
      <c r="D1157" s="364" t="s">
        <v>90</v>
      </c>
      <c r="E1157" s="364" t="s">
        <v>1141</v>
      </c>
      <c r="F1157" s="364" t="s">
        <v>1141</v>
      </c>
      <c r="G1157" s="364" t="s">
        <v>658</v>
      </c>
      <c r="H1157" s="364" t="s">
        <v>1500</v>
      </c>
      <c r="I1157" s="364" t="s">
        <v>1499</v>
      </c>
      <c r="J1157" s="364" t="s">
        <v>673</v>
      </c>
      <c r="K1157" s="364" t="s">
        <v>668</v>
      </c>
      <c r="L1157" s="364" t="s">
        <v>190</v>
      </c>
      <c r="M1157" s="364" t="s">
        <v>241</v>
      </c>
      <c r="N1157" s="364" t="s">
        <v>654</v>
      </c>
      <c r="O1157" s="364" t="s">
        <v>653</v>
      </c>
      <c r="P1157" s="364" t="s">
        <v>198</v>
      </c>
      <c r="Q1157" s="364" t="s">
        <v>652</v>
      </c>
      <c r="R1157" s="364" t="s">
        <v>88</v>
      </c>
      <c r="S1157" s="364" t="s">
        <v>88</v>
      </c>
      <c r="T1157" s="364" t="s">
        <v>88</v>
      </c>
      <c r="U1157" s="364" t="s">
        <v>88</v>
      </c>
      <c r="V1157" s="364" t="s">
        <v>88</v>
      </c>
      <c r="W1157" s="364" t="s">
        <v>88</v>
      </c>
      <c r="X1157" s="364" t="s">
        <v>88</v>
      </c>
      <c r="Y1157" s="364" t="s">
        <v>88</v>
      </c>
      <c r="Z1157" s="364" t="s">
        <v>1170</v>
      </c>
      <c r="AA1157" s="364" t="s">
        <v>1169</v>
      </c>
      <c r="AB1157" s="364" t="s">
        <v>649</v>
      </c>
      <c r="AC1157" s="364" t="s">
        <v>649</v>
      </c>
      <c r="AD1157" s="364" t="s">
        <v>88</v>
      </c>
      <c r="AE1157" s="364" t="s">
        <v>88</v>
      </c>
      <c r="AF1157" s="364" t="s">
        <v>88</v>
      </c>
      <c r="AG1157" s="364" t="s">
        <v>88</v>
      </c>
      <c r="AH1157" s="364" t="s">
        <v>88</v>
      </c>
      <c r="AI1157" s="364" t="s">
        <v>1155</v>
      </c>
      <c r="AJ1157" s="364" t="s">
        <v>710</v>
      </c>
      <c r="AK1157" s="364" t="s">
        <v>647</v>
      </c>
      <c r="AL1157" s="364" t="s">
        <v>88</v>
      </c>
      <c r="AM1157" s="364" t="s">
        <v>668</v>
      </c>
      <c r="AN1157" s="364" t="s">
        <v>644</v>
      </c>
    </row>
    <row r="1158" spans="1:40" x14ac:dyDescent="0.3">
      <c r="A1158" s="364" t="s">
        <v>1501</v>
      </c>
      <c r="B1158" s="364" t="s">
        <v>661</v>
      </c>
      <c r="C1158" s="364" t="s">
        <v>677</v>
      </c>
      <c r="D1158" s="364" t="s">
        <v>90</v>
      </c>
      <c r="E1158" s="364" t="s">
        <v>1141</v>
      </c>
      <c r="F1158" s="364" t="s">
        <v>1141</v>
      </c>
      <c r="G1158" s="364" t="s">
        <v>658</v>
      </c>
      <c r="H1158" s="364" t="s">
        <v>1500</v>
      </c>
      <c r="I1158" s="364" t="s">
        <v>1499</v>
      </c>
      <c r="J1158" s="364" t="s">
        <v>673</v>
      </c>
      <c r="K1158" s="364" t="s">
        <v>668</v>
      </c>
      <c r="L1158" s="364" t="s">
        <v>190</v>
      </c>
      <c r="M1158" s="364" t="s">
        <v>240</v>
      </c>
      <c r="N1158" s="364" t="s">
        <v>654</v>
      </c>
      <c r="O1158" s="364" t="s">
        <v>653</v>
      </c>
      <c r="P1158" s="364" t="s">
        <v>198</v>
      </c>
      <c r="Q1158" s="364" t="s">
        <v>652</v>
      </c>
      <c r="R1158" s="364" t="s">
        <v>88</v>
      </c>
      <c r="S1158" s="364" t="s">
        <v>88</v>
      </c>
      <c r="T1158" s="364" t="s">
        <v>88</v>
      </c>
      <c r="U1158" s="364" t="s">
        <v>88</v>
      </c>
      <c r="V1158" s="364" t="s">
        <v>88</v>
      </c>
      <c r="W1158" s="364" t="s">
        <v>88</v>
      </c>
      <c r="X1158" s="364" t="s">
        <v>88</v>
      </c>
      <c r="Y1158" s="364" t="s">
        <v>88</v>
      </c>
      <c r="Z1158" s="364" t="s">
        <v>1163</v>
      </c>
      <c r="AA1158" s="364" t="s">
        <v>1162</v>
      </c>
      <c r="AB1158" s="364" t="s">
        <v>649</v>
      </c>
      <c r="AC1158" s="364" t="s">
        <v>649</v>
      </c>
      <c r="AD1158" s="364" t="s">
        <v>88</v>
      </c>
      <c r="AE1158" s="364" t="s">
        <v>88</v>
      </c>
      <c r="AF1158" s="364" t="s">
        <v>88</v>
      </c>
      <c r="AG1158" s="364" t="s">
        <v>88</v>
      </c>
      <c r="AH1158" s="364" t="s">
        <v>88</v>
      </c>
      <c r="AI1158" s="364" t="s">
        <v>1155</v>
      </c>
      <c r="AJ1158" s="364" t="s">
        <v>710</v>
      </c>
      <c r="AK1158" s="364" t="s">
        <v>647</v>
      </c>
      <c r="AL1158" s="364" t="s">
        <v>88</v>
      </c>
      <c r="AM1158" s="364" t="s">
        <v>668</v>
      </c>
      <c r="AN1158" s="364" t="s">
        <v>644</v>
      </c>
    </row>
    <row r="1159" spans="1:40" x14ac:dyDescent="0.3">
      <c r="A1159" s="364" t="s">
        <v>1501</v>
      </c>
      <c r="B1159" s="364" t="s">
        <v>661</v>
      </c>
      <c r="C1159" s="364" t="s">
        <v>677</v>
      </c>
      <c r="D1159" s="364" t="s">
        <v>90</v>
      </c>
      <c r="E1159" s="364" t="s">
        <v>1141</v>
      </c>
      <c r="F1159" s="364" t="s">
        <v>1141</v>
      </c>
      <c r="G1159" s="364" t="s">
        <v>658</v>
      </c>
      <c r="H1159" s="364" t="s">
        <v>1500</v>
      </c>
      <c r="I1159" s="364" t="s">
        <v>1499</v>
      </c>
      <c r="J1159" s="364" t="s">
        <v>673</v>
      </c>
      <c r="K1159" s="364" t="s">
        <v>668</v>
      </c>
      <c r="L1159" s="364" t="s">
        <v>190</v>
      </c>
      <c r="M1159" s="364" t="s">
        <v>417</v>
      </c>
      <c r="N1159" s="364" t="s">
        <v>654</v>
      </c>
      <c r="O1159" s="364" t="s">
        <v>653</v>
      </c>
      <c r="P1159" s="364" t="s">
        <v>198</v>
      </c>
      <c r="Q1159" s="364" t="s">
        <v>652</v>
      </c>
      <c r="R1159" s="364" t="s">
        <v>88</v>
      </c>
      <c r="S1159" s="364" t="s">
        <v>88</v>
      </c>
      <c r="T1159" s="364" t="s">
        <v>88</v>
      </c>
      <c r="U1159" s="364" t="s">
        <v>88</v>
      </c>
      <c r="V1159" s="364" t="s">
        <v>88</v>
      </c>
      <c r="W1159" s="364" t="s">
        <v>88</v>
      </c>
      <c r="X1159" s="364" t="s">
        <v>88</v>
      </c>
      <c r="Y1159" s="364" t="s">
        <v>88</v>
      </c>
      <c r="Z1159" s="364" t="s">
        <v>1261</v>
      </c>
      <c r="AA1159" s="364" t="s">
        <v>649</v>
      </c>
      <c r="AB1159" s="364" t="s">
        <v>649</v>
      </c>
      <c r="AC1159" s="364" t="s">
        <v>649</v>
      </c>
      <c r="AD1159" s="364" t="s">
        <v>88</v>
      </c>
      <c r="AE1159" s="364" t="s">
        <v>88</v>
      </c>
      <c r="AF1159" s="364" t="s">
        <v>88</v>
      </c>
      <c r="AG1159" s="364" t="s">
        <v>88</v>
      </c>
      <c r="AH1159" s="364" t="s">
        <v>88</v>
      </c>
      <c r="AI1159" s="364" t="s">
        <v>1155</v>
      </c>
      <c r="AJ1159" s="364" t="s">
        <v>710</v>
      </c>
      <c r="AK1159" s="364" t="s">
        <v>647</v>
      </c>
      <c r="AL1159" s="364" t="s">
        <v>88</v>
      </c>
      <c r="AM1159" s="364" t="s">
        <v>668</v>
      </c>
      <c r="AN1159" s="364" t="s">
        <v>644</v>
      </c>
    </row>
    <row r="1160" spans="1:40" x14ac:dyDescent="0.3">
      <c r="A1160" s="364" t="s">
        <v>1498</v>
      </c>
      <c r="B1160" s="364" t="s">
        <v>661</v>
      </c>
      <c r="C1160" s="364" t="s">
        <v>677</v>
      </c>
      <c r="D1160" s="364" t="s">
        <v>87</v>
      </c>
      <c r="E1160" s="364" t="s">
        <v>1309</v>
      </c>
      <c r="F1160" s="364" t="s">
        <v>1309</v>
      </c>
      <c r="G1160" s="364" t="s">
        <v>658</v>
      </c>
      <c r="H1160" s="364" t="s">
        <v>1497</v>
      </c>
      <c r="I1160" s="364" t="s">
        <v>1496</v>
      </c>
      <c r="J1160" s="364" t="s">
        <v>673</v>
      </c>
      <c r="K1160" s="364" t="s">
        <v>668</v>
      </c>
      <c r="L1160" s="364" t="s">
        <v>190</v>
      </c>
      <c r="M1160" s="364" t="s">
        <v>58</v>
      </c>
      <c r="N1160" s="364" t="s">
        <v>654</v>
      </c>
      <c r="O1160" s="364" t="s">
        <v>653</v>
      </c>
      <c r="P1160" s="364" t="s">
        <v>198</v>
      </c>
      <c r="Q1160" s="364" t="s">
        <v>652</v>
      </c>
      <c r="R1160" s="364" t="s">
        <v>88</v>
      </c>
      <c r="S1160" s="364" t="s">
        <v>88</v>
      </c>
      <c r="T1160" s="364" t="s">
        <v>88</v>
      </c>
      <c r="U1160" s="364" t="s">
        <v>88</v>
      </c>
      <c r="V1160" s="364" t="s">
        <v>88</v>
      </c>
      <c r="W1160" s="364" t="s">
        <v>88</v>
      </c>
      <c r="X1160" s="364" t="s">
        <v>88</v>
      </c>
      <c r="Y1160" s="364" t="s">
        <v>88</v>
      </c>
      <c r="Z1160" s="364" t="s">
        <v>702</v>
      </c>
      <c r="AA1160" s="364" t="s">
        <v>701</v>
      </c>
      <c r="AB1160" s="364" t="s">
        <v>649</v>
      </c>
      <c r="AC1160" s="364" t="s">
        <v>649</v>
      </c>
      <c r="AD1160" s="364" t="s">
        <v>88</v>
      </c>
      <c r="AE1160" s="364" t="s">
        <v>88</v>
      </c>
      <c r="AF1160" s="364" t="s">
        <v>88</v>
      </c>
      <c r="AG1160" s="364" t="s">
        <v>88</v>
      </c>
      <c r="AH1160" s="364" t="s">
        <v>88</v>
      </c>
      <c r="AI1160" s="364" t="s">
        <v>1199</v>
      </c>
      <c r="AJ1160" s="364" t="s">
        <v>670</v>
      </c>
      <c r="AK1160" s="364" t="s">
        <v>669</v>
      </c>
      <c r="AL1160" s="364" t="s">
        <v>88</v>
      </c>
      <c r="AM1160" s="364" t="s">
        <v>668</v>
      </c>
      <c r="AN1160" s="364" t="s">
        <v>644</v>
      </c>
    </row>
    <row r="1161" spans="1:40" x14ac:dyDescent="0.3">
      <c r="A1161" s="364" t="s">
        <v>1498</v>
      </c>
      <c r="B1161" s="364" t="s">
        <v>661</v>
      </c>
      <c r="C1161" s="364" t="s">
        <v>677</v>
      </c>
      <c r="D1161" s="364" t="s">
        <v>87</v>
      </c>
      <c r="E1161" s="364" t="s">
        <v>1309</v>
      </c>
      <c r="F1161" s="364" t="s">
        <v>1309</v>
      </c>
      <c r="G1161" s="364" t="s">
        <v>658</v>
      </c>
      <c r="H1161" s="364" t="s">
        <v>1497</v>
      </c>
      <c r="I1161" s="364" t="s">
        <v>1496</v>
      </c>
      <c r="J1161" s="364" t="s">
        <v>673</v>
      </c>
      <c r="K1161" s="364" t="s">
        <v>668</v>
      </c>
      <c r="L1161" s="364" t="s">
        <v>190</v>
      </c>
      <c r="M1161" s="364" t="s">
        <v>166</v>
      </c>
      <c r="N1161" s="364" t="s">
        <v>654</v>
      </c>
      <c r="O1161" s="364" t="s">
        <v>653</v>
      </c>
      <c r="P1161" s="364" t="s">
        <v>198</v>
      </c>
      <c r="Q1161" s="364" t="s">
        <v>652</v>
      </c>
      <c r="R1161" s="364" t="s">
        <v>88</v>
      </c>
      <c r="S1161" s="364" t="s">
        <v>88</v>
      </c>
      <c r="T1161" s="364" t="s">
        <v>88</v>
      </c>
      <c r="U1161" s="364" t="s">
        <v>88</v>
      </c>
      <c r="V1161" s="364" t="s">
        <v>88</v>
      </c>
      <c r="W1161" s="364" t="s">
        <v>88</v>
      </c>
      <c r="X1161" s="364" t="s">
        <v>88</v>
      </c>
      <c r="Y1161" s="364" t="s">
        <v>88</v>
      </c>
      <c r="Z1161" s="364" t="s">
        <v>877</v>
      </c>
      <c r="AA1161" s="364" t="s">
        <v>876</v>
      </c>
      <c r="AB1161" s="364" t="s">
        <v>649</v>
      </c>
      <c r="AC1161" s="364" t="s">
        <v>649</v>
      </c>
      <c r="AD1161" s="364" t="s">
        <v>88</v>
      </c>
      <c r="AE1161" s="364" t="s">
        <v>88</v>
      </c>
      <c r="AF1161" s="364" t="s">
        <v>88</v>
      </c>
      <c r="AG1161" s="364" t="s">
        <v>88</v>
      </c>
      <c r="AH1161" s="364" t="s">
        <v>88</v>
      </c>
      <c r="AI1161" s="364" t="s">
        <v>1199</v>
      </c>
      <c r="AJ1161" s="364" t="s">
        <v>670</v>
      </c>
      <c r="AK1161" s="364" t="s">
        <v>669</v>
      </c>
      <c r="AL1161" s="364" t="s">
        <v>88</v>
      </c>
      <c r="AM1161" s="364" t="s">
        <v>668</v>
      </c>
      <c r="AN1161" s="364" t="s">
        <v>644</v>
      </c>
    </row>
    <row r="1162" spans="1:40" x14ac:dyDescent="0.3">
      <c r="A1162" s="364" t="s">
        <v>1495</v>
      </c>
      <c r="B1162" s="364" t="s">
        <v>661</v>
      </c>
      <c r="C1162" s="364" t="s">
        <v>677</v>
      </c>
      <c r="D1162" s="364" t="s">
        <v>90</v>
      </c>
      <c r="E1162" s="364" t="s">
        <v>944</v>
      </c>
      <c r="F1162" s="364" t="s">
        <v>944</v>
      </c>
      <c r="G1162" s="364" t="s">
        <v>658</v>
      </c>
      <c r="H1162" s="364" t="s">
        <v>1494</v>
      </c>
      <c r="I1162" s="364" t="s">
        <v>1294</v>
      </c>
      <c r="J1162" s="364" t="s">
        <v>673</v>
      </c>
      <c r="K1162" s="364" t="s">
        <v>668</v>
      </c>
      <c r="L1162" s="364" t="s">
        <v>190</v>
      </c>
      <c r="M1162" s="364" t="s">
        <v>61</v>
      </c>
      <c r="N1162" s="364" t="s">
        <v>654</v>
      </c>
      <c r="O1162" s="364" t="s">
        <v>653</v>
      </c>
      <c r="P1162" s="364" t="s">
        <v>198</v>
      </c>
      <c r="Q1162" s="364" t="s">
        <v>652</v>
      </c>
      <c r="R1162" s="364" t="s">
        <v>88</v>
      </c>
      <c r="S1162" s="364" t="s">
        <v>88</v>
      </c>
      <c r="T1162" s="364" t="s">
        <v>88</v>
      </c>
      <c r="U1162" s="364" t="s">
        <v>88</v>
      </c>
      <c r="V1162" s="364" t="s">
        <v>88</v>
      </c>
      <c r="W1162" s="364" t="s">
        <v>88</v>
      </c>
      <c r="X1162" s="364" t="s">
        <v>88</v>
      </c>
      <c r="Y1162" s="364" t="s">
        <v>88</v>
      </c>
      <c r="Z1162" s="364" t="s">
        <v>1021</v>
      </c>
      <c r="AA1162" s="364" t="s">
        <v>671</v>
      </c>
      <c r="AB1162" s="364" t="s">
        <v>649</v>
      </c>
      <c r="AC1162" s="364" t="s">
        <v>649</v>
      </c>
      <c r="AD1162" s="364" t="s">
        <v>88</v>
      </c>
      <c r="AE1162" s="364" t="s">
        <v>88</v>
      </c>
      <c r="AF1162" s="364" t="s">
        <v>88</v>
      </c>
      <c r="AG1162" s="364" t="s">
        <v>88</v>
      </c>
      <c r="AH1162" s="364" t="s">
        <v>88</v>
      </c>
      <c r="AI1162" s="364" t="s">
        <v>1155</v>
      </c>
      <c r="AJ1162" s="364" t="s">
        <v>710</v>
      </c>
      <c r="AK1162" s="364" t="s">
        <v>647</v>
      </c>
      <c r="AL1162" s="364" t="s">
        <v>88</v>
      </c>
      <c r="AM1162" s="364" t="s">
        <v>668</v>
      </c>
      <c r="AN1162" s="364" t="s">
        <v>644</v>
      </c>
    </row>
    <row r="1163" spans="1:40" x14ac:dyDescent="0.3">
      <c r="A1163" s="364" t="s">
        <v>1495</v>
      </c>
      <c r="B1163" s="364" t="s">
        <v>661</v>
      </c>
      <c r="C1163" s="364" t="s">
        <v>677</v>
      </c>
      <c r="D1163" s="364" t="s">
        <v>90</v>
      </c>
      <c r="E1163" s="364" t="s">
        <v>944</v>
      </c>
      <c r="F1163" s="364" t="s">
        <v>944</v>
      </c>
      <c r="G1163" s="364" t="s">
        <v>658</v>
      </c>
      <c r="H1163" s="364" t="s">
        <v>1494</v>
      </c>
      <c r="I1163" s="364" t="s">
        <v>1294</v>
      </c>
      <c r="J1163" s="364" t="s">
        <v>673</v>
      </c>
      <c r="K1163" s="364" t="s">
        <v>668</v>
      </c>
      <c r="L1163" s="364" t="s">
        <v>190</v>
      </c>
      <c r="M1163" s="364" t="s">
        <v>242</v>
      </c>
      <c r="N1163" s="364" t="s">
        <v>654</v>
      </c>
      <c r="O1163" s="364" t="s">
        <v>653</v>
      </c>
      <c r="P1163" s="364" t="s">
        <v>198</v>
      </c>
      <c r="Q1163" s="364" t="s">
        <v>652</v>
      </c>
      <c r="R1163" s="364" t="s">
        <v>88</v>
      </c>
      <c r="S1163" s="364" t="s">
        <v>88</v>
      </c>
      <c r="T1163" s="364" t="s">
        <v>88</v>
      </c>
      <c r="U1163" s="364" t="s">
        <v>88</v>
      </c>
      <c r="V1163" s="364" t="s">
        <v>88</v>
      </c>
      <c r="W1163" s="364" t="s">
        <v>88</v>
      </c>
      <c r="X1163" s="364" t="s">
        <v>88</v>
      </c>
      <c r="Y1163" s="364" t="s">
        <v>88</v>
      </c>
      <c r="Z1163" s="364" t="s">
        <v>1157</v>
      </c>
      <c r="AA1163" s="364" t="s">
        <v>1156</v>
      </c>
      <c r="AB1163" s="364" t="s">
        <v>649</v>
      </c>
      <c r="AC1163" s="364" t="s">
        <v>649</v>
      </c>
      <c r="AD1163" s="364" t="s">
        <v>88</v>
      </c>
      <c r="AE1163" s="364" t="s">
        <v>88</v>
      </c>
      <c r="AF1163" s="364" t="s">
        <v>88</v>
      </c>
      <c r="AG1163" s="364" t="s">
        <v>88</v>
      </c>
      <c r="AH1163" s="364" t="s">
        <v>88</v>
      </c>
      <c r="AI1163" s="364" t="s">
        <v>1155</v>
      </c>
      <c r="AJ1163" s="364" t="s">
        <v>710</v>
      </c>
      <c r="AK1163" s="364" t="s">
        <v>647</v>
      </c>
      <c r="AL1163" s="364" t="s">
        <v>88</v>
      </c>
      <c r="AM1163" s="364" t="s">
        <v>668</v>
      </c>
      <c r="AN1163" s="364" t="s">
        <v>644</v>
      </c>
    </row>
    <row r="1164" spans="1:40" x14ac:dyDescent="0.3">
      <c r="A1164" s="364" t="s">
        <v>1495</v>
      </c>
      <c r="B1164" s="364" t="s">
        <v>661</v>
      </c>
      <c r="C1164" s="364" t="s">
        <v>677</v>
      </c>
      <c r="D1164" s="364" t="s">
        <v>90</v>
      </c>
      <c r="E1164" s="364" t="s">
        <v>944</v>
      </c>
      <c r="F1164" s="364" t="s">
        <v>944</v>
      </c>
      <c r="G1164" s="364" t="s">
        <v>658</v>
      </c>
      <c r="H1164" s="364" t="s">
        <v>1494</v>
      </c>
      <c r="I1164" s="364" t="s">
        <v>1294</v>
      </c>
      <c r="J1164" s="364" t="s">
        <v>673</v>
      </c>
      <c r="K1164" s="364" t="s">
        <v>668</v>
      </c>
      <c r="L1164" s="364" t="s">
        <v>190</v>
      </c>
      <c r="M1164" s="364" t="s">
        <v>54</v>
      </c>
      <c r="N1164" s="364" t="s">
        <v>654</v>
      </c>
      <c r="O1164" s="364" t="s">
        <v>653</v>
      </c>
      <c r="P1164" s="364" t="s">
        <v>198</v>
      </c>
      <c r="Q1164" s="364" t="s">
        <v>652</v>
      </c>
      <c r="R1164" s="364" t="s">
        <v>88</v>
      </c>
      <c r="S1164" s="364" t="s">
        <v>88</v>
      </c>
      <c r="T1164" s="364" t="s">
        <v>88</v>
      </c>
      <c r="U1164" s="364" t="s">
        <v>88</v>
      </c>
      <c r="V1164" s="364" t="s">
        <v>88</v>
      </c>
      <c r="W1164" s="364" t="s">
        <v>88</v>
      </c>
      <c r="X1164" s="364" t="s">
        <v>88</v>
      </c>
      <c r="Y1164" s="364" t="s">
        <v>88</v>
      </c>
      <c r="Z1164" s="364" t="s">
        <v>1265</v>
      </c>
      <c r="AA1164" s="364" t="s">
        <v>649</v>
      </c>
      <c r="AB1164" s="364" t="s">
        <v>649</v>
      </c>
      <c r="AC1164" s="364" t="s">
        <v>649</v>
      </c>
      <c r="AD1164" s="364" t="s">
        <v>88</v>
      </c>
      <c r="AE1164" s="364" t="s">
        <v>88</v>
      </c>
      <c r="AF1164" s="364" t="s">
        <v>88</v>
      </c>
      <c r="AG1164" s="364" t="s">
        <v>88</v>
      </c>
      <c r="AH1164" s="364" t="s">
        <v>88</v>
      </c>
      <c r="AI1164" s="364" t="s">
        <v>1155</v>
      </c>
      <c r="AJ1164" s="364" t="s">
        <v>710</v>
      </c>
      <c r="AK1164" s="364" t="s">
        <v>647</v>
      </c>
      <c r="AL1164" s="364" t="s">
        <v>88</v>
      </c>
      <c r="AM1164" s="364" t="s">
        <v>668</v>
      </c>
      <c r="AN1164" s="364" t="s">
        <v>644</v>
      </c>
    </row>
    <row r="1165" spans="1:40" x14ac:dyDescent="0.3">
      <c r="A1165" s="364" t="s">
        <v>1495</v>
      </c>
      <c r="B1165" s="364" t="s">
        <v>661</v>
      </c>
      <c r="C1165" s="364" t="s">
        <v>677</v>
      </c>
      <c r="D1165" s="364" t="s">
        <v>90</v>
      </c>
      <c r="E1165" s="364" t="s">
        <v>944</v>
      </c>
      <c r="F1165" s="364" t="s">
        <v>944</v>
      </c>
      <c r="G1165" s="364" t="s">
        <v>658</v>
      </c>
      <c r="H1165" s="364" t="s">
        <v>1494</v>
      </c>
      <c r="I1165" s="364" t="s">
        <v>1294</v>
      </c>
      <c r="J1165" s="364" t="s">
        <v>673</v>
      </c>
      <c r="K1165" s="364" t="s">
        <v>668</v>
      </c>
      <c r="L1165" s="364" t="s">
        <v>190</v>
      </c>
      <c r="M1165" s="364" t="s">
        <v>1168</v>
      </c>
      <c r="N1165" s="364" t="s">
        <v>654</v>
      </c>
      <c r="O1165" s="364" t="s">
        <v>653</v>
      </c>
      <c r="P1165" s="364" t="s">
        <v>198</v>
      </c>
      <c r="Q1165" s="364" t="s">
        <v>652</v>
      </c>
      <c r="R1165" s="364" t="s">
        <v>88</v>
      </c>
      <c r="S1165" s="364" t="s">
        <v>88</v>
      </c>
      <c r="T1165" s="364" t="s">
        <v>88</v>
      </c>
      <c r="U1165" s="364" t="s">
        <v>88</v>
      </c>
      <c r="V1165" s="364" t="s">
        <v>88</v>
      </c>
      <c r="W1165" s="364" t="s">
        <v>88</v>
      </c>
      <c r="X1165" s="364" t="s">
        <v>88</v>
      </c>
      <c r="Y1165" s="364" t="s">
        <v>88</v>
      </c>
      <c r="Z1165" s="364" t="s">
        <v>1167</v>
      </c>
      <c r="AA1165" s="364" t="s">
        <v>1166</v>
      </c>
      <c r="AB1165" s="364" t="s">
        <v>649</v>
      </c>
      <c r="AC1165" s="364" t="s">
        <v>649</v>
      </c>
      <c r="AD1165" s="364" t="s">
        <v>88</v>
      </c>
      <c r="AE1165" s="364" t="s">
        <v>88</v>
      </c>
      <c r="AF1165" s="364" t="s">
        <v>88</v>
      </c>
      <c r="AG1165" s="364" t="s">
        <v>88</v>
      </c>
      <c r="AH1165" s="364" t="s">
        <v>88</v>
      </c>
      <c r="AI1165" s="364" t="s">
        <v>1155</v>
      </c>
      <c r="AJ1165" s="364" t="s">
        <v>710</v>
      </c>
      <c r="AK1165" s="364" t="s">
        <v>647</v>
      </c>
      <c r="AL1165" s="364" t="s">
        <v>88</v>
      </c>
      <c r="AM1165" s="364" t="s">
        <v>668</v>
      </c>
      <c r="AN1165" s="364" t="s">
        <v>644</v>
      </c>
    </row>
    <row r="1166" spans="1:40" x14ac:dyDescent="0.3">
      <c r="A1166" s="364" t="s">
        <v>1495</v>
      </c>
      <c r="B1166" s="364" t="s">
        <v>661</v>
      </c>
      <c r="C1166" s="364" t="s">
        <v>677</v>
      </c>
      <c r="D1166" s="364" t="s">
        <v>90</v>
      </c>
      <c r="E1166" s="364" t="s">
        <v>944</v>
      </c>
      <c r="F1166" s="364" t="s">
        <v>944</v>
      </c>
      <c r="G1166" s="364" t="s">
        <v>658</v>
      </c>
      <c r="H1166" s="364" t="s">
        <v>1494</v>
      </c>
      <c r="I1166" s="364" t="s">
        <v>1294</v>
      </c>
      <c r="J1166" s="364" t="s">
        <v>673</v>
      </c>
      <c r="K1166" s="364" t="s">
        <v>668</v>
      </c>
      <c r="L1166" s="364" t="s">
        <v>190</v>
      </c>
      <c r="M1166" s="364" t="s">
        <v>713</v>
      </c>
      <c r="N1166" s="364" t="s">
        <v>654</v>
      </c>
      <c r="O1166" s="364" t="s">
        <v>653</v>
      </c>
      <c r="P1166" s="364" t="s">
        <v>198</v>
      </c>
      <c r="Q1166" s="364" t="s">
        <v>652</v>
      </c>
      <c r="R1166" s="364" t="s">
        <v>88</v>
      </c>
      <c r="S1166" s="364" t="s">
        <v>88</v>
      </c>
      <c r="T1166" s="364" t="s">
        <v>88</v>
      </c>
      <c r="U1166" s="364" t="s">
        <v>88</v>
      </c>
      <c r="V1166" s="364" t="s">
        <v>88</v>
      </c>
      <c r="W1166" s="364" t="s">
        <v>88</v>
      </c>
      <c r="X1166" s="364" t="s">
        <v>88</v>
      </c>
      <c r="Y1166" s="364" t="s">
        <v>88</v>
      </c>
      <c r="Z1166" s="364" t="s">
        <v>712</v>
      </c>
      <c r="AA1166" s="364" t="s">
        <v>711</v>
      </c>
      <c r="AB1166" s="364" t="s">
        <v>649</v>
      </c>
      <c r="AC1166" s="364" t="s">
        <v>649</v>
      </c>
      <c r="AD1166" s="364" t="s">
        <v>88</v>
      </c>
      <c r="AE1166" s="364" t="s">
        <v>88</v>
      </c>
      <c r="AF1166" s="364" t="s">
        <v>88</v>
      </c>
      <c r="AG1166" s="364" t="s">
        <v>88</v>
      </c>
      <c r="AH1166" s="364" t="s">
        <v>88</v>
      </c>
      <c r="AI1166" s="364" t="s">
        <v>1155</v>
      </c>
      <c r="AJ1166" s="364" t="s">
        <v>710</v>
      </c>
      <c r="AK1166" s="364" t="s">
        <v>647</v>
      </c>
      <c r="AL1166" s="364" t="s">
        <v>88</v>
      </c>
      <c r="AM1166" s="364" t="s">
        <v>668</v>
      </c>
      <c r="AN1166" s="364" t="s">
        <v>644</v>
      </c>
    </row>
    <row r="1167" spans="1:40" x14ac:dyDescent="0.3">
      <c r="A1167" s="364" t="s">
        <v>1495</v>
      </c>
      <c r="B1167" s="364" t="s">
        <v>661</v>
      </c>
      <c r="C1167" s="364" t="s">
        <v>677</v>
      </c>
      <c r="D1167" s="364" t="s">
        <v>90</v>
      </c>
      <c r="E1167" s="364" t="s">
        <v>944</v>
      </c>
      <c r="F1167" s="364" t="s">
        <v>944</v>
      </c>
      <c r="G1167" s="364" t="s">
        <v>658</v>
      </c>
      <c r="H1167" s="364" t="s">
        <v>1494</v>
      </c>
      <c r="I1167" s="364" t="s">
        <v>1294</v>
      </c>
      <c r="J1167" s="364" t="s">
        <v>673</v>
      </c>
      <c r="K1167" s="364" t="s">
        <v>668</v>
      </c>
      <c r="L1167" s="364" t="s">
        <v>190</v>
      </c>
      <c r="M1167" s="364" t="s">
        <v>56</v>
      </c>
      <c r="N1167" s="364" t="s">
        <v>654</v>
      </c>
      <c r="O1167" s="364" t="s">
        <v>653</v>
      </c>
      <c r="P1167" s="364" t="s">
        <v>198</v>
      </c>
      <c r="Q1167" s="364" t="s">
        <v>652</v>
      </c>
      <c r="R1167" s="364" t="s">
        <v>88</v>
      </c>
      <c r="S1167" s="364" t="s">
        <v>88</v>
      </c>
      <c r="T1167" s="364" t="s">
        <v>88</v>
      </c>
      <c r="U1167" s="364" t="s">
        <v>88</v>
      </c>
      <c r="V1167" s="364" t="s">
        <v>88</v>
      </c>
      <c r="W1167" s="364" t="s">
        <v>88</v>
      </c>
      <c r="X1167" s="364" t="s">
        <v>88</v>
      </c>
      <c r="Y1167" s="364" t="s">
        <v>88</v>
      </c>
      <c r="Z1167" s="364" t="s">
        <v>1165</v>
      </c>
      <c r="AA1167" s="364" t="s">
        <v>1164</v>
      </c>
      <c r="AB1167" s="364" t="s">
        <v>649</v>
      </c>
      <c r="AC1167" s="364" t="s">
        <v>649</v>
      </c>
      <c r="AD1167" s="364" t="s">
        <v>88</v>
      </c>
      <c r="AE1167" s="364" t="s">
        <v>88</v>
      </c>
      <c r="AF1167" s="364" t="s">
        <v>88</v>
      </c>
      <c r="AG1167" s="364" t="s">
        <v>88</v>
      </c>
      <c r="AH1167" s="364" t="s">
        <v>88</v>
      </c>
      <c r="AI1167" s="364" t="s">
        <v>1155</v>
      </c>
      <c r="AJ1167" s="364" t="s">
        <v>710</v>
      </c>
      <c r="AK1167" s="364" t="s">
        <v>647</v>
      </c>
      <c r="AL1167" s="364" t="s">
        <v>88</v>
      </c>
      <c r="AM1167" s="364" t="s">
        <v>668</v>
      </c>
      <c r="AN1167" s="364" t="s">
        <v>644</v>
      </c>
    </row>
    <row r="1168" spans="1:40" x14ac:dyDescent="0.3">
      <c r="A1168" s="364" t="s">
        <v>1495</v>
      </c>
      <c r="B1168" s="364" t="s">
        <v>661</v>
      </c>
      <c r="C1168" s="364" t="s">
        <v>677</v>
      </c>
      <c r="D1168" s="364" t="s">
        <v>90</v>
      </c>
      <c r="E1168" s="364" t="s">
        <v>944</v>
      </c>
      <c r="F1168" s="364" t="s">
        <v>944</v>
      </c>
      <c r="G1168" s="364" t="s">
        <v>658</v>
      </c>
      <c r="H1168" s="364" t="s">
        <v>1494</v>
      </c>
      <c r="I1168" s="364" t="s">
        <v>1294</v>
      </c>
      <c r="J1168" s="364" t="s">
        <v>673</v>
      </c>
      <c r="K1168" s="364" t="s">
        <v>668</v>
      </c>
      <c r="L1168" s="364" t="s">
        <v>190</v>
      </c>
      <c r="M1168" s="364" t="s">
        <v>241</v>
      </c>
      <c r="N1168" s="364" t="s">
        <v>654</v>
      </c>
      <c r="O1168" s="364" t="s">
        <v>653</v>
      </c>
      <c r="P1168" s="364" t="s">
        <v>198</v>
      </c>
      <c r="Q1168" s="364" t="s">
        <v>652</v>
      </c>
      <c r="R1168" s="364" t="s">
        <v>88</v>
      </c>
      <c r="S1168" s="364" t="s">
        <v>88</v>
      </c>
      <c r="T1168" s="364" t="s">
        <v>88</v>
      </c>
      <c r="U1168" s="364" t="s">
        <v>88</v>
      </c>
      <c r="V1168" s="364" t="s">
        <v>88</v>
      </c>
      <c r="W1168" s="364" t="s">
        <v>88</v>
      </c>
      <c r="X1168" s="364" t="s">
        <v>88</v>
      </c>
      <c r="Y1168" s="364" t="s">
        <v>88</v>
      </c>
      <c r="Z1168" s="364" t="s">
        <v>1170</v>
      </c>
      <c r="AA1168" s="364" t="s">
        <v>1169</v>
      </c>
      <c r="AB1168" s="364" t="s">
        <v>649</v>
      </c>
      <c r="AC1168" s="364" t="s">
        <v>649</v>
      </c>
      <c r="AD1168" s="364" t="s">
        <v>88</v>
      </c>
      <c r="AE1168" s="364" t="s">
        <v>88</v>
      </c>
      <c r="AF1168" s="364" t="s">
        <v>88</v>
      </c>
      <c r="AG1168" s="364" t="s">
        <v>88</v>
      </c>
      <c r="AH1168" s="364" t="s">
        <v>88</v>
      </c>
      <c r="AI1168" s="364" t="s">
        <v>1155</v>
      </c>
      <c r="AJ1168" s="364" t="s">
        <v>710</v>
      </c>
      <c r="AK1168" s="364" t="s">
        <v>647</v>
      </c>
      <c r="AL1168" s="364" t="s">
        <v>88</v>
      </c>
      <c r="AM1168" s="364" t="s">
        <v>668</v>
      </c>
      <c r="AN1168" s="364" t="s">
        <v>644</v>
      </c>
    </row>
    <row r="1169" spans="1:40" x14ac:dyDescent="0.3">
      <c r="A1169" s="364" t="s">
        <v>1495</v>
      </c>
      <c r="B1169" s="364" t="s">
        <v>661</v>
      </c>
      <c r="C1169" s="364" t="s">
        <v>677</v>
      </c>
      <c r="D1169" s="364" t="s">
        <v>90</v>
      </c>
      <c r="E1169" s="364" t="s">
        <v>944</v>
      </c>
      <c r="F1169" s="364" t="s">
        <v>944</v>
      </c>
      <c r="G1169" s="364" t="s">
        <v>658</v>
      </c>
      <c r="H1169" s="364" t="s">
        <v>1494</v>
      </c>
      <c r="I1169" s="364" t="s">
        <v>1294</v>
      </c>
      <c r="J1169" s="364" t="s">
        <v>673</v>
      </c>
      <c r="K1169" s="364" t="s">
        <v>668</v>
      </c>
      <c r="L1169" s="364" t="s">
        <v>190</v>
      </c>
      <c r="M1169" s="364" t="s">
        <v>240</v>
      </c>
      <c r="N1169" s="364" t="s">
        <v>654</v>
      </c>
      <c r="O1169" s="364" t="s">
        <v>653</v>
      </c>
      <c r="P1169" s="364" t="s">
        <v>198</v>
      </c>
      <c r="Q1169" s="364" t="s">
        <v>652</v>
      </c>
      <c r="R1169" s="364" t="s">
        <v>88</v>
      </c>
      <c r="S1169" s="364" t="s">
        <v>88</v>
      </c>
      <c r="T1169" s="364" t="s">
        <v>88</v>
      </c>
      <c r="U1169" s="364" t="s">
        <v>88</v>
      </c>
      <c r="V1169" s="364" t="s">
        <v>88</v>
      </c>
      <c r="W1169" s="364" t="s">
        <v>88</v>
      </c>
      <c r="X1169" s="364" t="s">
        <v>88</v>
      </c>
      <c r="Y1169" s="364" t="s">
        <v>88</v>
      </c>
      <c r="Z1169" s="364" t="s">
        <v>1163</v>
      </c>
      <c r="AA1169" s="364" t="s">
        <v>1162</v>
      </c>
      <c r="AB1169" s="364" t="s">
        <v>649</v>
      </c>
      <c r="AC1169" s="364" t="s">
        <v>649</v>
      </c>
      <c r="AD1169" s="364" t="s">
        <v>88</v>
      </c>
      <c r="AE1169" s="364" t="s">
        <v>88</v>
      </c>
      <c r="AF1169" s="364" t="s">
        <v>88</v>
      </c>
      <c r="AG1169" s="364" t="s">
        <v>88</v>
      </c>
      <c r="AH1169" s="364" t="s">
        <v>88</v>
      </c>
      <c r="AI1169" s="364" t="s">
        <v>1155</v>
      </c>
      <c r="AJ1169" s="364" t="s">
        <v>710</v>
      </c>
      <c r="AK1169" s="364" t="s">
        <v>647</v>
      </c>
      <c r="AL1169" s="364" t="s">
        <v>88</v>
      </c>
      <c r="AM1169" s="364" t="s">
        <v>668</v>
      </c>
      <c r="AN1169" s="364" t="s">
        <v>644</v>
      </c>
    </row>
    <row r="1170" spans="1:40" x14ac:dyDescent="0.3">
      <c r="A1170" s="364" t="s">
        <v>1495</v>
      </c>
      <c r="B1170" s="364" t="s">
        <v>661</v>
      </c>
      <c r="C1170" s="364" t="s">
        <v>677</v>
      </c>
      <c r="D1170" s="364" t="s">
        <v>90</v>
      </c>
      <c r="E1170" s="364" t="s">
        <v>944</v>
      </c>
      <c r="F1170" s="364" t="s">
        <v>944</v>
      </c>
      <c r="G1170" s="364" t="s">
        <v>658</v>
      </c>
      <c r="H1170" s="364" t="s">
        <v>1494</v>
      </c>
      <c r="I1170" s="364" t="s">
        <v>1294</v>
      </c>
      <c r="J1170" s="364" t="s">
        <v>673</v>
      </c>
      <c r="K1170" s="364" t="s">
        <v>668</v>
      </c>
      <c r="L1170" s="364" t="s">
        <v>190</v>
      </c>
      <c r="M1170" s="364" t="s">
        <v>417</v>
      </c>
      <c r="N1170" s="364" t="s">
        <v>654</v>
      </c>
      <c r="O1170" s="364" t="s">
        <v>653</v>
      </c>
      <c r="P1170" s="364" t="s">
        <v>198</v>
      </c>
      <c r="Q1170" s="364" t="s">
        <v>652</v>
      </c>
      <c r="R1170" s="364" t="s">
        <v>88</v>
      </c>
      <c r="S1170" s="364" t="s">
        <v>88</v>
      </c>
      <c r="T1170" s="364" t="s">
        <v>88</v>
      </c>
      <c r="U1170" s="364" t="s">
        <v>88</v>
      </c>
      <c r="V1170" s="364" t="s">
        <v>88</v>
      </c>
      <c r="W1170" s="364" t="s">
        <v>88</v>
      </c>
      <c r="X1170" s="364" t="s">
        <v>88</v>
      </c>
      <c r="Y1170" s="364" t="s">
        <v>88</v>
      </c>
      <c r="Z1170" s="364" t="s">
        <v>1261</v>
      </c>
      <c r="AA1170" s="364" t="s">
        <v>649</v>
      </c>
      <c r="AB1170" s="364" t="s">
        <v>649</v>
      </c>
      <c r="AC1170" s="364" t="s">
        <v>649</v>
      </c>
      <c r="AD1170" s="364" t="s">
        <v>88</v>
      </c>
      <c r="AE1170" s="364" t="s">
        <v>88</v>
      </c>
      <c r="AF1170" s="364" t="s">
        <v>88</v>
      </c>
      <c r="AG1170" s="364" t="s">
        <v>88</v>
      </c>
      <c r="AH1170" s="364" t="s">
        <v>88</v>
      </c>
      <c r="AI1170" s="364" t="s">
        <v>1155</v>
      </c>
      <c r="AJ1170" s="364" t="s">
        <v>710</v>
      </c>
      <c r="AK1170" s="364" t="s">
        <v>647</v>
      </c>
      <c r="AL1170" s="364" t="s">
        <v>88</v>
      </c>
      <c r="AM1170" s="364" t="s">
        <v>668</v>
      </c>
      <c r="AN1170" s="364" t="s">
        <v>644</v>
      </c>
    </row>
    <row r="1171" spans="1:40" x14ac:dyDescent="0.3">
      <c r="A1171" s="364" t="s">
        <v>1493</v>
      </c>
      <c r="B1171" s="364" t="s">
        <v>661</v>
      </c>
      <c r="C1171" s="364" t="s">
        <v>677</v>
      </c>
      <c r="D1171" s="364" t="s">
        <v>87</v>
      </c>
      <c r="E1171" s="364" t="s">
        <v>1309</v>
      </c>
      <c r="F1171" s="364" t="s">
        <v>1309</v>
      </c>
      <c r="G1171" s="364" t="s">
        <v>658</v>
      </c>
      <c r="H1171" s="364" t="s">
        <v>1492</v>
      </c>
      <c r="I1171" s="364" t="s">
        <v>1486</v>
      </c>
      <c r="J1171" s="364" t="s">
        <v>673</v>
      </c>
      <c r="K1171" s="364" t="s">
        <v>668</v>
      </c>
      <c r="L1171" s="364" t="s">
        <v>190</v>
      </c>
      <c r="M1171" s="364" t="s">
        <v>60</v>
      </c>
      <c r="N1171" s="364" t="s">
        <v>654</v>
      </c>
      <c r="O1171" s="364" t="s">
        <v>653</v>
      </c>
      <c r="P1171" s="364" t="s">
        <v>198</v>
      </c>
      <c r="Q1171" s="364" t="s">
        <v>652</v>
      </c>
      <c r="R1171" s="364" t="s">
        <v>88</v>
      </c>
      <c r="S1171" s="364" t="s">
        <v>88</v>
      </c>
      <c r="T1171" s="364" t="s">
        <v>88</v>
      </c>
      <c r="U1171" s="364" t="s">
        <v>88</v>
      </c>
      <c r="V1171" s="364" t="s">
        <v>88</v>
      </c>
      <c r="W1171" s="364" t="s">
        <v>88</v>
      </c>
      <c r="X1171" s="364" t="s">
        <v>88</v>
      </c>
      <c r="Y1171" s="364" t="s">
        <v>88</v>
      </c>
      <c r="Z1171" s="364" t="s">
        <v>709</v>
      </c>
      <c r="AA1171" s="364" t="s">
        <v>708</v>
      </c>
      <c r="AB1171" s="364" t="s">
        <v>649</v>
      </c>
      <c r="AC1171" s="364" t="s">
        <v>649</v>
      </c>
      <c r="AD1171" s="364" t="s">
        <v>88</v>
      </c>
      <c r="AE1171" s="364" t="s">
        <v>88</v>
      </c>
      <c r="AF1171" s="364" t="s">
        <v>88</v>
      </c>
      <c r="AG1171" s="364" t="s">
        <v>88</v>
      </c>
      <c r="AH1171" s="364" t="s">
        <v>88</v>
      </c>
      <c r="AI1171" s="364" t="s">
        <v>1199</v>
      </c>
      <c r="AJ1171" s="364" t="s">
        <v>670</v>
      </c>
      <c r="AK1171" s="364" t="s">
        <v>687</v>
      </c>
      <c r="AL1171" s="364" t="s">
        <v>88</v>
      </c>
      <c r="AM1171" s="364" t="s">
        <v>668</v>
      </c>
      <c r="AN1171" s="364" t="s">
        <v>644</v>
      </c>
    </row>
    <row r="1172" spans="1:40" x14ac:dyDescent="0.3">
      <c r="A1172" s="364" t="s">
        <v>1491</v>
      </c>
      <c r="B1172" s="364" t="s">
        <v>661</v>
      </c>
      <c r="C1172" s="364" t="s">
        <v>677</v>
      </c>
      <c r="D1172" s="364" t="s">
        <v>87</v>
      </c>
      <c r="E1172" s="364" t="s">
        <v>1305</v>
      </c>
      <c r="F1172" s="364" t="s">
        <v>1305</v>
      </c>
      <c r="G1172" s="364" t="s">
        <v>658</v>
      </c>
      <c r="H1172" s="364" t="s">
        <v>1490</v>
      </c>
      <c r="I1172" s="364" t="s">
        <v>1489</v>
      </c>
      <c r="J1172" s="364" t="s">
        <v>673</v>
      </c>
      <c r="K1172" s="364" t="s">
        <v>668</v>
      </c>
      <c r="L1172" s="364" t="s">
        <v>190</v>
      </c>
      <c r="M1172" s="364" t="s">
        <v>58</v>
      </c>
      <c r="N1172" s="364" t="s">
        <v>654</v>
      </c>
      <c r="O1172" s="364" t="s">
        <v>653</v>
      </c>
      <c r="P1172" s="364" t="s">
        <v>198</v>
      </c>
      <c r="Q1172" s="364" t="s">
        <v>652</v>
      </c>
      <c r="R1172" s="364" t="s">
        <v>88</v>
      </c>
      <c r="S1172" s="364" t="s">
        <v>88</v>
      </c>
      <c r="T1172" s="364" t="s">
        <v>88</v>
      </c>
      <c r="U1172" s="364" t="s">
        <v>88</v>
      </c>
      <c r="V1172" s="364" t="s">
        <v>88</v>
      </c>
      <c r="W1172" s="364" t="s">
        <v>88</v>
      </c>
      <c r="X1172" s="364" t="s">
        <v>88</v>
      </c>
      <c r="Y1172" s="364" t="s">
        <v>88</v>
      </c>
      <c r="Z1172" s="364" t="s">
        <v>702</v>
      </c>
      <c r="AA1172" s="364" t="s">
        <v>701</v>
      </c>
      <c r="AB1172" s="364" t="s">
        <v>649</v>
      </c>
      <c r="AC1172" s="364" t="s">
        <v>649</v>
      </c>
      <c r="AD1172" s="364" t="s">
        <v>88</v>
      </c>
      <c r="AE1172" s="364" t="s">
        <v>88</v>
      </c>
      <c r="AF1172" s="364" t="s">
        <v>88</v>
      </c>
      <c r="AG1172" s="364" t="s">
        <v>88</v>
      </c>
      <c r="AH1172" s="364" t="s">
        <v>88</v>
      </c>
      <c r="AI1172" s="364" t="s">
        <v>1199</v>
      </c>
      <c r="AJ1172" s="364" t="s">
        <v>670</v>
      </c>
      <c r="AK1172" s="364" t="s">
        <v>669</v>
      </c>
      <c r="AL1172" s="364" t="s">
        <v>88</v>
      </c>
      <c r="AM1172" s="364" t="s">
        <v>668</v>
      </c>
      <c r="AN1172" s="364" t="s">
        <v>644</v>
      </c>
    </row>
    <row r="1173" spans="1:40" x14ac:dyDescent="0.3">
      <c r="A1173" s="364" t="s">
        <v>1491</v>
      </c>
      <c r="B1173" s="364" t="s">
        <v>661</v>
      </c>
      <c r="C1173" s="364" t="s">
        <v>677</v>
      </c>
      <c r="D1173" s="364" t="s">
        <v>87</v>
      </c>
      <c r="E1173" s="364" t="s">
        <v>1305</v>
      </c>
      <c r="F1173" s="364" t="s">
        <v>1305</v>
      </c>
      <c r="G1173" s="364" t="s">
        <v>658</v>
      </c>
      <c r="H1173" s="364" t="s">
        <v>1490</v>
      </c>
      <c r="I1173" s="364" t="s">
        <v>1489</v>
      </c>
      <c r="J1173" s="364" t="s">
        <v>673</v>
      </c>
      <c r="K1173" s="364" t="s">
        <v>668</v>
      </c>
      <c r="L1173" s="364" t="s">
        <v>190</v>
      </c>
      <c r="M1173" s="364" t="s">
        <v>166</v>
      </c>
      <c r="N1173" s="364" t="s">
        <v>654</v>
      </c>
      <c r="O1173" s="364" t="s">
        <v>653</v>
      </c>
      <c r="P1173" s="364" t="s">
        <v>198</v>
      </c>
      <c r="Q1173" s="364" t="s">
        <v>652</v>
      </c>
      <c r="R1173" s="364" t="s">
        <v>88</v>
      </c>
      <c r="S1173" s="364" t="s">
        <v>88</v>
      </c>
      <c r="T1173" s="364" t="s">
        <v>88</v>
      </c>
      <c r="U1173" s="364" t="s">
        <v>88</v>
      </c>
      <c r="V1173" s="364" t="s">
        <v>88</v>
      </c>
      <c r="W1173" s="364" t="s">
        <v>88</v>
      </c>
      <c r="X1173" s="364" t="s">
        <v>88</v>
      </c>
      <c r="Y1173" s="364" t="s">
        <v>88</v>
      </c>
      <c r="Z1173" s="364" t="s">
        <v>877</v>
      </c>
      <c r="AA1173" s="364" t="s">
        <v>876</v>
      </c>
      <c r="AB1173" s="364" t="s">
        <v>649</v>
      </c>
      <c r="AC1173" s="364" t="s">
        <v>649</v>
      </c>
      <c r="AD1173" s="364" t="s">
        <v>88</v>
      </c>
      <c r="AE1173" s="364" t="s">
        <v>88</v>
      </c>
      <c r="AF1173" s="364" t="s">
        <v>88</v>
      </c>
      <c r="AG1173" s="364" t="s">
        <v>88</v>
      </c>
      <c r="AH1173" s="364" t="s">
        <v>88</v>
      </c>
      <c r="AI1173" s="364" t="s">
        <v>1199</v>
      </c>
      <c r="AJ1173" s="364" t="s">
        <v>670</v>
      </c>
      <c r="AK1173" s="364" t="s">
        <v>669</v>
      </c>
      <c r="AL1173" s="364" t="s">
        <v>88</v>
      </c>
      <c r="AM1173" s="364" t="s">
        <v>668</v>
      </c>
      <c r="AN1173" s="364" t="s">
        <v>644</v>
      </c>
    </row>
    <row r="1174" spans="1:40" x14ac:dyDescent="0.3">
      <c r="A1174" s="364" t="s">
        <v>1488</v>
      </c>
      <c r="B1174" s="364" t="s">
        <v>661</v>
      </c>
      <c r="C1174" s="364" t="s">
        <v>677</v>
      </c>
      <c r="D1174" s="364" t="s">
        <v>87</v>
      </c>
      <c r="E1174" s="364" t="s">
        <v>1305</v>
      </c>
      <c r="F1174" s="364" t="s">
        <v>1305</v>
      </c>
      <c r="G1174" s="364" t="s">
        <v>658</v>
      </c>
      <c r="H1174" s="364" t="s">
        <v>1487</v>
      </c>
      <c r="I1174" s="364" t="s">
        <v>1486</v>
      </c>
      <c r="J1174" s="364" t="s">
        <v>673</v>
      </c>
      <c r="K1174" s="364" t="s">
        <v>668</v>
      </c>
      <c r="L1174" s="364" t="s">
        <v>190</v>
      </c>
      <c r="M1174" s="364" t="s">
        <v>60</v>
      </c>
      <c r="N1174" s="364" t="s">
        <v>654</v>
      </c>
      <c r="O1174" s="364" t="s">
        <v>653</v>
      </c>
      <c r="P1174" s="364" t="s">
        <v>198</v>
      </c>
      <c r="Q1174" s="364" t="s">
        <v>652</v>
      </c>
      <c r="R1174" s="364" t="s">
        <v>88</v>
      </c>
      <c r="S1174" s="364" t="s">
        <v>88</v>
      </c>
      <c r="T1174" s="364" t="s">
        <v>88</v>
      </c>
      <c r="U1174" s="364" t="s">
        <v>88</v>
      </c>
      <c r="V1174" s="364" t="s">
        <v>88</v>
      </c>
      <c r="W1174" s="364" t="s">
        <v>88</v>
      </c>
      <c r="X1174" s="364" t="s">
        <v>88</v>
      </c>
      <c r="Y1174" s="364" t="s">
        <v>88</v>
      </c>
      <c r="Z1174" s="364" t="s">
        <v>709</v>
      </c>
      <c r="AA1174" s="364" t="s">
        <v>708</v>
      </c>
      <c r="AB1174" s="364" t="s">
        <v>649</v>
      </c>
      <c r="AC1174" s="364" t="s">
        <v>649</v>
      </c>
      <c r="AD1174" s="364" t="s">
        <v>88</v>
      </c>
      <c r="AE1174" s="364" t="s">
        <v>88</v>
      </c>
      <c r="AF1174" s="364" t="s">
        <v>88</v>
      </c>
      <c r="AG1174" s="364" t="s">
        <v>88</v>
      </c>
      <c r="AH1174" s="364" t="s">
        <v>88</v>
      </c>
      <c r="AI1174" s="364" t="s">
        <v>1199</v>
      </c>
      <c r="AJ1174" s="364" t="s">
        <v>670</v>
      </c>
      <c r="AK1174" s="364" t="s">
        <v>687</v>
      </c>
      <c r="AL1174" s="364" t="s">
        <v>88</v>
      </c>
      <c r="AM1174" s="364" t="s">
        <v>668</v>
      </c>
      <c r="AN1174" s="364" t="s">
        <v>644</v>
      </c>
    </row>
    <row r="1175" spans="1:40" x14ac:dyDescent="0.3">
      <c r="A1175" s="364" t="s">
        <v>1485</v>
      </c>
      <c r="B1175" s="364" t="s">
        <v>661</v>
      </c>
      <c r="C1175" s="364" t="s">
        <v>677</v>
      </c>
      <c r="D1175" s="364" t="s">
        <v>87</v>
      </c>
      <c r="E1175" s="364" t="s">
        <v>1301</v>
      </c>
      <c r="F1175" s="364" t="s">
        <v>1301</v>
      </c>
      <c r="G1175" s="364" t="s">
        <v>658</v>
      </c>
      <c r="H1175" s="364" t="s">
        <v>1484</v>
      </c>
      <c r="I1175" s="364" t="s">
        <v>1400</v>
      </c>
      <c r="J1175" s="364" t="s">
        <v>673</v>
      </c>
      <c r="K1175" s="364" t="s">
        <v>668</v>
      </c>
      <c r="L1175" s="364" t="s">
        <v>190</v>
      </c>
      <c r="M1175" s="364" t="s">
        <v>60</v>
      </c>
      <c r="N1175" s="364" t="s">
        <v>654</v>
      </c>
      <c r="O1175" s="364" t="s">
        <v>653</v>
      </c>
      <c r="P1175" s="364" t="s">
        <v>198</v>
      </c>
      <c r="Q1175" s="364" t="s">
        <v>652</v>
      </c>
      <c r="R1175" s="364" t="s">
        <v>88</v>
      </c>
      <c r="S1175" s="364" t="s">
        <v>88</v>
      </c>
      <c r="T1175" s="364" t="s">
        <v>88</v>
      </c>
      <c r="U1175" s="364" t="s">
        <v>88</v>
      </c>
      <c r="V1175" s="364" t="s">
        <v>88</v>
      </c>
      <c r="W1175" s="364" t="s">
        <v>88</v>
      </c>
      <c r="X1175" s="364" t="s">
        <v>88</v>
      </c>
      <c r="Y1175" s="364" t="s">
        <v>88</v>
      </c>
      <c r="Z1175" s="364" t="s">
        <v>709</v>
      </c>
      <c r="AA1175" s="364" t="s">
        <v>708</v>
      </c>
      <c r="AB1175" s="364" t="s">
        <v>649</v>
      </c>
      <c r="AC1175" s="364" t="s">
        <v>649</v>
      </c>
      <c r="AD1175" s="364" t="s">
        <v>88</v>
      </c>
      <c r="AE1175" s="364" t="s">
        <v>88</v>
      </c>
      <c r="AF1175" s="364" t="s">
        <v>88</v>
      </c>
      <c r="AG1175" s="364" t="s">
        <v>88</v>
      </c>
      <c r="AH1175" s="364" t="s">
        <v>88</v>
      </c>
      <c r="AI1175" s="364" t="s">
        <v>1199</v>
      </c>
      <c r="AJ1175" s="364" t="s">
        <v>670</v>
      </c>
      <c r="AK1175" s="364" t="s">
        <v>669</v>
      </c>
      <c r="AL1175" s="364" t="s">
        <v>88</v>
      </c>
      <c r="AM1175" s="364" t="s">
        <v>668</v>
      </c>
      <c r="AN1175" s="364" t="s">
        <v>644</v>
      </c>
    </row>
    <row r="1176" spans="1:40" x14ac:dyDescent="0.3">
      <c r="A1176" s="364" t="s">
        <v>1483</v>
      </c>
      <c r="B1176" s="364" t="s">
        <v>661</v>
      </c>
      <c r="C1176" s="364" t="s">
        <v>677</v>
      </c>
      <c r="D1176" s="364" t="s">
        <v>87</v>
      </c>
      <c r="E1176" s="364" t="s">
        <v>1301</v>
      </c>
      <c r="F1176" s="364" t="s">
        <v>1301</v>
      </c>
      <c r="G1176" s="364" t="s">
        <v>658</v>
      </c>
      <c r="H1176" s="364" t="s">
        <v>1482</v>
      </c>
      <c r="I1176" s="364" t="s">
        <v>1406</v>
      </c>
      <c r="J1176" s="364" t="s">
        <v>673</v>
      </c>
      <c r="K1176" s="364" t="s">
        <v>668</v>
      </c>
      <c r="L1176" s="364" t="s">
        <v>190</v>
      </c>
      <c r="M1176" s="364" t="s">
        <v>58</v>
      </c>
      <c r="N1176" s="364" t="s">
        <v>654</v>
      </c>
      <c r="O1176" s="364" t="s">
        <v>653</v>
      </c>
      <c r="P1176" s="364" t="s">
        <v>198</v>
      </c>
      <c r="Q1176" s="364" t="s">
        <v>652</v>
      </c>
      <c r="R1176" s="364" t="s">
        <v>88</v>
      </c>
      <c r="S1176" s="364" t="s">
        <v>88</v>
      </c>
      <c r="T1176" s="364" t="s">
        <v>88</v>
      </c>
      <c r="U1176" s="364" t="s">
        <v>88</v>
      </c>
      <c r="V1176" s="364" t="s">
        <v>88</v>
      </c>
      <c r="W1176" s="364" t="s">
        <v>88</v>
      </c>
      <c r="X1176" s="364" t="s">
        <v>88</v>
      </c>
      <c r="Y1176" s="364" t="s">
        <v>88</v>
      </c>
      <c r="Z1176" s="364" t="s">
        <v>702</v>
      </c>
      <c r="AA1176" s="364" t="s">
        <v>701</v>
      </c>
      <c r="AB1176" s="364" t="s">
        <v>649</v>
      </c>
      <c r="AC1176" s="364" t="s">
        <v>649</v>
      </c>
      <c r="AD1176" s="364" t="s">
        <v>88</v>
      </c>
      <c r="AE1176" s="364" t="s">
        <v>88</v>
      </c>
      <c r="AF1176" s="364" t="s">
        <v>88</v>
      </c>
      <c r="AG1176" s="364" t="s">
        <v>88</v>
      </c>
      <c r="AH1176" s="364" t="s">
        <v>88</v>
      </c>
      <c r="AI1176" s="364" t="s">
        <v>1199</v>
      </c>
      <c r="AJ1176" s="364" t="s">
        <v>670</v>
      </c>
      <c r="AK1176" s="364" t="s">
        <v>669</v>
      </c>
      <c r="AL1176" s="364" t="s">
        <v>88</v>
      </c>
      <c r="AM1176" s="364" t="s">
        <v>668</v>
      </c>
      <c r="AN1176" s="364" t="s">
        <v>644</v>
      </c>
    </row>
    <row r="1177" spans="1:40" x14ac:dyDescent="0.3">
      <c r="A1177" s="364" t="s">
        <v>1483</v>
      </c>
      <c r="B1177" s="364" t="s">
        <v>661</v>
      </c>
      <c r="C1177" s="364" t="s">
        <v>677</v>
      </c>
      <c r="D1177" s="364" t="s">
        <v>87</v>
      </c>
      <c r="E1177" s="364" t="s">
        <v>1301</v>
      </c>
      <c r="F1177" s="364" t="s">
        <v>1301</v>
      </c>
      <c r="G1177" s="364" t="s">
        <v>658</v>
      </c>
      <c r="H1177" s="364" t="s">
        <v>1482</v>
      </c>
      <c r="I1177" s="364" t="s">
        <v>1406</v>
      </c>
      <c r="J1177" s="364" t="s">
        <v>673</v>
      </c>
      <c r="K1177" s="364" t="s">
        <v>668</v>
      </c>
      <c r="L1177" s="364" t="s">
        <v>190</v>
      </c>
      <c r="M1177" s="364" t="s">
        <v>166</v>
      </c>
      <c r="N1177" s="364" t="s">
        <v>654</v>
      </c>
      <c r="O1177" s="364" t="s">
        <v>653</v>
      </c>
      <c r="P1177" s="364" t="s">
        <v>198</v>
      </c>
      <c r="Q1177" s="364" t="s">
        <v>652</v>
      </c>
      <c r="R1177" s="364" t="s">
        <v>88</v>
      </c>
      <c r="S1177" s="364" t="s">
        <v>88</v>
      </c>
      <c r="T1177" s="364" t="s">
        <v>88</v>
      </c>
      <c r="U1177" s="364" t="s">
        <v>88</v>
      </c>
      <c r="V1177" s="364" t="s">
        <v>88</v>
      </c>
      <c r="W1177" s="364" t="s">
        <v>88</v>
      </c>
      <c r="X1177" s="364" t="s">
        <v>88</v>
      </c>
      <c r="Y1177" s="364" t="s">
        <v>88</v>
      </c>
      <c r="Z1177" s="364" t="s">
        <v>877</v>
      </c>
      <c r="AA1177" s="364" t="s">
        <v>876</v>
      </c>
      <c r="AB1177" s="364" t="s">
        <v>649</v>
      </c>
      <c r="AC1177" s="364" t="s">
        <v>649</v>
      </c>
      <c r="AD1177" s="364" t="s">
        <v>88</v>
      </c>
      <c r="AE1177" s="364" t="s">
        <v>88</v>
      </c>
      <c r="AF1177" s="364" t="s">
        <v>88</v>
      </c>
      <c r="AG1177" s="364" t="s">
        <v>88</v>
      </c>
      <c r="AH1177" s="364" t="s">
        <v>88</v>
      </c>
      <c r="AI1177" s="364" t="s">
        <v>1199</v>
      </c>
      <c r="AJ1177" s="364" t="s">
        <v>670</v>
      </c>
      <c r="AK1177" s="364" t="s">
        <v>669</v>
      </c>
      <c r="AL1177" s="364" t="s">
        <v>88</v>
      </c>
      <c r="AM1177" s="364" t="s">
        <v>668</v>
      </c>
      <c r="AN1177" s="364" t="s">
        <v>644</v>
      </c>
    </row>
    <row r="1178" spans="1:40" x14ac:dyDescent="0.3">
      <c r="A1178" s="364" t="s">
        <v>1481</v>
      </c>
      <c r="B1178" s="364" t="s">
        <v>661</v>
      </c>
      <c r="C1178" s="364" t="s">
        <v>1160</v>
      </c>
      <c r="D1178" s="364" t="s">
        <v>87</v>
      </c>
      <c r="E1178" s="364" t="s">
        <v>1301</v>
      </c>
      <c r="F1178" s="364" t="s">
        <v>1301</v>
      </c>
      <c r="G1178" s="364" t="s">
        <v>658</v>
      </c>
      <c r="H1178" s="364" t="s">
        <v>1480</v>
      </c>
      <c r="I1178" s="364" t="s">
        <v>1479</v>
      </c>
      <c r="J1178" s="364" t="s">
        <v>88</v>
      </c>
      <c r="K1178" s="364" t="s">
        <v>88</v>
      </c>
      <c r="L1178" s="364" t="s">
        <v>88</v>
      </c>
      <c r="M1178" s="364" t="s">
        <v>138</v>
      </c>
      <c r="N1178" s="364" t="s">
        <v>654</v>
      </c>
      <c r="O1178" s="364" t="s">
        <v>653</v>
      </c>
      <c r="P1178" s="364" t="s">
        <v>88</v>
      </c>
      <c r="Q1178" s="364" t="s">
        <v>88</v>
      </c>
      <c r="R1178" s="364" t="s">
        <v>88</v>
      </c>
      <c r="S1178" s="364" t="s">
        <v>88</v>
      </c>
      <c r="T1178" s="364" t="s">
        <v>88</v>
      </c>
      <c r="U1178" s="364" t="s">
        <v>88</v>
      </c>
      <c r="V1178" s="364" t="s">
        <v>88</v>
      </c>
      <c r="W1178" s="364" t="s">
        <v>88</v>
      </c>
      <c r="X1178" s="364" t="s">
        <v>88</v>
      </c>
      <c r="Y1178" s="364" t="s">
        <v>88</v>
      </c>
      <c r="Z1178" s="364" t="s">
        <v>88</v>
      </c>
      <c r="AA1178" s="364" t="s">
        <v>649</v>
      </c>
      <c r="AB1178" s="364" t="s">
        <v>88</v>
      </c>
      <c r="AC1178" s="364" t="s">
        <v>88</v>
      </c>
      <c r="AD1178" s="364" t="s">
        <v>88</v>
      </c>
      <c r="AE1178" s="364" t="s">
        <v>88</v>
      </c>
      <c r="AF1178" s="364" t="s">
        <v>88</v>
      </c>
      <c r="AG1178" s="364" t="s">
        <v>88</v>
      </c>
      <c r="AH1178" s="364" t="s">
        <v>88</v>
      </c>
      <c r="AI1178" s="364" t="s">
        <v>1478</v>
      </c>
      <c r="AJ1178" s="364" t="s">
        <v>793</v>
      </c>
      <c r="AK1178" s="364" t="s">
        <v>88</v>
      </c>
      <c r="AL1178" s="364" t="s">
        <v>88</v>
      </c>
      <c r="AM1178" s="364" t="s">
        <v>88</v>
      </c>
      <c r="AN1178" s="364" t="s">
        <v>792</v>
      </c>
    </row>
    <row r="1179" spans="1:40" x14ac:dyDescent="0.3">
      <c r="A1179" s="364" t="s">
        <v>1477</v>
      </c>
      <c r="B1179" s="364" t="s">
        <v>661</v>
      </c>
      <c r="C1179" s="364" t="s">
        <v>677</v>
      </c>
      <c r="D1179" s="364" t="s">
        <v>87</v>
      </c>
      <c r="E1179" s="364" t="s">
        <v>1295</v>
      </c>
      <c r="F1179" s="364" t="s">
        <v>1295</v>
      </c>
      <c r="G1179" s="364" t="s">
        <v>658</v>
      </c>
      <c r="H1179" s="364" t="s">
        <v>684</v>
      </c>
      <c r="I1179" s="364" t="s">
        <v>1471</v>
      </c>
      <c r="J1179" s="364" t="s">
        <v>673</v>
      </c>
      <c r="K1179" s="364" t="s">
        <v>668</v>
      </c>
      <c r="L1179" s="364" t="s">
        <v>190</v>
      </c>
      <c r="M1179" s="364" t="s">
        <v>58</v>
      </c>
      <c r="N1179" s="364" t="s">
        <v>654</v>
      </c>
      <c r="O1179" s="364" t="s">
        <v>653</v>
      </c>
      <c r="P1179" s="364" t="s">
        <v>198</v>
      </c>
      <c r="Q1179" s="364" t="s">
        <v>652</v>
      </c>
      <c r="R1179" s="364" t="s">
        <v>88</v>
      </c>
      <c r="S1179" s="364" t="s">
        <v>88</v>
      </c>
      <c r="T1179" s="364" t="s">
        <v>88</v>
      </c>
      <c r="U1179" s="364" t="s">
        <v>88</v>
      </c>
      <c r="V1179" s="364" t="s">
        <v>88</v>
      </c>
      <c r="W1179" s="364" t="s">
        <v>88</v>
      </c>
      <c r="X1179" s="364" t="s">
        <v>88</v>
      </c>
      <c r="Y1179" s="364" t="s">
        <v>88</v>
      </c>
      <c r="Z1179" s="364" t="s">
        <v>702</v>
      </c>
      <c r="AA1179" s="364" t="s">
        <v>701</v>
      </c>
      <c r="AB1179" s="364" t="s">
        <v>649</v>
      </c>
      <c r="AC1179" s="364" t="s">
        <v>649</v>
      </c>
      <c r="AD1179" s="364" t="s">
        <v>88</v>
      </c>
      <c r="AE1179" s="364" t="s">
        <v>88</v>
      </c>
      <c r="AF1179" s="364" t="s">
        <v>88</v>
      </c>
      <c r="AG1179" s="364" t="s">
        <v>88</v>
      </c>
      <c r="AH1179" s="364" t="s">
        <v>88</v>
      </c>
      <c r="AI1179" s="364" t="s">
        <v>1199</v>
      </c>
      <c r="AJ1179" s="364" t="s">
        <v>670</v>
      </c>
      <c r="AK1179" s="364" t="s">
        <v>669</v>
      </c>
      <c r="AL1179" s="364" t="s">
        <v>88</v>
      </c>
      <c r="AM1179" s="364" t="s">
        <v>668</v>
      </c>
      <c r="AN1179" s="364" t="s">
        <v>644</v>
      </c>
    </row>
    <row r="1180" spans="1:40" x14ac:dyDescent="0.3">
      <c r="A1180" s="364" t="s">
        <v>1477</v>
      </c>
      <c r="B1180" s="364" t="s">
        <v>661</v>
      </c>
      <c r="C1180" s="364" t="s">
        <v>677</v>
      </c>
      <c r="D1180" s="364" t="s">
        <v>87</v>
      </c>
      <c r="E1180" s="364" t="s">
        <v>1295</v>
      </c>
      <c r="F1180" s="364" t="s">
        <v>1295</v>
      </c>
      <c r="G1180" s="364" t="s">
        <v>658</v>
      </c>
      <c r="H1180" s="364" t="s">
        <v>684</v>
      </c>
      <c r="I1180" s="364" t="s">
        <v>1471</v>
      </c>
      <c r="J1180" s="364" t="s">
        <v>673</v>
      </c>
      <c r="K1180" s="364" t="s">
        <v>668</v>
      </c>
      <c r="L1180" s="364" t="s">
        <v>190</v>
      </c>
      <c r="M1180" s="364" t="s">
        <v>166</v>
      </c>
      <c r="N1180" s="364" t="s">
        <v>654</v>
      </c>
      <c r="O1180" s="364" t="s">
        <v>653</v>
      </c>
      <c r="P1180" s="364" t="s">
        <v>198</v>
      </c>
      <c r="Q1180" s="364" t="s">
        <v>652</v>
      </c>
      <c r="R1180" s="364" t="s">
        <v>88</v>
      </c>
      <c r="S1180" s="364" t="s">
        <v>88</v>
      </c>
      <c r="T1180" s="364" t="s">
        <v>88</v>
      </c>
      <c r="U1180" s="364" t="s">
        <v>88</v>
      </c>
      <c r="V1180" s="364" t="s">
        <v>88</v>
      </c>
      <c r="W1180" s="364" t="s">
        <v>88</v>
      </c>
      <c r="X1180" s="364" t="s">
        <v>88</v>
      </c>
      <c r="Y1180" s="364" t="s">
        <v>88</v>
      </c>
      <c r="Z1180" s="364" t="s">
        <v>877</v>
      </c>
      <c r="AA1180" s="364" t="s">
        <v>876</v>
      </c>
      <c r="AB1180" s="364" t="s">
        <v>649</v>
      </c>
      <c r="AC1180" s="364" t="s">
        <v>649</v>
      </c>
      <c r="AD1180" s="364" t="s">
        <v>88</v>
      </c>
      <c r="AE1180" s="364" t="s">
        <v>88</v>
      </c>
      <c r="AF1180" s="364" t="s">
        <v>88</v>
      </c>
      <c r="AG1180" s="364" t="s">
        <v>88</v>
      </c>
      <c r="AH1180" s="364" t="s">
        <v>88</v>
      </c>
      <c r="AI1180" s="364" t="s">
        <v>1199</v>
      </c>
      <c r="AJ1180" s="364" t="s">
        <v>670</v>
      </c>
      <c r="AK1180" s="364" t="s">
        <v>669</v>
      </c>
      <c r="AL1180" s="364" t="s">
        <v>88</v>
      </c>
      <c r="AM1180" s="364" t="s">
        <v>668</v>
      </c>
      <c r="AN1180" s="364" t="s">
        <v>644</v>
      </c>
    </row>
    <row r="1181" spans="1:40" x14ac:dyDescent="0.3">
      <c r="A1181" s="364" t="s">
        <v>1476</v>
      </c>
      <c r="B1181" s="364" t="s">
        <v>661</v>
      </c>
      <c r="C1181" s="364" t="s">
        <v>677</v>
      </c>
      <c r="D1181" s="364" t="s">
        <v>87</v>
      </c>
      <c r="E1181" s="364" t="s">
        <v>1292</v>
      </c>
      <c r="F1181" s="364" t="s">
        <v>1292</v>
      </c>
      <c r="G1181" s="364" t="s">
        <v>658</v>
      </c>
      <c r="H1181" s="364" t="s">
        <v>1465</v>
      </c>
      <c r="I1181" s="364" t="s">
        <v>1469</v>
      </c>
      <c r="J1181" s="364" t="s">
        <v>673</v>
      </c>
      <c r="K1181" s="364" t="s">
        <v>668</v>
      </c>
      <c r="L1181" s="364" t="s">
        <v>190</v>
      </c>
      <c r="M1181" s="364" t="s">
        <v>58</v>
      </c>
      <c r="N1181" s="364" t="s">
        <v>654</v>
      </c>
      <c r="O1181" s="364" t="s">
        <v>653</v>
      </c>
      <c r="P1181" s="364" t="s">
        <v>198</v>
      </c>
      <c r="Q1181" s="364" t="s">
        <v>652</v>
      </c>
      <c r="R1181" s="364" t="s">
        <v>88</v>
      </c>
      <c r="S1181" s="364" t="s">
        <v>88</v>
      </c>
      <c r="T1181" s="364" t="s">
        <v>88</v>
      </c>
      <c r="U1181" s="364" t="s">
        <v>88</v>
      </c>
      <c r="V1181" s="364" t="s">
        <v>88</v>
      </c>
      <c r="W1181" s="364" t="s">
        <v>88</v>
      </c>
      <c r="X1181" s="364" t="s">
        <v>88</v>
      </c>
      <c r="Y1181" s="364" t="s">
        <v>88</v>
      </c>
      <c r="Z1181" s="364" t="s">
        <v>702</v>
      </c>
      <c r="AA1181" s="364" t="s">
        <v>701</v>
      </c>
      <c r="AB1181" s="364" t="s">
        <v>649</v>
      </c>
      <c r="AC1181" s="364" t="s">
        <v>649</v>
      </c>
      <c r="AD1181" s="364" t="s">
        <v>88</v>
      </c>
      <c r="AE1181" s="364" t="s">
        <v>88</v>
      </c>
      <c r="AF1181" s="364" t="s">
        <v>88</v>
      </c>
      <c r="AG1181" s="364" t="s">
        <v>88</v>
      </c>
      <c r="AH1181" s="364" t="s">
        <v>88</v>
      </c>
      <c r="AI1181" s="364" t="s">
        <v>1199</v>
      </c>
      <c r="AJ1181" s="364" t="s">
        <v>670</v>
      </c>
      <c r="AK1181" s="364" t="s">
        <v>669</v>
      </c>
      <c r="AL1181" s="364" t="s">
        <v>88</v>
      </c>
      <c r="AM1181" s="364" t="s">
        <v>668</v>
      </c>
      <c r="AN1181" s="364" t="s">
        <v>644</v>
      </c>
    </row>
    <row r="1182" spans="1:40" x14ac:dyDescent="0.3">
      <c r="A1182" s="364" t="s">
        <v>1476</v>
      </c>
      <c r="B1182" s="364" t="s">
        <v>661</v>
      </c>
      <c r="C1182" s="364" t="s">
        <v>677</v>
      </c>
      <c r="D1182" s="364" t="s">
        <v>87</v>
      </c>
      <c r="E1182" s="364" t="s">
        <v>1292</v>
      </c>
      <c r="F1182" s="364" t="s">
        <v>1292</v>
      </c>
      <c r="G1182" s="364" t="s">
        <v>658</v>
      </c>
      <c r="H1182" s="364" t="s">
        <v>1465</v>
      </c>
      <c r="I1182" s="364" t="s">
        <v>1469</v>
      </c>
      <c r="J1182" s="364" t="s">
        <v>673</v>
      </c>
      <c r="K1182" s="364" t="s">
        <v>668</v>
      </c>
      <c r="L1182" s="364" t="s">
        <v>190</v>
      </c>
      <c r="M1182" s="364" t="s">
        <v>166</v>
      </c>
      <c r="N1182" s="364" t="s">
        <v>654</v>
      </c>
      <c r="O1182" s="364" t="s">
        <v>653</v>
      </c>
      <c r="P1182" s="364" t="s">
        <v>198</v>
      </c>
      <c r="Q1182" s="364" t="s">
        <v>652</v>
      </c>
      <c r="R1182" s="364" t="s">
        <v>88</v>
      </c>
      <c r="S1182" s="364" t="s">
        <v>88</v>
      </c>
      <c r="T1182" s="364" t="s">
        <v>88</v>
      </c>
      <c r="U1182" s="364" t="s">
        <v>88</v>
      </c>
      <c r="V1182" s="364" t="s">
        <v>88</v>
      </c>
      <c r="W1182" s="364" t="s">
        <v>88</v>
      </c>
      <c r="X1182" s="364" t="s">
        <v>88</v>
      </c>
      <c r="Y1182" s="364" t="s">
        <v>88</v>
      </c>
      <c r="Z1182" s="364" t="s">
        <v>877</v>
      </c>
      <c r="AA1182" s="364" t="s">
        <v>876</v>
      </c>
      <c r="AB1182" s="364" t="s">
        <v>649</v>
      </c>
      <c r="AC1182" s="364" t="s">
        <v>649</v>
      </c>
      <c r="AD1182" s="364" t="s">
        <v>88</v>
      </c>
      <c r="AE1182" s="364" t="s">
        <v>88</v>
      </c>
      <c r="AF1182" s="364" t="s">
        <v>88</v>
      </c>
      <c r="AG1182" s="364" t="s">
        <v>88</v>
      </c>
      <c r="AH1182" s="364" t="s">
        <v>88</v>
      </c>
      <c r="AI1182" s="364" t="s">
        <v>1199</v>
      </c>
      <c r="AJ1182" s="364" t="s">
        <v>670</v>
      </c>
      <c r="AK1182" s="364" t="s">
        <v>669</v>
      </c>
      <c r="AL1182" s="364" t="s">
        <v>88</v>
      </c>
      <c r="AM1182" s="364" t="s">
        <v>668</v>
      </c>
      <c r="AN1182" s="364" t="s">
        <v>644</v>
      </c>
    </row>
    <row r="1183" spans="1:40" x14ac:dyDescent="0.3">
      <c r="A1183" s="364" t="s">
        <v>1475</v>
      </c>
      <c r="B1183" s="364" t="s">
        <v>661</v>
      </c>
      <c r="C1183" s="364" t="s">
        <v>677</v>
      </c>
      <c r="D1183" s="364" t="s">
        <v>87</v>
      </c>
      <c r="E1183" s="364" t="s">
        <v>1290</v>
      </c>
      <c r="F1183" s="364" t="s">
        <v>1290</v>
      </c>
      <c r="G1183" s="364" t="s">
        <v>658</v>
      </c>
      <c r="H1183" s="364" t="s">
        <v>1465</v>
      </c>
      <c r="I1183" s="364" t="s">
        <v>1467</v>
      </c>
      <c r="J1183" s="364" t="s">
        <v>673</v>
      </c>
      <c r="K1183" s="364" t="s">
        <v>668</v>
      </c>
      <c r="L1183" s="364" t="s">
        <v>190</v>
      </c>
      <c r="M1183" s="364" t="s">
        <v>58</v>
      </c>
      <c r="N1183" s="364" t="s">
        <v>654</v>
      </c>
      <c r="O1183" s="364" t="s">
        <v>653</v>
      </c>
      <c r="P1183" s="364" t="s">
        <v>198</v>
      </c>
      <c r="Q1183" s="364" t="s">
        <v>652</v>
      </c>
      <c r="R1183" s="364" t="s">
        <v>88</v>
      </c>
      <c r="S1183" s="364" t="s">
        <v>88</v>
      </c>
      <c r="T1183" s="364" t="s">
        <v>88</v>
      </c>
      <c r="U1183" s="364" t="s">
        <v>88</v>
      </c>
      <c r="V1183" s="364" t="s">
        <v>88</v>
      </c>
      <c r="W1183" s="364" t="s">
        <v>88</v>
      </c>
      <c r="X1183" s="364" t="s">
        <v>88</v>
      </c>
      <c r="Y1183" s="364" t="s">
        <v>88</v>
      </c>
      <c r="Z1183" s="364" t="s">
        <v>702</v>
      </c>
      <c r="AA1183" s="364" t="s">
        <v>701</v>
      </c>
      <c r="AB1183" s="364" t="s">
        <v>649</v>
      </c>
      <c r="AC1183" s="364" t="s">
        <v>649</v>
      </c>
      <c r="AD1183" s="364" t="s">
        <v>88</v>
      </c>
      <c r="AE1183" s="364" t="s">
        <v>88</v>
      </c>
      <c r="AF1183" s="364" t="s">
        <v>88</v>
      </c>
      <c r="AG1183" s="364" t="s">
        <v>88</v>
      </c>
      <c r="AH1183" s="364" t="s">
        <v>88</v>
      </c>
      <c r="AI1183" s="364" t="s">
        <v>1199</v>
      </c>
      <c r="AJ1183" s="364" t="s">
        <v>670</v>
      </c>
      <c r="AK1183" s="364" t="s">
        <v>669</v>
      </c>
      <c r="AL1183" s="364" t="s">
        <v>88</v>
      </c>
      <c r="AM1183" s="364" t="s">
        <v>668</v>
      </c>
      <c r="AN1183" s="364" t="s">
        <v>644</v>
      </c>
    </row>
    <row r="1184" spans="1:40" x14ac:dyDescent="0.3">
      <c r="A1184" s="364" t="s">
        <v>1475</v>
      </c>
      <c r="B1184" s="364" t="s">
        <v>661</v>
      </c>
      <c r="C1184" s="364" t="s">
        <v>677</v>
      </c>
      <c r="D1184" s="364" t="s">
        <v>87</v>
      </c>
      <c r="E1184" s="364" t="s">
        <v>1290</v>
      </c>
      <c r="F1184" s="364" t="s">
        <v>1290</v>
      </c>
      <c r="G1184" s="364" t="s">
        <v>658</v>
      </c>
      <c r="H1184" s="364" t="s">
        <v>1465</v>
      </c>
      <c r="I1184" s="364" t="s">
        <v>1467</v>
      </c>
      <c r="J1184" s="364" t="s">
        <v>673</v>
      </c>
      <c r="K1184" s="364" t="s">
        <v>668</v>
      </c>
      <c r="L1184" s="364" t="s">
        <v>190</v>
      </c>
      <c r="M1184" s="364" t="s">
        <v>166</v>
      </c>
      <c r="N1184" s="364" t="s">
        <v>654</v>
      </c>
      <c r="O1184" s="364" t="s">
        <v>653</v>
      </c>
      <c r="P1184" s="364" t="s">
        <v>198</v>
      </c>
      <c r="Q1184" s="364" t="s">
        <v>652</v>
      </c>
      <c r="R1184" s="364" t="s">
        <v>88</v>
      </c>
      <c r="S1184" s="364" t="s">
        <v>88</v>
      </c>
      <c r="T1184" s="364" t="s">
        <v>88</v>
      </c>
      <c r="U1184" s="364" t="s">
        <v>88</v>
      </c>
      <c r="V1184" s="364" t="s">
        <v>88</v>
      </c>
      <c r="W1184" s="364" t="s">
        <v>88</v>
      </c>
      <c r="X1184" s="364" t="s">
        <v>88</v>
      </c>
      <c r="Y1184" s="364" t="s">
        <v>88</v>
      </c>
      <c r="Z1184" s="364" t="s">
        <v>877</v>
      </c>
      <c r="AA1184" s="364" t="s">
        <v>876</v>
      </c>
      <c r="AB1184" s="364" t="s">
        <v>649</v>
      </c>
      <c r="AC1184" s="364" t="s">
        <v>649</v>
      </c>
      <c r="AD1184" s="364" t="s">
        <v>88</v>
      </c>
      <c r="AE1184" s="364" t="s">
        <v>88</v>
      </c>
      <c r="AF1184" s="364" t="s">
        <v>88</v>
      </c>
      <c r="AG1184" s="364" t="s">
        <v>88</v>
      </c>
      <c r="AH1184" s="364" t="s">
        <v>88</v>
      </c>
      <c r="AI1184" s="364" t="s">
        <v>1199</v>
      </c>
      <c r="AJ1184" s="364" t="s">
        <v>670</v>
      </c>
      <c r="AK1184" s="364" t="s">
        <v>669</v>
      </c>
      <c r="AL1184" s="364" t="s">
        <v>88</v>
      </c>
      <c r="AM1184" s="364" t="s">
        <v>668</v>
      </c>
      <c r="AN1184" s="364" t="s">
        <v>644</v>
      </c>
    </row>
    <row r="1185" spans="1:40" x14ac:dyDescent="0.3">
      <c r="A1185" s="364" t="s">
        <v>1474</v>
      </c>
      <c r="B1185" s="364" t="s">
        <v>661</v>
      </c>
      <c r="C1185" s="364" t="s">
        <v>677</v>
      </c>
      <c r="D1185" s="364" t="s">
        <v>87</v>
      </c>
      <c r="E1185" s="364" t="s">
        <v>1288</v>
      </c>
      <c r="F1185" s="364" t="s">
        <v>1288</v>
      </c>
      <c r="G1185" s="364" t="s">
        <v>658</v>
      </c>
      <c r="H1185" s="364" t="s">
        <v>1465</v>
      </c>
      <c r="I1185" s="364" t="s">
        <v>1464</v>
      </c>
      <c r="J1185" s="364" t="s">
        <v>673</v>
      </c>
      <c r="K1185" s="364" t="s">
        <v>668</v>
      </c>
      <c r="L1185" s="364" t="s">
        <v>190</v>
      </c>
      <c r="M1185" s="364" t="s">
        <v>58</v>
      </c>
      <c r="N1185" s="364" t="s">
        <v>654</v>
      </c>
      <c r="O1185" s="364" t="s">
        <v>653</v>
      </c>
      <c r="P1185" s="364" t="s">
        <v>198</v>
      </c>
      <c r="Q1185" s="364" t="s">
        <v>652</v>
      </c>
      <c r="R1185" s="364" t="s">
        <v>88</v>
      </c>
      <c r="S1185" s="364" t="s">
        <v>88</v>
      </c>
      <c r="T1185" s="364" t="s">
        <v>88</v>
      </c>
      <c r="U1185" s="364" t="s">
        <v>88</v>
      </c>
      <c r="V1185" s="364" t="s">
        <v>88</v>
      </c>
      <c r="W1185" s="364" t="s">
        <v>88</v>
      </c>
      <c r="X1185" s="364" t="s">
        <v>88</v>
      </c>
      <c r="Y1185" s="364" t="s">
        <v>88</v>
      </c>
      <c r="Z1185" s="364" t="s">
        <v>702</v>
      </c>
      <c r="AA1185" s="364" t="s">
        <v>701</v>
      </c>
      <c r="AB1185" s="364" t="s">
        <v>649</v>
      </c>
      <c r="AC1185" s="364" t="s">
        <v>649</v>
      </c>
      <c r="AD1185" s="364" t="s">
        <v>88</v>
      </c>
      <c r="AE1185" s="364" t="s">
        <v>88</v>
      </c>
      <c r="AF1185" s="364" t="s">
        <v>88</v>
      </c>
      <c r="AG1185" s="364" t="s">
        <v>88</v>
      </c>
      <c r="AH1185" s="364" t="s">
        <v>88</v>
      </c>
      <c r="AI1185" s="364" t="s">
        <v>1199</v>
      </c>
      <c r="AJ1185" s="364" t="s">
        <v>670</v>
      </c>
      <c r="AK1185" s="364" t="s">
        <v>669</v>
      </c>
      <c r="AL1185" s="364" t="s">
        <v>88</v>
      </c>
      <c r="AM1185" s="364" t="s">
        <v>668</v>
      </c>
      <c r="AN1185" s="364" t="s">
        <v>644</v>
      </c>
    </row>
    <row r="1186" spans="1:40" x14ac:dyDescent="0.3">
      <c r="A1186" s="364" t="s">
        <v>1474</v>
      </c>
      <c r="B1186" s="364" t="s">
        <v>661</v>
      </c>
      <c r="C1186" s="364" t="s">
        <v>677</v>
      </c>
      <c r="D1186" s="364" t="s">
        <v>87</v>
      </c>
      <c r="E1186" s="364" t="s">
        <v>1288</v>
      </c>
      <c r="F1186" s="364" t="s">
        <v>1288</v>
      </c>
      <c r="G1186" s="364" t="s">
        <v>658</v>
      </c>
      <c r="H1186" s="364" t="s">
        <v>1465</v>
      </c>
      <c r="I1186" s="364" t="s">
        <v>1464</v>
      </c>
      <c r="J1186" s="364" t="s">
        <v>673</v>
      </c>
      <c r="K1186" s="364" t="s">
        <v>668</v>
      </c>
      <c r="L1186" s="364" t="s">
        <v>190</v>
      </c>
      <c r="M1186" s="364" t="s">
        <v>166</v>
      </c>
      <c r="N1186" s="364" t="s">
        <v>654</v>
      </c>
      <c r="O1186" s="364" t="s">
        <v>653</v>
      </c>
      <c r="P1186" s="364" t="s">
        <v>198</v>
      </c>
      <c r="Q1186" s="364" t="s">
        <v>652</v>
      </c>
      <c r="R1186" s="364" t="s">
        <v>88</v>
      </c>
      <c r="S1186" s="364" t="s">
        <v>88</v>
      </c>
      <c r="T1186" s="364" t="s">
        <v>88</v>
      </c>
      <c r="U1186" s="364" t="s">
        <v>88</v>
      </c>
      <c r="V1186" s="364" t="s">
        <v>88</v>
      </c>
      <c r="W1186" s="364" t="s">
        <v>88</v>
      </c>
      <c r="X1186" s="364" t="s">
        <v>88</v>
      </c>
      <c r="Y1186" s="364" t="s">
        <v>88</v>
      </c>
      <c r="Z1186" s="364" t="s">
        <v>877</v>
      </c>
      <c r="AA1186" s="364" t="s">
        <v>876</v>
      </c>
      <c r="AB1186" s="364" t="s">
        <v>649</v>
      </c>
      <c r="AC1186" s="364" t="s">
        <v>649</v>
      </c>
      <c r="AD1186" s="364" t="s">
        <v>88</v>
      </c>
      <c r="AE1186" s="364" t="s">
        <v>88</v>
      </c>
      <c r="AF1186" s="364" t="s">
        <v>88</v>
      </c>
      <c r="AG1186" s="364" t="s">
        <v>88</v>
      </c>
      <c r="AH1186" s="364" t="s">
        <v>88</v>
      </c>
      <c r="AI1186" s="364" t="s">
        <v>1199</v>
      </c>
      <c r="AJ1186" s="364" t="s">
        <v>670</v>
      </c>
      <c r="AK1186" s="364" t="s">
        <v>669</v>
      </c>
      <c r="AL1186" s="364" t="s">
        <v>88</v>
      </c>
      <c r="AM1186" s="364" t="s">
        <v>668</v>
      </c>
      <c r="AN1186" s="364" t="s">
        <v>644</v>
      </c>
    </row>
    <row r="1187" spans="1:40" x14ac:dyDescent="0.3">
      <c r="A1187" s="364" t="s">
        <v>1473</v>
      </c>
      <c r="B1187" s="364" t="s">
        <v>661</v>
      </c>
      <c r="C1187" s="364" t="s">
        <v>677</v>
      </c>
      <c r="D1187" s="364" t="s">
        <v>87</v>
      </c>
      <c r="E1187" s="364" t="s">
        <v>993</v>
      </c>
      <c r="F1187" s="364" t="s">
        <v>993</v>
      </c>
      <c r="G1187" s="364" t="s">
        <v>658</v>
      </c>
      <c r="H1187" s="364" t="s">
        <v>992</v>
      </c>
      <c r="I1187" s="364" t="s">
        <v>991</v>
      </c>
      <c r="J1187" s="364" t="s">
        <v>673</v>
      </c>
      <c r="K1187" s="364" t="s">
        <v>668</v>
      </c>
      <c r="L1187" s="364" t="s">
        <v>190</v>
      </c>
      <c r="M1187" s="364" t="s">
        <v>60</v>
      </c>
      <c r="N1187" s="364" t="s">
        <v>654</v>
      </c>
      <c r="O1187" s="364" t="s">
        <v>653</v>
      </c>
      <c r="P1187" s="364" t="s">
        <v>198</v>
      </c>
      <c r="Q1187" s="364" t="s">
        <v>652</v>
      </c>
      <c r="R1187" s="364" t="s">
        <v>88</v>
      </c>
      <c r="S1187" s="364" t="s">
        <v>88</v>
      </c>
      <c r="T1187" s="364" t="s">
        <v>88</v>
      </c>
      <c r="U1187" s="364" t="s">
        <v>88</v>
      </c>
      <c r="V1187" s="364" t="s">
        <v>88</v>
      </c>
      <c r="W1187" s="364" t="s">
        <v>88</v>
      </c>
      <c r="X1187" s="364" t="s">
        <v>88</v>
      </c>
      <c r="Y1187" s="364" t="s">
        <v>88</v>
      </c>
      <c r="Z1187" s="364" t="s">
        <v>709</v>
      </c>
      <c r="AA1187" s="364" t="s">
        <v>708</v>
      </c>
      <c r="AB1187" s="364" t="s">
        <v>649</v>
      </c>
      <c r="AC1187" s="364" t="s">
        <v>649</v>
      </c>
      <c r="AD1187" s="364" t="s">
        <v>88</v>
      </c>
      <c r="AE1187" s="364" t="s">
        <v>88</v>
      </c>
      <c r="AF1187" s="364" t="s">
        <v>88</v>
      </c>
      <c r="AG1187" s="364" t="s">
        <v>88</v>
      </c>
      <c r="AH1187" s="364" t="s">
        <v>88</v>
      </c>
      <c r="AI1187" s="364" t="s">
        <v>1199</v>
      </c>
      <c r="AJ1187" s="364" t="s">
        <v>670</v>
      </c>
      <c r="AK1187" s="364" t="s">
        <v>669</v>
      </c>
      <c r="AL1187" s="364" t="s">
        <v>88</v>
      </c>
      <c r="AM1187" s="364" t="s">
        <v>668</v>
      </c>
      <c r="AN1187" s="364" t="s">
        <v>644</v>
      </c>
    </row>
    <row r="1188" spans="1:40" x14ac:dyDescent="0.3">
      <c r="A1188" s="364" t="s">
        <v>1472</v>
      </c>
      <c r="B1188" s="364" t="s">
        <v>661</v>
      </c>
      <c r="C1188" s="364" t="s">
        <v>677</v>
      </c>
      <c r="D1188" s="364" t="s">
        <v>87</v>
      </c>
      <c r="E1188" s="364" t="s">
        <v>1295</v>
      </c>
      <c r="F1188" s="364" t="s">
        <v>1295</v>
      </c>
      <c r="G1188" s="364" t="s">
        <v>658</v>
      </c>
      <c r="H1188" s="364" t="s">
        <v>684</v>
      </c>
      <c r="I1188" s="364" t="s">
        <v>1471</v>
      </c>
      <c r="J1188" s="364" t="s">
        <v>673</v>
      </c>
      <c r="K1188" s="364" t="s">
        <v>668</v>
      </c>
      <c r="L1188" s="364" t="s">
        <v>190</v>
      </c>
      <c r="M1188" s="364" t="s">
        <v>60</v>
      </c>
      <c r="N1188" s="364" t="s">
        <v>654</v>
      </c>
      <c r="O1188" s="364" t="s">
        <v>653</v>
      </c>
      <c r="P1188" s="364" t="s">
        <v>198</v>
      </c>
      <c r="Q1188" s="364" t="s">
        <v>652</v>
      </c>
      <c r="R1188" s="364" t="s">
        <v>88</v>
      </c>
      <c r="S1188" s="364" t="s">
        <v>88</v>
      </c>
      <c r="T1188" s="364" t="s">
        <v>88</v>
      </c>
      <c r="U1188" s="364" t="s">
        <v>88</v>
      </c>
      <c r="V1188" s="364" t="s">
        <v>88</v>
      </c>
      <c r="W1188" s="364" t="s">
        <v>88</v>
      </c>
      <c r="X1188" s="364" t="s">
        <v>88</v>
      </c>
      <c r="Y1188" s="364" t="s">
        <v>88</v>
      </c>
      <c r="Z1188" s="364" t="s">
        <v>709</v>
      </c>
      <c r="AA1188" s="364" t="s">
        <v>708</v>
      </c>
      <c r="AB1188" s="364" t="s">
        <v>649</v>
      </c>
      <c r="AC1188" s="364" t="s">
        <v>649</v>
      </c>
      <c r="AD1188" s="364" t="s">
        <v>88</v>
      </c>
      <c r="AE1188" s="364" t="s">
        <v>88</v>
      </c>
      <c r="AF1188" s="364" t="s">
        <v>88</v>
      </c>
      <c r="AG1188" s="364" t="s">
        <v>88</v>
      </c>
      <c r="AH1188" s="364" t="s">
        <v>88</v>
      </c>
      <c r="AI1188" s="364" t="s">
        <v>1199</v>
      </c>
      <c r="AJ1188" s="364" t="s">
        <v>670</v>
      </c>
      <c r="AK1188" s="364" t="s">
        <v>669</v>
      </c>
      <c r="AL1188" s="364" t="s">
        <v>88</v>
      </c>
      <c r="AM1188" s="364" t="s">
        <v>668</v>
      </c>
      <c r="AN1188" s="364" t="s">
        <v>644</v>
      </c>
    </row>
    <row r="1189" spans="1:40" x14ac:dyDescent="0.3">
      <c r="A1189" s="364" t="s">
        <v>1470</v>
      </c>
      <c r="B1189" s="364" t="s">
        <v>661</v>
      </c>
      <c r="C1189" s="364" t="s">
        <v>677</v>
      </c>
      <c r="D1189" s="364" t="s">
        <v>87</v>
      </c>
      <c r="E1189" s="364" t="s">
        <v>1292</v>
      </c>
      <c r="F1189" s="364" t="s">
        <v>1292</v>
      </c>
      <c r="G1189" s="364" t="s">
        <v>658</v>
      </c>
      <c r="H1189" s="364" t="s">
        <v>1465</v>
      </c>
      <c r="I1189" s="364" t="s">
        <v>1469</v>
      </c>
      <c r="J1189" s="364" t="s">
        <v>673</v>
      </c>
      <c r="K1189" s="364" t="s">
        <v>668</v>
      </c>
      <c r="L1189" s="364" t="s">
        <v>190</v>
      </c>
      <c r="M1189" s="364" t="s">
        <v>60</v>
      </c>
      <c r="N1189" s="364" t="s">
        <v>654</v>
      </c>
      <c r="O1189" s="364" t="s">
        <v>653</v>
      </c>
      <c r="P1189" s="364" t="s">
        <v>198</v>
      </c>
      <c r="Q1189" s="364" t="s">
        <v>652</v>
      </c>
      <c r="R1189" s="364" t="s">
        <v>88</v>
      </c>
      <c r="S1189" s="364" t="s">
        <v>88</v>
      </c>
      <c r="T1189" s="364" t="s">
        <v>88</v>
      </c>
      <c r="U1189" s="364" t="s">
        <v>88</v>
      </c>
      <c r="V1189" s="364" t="s">
        <v>88</v>
      </c>
      <c r="W1189" s="364" t="s">
        <v>88</v>
      </c>
      <c r="X1189" s="364" t="s">
        <v>88</v>
      </c>
      <c r="Y1189" s="364" t="s">
        <v>88</v>
      </c>
      <c r="Z1189" s="364" t="s">
        <v>709</v>
      </c>
      <c r="AA1189" s="364" t="s">
        <v>708</v>
      </c>
      <c r="AB1189" s="364" t="s">
        <v>649</v>
      </c>
      <c r="AC1189" s="364" t="s">
        <v>649</v>
      </c>
      <c r="AD1189" s="364" t="s">
        <v>88</v>
      </c>
      <c r="AE1189" s="364" t="s">
        <v>88</v>
      </c>
      <c r="AF1189" s="364" t="s">
        <v>88</v>
      </c>
      <c r="AG1189" s="364" t="s">
        <v>88</v>
      </c>
      <c r="AH1189" s="364" t="s">
        <v>88</v>
      </c>
      <c r="AI1189" s="364" t="s">
        <v>1199</v>
      </c>
      <c r="AJ1189" s="364" t="s">
        <v>670</v>
      </c>
      <c r="AK1189" s="364" t="s">
        <v>669</v>
      </c>
      <c r="AL1189" s="364" t="s">
        <v>88</v>
      </c>
      <c r="AM1189" s="364" t="s">
        <v>668</v>
      </c>
      <c r="AN1189" s="364" t="s">
        <v>644</v>
      </c>
    </row>
    <row r="1190" spans="1:40" x14ac:dyDescent="0.3">
      <c r="A1190" s="364" t="s">
        <v>1468</v>
      </c>
      <c r="B1190" s="364" t="s">
        <v>661</v>
      </c>
      <c r="C1190" s="364" t="s">
        <v>677</v>
      </c>
      <c r="D1190" s="364" t="s">
        <v>87</v>
      </c>
      <c r="E1190" s="364" t="s">
        <v>1290</v>
      </c>
      <c r="F1190" s="364" t="s">
        <v>1290</v>
      </c>
      <c r="G1190" s="364" t="s">
        <v>658</v>
      </c>
      <c r="H1190" s="364" t="s">
        <v>1465</v>
      </c>
      <c r="I1190" s="364" t="s">
        <v>1467</v>
      </c>
      <c r="J1190" s="364" t="s">
        <v>673</v>
      </c>
      <c r="K1190" s="364" t="s">
        <v>668</v>
      </c>
      <c r="L1190" s="364" t="s">
        <v>190</v>
      </c>
      <c r="M1190" s="364" t="s">
        <v>60</v>
      </c>
      <c r="N1190" s="364" t="s">
        <v>654</v>
      </c>
      <c r="O1190" s="364" t="s">
        <v>653</v>
      </c>
      <c r="P1190" s="364" t="s">
        <v>198</v>
      </c>
      <c r="Q1190" s="364" t="s">
        <v>652</v>
      </c>
      <c r="R1190" s="364" t="s">
        <v>88</v>
      </c>
      <c r="S1190" s="364" t="s">
        <v>88</v>
      </c>
      <c r="T1190" s="364" t="s">
        <v>88</v>
      </c>
      <c r="U1190" s="364" t="s">
        <v>88</v>
      </c>
      <c r="V1190" s="364" t="s">
        <v>88</v>
      </c>
      <c r="W1190" s="364" t="s">
        <v>88</v>
      </c>
      <c r="X1190" s="364" t="s">
        <v>88</v>
      </c>
      <c r="Y1190" s="364" t="s">
        <v>88</v>
      </c>
      <c r="Z1190" s="364" t="s">
        <v>709</v>
      </c>
      <c r="AA1190" s="364" t="s">
        <v>708</v>
      </c>
      <c r="AB1190" s="364" t="s">
        <v>649</v>
      </c>
      <c r="AC1190" s="364" t="s">
        <v>649</v>
      </c>
      <c r="AD1190" s="364" t="s">
        <v>88</v>
      </c>
      <c r="AE1190" s="364" t="s">
        <v>88</v>
      </c>
      <c r="AF1190" s="364" t="s">
        <v>88</v>
      </c>
      <c r="AG1190" s="364" t="s">
        <v>88</v>
      </c>
      <c r="AH1190" s="364" t="s">
        <v>88</v>
      </c>
      <c r="AI1190" s="364" t="s">
        <v>1199</v>
      </c>
      <c r="AJ1190" s="364" t="s">
        <v>670</v>
      </c>
      <c r="AK1190" s="364" t="s">
        <v>669</v>
      </c>
      <c r="AL1190" s="364" t="s">
        <v>88</v>
      </c>
      <c r="AM1190" s="364" t="s">
        <v>668</v>
      </c>
      <c r="AN1190" s="364" t="s">
        <v>644</v>
      </c>
    </row>
    <row r="1191" spans="1:40" x14ac:dyDescent="0.3">
      <c r="A1191" s="364" t="s">
        <v>1466</v>
      </c>
      <c r="B1191" s="364" t="s">
        <v>661</v>
      </c>
      <c r="C1191" s="364" t="s">
        <v>677</v>
      </c>
      <c r="D1191" s="364" t="s">
        <v>87</v>
      </c>
      <c r="E1191" s="364" t="s">
        <v>1288</v>
      </c>
      <c r="F1191" s="364" t="s">
        <v>1288</v>
      </c>
      <c r="G1191" s="364" t="s">
        <v>658</v>
      </c>
      <c r="H1191" s="364" t="s">
        <v>1465</v>
      </c>
      <c r="I1191" s="364" t="s">
        <v>1464</v>
      </c>
      <c r="J1191" s="364" t="s">
        <v>673</v>
      </c>
      <c r="K1191" s="364" t="s">
        <v>668</v>
      </c>
      <c r="L1191" s="364" t="s">
        <v>190</v>
      </c>
      <c r="M1191" s="364" t="s">
        <v>60</v>
      </c>
      <c r="N1191" s="364" t="s">
        <v>654</v>
      </c>
      <c r="O1191" s="364" t="s">
        <v>653</v>
      </c>
      <c r="P1191" s="364" t="s">
        <v>198</v>
      </c>
      <c r="Q1191" s="364" t="s">
        <v>652</v>
      </c>
      <c r="R1191" s="364" t="s">
        <v>88</v>
      </c>
      <c r="S1191" s="364" t="s">
        <v>88</v>
      </c>
      <c r="T1191" s="364" t="s">
        <v>88</v>
      </c>
      <c r="U1191" s="364" t="s">
        <v>88</v>
      </c>
      <c r="V1191" s="364" t="s">
        <v>88</v>
      </c>
      <c r="W1191" s="364" t="s">
        <v>88</v>
      </c>
      <c r="X1191" s="364" t="s">
        <v>88</v>
      </c>
      <c r="Y1191" s="364" t="s">
        <v>88</v>
      </c>
      <c r="Z1191" s="364" t="s">
        <v>709</v>
      </c>
      <c r="AA1191" s="364" t="s">
        <v>708</v>
      </c>
      <c r="AB1191" s="364" t="s">
        <v>649</v>
      </c>
      <c r="AC1191" s="364" t="s">
        <v>649</v>
      </c>
      <c r="AD1191" s="364" t="s">
        <v>88</v>
      </c>
      <c r="AE1191" s="364" t="s">
        <v>88</v>
      </c>
      <c r="AF1191" s="364" t="s">
        <v>88</v>
      </c>
      <c r="AG1191" s="364" t="s">
        <v>88</v>
      </c>
      <c r="AH1191" s="364" t="s">
        <v>88</v>
      </c>
      <c r="AI1191" s="364" t="s">
        <v>1199</v>
      </c>
      <c r="AJ1191" s="364" t="s">
        <v>670</v>
      </c>
      <c r="AK1191" s="364" t="s">
        <v>669</v>
      </c>
      <c r="AL1191" s="364" t="s">
        <v>88</v>
      </c>
      <c r="AM1191" s="364" t="s">
        <v>668</v>
      </c>
      <c r="AN1191" s="364" t="s">
        <v>644</v>
      </c>
    </row>
    <row r="1192" spans="1:40" x14ac:dyDescent="0.3">
      <c r="A1192" s="364" t="s">
        <v>1454</v>
      </c>
      <c r="B1192" s="364" t="s">
        <v>661</v>
      </c>
      <c r="C1192" s="364" t="s">
        <v>1420</v>
      </c>
      <c r="D1192" s="364" t="s">
        <v>87</v>
      </c>
      <c r="E1192" s="364" t="s">
        <v>1079</v>
      </c>
      <c r="F1192" s="364" t="s">
        <v>1270</v>
      </c>
      <c r="G1192" s="364" t="s">
        <v>658</v>
      </c>
      <c r="H1192" s="364" t="s">
        <v>1453</v>
      </c>
      <c r="I1192" s="364" t="s">
        <v>1452</v>
      </c>
      <c r="J1192" s="364" t="s">
        <v>673</v>
      </c>
      <c r="K1192" s="364" t="s">
        <v>668</v>
      </c>
      <c r="L1192" s="364" t="s">
        <v>190</v>
      </c>
      <c r="M1192" s="364" t="s">
        <v>58</v>
      </c>
      <c r="N1192" s="364" t="s">
        <v>654</v>
      </c>
      <c r="O1192" s="364" t="s">
        <v>653</v>
      </c>
      <c r="P1192" s="364" t="s">
        <v>198</v>
      </c>
      <c r="Q1192" s="364" t="s">
        <v>652</v>
      </c>
      <c r="R1192" s="364" t="s">
        <v>88</v>
      </c>
      <c r="S1192" s="364" t="s">
        <v>88</v>
      </c>
      <c r="T1192" s="364" t="s">
        <v>88</v>
      </c>
      <c r="U1192" s="364" t="s">
        <v>88</v>
      </c>
      <c r="V1192" s="364" t="s">
        <v>88</v>
      </c>
      <c r="W1192" s="364" t="s">
        <v>88</v>
      </c>
      <c r="X1192" s="364" t="s">
        <v>88</v>
      </c>
      <c r="Y1192" s="364" t="s">
        <v>88</v>
      </c>
      <c r="Z1192" s="364" t="s">
        <v>702</v>
      </c>
      <c r="AA1192" s="364" t="s">
        <v>701</v>
      </c>
      <c r="AB1192" s="364" t="s">
        <v>1463</v>
      </c>
      <c r="AC1192" s="364" t="s">
        <v>1463</v>
      </c>
      <c r="AD1192" s="364" t="s">
        <v>1463</v>
      </c>
      <c r="AE1192" s="364" t="s">
        <v>88</v>
      </c>
      <c r="AF1192" s="364" t="s">
        <v>1416</v>
      </c>
      <c r="AG1192" s="364" t="s">
        <v>1415</v>
      </c>
      <c r="AH1192" s="364" t="s">
        <v>1456</v>
      </c>
      <c r="AI1192" s="364" t="s">
        <v>1447</v>
      </c>
      <c r="AJ1192" s="364" t="s">
        <v>1446</v>
      </c>
      <c r="AK1192" s="364" t="s">
        <v>669</v>
      </c>
      <c r="AL1192" s="364" t="s">
        <v>1412</v>
      </c>
      <c r="AM1192" s="364" t="s">
        <v>668</v>
      </c>
      <c r="AN1192" s="364" t="s">
        <v>1411</v>
      </c>
    </row>
    <row r="1193" spans="1:40" x14ac:dyDescent="0.3">
      <c r="A1193" s="364" t="s">
        <v>1454</v>
      </c>
      <c r="B1193" s="364" t="s">
        <v>661</v>
      </c>
      <c r="C1193" s="364" t="s">
        <v>1420</v>
      </c>
      <c r="D1193" s="364" t="s">
        <v>87</v>
      </c>
      <c r="E1193" s="364" t="s">
        <v>1079</v>
      </c>
      <c r="F1193" s="364" t="s">
        <v>1270</v>
      </c>
      <c r="G1193" s="364" t="s">
        <v>658</v>
      </c>
      <c r="H1193" s="364" t="s">
        <v>1453</v>
      </c>
      <c r="I1193" s="364" t="s">
        <v>1452</v>
      </c>
      <c r="J1193" s="364" t="s">
        <v>673</v>
      </c>
      <c r="K1193" s="364" t="s">
        <v>668</v>
      </c>
      <c r="L1193" s="364" t="s">
        <v>190</v>
      </c>
      <c r="M1193" s="364" t="s">
        <v>60</v>
      </c>
      <c r="N1193" s="364" t="s">
        <v>654</v>
      </c>
      <c r="O1193" s="364" t="s">
        <v>653</v>
      </c>
      <c r="P1193" s="364" t="s">
        <v>198</v>
      </c>
      <c r="Q1193" s="364" t="s">
        <v>652</v>
      </c>
      <c r="R1193" s="364" t="s">
        <v>88</v>
      </c>
      <c r="S1193" s="364" t="s">
        <v>88</v>
      </c>
      <c r="T1193" s="364" t="s">
        <v>88</v>
      </c>
      <c r="U1193" s="364" t="s">
        <v>88</v>
      </c>
      <c r="V1193" s="364" t="s">
        <v>88</v>
      </c>
      <c r="W1193" s="364" t="s">
        <v>88</v>
      </c>
      <c r="X1193" s="364" t="s">
        <v>88</v>
      </c>
      <c r="Y1193" s="364" t="s">
        <v>88</v>
      </c>
      <c r="Z1193" s="364" t="s">
        <v>709</v>
      </c>
      <c r="AA1193" s="364" t="s">
        <v>708</v>
      </c>
      <c r="AB1193" s="364" t="s">
        <v>1462</v>
      </c>
      <c r="AC1193" s="364" t="s">
        <v>1462</v>
      </c>
      <c r="AD1193" s="364" t="s">
        <v>1462</v>
      </c>
      <c r="AE1193" s="364" t="s">
        <v>88</v>
      </c>
      <c r="AF1193" s="364" t="s">
        <v>1416</v>
      </c>
      <c r="AG1193" s="364" t="s">
        <v>1415</v>
      </c>
      <c r="AH1193" s="364" t="s">
        <v>1461</v>
      </c>
      <c r="AI1193" s="364" t="s">
        <v>1447</v>
      </c>
      <c r="AJ1193" s="364" t="s">
        <v>1446</v>
      </c>
      <c r="AK1193" s="364" t="s">
        <v>669</v>
      </c>
      <c r="AL1193" s="364" t="s">
        <v>1412</v>
      </c>
      <c r="AM1193" s="364" t="s">
        <v>668</v>
      </c>
      <c r="AN1193" s="364" t="s">
        <v>1411</v>
      </c>
    </row>
    <row r="1194" spans="1:40" x14ac:dyDescent="0.3">
      <c r="A1194" s="364" t="s">
        <v>1454</v>
      </c>
      <c r="B1194" s="364" t="s">
        <v>661</v>
      </c>
      <c r="C1194" s="364" t="s">
        <v>1420</v>
      </c>
      <c r="D1194" s="364" t="s">
        <v>87</v>
      </c>
      <c r="E1194" s="364" t="s">
        <v>1079</v>
      </c>
      <c r="F1194" s="364" t="s">
        <v>1270</v>
      </c>
      <c r="G1194" s="364" t="s">
        <v>658</v>
      </c>
      <c r="H1194" s="364" t="s">
        <v>1453</v>
      </c>
      <c r="I1194" s="364" t="s">
        <v>1452</v>
      </c>
      <c r="J1194" s="364" t="s">
        <v>673</v>
      </c>
      <c r="K1194" s="364" t="s">
        <v>668</v>
      </c>
      <c r="L1194" s="364" t="s">
        <v>190</v>
      </c>
      <c r="M1194" s="364" t="s">
        <v>416</v>
      </c>
      <c r="N1194" s="364" t="s">
        <v>654</v>
      </c>
      <c r="O1194" s="364" t="s">
        <v>653</v>
      </c>
      <c r="P1194" s="364" t="s">
        <v>198</v>
      </c>
      <c r="Q1194" s="364" t="s">
        <v>652</v>
      </c>
      <c r="R1194" s="364" t="s">
        <v>88</v>
      </c>
      <c r="S1194" s="364" t="s">
        <v>88</v>
      </c>
      <c r="T1194" s="364" t="s">
        <v>88</v>
      </c>
      <c r="U1194" s="364" t="s">
        <v>88</v>
      </c>
      <c r="V1194" s="364" t="s">
        <v>88</v>
      </c>
      <c r="W1194" s="364" t="s">
        <v>88</v>
      </c>
      <c r="X1194" s="364" t="s">
        <v>88</v>
      </c>
      <c r="Y1194" s="364" t="s">
        <v>88</v>
      </c>
      <c r="Z1194" s="364" t="s">
        <v>1460</v>
      </c>
      <c r="AA1194" s="364" t="s">
        <v>1459</v>
      </c>
      <c r="AB1194" s="364" t="s">
        <v>1458</v>
      </c>
      <c r="AC1194" s="364" t="s">
        <v>1458</v>
      </c>
      <c r="AD1194" s="364" t="s">
        <v>1458</v>
      </c>
      <c r="AE1194" s="364" t="s">
        <v>88</v>
      </c>
      <c r="AF1194" s="364" t="s">
        <v>1416</v>
      </c>
      <c r="AG1194" s="364" t="s">
        <v>1415</v>
      </c>
      <c r="AH1194" s="364" t="s">
        <v>1448</v>
      </c>
      <c r="AI1194" s="364" t="s">
        <v>1447</v>
      </c>
      <c r="AJ1194" s="364" t="s">
        <v>1446</v>
      </c>
      <c r="AK1194" s="364" t="s">
        <v>669</v>
      </c>
      <c r="AL1194" s="364" t="s">
        <v>1412</v>
      </c>
      <c r="AM1194" s="364" t="s">
        <v>668</v>
      </c>
      <c r="AN1194" s="364" t="s">
        <v>1411</v>
      </c>
    </row>
    <row r="1195" spans="1:40" x14ac:dyDescent="0.3">
      <c r="A1195" s="364" t="s">
        <v>1454</v>
      </c>
      <c r="B1195" s="364" t="s">
        <v>661</v>
      </c>
      <c r="C1195" s="364" t="s">
        <v>1420</v>
      </c>
      <c r="D1195" s="364" t="s">
        <v>87</v>
      </c>
      <c r="E1195" s="364" t="s">
        <v>1079</v>
      </c>
      <c r="F1195" s="364" t="s">
        <v>1270</v>
      </c>
      <c r="G1195" s="364" t="s">
        <v>658</v>
      </c>
      <c r="H1195" s="364" t="s">
        <v>1453</v>
      </c>
      <c r="I1195" s="364" t="s">
        <v>1452</v>
      </c>
      <c r="J1195" s="364" t="s">
        <v>673</v>
      </c>
      <c r="K1195" s="364" t="s">
        <v>668</v>
      </c>
      <c r="L1195" s="364" t="s">
        <v>190</v>
      </c>
      <c r="M1195" s="364" t="s">
        <v>166</v>
      </c>
      <c r="N1195" s="364" t="s">
        <v>654</v>
      </c>
      <c r="O1195" s="364" t="s">
        <v>653</v>
      </c>
      <c r="P1195" s="364" t="s">
        <v>198</v>
      </c>
      <c r="Q1195" s="364" t="s">
        <v>652</v>
      </c>
      <c r="R1195" s="364" t="s">
        <v>88</v>
      </c>
      <c r="S1195" s="364" t="s">
        <v>88</v>
      </c>
      <c r="T1195" s="364" t="s">
        <v>88</v>
      </c>
      <c r="U1195" s="364" t="s">
        <v>88</v>
      </c>
      <c r="V1195" s="364" t="s">
        <v>88</v>
      </c>
      <c r="W1195" s="364" t="s">
        <v>88</v>
      </c>
      <c r="X1195" s="364" t="s">
        <v>88</v>
      </c>
      <c r="Y1195" s="364" t="s">
        <v>88</v>
      </c>
      <c r="Z1195" s="364" t="s">
        <v>877</v>
      </c>
      <c r="AA1195" s="364" t="s">
        <v>876</v>
      </c>
      <c r="AB1195" s="364" t="s">
        <v>1457</v>
      </c>
      <c r="AC1195" s="364" t="s">
        <v>1457</v>
      </c>
      <c r="AD1195" s="364" t="s">
        <v>1457</v>
      </c>
      <c r="AE1195" s="364" t="s">
        <v>88</v>
      </c>
      <c r="AF1195" s="364" t="s">
        <v>1416</v>
      </c>
      <c r="AG1195" s="364" t="s">
        <v>1415</v>
      </c>
      <c r="AH1195" s="364" t="s">
        <v>1456</v>
      </c>
      <c r="AI1195" s="364" t="s">
        <v>1447</v>
      </c>
      <c r="AJ1195" s="364" t="s">
        <v>1446</v>
      </c>
      <c r="AK1195" s="364" t="s">
        <v>669</v>
      </c>
      <c r="AL1195" s="364" t="s">
        <v>1412</v>
      </c>
      <c r="AM1195" s="364" t="s">
        <v>668</v>
      </c>
      <c r="AN1195" s="364" t="s">
        <v>1411</v>
      </c>
    </row>
    <row r="1196" spans="1:40" x14ac:dyDescent="0.3">
      <c r="A1196" s="364" t="s">
        <v>1454</v>
      </c>
      <c r="B1196" s="364" t="s">
        <v>661</v>
      </c>
      <c r="C1196" s="364" t="s">
        <v>1420</v>
      </c>
      <c r="D1196" s="364" t="s">
        <v>87</v>
      </c>
      <c r="E1196" s="364" t="s">
        <v>1079</v>
      </c>
      <c r="F1196" s="364" t="s">
        <v>1270</v>
      </c>
      <c r="G1196" s="364" t="s">
        <v>658</v>
      </c>
      <c r="H1196" s="364" t="s">
        <v>1453</v>
      </c>
      <c r="I1196" s="364" t="s">
        <v>1452</v>
      </c>
      <c r="J1196" s="364" t="s">
        <v>198</v>
      </c>
      <c r="K1196" s="364" t="s">
        <v>645</v>
      </c>
      <c r="L1196" s="364" t="s">
        <v>188</v>
      </c>
      <c r="M1196" s="364" t="s">
        <v>696</v>
      </c>
      <c r="N1196" s="364" t="s">
        <v>654</v>
      </c>
      <c r="O1196" s="364" t="s">
        <v>653</v>
      </c>
      <c r="P1196" s="364" t="s">
        <v>198</v>
      </c>
      <c r="Q1196" s="364" t="s">
        <v>652</v>
      </c>
      <c r="R1196" s="364" t="s">
        <v>88</v>
      </c>
      <c r="S1196" s="364" t="s">
        <v>88</v>
      </c>
      <c r="T1196" s="364" t="s">
        <v>88</v>
      </c>
      <c r="U1196" s="364" t="s">
        <v>88</v>
      </c>
      <c r="V1196" s="364" t="s">
        <v>88</v>
      </c>
      <c r="W1196" s="364" t="s">
        <v>88</v>
      </c>
      <c r="X1196" s="364" t="s">
        <v>88</v>
      </c>
      <c r="Y1196" s="364" t="s">
        <v>88</v>
      </c>
      <c r="Z1196" s="364" t="s">
        <v>695</v>
      </c>
      <c r="AA1196" s="364" t="s">
        <v>694</v>
      </c>
      <c r="AB1196" s="364" t="s">
        <v>1455</v>
      </c>
      <c r="AC1196" s="364" t="s">
        <v>1455</v>
      </c>
      <c r="AD1196" s="364" t="s">
        <v>1455</v>
      </c>
      <c r="AE1196" s="364" t="s">
        <v>88</v>
      </c>
      <c r="AF1196" s="364" t="s">
        <v>1416</v>
      </c>
      <c r="AG1196" s="364" t="s">
        <v>1415</v>
      </c>
      <c r="AH1196" s="364" t="s">
        <v>1448</v>
      </c>
      <c r="AI1196" s="364" t="s">
        <v>1447</v>
      </c>
      <c r="AJ1196" s="364" t="s">
        <v>1446</v>
      </c>
      <c r="AK1196" s="364" t="s">
        <v>669</v>
      </c>
      <c r="AL1196" s="364" t="s">
        <v>1412</v>
      </c>
      <c r="AM1196" s="364" t="s">
        <v>645</v>
      </c>
      <c r="AN1196" s="364" t="s">
        <v>1411</v>
      </c>
    </row>
    <row r="1197" spans="1:40" x14ac:dyDescent="0.3">
      <c r="A1197" s="364" t="s">
        <v>1454</v>
      </c>
      <c r="B1197" s="364" t="s">
        <v>661</v>
      </c>
      <c r="C1197" s="364" t="s">
        <v>1420</v>
      </c>
      <c r="D1197" s="364" t="s">
        <v>87</v>
      </c>
      <c r="E1197" s="364" t="s">
        <v>1079</v>
      </c>
      <c r="F1197" s="364" t="s">
        <v>1270</v>
      </c>
      <c r="G1197" s="364" t="s">
        <v>658</v>
      </c>
      <c r="H1197" s="364" t="s">
        <v>1453</v>
      </c>
      <c r="I1197" s="364" t="s">
        <v>1452</v>
      </c>
      <c r="J1197" s="364" t="s">
        <v>673</v>
      </c>
      <c r="K1197" s="364" t="s">
        <v>668</v>
      </c>
      <c r="L1197" s="364" t="s">
        <v>190</v>
      </c>
      <c r="M1197" s="364" t="s">
        <v>244</v>
      </c>
      <c r="N1197" s="364" t="s">
        <v>654</v>
      </c>
      <c r="O1197" s="364" t="s">
        <v>653</v>
      </c>
      <c r="P1197" s="364" t="s">
        <v>198</v>
      </c>
      <c r="Q1197" s="364" t="s">
        <v>652</v>
      </c>
      <c r="R1197" s="364" t="s">
        <v>88</v>
      </c>
      <c r="S1197" s="364" t="s">
        <v>88</v>
      </c>
      <c r="T1197" s="364" t="s">
        <v>88</v>
      </c>
      <c r="U1197" s="364" t="s">
        <v>88</v>
      </c>
      <c r="V1197" s="364" t="s">
        <v>88</v>
      </c>
      <c r="W1197" s="364" t="s">
        <v>88</v>
      </c>
      <c r="X1197" s="364" t="s">
        <v>88</v>
      </c>
      <c r="Y1197" s="364" t="s">
        <v>88</v>
      </c>
      <c r="Z1197" s="364" t="s">
        <v>1451</v>
      </c>
      <c r="AA1197" s="364" t="s">
        <v>1450</v>
      </c>
      <c r="AB1197" s="364" t="s">
        <v>1449</v>
      </c>
      <c r="AC1197" s="364" t="s">
        <v>1449</v>
      </c>
      <c r="AD1197" s="364" t="s">
        <v>1449</v>
      </c>
      <c r="AE1197" s="364" t="s">
        <v>88</v>
      </c>
      <c r="AF1197" s="364" t="s">
        <v>1416</v>
      </c>
      <c r="AG1197" s="364" t="s">
        <v>1415</v>
      </c>
      <c r="AH1197" s="364" t="s">
        <v>1448</v>
      </c>
      <c r="AI1197" s="364" t="s">
        <v>1447</v>
      </c>
      <c r="AJ1197" s="364" t="s">
        <v>1446</v>
      </c>
      <c r="AK1197" s="364" t="s">
        <v>669</v>
      </c>
      <c r="AL1197" s="364" t="s">
        <v>1412</v>
      </c>
      <c r="AM1197" s="364" t="s">
        <v>668</v>
      </c>
      <c r="AN1197" s="364" t="s">
        <v>1411</v>
      </c>
    </row>
    <row r="1198" spans="1:40" x14ac:dyDescent="0.3">
      <c r="A1198" s="364" t="s">
        <v>1421</v>
      </c>
      <c r="B1198" s="364" t="s">
        <v>661</v>
      </c>
      <c r="C1198" s="364" t="s">
        <v>1420</v>
      </c>
      <c r="D1198" s="364" t="s">
        <v>90</v>
      </c>
      <c r="E1198" s="364" t="s">
        <v>1079</v>
      </c>
      <c r="F1198" s="364" t="s">
        <v>1270</v>
      </c>
      <c r="G1198" s="364" t="s">
        <v>658</v>
      </c>
      <c r="H1198" s="364" t="s">
        <v>1419</v>
      </c>
      <c r="I1198" s="364" t="s">
        <v>1418</v>
      </c>
      <c r="J1198" s="364" t="s">
        <v>673</v>
      </c>
      <c r="K1198" s="364" t="s">
        <v>668</v>
      </c>
      <c r="L1198" s="364" t="s">
        <v>190</v>
      </c>
      <c r="M1198" s="364" t="s">
        <v>1168</v>
      </c>
      <c r="N1198" s="364" t="s">
        <v>654</v>
      </c>
      <c r="O1198" s="364" t="s">
        <v>653</v>
      </c>
      <c r="P1198" s="364" t="s">
        <v>198</v>
      </c>
      <c r="Q1198" s="364" t="s">
        <v>652</v>
      </c>
      <c r="R1198" s="364" t="s">
        <v>88</v>
      </c>
      <c r="S1198" s="364" t="s">
        <v>88</v>
      </c>
      <c r="T1198" s="364" t="s">
        <v>88</v>
      </c>
      <c r="U1198" s="364" t="s">
        <v>88</v>
      </c>
      <c r="V1198" s="364" t="s">
        <v>88</v>
      </c>
      <c r="W1198" s="364" t="s">
        <v>88</v>
      </c>
      <c r="X1198" s="364" t="s">
        <v>88</v>
      </c>
      <c r="Y1198" s="364" t="s">
        <v>88</v>
      </c>
      <c r="Z1198" s="364" t="s">
        <v>1167</v>
      </c>
      <c r="AA1198" s="364" t="s">
        <v>1166</v>
      </c>
      <c r="AB1198" s="364" t="s">
        <v>1445</v>
      </c>
      <c r="AC1198" s="364" t="s">
        <v>1445</v>
      </c>
      <c r="AD1198" s="364" t="s">
        <v>1445</v>
      </c>
      <c r="AE1198" s="364" t="s">
        <v>88</v>
      </c>
      <c r="AF1198" s="364" t="s">
        <v>1416</v>
      </c>
      <c r="AG1198" s="364" t="s">
        <v>1415</v>
      </c>
      <c r="AH1198" s="364" t="s">
        <v>1444</v>
      </c>
      <c r="AI1198" s="364" t="s">
        <v>1413</v>
      </c>
      <c r="AJ1198" s="364" t="s">
        <v>995</v>
      </c>
      <c r="AK1198" s="364" t="s">
        <v>647</v>
      </c>
      <c r="AL1198" s="364" t="s">
        <v>1412</v>
      </c>
      <c r="AM1198" s="364" t="s">
        <v>668</v>
      </c>
      <c r="AN1198" s="364" t="s">
        <v>1411</v>
      </c>
    </row>
    <row r="1199" spans="1:40" x14ac:dyDescent="0.3">
      <c r="A1199" s="364" t="s">
        <v>1421</v>
      </c>
      <c r="B1199" s="364" t="s">
        <v>661</v>
      </c>
      <c r="C1199" s="364" t="s">
        <v>1420</v>
      </c>
      <c r="D1199" s="364" t="s">
        <v>90</v>
      </c>
      <c r="E1199" s="364" t="s">
        <v>1079</v>
      </c>
      <c r="F1199" s="364" t="s">
        <v>1270</v>
      </c>
      <c r="G1199" s="364" t="s">
        <v>658</v>
      </c>
      <c r="H1199" s="364" t="s">
        <v>1419</v>
      </c>
      <c r="I1199" s="364" t="s">
        <v>1418</v>
      </c>
      <c r="J1199" s="364" t="s">
        <v>673</v>
      </c>
      <c r="K1199" s="364" t="s">
        <v>668</v>
      </c>
      <c r="L1199" s="364" t="s">
        <v>190</v>
      </c>
      <c r="M1199" s="364" t="s">
        <v>241</v>
      </c>
      <c r="N1199" s="364" t="s">
        <v>654</v>
      </c>
      <c r="O1199" s="364" t="s">
        <v>653</v>
      </c>
      <c r="P1199" s="364" t="s">
        <v>198</v>
      </c>
      <c r="Q1199" s="364" t="s">
        <v>652</v>
      </c>
      <c r="R1199" s="364" t="s">
        <v>88</v>
      </c>
      <c r="S1199" s="364" t="s">
        <v>88</v>
      </c>
      <c r="T1199" s="364" t="s">
        <v>88</v>
      </c>
      <c r="U1199" s="364" t="s">
        <v>88</v>
      </c>
      <c r="V1199" s="364" t="s">
        <v>88</v>
      </c>
      <c r="W1199" s="364" t="s">
        <v>88</v>
      </c>
      <c r="X1199" s="364" t="s">
        <v>88</v>
      </c>
      <c r="Y1199" s="364" t="s">
        <v>88</v>
      </c>
      <c r="Z1199" s="364" t="s">
        <v>1170</v>
      </c>
      <c r="AA1199" s="364" t="s">
        <v>1169</v>
      </c>
      <c r="AB1199" s="364" t="s">
        <v>1443</v>
      </c>
      <c r="AC1199" s="364" t="s">
        <v>1443</v>
      </c>
      <c r="AD1199" s="364" t="s">
        <v>1443</v>
      </c>
      <c r="AE1199" s="364" t="s">
        <v>88</v>
      </c>
      <c r="AF1199" s="364" t="s">
        <v>1416</v>
      </c>
      <c r="AG1199" s="364" t="s">
        <v>1415</v>
      </c>
      <c r="AH1199" s="364" t="s">
        <v>1425</v>
      </c>
      <c r="AI1199" s="364" t="s">
        <v>1413</v>
      </c>
      <c r="AJ1199" s="364" t="s">
        <v>995</v>
      </c>
      <c r="AK1199" s="364" t="s">
        <v>647</v>
      </c>
      <c r="AL1199" s="364" t="s">
        <v>1412</v>
      </c>
      <c r="AM1199" s="364" t="s">
        <v>668</v>
      </c>
      <c r="AN1199" s="364" t="s">
        <v>1411</v>
      </c>
    </row>
    <row r="1200" spans="1:40" x14ac:dyDescent="0.3">
      <c r="A1200" s="364" t="s">
        <v>1421</v>
      </c>
      <c r="B1200" s="364" t="s">
        <v>661</v>
      </c>
      <c r="C1200" s="364" t="s">
        <v>1420</v>
      </c>
      <c r="D1200" s="364" t="s">
        <v>90</v>
      </c>
      <c r="E1200" s="364" t="s">
        <v>1079</v>
      </c>
      <c r="F1200" s="364" t="s">
        <v>1270</v>
      </c>
      <c r="G1200" s="364" t="s">
        <v>658</v>
      </c>
      <c r="H1200" s="364" t="s">
        <v>1419</v>
      </c>
      <c r="I1200" s="364" t="s">
        <v>1418</v>
      </c>
      <c r="J1200" s="364" t="s">
        <v>673</v>
      </c>
      <c r="K1200" s="364" t="s">
        <v>668</v>
      </c>
      <c r="L1200" s="364" t="s">
        <v>190</v>
      </c>
      <c r="M1200" s="364" t="s">
        <v>1173</v>
      </c>
      <c r="N1200" s="364" t="s">
        <v>654</v>
      </c>
      <c r="O1200" s="364" t="s">
        <v>653</v>
      </c>
      <c r="P1200" s="364" t="s">
        <v>198</v>
      </c>
      <c r="Q1200" s="364" t="s">
        <v>652</v>
      </c>
      <c r="R1200" s="364" t="s">
        <v>88</v>
      </c>
      <c r="S1200" s="364" t="s">
        <v>88</v>
      </c>
      <c r="T1200" s="364" t="s">
        <v>88</v>
      </c>
      <c r="U1200" s="364" t="s">
        <v>88</v>
      </c>
      <c r="V1200" s="364" t="s">
        <v>88</v>
      </c>
      <c r="W1200" s="364" t="s">
        <v>88</v>
      </c>
      <c r="X1200" s="364" t="s">
        <v>88</v>
      </c>
      <c r="Y1200" s="364" t="s">
        <v>88</v>
      </c>
      <c r="Z1200" s="364" t="s">
        <v>1172</v>
      </c>
      <c r="AA1200" s="364" t="s">
        <v>1171</v>
      </c>
      <c r="AB1200" s="364" t="s">
        <v>1442</v>
      </c>
      <c r="AC1200" s="364" t="s">
        <v>1442</v>
      </c>
      <c r="AD1200" s="364" t="s">
        <v>1442</v>
      </c>
      <c r="AE1200" s="364" t="s">
        <v>88</v>
      </c>
      <c r="AF1200" s="364" t="s">
        <v>1416</v>
      </c>
      <c r="AG1200" s="364" t="s">
        <v>1415</v>
      </c>
      <c r="AH1200" s="364" t="s">
        <v>1422</v>
      </c>
      <c r="AI1200" s="364" t="s">
        <v>1413</v>
      </c>
      <c r="AJ1200" s="364" t="s">
        <v>995</v>
      </c>
      <c r="AK1200" s="364" t="s">
        <v>647</v>
      </c>
      <c r="AL1200" s="364" t="s">
        <v>1412</v>
      </c>
      <c r="AM1200" s="364" t="s">
        <v>668</v>
      </c>
      <c r="AN1200" s="364" t="s">
        <v>1411</v>
      </c>
    </row>
    <row r="1201" spans="1:40" x14ac:dyDescent="0.3">
      <c r="A1201" s="364" t="s">
        <v>1421</v>
      </c>
      <c r="B1201" s="364" t="s">
        <v>661</v>
      </c>
      <c r="C1201" s="364" t="s">
        <v>1420</v>
      </c>
      <c r="D1201" s="364" t="s">
        <v>90</v>
      </c>
      <c r="E1201" s="364" t="s">
        <v>1079</v>
      </c>
      <c r="F1201" s="364" t="s">
        <v>1270</v>
      </c>
      <c r="G1201" s="364" t="s">
        <v>658</v>
      </c>
      <c r="H1201" s="364" t="s">
        <v>1419</v>
      </c>
      <c r="I1201" s="364" t="s">
        <v>1418</v>
      </c>
      <c r="J1201" s="364" t="s">
        <v>673</v>
      </c>
      <c r="K1201" s="364" t="s">
        <v>668</v>
      </c>
      <c r="L1201" s="364" t="s">
        <v>190</v>
      </c>
      <c r="M1201" s="364" t="s">
        <v>240</v>
      </c>
      <c r="N1201" s="364" t="s">
        <v>654</v>
      </c>
      <c r="O1201" s="364" t="s">
        <v>653</v>
      </c>
      <c r="P1201" s="364" t="s">
        <v>198</v>
      </c>
      <c r="Q1201" s="364" t="s">
        <v>652</v>
      </c>
      <c r="R1201" s="364" t="s">
        <v>88</v>
      </c>
      <c r="S1201" s="364" t="s">
        <v>88</v>
      </c>
      <c r="T1201" s="364" t="s">
        <v>88</v>
      </c>
      <c r="U1201" s="364" t="s">
        <v>88</v>
      </c>
      <c r="V1201" s="364" t="s">
        <v>88</v>
      </c>
      <c r="W1201" s="364" t="s">
        <v>88</v>
      </c>
      <c r="X1201" s="364" t="s">
        <v>88</v>
      </c>
      <c r="Y1201" s="364" t="s">
        <v>88</v>
      </c>
      <c r="Z1201" s="364" t="s">
        <v>1163</v>
      </c>
      <c r="AA1201" s="364" t="s">
        <v>1162</v>
      </c>
      <c r="AB1201" s="364" t="s">
        <v>1441</v>
      </c>
      <c r="AC1201" s="364" t="s">
        <v>1441</v>
      </c>
      <c r="AD1201" s="364" t="s">
        <v>1441</v>
      </c>
      <c r="AE1201" s="364" t="s">
        <v>88</v>
      </c>
      <c r="AF1201" s="364" t="s">
        <v>1416</v>
      </c>
      <c r="AG1201" s="364" t="s">
        <v>1415</v>
      </c>
      <c r="AH1201" s="364" t="s">
        <v>1426</v>
      </c>
      <c r="AI1201" s="364" t="s">
        <v>1413</v>
      </c>
      <c r="AJ1201" s="364" t="s">
        <v>995</v>
      </c>
      <c r="AK1201" s="364" t="s">
        <v>647</v>
      </c>
      <c r="AL1201" s="364" t="s">
        <v>1412</v>
      </c>
      <c r="AM1201" s="364" t="s">
        <v>668</v>
      </c>
      <c r="AN1201" s="364" t="s">
        <v>1411</v>
      </c>
    </row>
    <row r="1202" spans="1:40" x14ac:dyDescent="0.3">
      <c r="A1202" s="364" t="s">
        <v>1421</v>
      </c>
      <c r="B1202" s="364" t="s">
        <v>661</v>
      </c>
      <c r="C1202" s="364" t="s">
        <v>1420</v>
      </c>
      <c r="D1202" s="364" t="s">
        <v>90</v>
      </c>
      <c r="E1202" s="364" t="s">
        <v>1079</v>
      </c>
      <c r="F1202" s="364" t="s">
        <v>1270</v>
      </c>
      <c r="G1202" s="364" t="s">
        <v>658</v>
      </c>
      <c r="H1202" s="364" t="s">
        <v>1419</v>
      </c>
      <c r="I1202" s="364" t="s">
        <v>1418</v>
      </c>
      <c r="J1202" s="364" t="s">
        <v>673</v>
      </c>
      <c r="K1202" s="364" t="s">
        <v>668</v>
      </c>
      <c r="L1202" s="364" t="s">
        <v>190</v>
      </c>
      <c r="M1202" s="364" t="s">
        <v>713</v>
      </c>
      <c r="N1202" s="364" t="s">
        <v>654</v>
      </c>
      <c r="O1202" s="364" t="s">
        <v>653</v>
      </c>
      <c r="P1202" s="364" t="s">
        <v>198</v>
      </c>
      <c r="Q1202" s="364" t="s">
        <v>652</v>
      </c>
      <c r="R1202" s="364" t="s">
        <v>88</v>
      </c>
      <c r="S1202" s="364" t="s">
        <v>88</v>
      </c>
      <c r="T1202" s="364" t="s">
        <v>88</v>
      </c>
      <c r="U1202" s="364" t="s">
        <v>88</v>
      </c>
      <c r="V1202" s="364" t="s">
        <v>88</v>
      </c>
      <c r="W1202" s="364" t="s">
        <v>88</v>
      </c>
      <c r="X1202" s="364" t="s">
        <v>88</v>
      </c>
      <c r="Y1202" s="364" t="s">
        <v>88</v>
      </c>
      <c r="Z1202" s="364" t="s">
        <v>712</v>
      </c>
      <c r="AA1202" s="364" t="s">
        <v>711</v>
      </c>
      <c r="AB1202" s="364" t="s">
        <v>1440</v>
      </c>
      <c r="AC1202" s="364" t="s">
        <v>1440</v>
      </c>
      <c r="AD1202" s="364" t="s">
        <v>1440</v>
      </c>
      <c r="AE1202" s="364" t="s">
        <v>88</v>
      </c>
      <c r="AF1202" s="364" t="s">
        <v>1416</v>
      </c>
      <c r="AG1202" s="364" t="s">
        <v>1415</v>
      </c>
      <c r="AH1202" s="364" t="s">
        <v>1427</v>
      </c>
      <c r="AI1202" s="364" t="s">
        <v>1413</v>
      </c>
      <c r="AJ1202" s="364" t="s">
        <v>995</v>
      </c>
      <c r="AK1202" s="364" t="s">
        <v>647</v>
      </c>
      <c r="AL1202" s="364" t="s">
        <v>1412</v>
      </c>
      <c r="AM1202" s="364" t="s">
        <v>668</v>
      </c>
      <c r="AN1202" s="364" t="s">
        <v>1411</v>
      </c>
    </row>
    <row r="1203" spans="1:40" x14ac:dyDescent="0.3">
      <c r="A1203" s="364" t="s">
        <v>1421</v>
      </c>
      <c r="B1203" s="364" t="s">
        <v>661</v>
      </c>
      <c r="C1203" s="364" t="s">
        <v>1420</v>
      </c>
      <c r="D1203" s="364" t="s">
        <v>90</v>
      </c>
      <c r="E1203" s="364" t="s">
        <v>1079</v>
      </c>
      <c r="F1203" s="364" t="s">
        <v>1270</v>
      </c>
      <c r="G1203" s="364" t="s">
        <v>658</v>
      </c>
      <c r="H1203" s="364" t="s">
        <v>1419</v>
      </c>
      <c r="I1203" s="364" t="s">
        <v>1418</v>
      </c>
      <c r="J1203" s="364" t="s">
        <v>673</v>
      </c>
      <c r="K1203" s="364" t="s">
        <v>668</v>
      </c>
      <c r="L1203" s="364" t="s">
        <v>190</v>
      </c>
      <c r="M1203" s="364" t="s">
        <v>1439</v>
      </c>
      <c r="N1203" s="364" t="s">
        <v>654</v>
      </c>
      <c r="O1203" s="364" t="s">
        <v>653</v>
      </c>
      <c r="P1203" s="364" t="s">
        <v>198</v>
      </c>
      <c r="Q1203" s="364" t="s">
        <v>652</v>
      </c>
      <c r="R1203" s="364" t="s">
        <v>88</v>
      </c>
      <c r="S1203" s="364" t="s">
        <v>88</v>
      </c>
      <c r="T1203" s="364" t="s">
        <v>88</v>
      </c>
      <c r="U1203" s="364" t="s">
        <v>88</v>
      </c>
      <c r="V1203" s="364" t="s">
        <v>88</v>
      </c>
      <c r="W1203" s="364" t="s">
        <v>88</v>
      </c>
      <c r="X1203" s="364" t="s">
        <v>88</v>
      </c>
      <c r="Y1203" s="364" t="s">
        <v>88</v>
      </c>
      <c r="Z1203" s="364" t="s">
        <v>1438</v>
      </c>
      <c r="AA1203" s="364" t="s">
        <v>1437</v>
      </c>
      <c r="AB1203" s="364" t="s">
        <v>1436</v>
      </c>
      <c r="AC1203" s="364" t="s">
        <v>1436</v>
      </c>
      <c r="AD1203" s="364" t="s">
        <v>1436</v>
      </c>
      <c r="AE1203" s="364" t="s">
        <v>88</v>
      </c>
      <c r="AF1203" s="364" t="s">
        <v>1416</v>
      </c>
      <c r="AG1203" s="364" t="s">
        <v>1415</v>
      </c>
      <c r="AH1203" s="364" t="s">
        <v>1435</v>
      </c>
      <c r="AI1203" s="364" t="s">
        <v>1413</v>
      </c>
      <c r="AJ1203" s="364" t="s">
        <v>995</v>
      </c>
      <c r="AK1203" s="364" t="s">
        <v>647</v>
      </c>
      <c r="AL1203" s="364" t="s">
        <v>1412</v>
      </c>
      <c r="AM1203" s="364" t="s">
        <v>668</v>
      </c>
      <c r="AN1203" s="364" t="s">
        <v>1411</v>
      </c>
    </row>
    <row r="1204" spans="1:40" x14ac:dyDescent="0.3">
      <c r="A1204" s="364" t="s">
        <v>1421</v>
      </c>
      <c r="B1204" s="364" t="s">
        <v>661</v>
      </c>
      <c r="C1204" s="364" t="s">
        <v>1420</v>
      </c>
      <c r="D1204" s="364" t="s">
        <v>90</v>
      </c>
      <c r="E1204" s="364" t="s">
        <v>1079</v>
      </c>
      <c r="F1204" s="364" t="s">
        <v>1270</v>
      </c>
      <c r="G1204" s="364" t="s">
        <v>658</v>
      </c>
      <c r="H1204" s="364" t="s">
        <v>1419</v>
      </c>
      <c r="I1204" s="364" t="s">
        <v>1418</v>
      </c>
      <c r="J1204" s="364" t="s">
        <v>673</v>
      </c>
      <c r="K1204" s="364" t="s">
        <v>668</v>
      </c>
      <c r="L1204" s="364" t="s">
        <v>190</v>
      </c>
      <c r="M1204" s="364" t="s">
        <v>61</v>
      </c>
      <c r="N1204" s="364" t="s">
        <v>654</v>
      </c>
      <c r="O1204" s="364" t="s">
        <v>653</v>
      </c>
      <c r="P1204" s="364" t="s">
        <v>198</v>
      </c>
      <c r="Q1204" s="364" t="s">
        <v>652</v>
      </c>
      <c r="R1204" s="364" t="s">
        <v>88</v>
      </c>
      <c r="S1204" s="364" t="s">
        <v>88</v>
      </c>
      <c r="T1204" s="364" t="s">
        <v>88</v>
      </c>
      <c r="U1204" s="364" t="s">
        <v>88</v>
      </c>
      <c r="V1204" s="364" t="s">
        <v>88</v>
      </c>
      <c r="W1204" s="364" t="s">
        <v>88</v>
      </c>
      <c r="X1204" s="364" t="s">
        <v>88</v>
      </c>
      <c r="Y1204" s="364" t="s">
        <v>88</v>
      </c>
      <c r="Z1204" s="364" t="s">
        <v>1021</v>
      </c>
      <c r="AA1204" s="364" t="s">
        <v>671</v>
      </c>
      <c r="AB1204" s="364" t="s">
        <v>1434</v>
      </c>
      <c r="AC1204" s="364" t="s">
        <v>1434</v>
      </c>
      <c r="AD1204" s="364" t="s">
        <v>1434</v>
      </c>
      <c r="AE1204" s="364" t="s">
        <v>88</v>
      </c>
      <c r="AF1204" s="364" t="s">
        <v>1416</v>
      </c>
      <c r="AG1204" s="364" t="s">
        <v>1415</v>
      </c>
      <c r="AH1204" s="364" t="s">
        <v>1433</v>
      </c>
      <c r="AI1204" s="364" t="s">
        <v>1413</v>
      </c>
      <c r="AJ1204" s="364" t="s">
        <v>995</v>
      </c>
      <c r="AK1204" s="364" t="s">
        <v>647</v>
      </c>
      <c r="AL1204" s="364" t="s">
        <v>1412</v>
      </c>
      <c r="AM1204" s="364" t="s">
        <v>668</v>
      </c>
      <c r="AN1204" s="364" t="s">
        <v>1411</v>
      </c>
    </row>
    <row r="1205" spans="1:40" x14ac:dyDescent="0.3">
      <c r="A1205" s="364" t="s">
        <v>1421</v>
      </c>
      <c r="B1205" s="364" t="s">
        <v>661</v>
      </c>
      <c r="C1205" s="364" t="s">
        <v>1420</v>
      </c>
      <c r="D1205" s="364" t="s">
        <v>90</v>
      </c>
      <c r="E1205" s="364" t="s">
        <v>1079</v>
      </c>
      <c r="F1205" s="364" t="s">
        <v>1270</v>
      </c>
      <c r="G1205" s="364" t="s">
        <v>658</v>
      </c>
      <c r="H1205" s="364" t="s">
        <v>1419</v>
      </c>
      <c r="I1205" s="364" t="s">
        <v>1418</v>
      </c>
      <c r="J1205" s="364" t="s">
        <v>673</v>
      </c>
      <c r="K1205" s="364" t="s">
        <v>668</v>
      </c>
      <c r="L1205" s="364" t="s">
        <v>190</v>
      </c>
      <c r="M1205" s="364" t="s">
        <v>1432</v>
      </c>
      <c r="N1205" s="364" t="s">
        <v>654</v>
      </c>
      <c r="O1205" s="364" t="s">
        <v>653</v>
      </c>
      <c r="P1205" s="364" t="s">
        <v>198</v>
      </c>
      <c r="Q1205" s="364" t="s">
        <v>652</v>
      </c>
      <c r="R1205" s="364" t="s">
        <v>88</v>
      </c>
      <c r="S1205" s="364" t="s">
        <v>88</v>
      </c>
      <c r="T1205" s="364" t="s">
        <v>88</v>
      </c>
      <c r="U1205" s="364" t="s">
        <v>88</v>
      </c>
      <c r="V1205" s="364" t="s">
        <v>88</v>
      </c>
      <c r="W1205" s="364" t="s">
        <v>88</v>
      </c>
      <c r="X1205" s="364" t="s">
        <v>88</v>
      </c>
      <c r="Y1205" s="364" t="s">
        <v>88</v>
      </c>
      <c r="Z1205" s="364" t="s">
        <v>1431</v>
      </c>
      <c r="AA1205" s="364" t="s">
        <v>1430</v>
      </c>
      <c r="AB1205" s="364" t="s">
        <v>1429</v>
      </c>
      <c r="AC1205" s="364" t="s">
        <v>1429</v>
      </c>
      <c r="AD1205" s="364" t="s">
        <v>1429</v>
      </c>
      <c r="AE1205" s="364" t="s">
        <v>88</v>
      </c>
      <c r="AF1205" s="364" t="s">
        <v>1416</v>
      </c>
      <c r="AG1205" s="364" t="s">
        <v>1415</v>
      </c>
      <c r="AH1205" s="364" t="s">
        <v>1428</v>
      </c>
      <c r="AI1205" s="364" t="s">
        <v>1413</v>
      </c>
      <c r="AJ1205" s="364" t="s">
        <v>995</v>
      </c>
      <c r="AK1205" s="364" t="s">
        <v>647</v>
      </c>
      <c r="AL1205" s="364" t="s">
        <v>1412</v>
      </c>
      <c r="AM1205" s="364" t="s">
        <v>668</v>
      </c>
      <c r="AN1205" s="364" t="s">
        <v>1411</v>
      </c>
    </row>
    <row r="1206" spans="1:40" x14ac:dyDescent="0.3">
      <c r="A1206" s="364" t="s">
        <v>1421</v>
      </c>
      <c r="B1206" s="364" t="s">
        <v>661</v>
      </c>
      <c r="C1206" s="364" t="s">
        <v>1420</v>
      </c>
      <c r="D1206" s="364" t="s">
        <v>90</v>
      </c>
      <c r="E1206" s="364" t="s">
        <v>1079</v>
      </c>
      <c r="F1206" s="364" t="s">
        <v>1270</v>
      </c>
      <c r="G1206" s="364" t="s">
        <v>658</v>
      </c>
      <c r="H1206" s="364" t="s">
        <v>1419</v>
      </c>
      <c r="I1206" s="364" t="s">
        <v>1418</v>
      </c>
      <c r="J1206" s="364" t="s">
        <v>198</v>
      </c>
      <c r="K1206" s="364" t="s">
        <v>645</v>
      </c>
      <c r="L1206" s="364" t="s">
        <v>188</v>
      </c>
      <c r="M1206" s="364" t="s">
        <v>655</v>
      </c>
      <c r="N1206" s="364" t="s">
        <v>654</v>
      </c>
      <c r="O1206" s="364" t="s">
        <v>653</v>
      </c>
      <c r="P1206" s="364" t="s">
        <v>198</v>
      </c>
      <c r="Q1206" s="364" t="s">
        <v>652</v>
      </c>
      <c r="R1206" s="364" t="s">
        <v>88</v>
      </c>
      <c r="S1206" s="364" t="s">
        <v>88</v>
      </c>
      <c r="T1206" s="364" t="s">
        <v>88</v>
      </c>
      <c r="U1206" s="364" t="s">
        <v>88</v>
      </c>
      <c r="V1206" s="364" t="s">
        <v>88</v>
      </c>
      <c r="W1206" s="364" t="s">
        <v>88</v>
      </c>
      <c r="X1206" s="364" t="s">
        <v>88</v>
      </c>
      <c r="Y1206" s="364" t="s">
        <v>88</v>
      </c>
      <c r="Z1206" s="364" t="s">
        <v>651</v>
      </c>
      <c r="AA1206" s="364" t="s">
        <v>650</v>
      </c>
      <c r="AB1206" s="364" t="s">
        <v>1424</v>
      </c>
      <c r="AC1206" s="364" t="s">
        <v>1424</v>
      </c>
      <c r="AD1206" s="364" t="s">
        <v>1424</v>
      </c>
      <c r="AE1206" s="364" t="s">
        <v>88</v>
      </c>
      <c r="AF1206" s="364" t="s">
        <v>1423</v>
      </c>
      <c r="AG1206" s="364" t="s">
        <v>1415</v>
      </c>
      <c r="AH1206" s="364" t="s">
        <v>1427</v>
      </c>
      <c r="AI1206" s="364" t="s">
        <v>1413</v>
      </c>
      <c r="AJ1206" s="364" t="s">
        <v>995</v>
      </c>
      <c r="AK1206" s="364" t="s">
        <v>647</v>
      </c>
      <c r="AL1206" s="364" t="s">
        <v>1412</v>
      </c>
      <c r="AM1206" s="364" t="s">
        <v>645</v>
      </c>
      <c r="AN1206" s="364" t="s">
        <v>1411</v>
      </c>
    </row>
    <row r="1207" spans="1:40" x14ac:dyDescent="0.3">
      <c r="A1207" s="364" t="s">
        <v>1421</v>
      </c>
      <c r="B1207" s="364" t="s">
        <v>661</v>
      </c>
      <c r="C1207" s="364" t="s">
        <v>1420</v>
      </c>
      <c r="D1207" s="364" t="s">
        <v>90</v>
      </c>
      <c r="E1207" s="364" t="s">
        <v>1079</v>
      </c>
      <c r="F1207" s="364" t="s">
        <v>1270</v>
      </c>
      <c r="G1207" s="364" t="s">
        <v>658</v>
      </c>
      <c r="H1207" s="364" t="s">
        <v>1419</v>
      </c>
      <c r="I1207" s="364" t="s">
        <v>1418</v>
      </c>
      <c r="J1207" s="364" t="s">
        <v>198</v>
      </c>
      <c r="K1207" s="364" t="s">
        <v>645</v>
      </c>
      <c r="L1207" s="364" t="s">
        <v>188</v>
      </c>
      <c r="M1207" s="364" t="s">
        <v>655</v>
      </c>
      <c r="N1207" s="364" t="s">
        <v>654</v>
      </c>
      <c r="O1207" s="364" t="s">
        <v>653</v>
      </c>
      <c r="P1207" s="364" t="s">
        <v>198</v>
      </c>
      <c r="Q1207" s="364" t="s">
        <v>652</v>
      </c>
      <c r="R1207" s="364" t="s">
        <v>88</v>
      </c>
      <c r="S1207" s="364" t="s">
        <v>88</v>
      </c>
      <c r="T1207" s="364" t="s">
        <v>88</v>
      </c>
      <c r="U1207" s="364" t="s">
        <v>88</v>
      </c>
      <c r="V1207" s="364" t="s">
        <v>88</v>
      </c>
      <c r="W1207" s="364" t="s">
        <v>88</v>
      </c>
      <c r="X1207" s="364" t="s">
        <v>88</v>
      </c>
      <c r="Y1207" s="364" t="s">
        <v>88</v>
      </c>
      <c r="Z1207" s="364" t="s">
        <v>651</v>
      </c>
      <c r="AA1207" s="364" t="s">
        <v>650</v>
      </c>
      <c r="AB1207" s="364" t="s">
        <v>1424</v>
      </c>
      <c r="AC1207" s="364" t="s">
        <v>1424</v>
      </c>
      <c r="AD1207" s="364" t="s">
        <v>1424</v>
      </c>
      <c r="AE1207" s="364" t="s">
        <v>88</v>
      </c>
      <c r="AF1207" s="364" t="s">
        <v>1423</v>
      </c>
      <c r="AG1207" s="364" t="s">
        <v>1415</v>
      </c>
      <c r="AH1207" s="364" t="s">
        <v>1426</v>
      </c>
      <c r="AI1207" s="364" t="s">
        <v>1413</v>
      </c>
      <c r="AJ1207" s="364" t="s">
        <v>995</v>
      </c>
      <c r="AK1207" s="364" t="s">
        <v>647</v>
      </c>
      <c r="AL1207" s="364" t="s">
        <v>1412</v>
      </c>
      <c r="AM1207" s="364" t="s">
        <v>645</v>
      </c>
      <c r="AN1207" s="364" t="s">
        <v>1411</v>
      </c>
    </row>
    <row r="1208" spans="1:40" x14ac:dyDescent="0.3">
      <c r="A1208" s="364" t="s">
        <v>1421</v>
      </c>
      <c r="B1208" s="364" t="s">
        <v>661</v>
      </c>
      <c r="C1208" s="364" t="s">
        <v>1420</v>
      </c>
      <c r="D1208" s="364" t="s">
        <v>90</v>
      </c>
      <c r="E1208" s="364" t="s">
        <v>1079</v>
      </c>
      <c r="F1208" s="364" t="s">
        <v>1270</v>
      </c>
      <c r="G1208" s="364" t="s">
        <v>658</v>
      </c>
      <c r="H1208" s="364" t="s">
        <v>1419</v>
      </c>
      <c r="I1208" s="364" t="s">
        <v>1418</v>
      </c>
      <c r="J1208" s="364" t="s">
        <v>198</v>
      </c>
      <c r="K1208" s="364" t="s">
        <v>645</v>
      </c>
      <c r="L1208" s="364" t="s">
        <v>188</v>
      </c>
      <c r="M1208" s="364" t="s">
        <v>655</v>
      </c>
      <c r="N1208" s="364" t="s">
        <v>654</v>
      </c>
      <c r="O1208" s="364" t="s">
        <v>653</v>
      </c>
      <c r="P1208" s="364" t="s">
        <v>198</v>
      </c>
      <c r="Q1208" s="364" t="s">
        <v>652</v>
      </c>
      <c r="R1208" s="364" t="s">
        <v>88</v>
      </c>
      <c r="S1208" s="364" t="s">
        <v>88</v>
      </c>
      <c r="T1208" s="364" t="s">
        <v>88</v>
      </c>
      <c r="U1208" s="364" t="s">
        <v>88</v>
      </c>
      <c r="V1208" s="364" t="s">
        <v>88</v>
      </c>
      <c r="W1208" s="364" t="s">
        <v>88</v>
      </c>
      <c r="X1208" s="364" t="s">
        <v>88</v>
      </c>
      <c r="Y1208" s="364" t="s">
        <v>88</v>
      </c>
      <c r="Z1208" s="364" t="s">
        <v>651</v>
      </c>
      <c r="AA1208" s="364" t="s">
        <v>650</v>
      </c>
      <c r="AB1208" s="364" t="s">
        <v>1424</v>
      </c>
      <c r="AC1208" s="364" t="s">
        <v>1424</v>
      </c>
      <c r="AD1208" s="364" t="s">
        <v>1424</v>
      </c>
      <c r="AE1208" s="364" t="s">
        <v>88</v>
      </c>
      <c r="AF1208" s="364" t="s">
        <v>1423</v>
      </c>
      <c r="AG1208" s="364" t="s">
        <v>1415</v>
      </c>
      <c r="AH1208" s="364" t="s">
        <v>1425</v>
      </c>
      <c r="AI1208" s="364" t="s">
        <v>1413</v>
      </c>
      <c r="AJ1208" s="364" t="s">
        <v>995</v>
      </c>
      <c r="AK1208" s="364" t="s">
        <v>647</v>
      </c>
      <c r="AL1208" s="364" t="s">
        <v>1412</v>
      </c>
      <c r="AM1208" s="364" t="s">
        <v>645</v>
      </c>
      <c r="AN1208" s="364" t="s">
        <v>1411</v>
      </c>
    </row>
    <row r="1209" spans="1:40" x14ac:dyDescent="0.3">
      <c r="A1209" s="364" t="s">
        <v>1421</v>
      </c>
      <c r="B1209" s="364" t="s">
        <v>661</v>
      </c>
      <c r="C1209" s="364" t="s">
        <v>1420</v>
      </c>
      <c r="D1209" s="364" t="s">
        <v>90</v>
      </c>
      <c r="E1209" s="364" t="s">
        <v>1079</v>
      </c>
      <c r="F1209" s="364" t="s">
        <v>1270</v>
      </c>
      <c r="G1209" s="364" t="s">
        <v>658</v>
      </c>
      <c r="H1209" s="364" t="s">
        <v>1419</v>
      </c>
      <c r="I1209" s="364" t="s">
        <v>1418</v>
      </c>
      <c r="J1209" s="364" t="s">
        <v>198</v>
      </c>
      <c r="K1209" s="364" t="s">
        <v>645</v>
      </c>
      <c r="L1209" s="364" t="s">
        <v>188</v>
      </c>
      <c r="M1209" s="364" t="s">
        <v>655</v>
      </c>
      <c r="N1209" s="364" t="s">
        <v>654</v>
      </c>
      <c r="O1209" s="364" t="s">
        <v>653</v>
      </c>
      <c r="P1209" s="364" t="s">
        <v>198</v>
      </c>
      <c r="Q1209" s="364" t="s">
        <v>652</v>
      </c>
      <c r="R1209" s="364" t="s">
        <v>88</v>
      </c>
      <c r="S1209" s="364" t="s">
        <v>88</v>
      </c>
      <c r="T1209" s="364" t="s">
        <v>88</v>
      </c>
      <c r="U1209" s="364" t="s">
        <v>88</v>
      </c>
      <c r="V1209" s="364" t="s">
        <v>88</v>
      </c>
      <c r="W1209" s="364" t="s">
        <v>88</v>
      </c>
      <c r="X1209" s="364" t="s">
        <v>88</v>
      </c>
      <c r="Y1209" s="364" t="s">
        <v>88</v>
      </c>
      <c r="Z1209" s="364" t="s">
        <v>651</v>
      </c>
      <c r="AA1209" s="364" t="s">
        <v>650</v>
      </c>
      <c r="AB1209" s="364" t="s">
        <v>1424</v>
      </c>
      <c r="AC1209" s="364" t="s">
        <v>1424</v>
      </c>
      <c r="AD1209" s="364" t="s">
        <v>1424</v>
      </c>
      <c r="AE1209" s="364" t="s">
        <v>88</v>
      </c>
      <c r="AF1209" s="364" t="s">
        <v>1423</v>
      </c>
      <c r="AG1209" s="364" t="s">
        <v>1415</v>
      </c>
      <c r="AH1209" s="364" t="s">
        <v>1414</v>
      </c>
      <c r="AI1209" s="364" t="s">
        <v>1413</v>
      </c>
      <c r="AJ1209" s="364" t="s">
        <v>995</v>
      </c>
      <c r="AK1209" s="364" t="s">
        <v>647</v>
      </c>
      <c r="AL1209" s="364" t="s">
        <v>1412</v>
      </c>
      <c r="AM1209" s="364" t="s">
        <v>645</v>
      </c>
      <c r="AN1209" s="364" t="s">
        <v>1411</v>
      </c>
    </row>
    <row r="1210" spans="1:40" x14ac:dyDescent="0.3">
      <c r="A1210" s="364" t="s">
        <v>1421</v>
      </c>
      <c r="B1210" s="364" t="s">
        <v>661</v>
      </c>
      <c r="C1210" s="364" t="s">
        <v>1420</v>
      </c>
      <c r="D1210" s="364" t="s">
        <v>90</v>
      </c>
      <c r="E1210" s="364" t="s">
        <v>1079</v>
      </c>
      <c r="F1210" s="364" t="s">
        <v>1270</v>
      </c>
      <c r="G1210" s="364" t="s">
        <v>658</v>
      </c>
      <c r="H1210" s="364" t="s">
        <v>1419</v>
      </c>
      <c r="I1210" s="364" t="s">
        <v>1418</v>
      </c>
      <c r="J1210" s="364" t="s">
        <v>673</v>
      </c>
      <c r="K1210" s="364" t="s">
        <v>668</v>
      </c>
      <c r="L1210" s="364" t="s">
        <v>190</v>
      </c>
      <c r="M1210" s="364" t="s">
        <v>417</v>
      </c>
      <c r="N1210" s="364" t="s">
        <v>654</v>
      </c>
      <c r="O1210" s="364" t="s">
        <v>653</v>
      </c>
      <c r="P1210" s="364" t="s">
        <v>198</v>
      </c>
      <c r="Q1210" s="364" t="s">
        <v>652</v>
      </c>
      <c r="R1210" s="364" t="s">
        <v>88</v>
      </c>
      <c r="S1210" s="364" t="s">
        <v>88</v>
      </c>
      <c r="T1210" s="364" t="s">
        <v>88</v>
      </c>
      <c r="U1210" s="364" t="s">
        <v>88</v>
      </c>
      <c r="V1210" s="364" t="s">
        <v>88</v>
      </c>
      <c r="W1210" s="364" t="s">
        <v>88</v>
      </c>
      <c r="X1210" s="364" t="s">
        <v>88</v>
      </c>
      <c r="Y1210" s="364" t="s">
        <v>88</v>
      </c>
      <c r="Z1210" s="364" t="s">
        <v>1261</v>
      </c>
      <c r="AA1210" s="364" t="s">
        <v>649</v>
      </c>
      <c r="AB1210" s="364" t="s">
        <v>1261</v>
      </c>
      <c r="AC1210" s="364" t="s">
        <v>1261</v>
      </c>
      <c r="AD1210" s="364" t="s">
        <v>1261</v>
      </c>
      <c r="AE1210" s="364" t="s">
        <v>88</v>
      </c>
      <c r="AF1210" s="364" t="s">
        <v>1416</v>
      </c>
      <c r="AG1210" s="364" t="s">
        <v>1415</v>
      </c>
      <c r="AH1210" s="364" t="s">
        <v>1422</v>
      </c>
      <c r="AI1210" s="364" t="s">
        <v>1413</v>
      </c>
      <c r="AJ1210" s="364" t="s">
        <v>995</v>
      </c>
      <c r="AK1210" s="364" t="s">
        <v>647</v>
      </c>
      <c r="AL1210" s="364" t="s">
        <v>1412</v>
      </c>
      <c r="AM1210" s="364" t="s">
        <v>668</v>
      </c>
      <c r="AN1210" s="364" t="s">
        <v>1411</v>
      </c>
    </row>
    <row r="1211" spans="1:40" x14ac:dyDescent="0.3">
      <c r="A1211" s="364" t="s">
        <v>1421</v>
      </c>
      <c r="B1211" s="364" t="s">
        <v>661</v>
      </c>
      <c r="C1211" s="364" t="s">
        <v>1420</v>
      </c>
      <c r="D1211" s="364" t="s">
        <v>90</v>
      </c>
      <c r="E1211" s="364" t="s">
        <v>1079</v>
      </c>
      <c r="F1211" s="364" t="s">
        <v>1270</v>
      </c>
      <c r="G1211" s="364" t="s">
        <v>658</v>
      </c>
      <c r="H1211" s="364" t="s">
        <v>1419</v>
      </c>
      <c r="I1211" s="364" t="s">
        <v>1418</v>
      </c>
      <c r="J1211" s="364" t="s">
        <v>673</v>
      </c>
      <c r="K1211" s="364" t="s">
        <v>668</v>
      </c>
      <c r="L1211" s="364" t="s">
        <v>190</v>
      </c>
      <c r="M1211" s="364" t="s">
        <v>242</v>
      </c>
      <c r="N1211" s="364" t="s">
        <v>654</v>
      </c>
      <c r="O1211" s="364" t="s">
        <v>653</v>
      </c>
      <c r="P1211" s="364" t="s">
        <v>198</v>
      </c>
      <c r="Q1211" s="364" t="s">
        <v>652</v>
      </c>
      <c r="R1211" s="364" t="s">
        <v>88</v>
      </c>
      <c r="S1211" s="364" t="s">
        <v>88</v>
      </c>
      <c r="T1211" s="364" t="s">
        <v>88</v>
      </c>
      <c r="U1211" s="364" t="s">
        <v>88</v>
      </c>
      <c r="V1211" s="364" t="s">
        <v>88</v>
      </c>
      <c r="W1211" s="364" t="s">
        <v>88</v>
      </c>
      <c r="X1211" s="364" t="s">
        <v>88</v>
      </c>
      <c r="Y1211" s="364" t="s">
        <v>88</v>
      </c>
      <c r="Z1211" s="364" t="s">
        <v>1157</v>
      </c>
      <c r="AA1211" s="364" t="s">
        <v>1156</v>
      </c>
      <c r="AB1211" s="364" t="s">
        <v>1417</v>
      </c>
      <c r="AC1211" s="364" t="s">
        <v>1417</v>
      </c>
      <c r="AD1211" s="364" t="s">
        <v>1417</v>
      </c>
      <c r="AE1211" s="364" t="s">
        <v>88</v>
      </c>
      <c r="AF1211" s="364" t="s">
        <v>1416</v>
      </c>
      <c r="AG1211" s="364" t="s">
        <v>1415</v>
      </c>
      <c r="AH1211" s="364" t="s">
        <v>1414</v>
      </c>
      <c r="AI1211" s="364" t="s">
        <v>1413</v>
      </c>
      <c r="AJ1211" s="364" t="s">
        <v>995</v>
      </c>
      <c r="AK1211" s="364" t="s">
        <v>647</v>
      </c>
      <c r="AL1211" s="364" t="s">
        <v>1412</v>
      </c>
      <c r="AM1211" s="364" t="s">
        <v>668</v>
      </c>
      <c r="AN1211" s="364" t="s">
        <v>1411</v>
      </c>
    </row>
    <row r="1212" spans="1:40" x14ac:dyDescent="0.3">
      <c r="A1212" s="364" t="s">
        <v>1410</v>
      </c>
      <c r="B1212" s="364" t="s">
        <v>661</v>
      </c>
      <c r="C1212" s="364" t="s">
        <v>677</v>
      </c>
      <c r="D1212" s="364" t="s">
        <v>87</v>
      </c>
      <c r="E1212" s="364" t="s">
        <v>1284</v>
      </c>
      <c r="F1212" s="364" t="s">
        <v>1284</v>
      </c>
      <c r="G1212" s="364" t="s">
        <v>658</v>
      </c>
      <c r="H1212" s="364" t="s">
        <v>1409</v>
      </c>
      <c r="I1212" s="364" t="s">
        <v>1400</v>
      </c>
      <c r="J1212" s="364" t="s">
        <v>673</v>
      </c>
      <c r="K1212" s="364" t="s">
        <v>668</v>
      </c>
      <c r="L1212" s="364" t="s">
        <v>190</v>
      </c>
      <c r="M1212" s="364" t="s">
        <v>60</v>
      </c>
      <c r="N1212" s="364" t="s">
        <v>654</v>
      </c>
      <c r="O1212" s="364" t="s">
        <v>653</v>
      </c>
      <c r="P1212" s="364" t="s">
        <v>198</v>
      </c>
      <c r="Q1212" s="364" t="s">
        <v>652</v>
      </c>
      <c r="R1212" s="364" t="s">
        <v>88</v>
      </c>
      <c r="S1212" s="364" t="s">
        <v>88</v>
      </c>
      <c r="T1212" s="364" t="s">
        <v>88</v>
      </c>
      <c r="U1212" s="364" t="s">
        <v>88</v>
      </c>
      <c r="V1212" s="364" t="s">
        <v>88</v>
      </c>
      <c r="W1212" s="364" t="s">
        <v>88</v>
      </c>
      <c r="X1212" s="364" t="s">
        <v>88</v>
      </c>
      <c r="Y1212" s="364" t="s">
        <v>88</v>
      </c>
      <c r="Z1212" s="364" t="s">
        <v>709</v>
      </c>
      <c r="AA1212" s="364" t="s">
        <v>708</v>
      </c>
      <c r="AB1212" s="364" t="s">
        <v>649</v>
      </c>
      <c r="AC1212" s="364" t="s">
        <v>649</v>
      </c>
      <c r="AD1212" s="364" t="s">
        <v>88</v>
      </c>
      <c r="AE1212" s="364" t="s">
        <v>88</v>
      </c>
      <c r="AF1212" s="364" t="s">
        <v>88</v>
      </c>
      <c r="AG1212" s="364" t="s">
        <v>88</v>
      </c>
      <c r="AH1212" s="364" t="s">
        <v>88</v>
      </c>
      <c r="AI1212" s="364" t="s">
        <v>1199</v>
      </c>
      <c r="AJ1212" s="364" t="s">
        <v>670</v>
      </c>
      <c r="AK1212" s="364" t="s">
        <v>669</v>
      </c>
      <c r="AL1212" s="364" t="s">
        <v>88</v>
      </c>
      <c r="AM1212" s="364" t="s">
        <v>668</v>
      </c>
      <c r="AN1212" s="364" t="s">
        <v>644</v>
      </c>
    </row>
    <row r="1213" spans="1:40" x14ac:dyDescent="0.3">
      <c r="A1213" s="364" t="s">
        <v>1408</v>
      </c>
      <c r="B1213" s="364" t="s">
        <v>661</v>
      </c>
      <c r="C1213" s="364" t="s">
        <v>677</v>
      </c>
      <c r="D1213" s="364" t="s">
        <v>87</v>
      </c>
      <c r="E1213" s="364" t="s">
        <v>1284</v>
      </c>
      <c r="F1213" s="364" t="s">
        <v>1284</v>
      </c>
      <c r="G1213" s="364" t="s">
        <v>658</v>
      </c>
      <c r="H1213" s="364" t="s">
        <v>1407</v>
      </c>
      <c r="I1213" s="364" t="s">
        <v>1406</v>
      </c>
      <c r="J1213" s="364" t="s">
        <v>673</v>
      </c>
      <c r="K1213" s="364" t="s">
        <v>668</v>
      </c>
      <c r="L1213" s="364" t="s">
        <v>190</v>
      </c>
      <c r="M1213" s="364" t="s">
        <v>58</v>
      </c>
      <c r="N1213" s="364" t="s">
        <v>654</v>
      </c>
      <c r="O1213" s="364" t="s">
        <v>653</v>
      </c>
      <c r="P1213" s="364" t="s">
        <v>198</v>
      </c>
      <c r="Q1213" s="364" t="s">
        <v>652</v>
      </c>
      <c r="R1213" s="364" t="s">
        <v>88</v>
      </c>
      <c r="S1213" s="364" t="s">
        <v>88</v>
      </c>
      <c r="T1213" s="364" t="s">
        <v>88</v>
      </c>
      <c r="U1213" s="364" t="s">
        <v>88</v>
      </c>
      <c r="V1213" s="364" t="s">
        <v>88</v>
      </c>
      <c r="W1213" s="364" t="s">
        <v>88</v>
      </c>
      <c r="X1213" s="364" t="s">
        <v>88</v>
      </c>
      <c r="Y1213" s="364" t="s">
        <v>88</v>
      </c>
      <c r="Z1213" s="364" t="s">
        <v>702</v>
      </c>
      <c r="AA1213" s="364" t="s">
        <v>701</v>
      </c>
      <c r="AB1213" s="364" t="s">
        <v>649</v>
      </c>
      <c r="AC1213" s="364" t="s">
        <v>649</v>
      </c>
      <c r="AD1213" s="364" t="s">
        <v>88</v>
      </c>
      <c r="AE1213" s="364" t="s">
        <v>88</v>
      </c>
      <c r="AF1213" s="364" t="s">
        <v>88</v>
      </c>
      <c r="AG1213" s="364" t="s">
        <v>88</v>
      </c>
      <c r="AH1213" s="364" t="s">
        <v>88</v>
      </c>
      <c r="AI1213" s="364" t="s">
        <v>1199</v>
      </c>
      <c r="AJ1213" s="364" t="s">
        <v>670</v>
      </c>
      <c r="AK1213" s="364" t="s">
        <v>669</v>
      </c>
      <c r="AL1213" s="364" t="s">
        <v>88</v>
      </c>
      <c r="AM1213" s="364" t="s">
        <v>668</v>
      </c>
      <c r="AN1213" s="364" t="s">
        <v>644</v>
      </c>
    </row>
    <row r="1214" spans="1:40" x14ac:dyDescent="0.3">
      <c r="A1214" s="364" t="s">
        <v>1408</v>
      </c>
      <c r="B1214" s="364" t="s">
        <v>661</v>
      </c>
      <c r="C1214" s="364" t="s">
        <v>677</v>
      </c>
      <c r="D1214" s="364" t="s">
        <v>87</v>
      </c>
      <c r="E1214" s="364" t="s">
        <v>1284</v>
      </c>
      <c r="F1214" s="364" t="s">
        <v>1284</v>
      </c>
      <c r="G1214" s="364" t="s">
        <v>658</v>
      </c>
      <c r="H1214" s="364" t="s">
        <v>1407</v>
      </c>
      <c r="I1214" s="364" t="s">
        <v>1406</v>
      </c>
      <c r="J1214" s="364" t="s">
        <v>673</v>
      </c>
      <c r="K1214" s="364" t="s">
        <v>668</v>
      </c>
      <c r="L1214" s="364" t="s">
        <v>190</v>
      </c>
      <c r="M1214" s="364" t="s">
        <v>166</v>
      </c>
      <c r="N1214" s="364" t="s">
        <v>654</v>
      </c>
      <c r="O1214" s="364" t="s">
        <v>653</v>
      </c>
      <c r="P1214" s="364" t="s">
        <v>198</v>
      </c>
      <c r="Q1214" s="364" t="s">
        <v>652</v>
      </c>
      <c r="R1214" s="364" t="s">
        <v>88</v>
      </c>
      <c r="S1214" s="364" t="s">
        <v>88</v>
      </c>
      <c r="T1214" s="364" t="s">
        <v>88</v>
      </c>
      <c r="U1214" s="364" t="s">
        <v>88</v>
      </c>
      <c r="V1214" s="364" t="s">
        <v>88</v>
      </c>
      <c r="W1214" s="364" t="s">
        <v>88</v>
      </c>
      <c r="X1214" s="364" t="s">
        <v>88</v>
      </c>
      <c r="Y1214" s="364" t="s">
        <v>88</v>
      </c>
      <c r="Z1214" s="364" t="s">
        <v>877</v>
      </c>
      <c r="AA1214" s="364" t="s">
        <v>876</v>
      </c>
      <c r="AB1214" s="364" t="s">
        <v>649</v>
      </c>
      <c r="AC1214" s="364" t="s">
        <v>649</v>
      </c>
      <c r="AD1214" s="364" t="s">
        <v>88</v>
      </c>
      <c r="AE1214" s="364" t="s">
        <v>88</v>
      </c>
      <c r="AF1214" s="364" t="s">
        <v>88</v>
      </c>
      <c r="AG1214" s="364" t="s">
        <v>88</v>
      </c>
      <c r="AH1214" s="364" t="s">
        <v>88</v>
      </c>
      <c r="AI1214" s="364" t="s">
        <v>1199</v>
      </c>
      <c r="AJ1214" s="364" t="s">
        <v>670</v>
      </c>
      <c r="AK1214" s="364" t="s">
        <v>669</v>
      </c>
      <c r="AL1214" s="364" t="s">
        <v>88</v>
      </c>
      <c r="AM1214" s="364" t="s">
        <v>668</v>
      </c>
      <c r="AN1214" s="364" t="s">
        <v>644</v>
      </c>
    </row>
    <row r="1215" spans="1:40" x14ac:dyDescent="0.3">
      <c r="A1215" s="364" t="s">
        <v>1405</v>
      </c>
      <c r="B1215" s="364" t="s">
        <v>661</v>
      </c>
      <c r="C1215" s="364" t="s">
        <v>677</v>
      </c>
      <c r="D1215" s="364" t="s">
        <v>87</v>
      </c>
      <c r="E1215" s="364" t="s">
        <v>1281</v>
      </c>
      <c r="F1215" s="364" t="s">
        <v>1281</v>
      </c>
      <c r="G1215" s="364" t="s">
        <v>658</v>
      </c>
      <c r="H1215" s="364" t="s">
        <v>1404</v>
      </c>
      <c r="I1215" s="364" t="s">
        <v>1403</v>
      </c>
      <c r="J1215" s="364" t="s">
        <v>673</v>
      </c>
      <c r="K1215" s="364" t="s">
        <v>668</v>
      </c>
      <c r="L1215" s="364" t="s">
        <v>190</v>
      </c>
      <c r="M1215" s="364" t="s">
        <v>58</v>
      </c>
      <c r="N1215" s="364" t="s">
        <v>654</v>
      </c>
      <c r="O1215" s="364" t="s">
        <v>653</v>
      </c>
      <c r="P1215" s="364" t="s">
        <v>198</v>
      </c>
      <c r="Q1215" s="364" t="s">
        <v>652</v>
      </c>
      <c r="R1215" s="364" t="s">
        <v>88</v>
      </c>
      <c r="S1215" s="364" t="s">
        <v>88</v>
      </c>
      <c r="T1215" s="364" t="s">
        <v>88</v>
      </c>
      <c r="U1215" s="364" t="s">
        <v>88</v>
      </c>
      <c r="V1215" s="364" t="s">
        <v>88</v>
      </c>
      <c r="W1215" s="364" t="s">
        <v>88</v>
      </c>
      <c r="X1215" s="364" t="s">
        <v>88</v>
      </c>
      <c r="Y1215" s="364" t="s">
        <v>88</v>
      </c>
      <c r="Z1215" s="364" t="s">
        <v>702</v>
      </c>
      <c r="AA1215" s="364" t="s">
        <v>701</v>
      </c>
      <c r="AB1215" s="364" t="s">
        <v>649</v>
      </c>
      <c r="AC1215" s="364" t="s">
        <v>649</v>
      </c>
      <c r="AD1215" s="364" t="s">
        <v>88</v>
      </c>
      <c r="AE1215" s="364" t="s">
        <v>88</v>
      </c>
      <c r="AF1215" s="364" t="s">
        <v>88</v>
      </c>
      <c r="AG1215" s="364" t="s">
        <v>88</v>
      </c>
      <c r="AH1215" s="364" t="s">
        <v>88</v>
      </c>
      <c r="AI1215" s="364" t="s">
        <v>1199</v>
      </c>
      <c r="AJ1215" s="364" t="s">
        <v>670</v>
      </c>
      <c r="AK1215" s="364" t="s">
        <v>669</v>
      </c>
      <c r="AL1215" s="364" t="s">
        <v>88</v>
      </c>
      <c r="AM1215" s="364" t="s">
        <v>668</v>
      </c>
      <c r="AN1215" s="364" t="s">
        <v>644</v>
      </c>
    </row>
    <row r="1216" spans="1:40" x14ac:dyDescent="0.3">
      <c r="A1216" s="364" t="s">
        <v>1405</v>
      </c>
      <c r="B1216" s="364" t="s">
        <v>661</v>
      </c>
      <c r="C1216" s="364" t="s">
        <v>677</v>
      </c>
      <c r="D1216" s="364" t="s">
        <v>87</v>
      </c>
      <c r="E1216" s="364" t="s">
        <v>1281</v>
      </c>
      <c r="F1216" s="364" t="s">
        <v>1281</v>
      </c>
      <c r="G1216" s="364" t="s">
        <v>658</v>
      </c>
      <c r="H1216" s="364" t="s">
        <v>1404</v>
      </c>
      <c r="I1216" s="364" t="s">
        <v>1403</v>
      </c>
      <c r="J1216" s="364" t="s">
        <v>673</v>
      </c>
      <c r="K1216" s="364" t="s">
        <v>668</v>
      </c>
      <c r="L1216" s="364" t="s">
        <v>190</v>
      </c>
      <c r="M1216" s="364" t="s">
        <v>166</v>
      </c>
      <c r="N1216" s="364" t="s">
        <v>654</v>
      </c>
      <c r="O1216" s="364" t="s">
        <v>653</v>
      </c>
      <c r="P1216" s="364" t="s">
        <v>198</v>
      </c>
      <c r="Q1216" s="364" t="s">
        <v>652</v>
      </c>
      <c r="R1216" s="364" t="s">
        <v>88</v>
      </c>
      <c r="S1216" s="364" t="s">
        <v>88</v>
      </c>
      <c r="T1216" s="364" t="s">
        <v>88</v>
      </c>
      <c r="U1216" s="364" t="s">
        <v>88</v>
      </c>
      <c r="V1216" s="364" t="s">
        <v>88</v>
      </c>
      <c r="W1216" s="364" t="s">
        <v>88</v>
      </c>
      <c r="X1216" s="364" t="s">
        <v>88</v>
      </c>
      <c r="Y1216" s="364" t="s">
        <v>88</v>
      </c>
      <c r="Z1216" s="364" t="s">
        <v>877</v>
      </c>
      <c r="AA1216" s="364" t="s">
        <v>876</v>
      </c>
      <c r="AB1216" s="364" t="s">
        <v>649</v>
      </c>
      <c r="AC1216" s="364" t="s">
        <v>649</v>
      </c>
      <c r="AD1216" s="364" t="s">
        <v>88</v>
      </c>
      <c r="AE1216" s="364" t="s">
        <v>88</v>
      </c>
      <c r="AF1216" s="364" t="s">
        <v>88</v>
      </c>
      <c r="AG1216" s="364" t="s">
        <v>88</v>
      </c>
      <c r="AH1216" s="364" t="s">
        <v>88</v>
      </c>
      <c r="AI1216" s="364" t="s">
        <v>1199</v>
      </c>
      <c r="AJ1216" s="364" t="s">
        <v>670</v>
      </c>
      <c r="AK1216" s="364" t="s">
        <v>669</v>
      </c>
      <c r="AL1216" s="364" t="s">
        <v>88</v>
      </c>
      <c r="AM1216" s="364" t="s">
        <v>668</v>
      </c>
      <c r="AN1216" s="364" t="s">
        <v>644</v>
      </c>
    </row>
    <row r="1217" spans="1:40" x14ac:dyDescent="0.3">
      <c r="A1217" s="364" t="s">
        <v>1402</v>
      </c>
      <c r="B1217" s="364" t="s">
        <v>661</v>
      </c>
      <c r="C1217" s="364" t="s">
        <v>677</v>
      </c>
      <c r="D1217" s="364" t="s">
        <v>87</v>
      </c>
      <c r="E1217" s="364" t="s">
        <v>1281</v>
      </c>
      <c r="F1217" s="364" t="s">
        <v>1281</v>
      </c>
      <c r="G1217" s="364" t="s">
        <v>658</v>
      </c>
      <c r="H1217" s="364" t="s">
        <v>1401</v>
      </c>
      <c r="I1217" s="364" t="s">
        <v>1400</v>
      </c>
      <c r="J1217" s="364" t="s">
        <v>673</v>
      </c>
      <c r="K1217" s="364" t="s">
        <v>668</v>
      </c>
      <c r="L1217" s="364" t="s">
        <v>190</v>
      </c>
      <c r="M1217" s="364" t="s">
        <v>60</v>
      </c>
      <c r="N1217" s="364" t="s">
        <v>654</v>
      </c>
      <c r="O1217" s="364" t="s">
        <v>653</v>
      </c>
      <c r="P1217" s="364" t="s">
        <v>198</v>
      </c>
      <c r="Q1217" s="364" t="s">
        <v>652</v>
      </c>
      <c r="R1217" s="364" t="s">
        <v>88</v>
      </c>
      <c r="S1217" s="364" t="s">
        <v>88</v>
      </c>
      <c r="T1217" s="364" t="s">
        <v>88</v>
      </c>
      <c r="U1217" s="364" t="s">
        <v>88</v>
      </c>
      <c r="V1217" s="364" t="s">
        <v>88</v>
      </c>
      <c r="W1217" s="364" t="s">
        <v>88</v>
      </c>
      <c r="X1217" s="364" t="s">
        <v>88</v>
      </c>
      <c r="Y1217" s="364" t="s">
        <v>88</v>
      </c>
      <c r="Z1217" s="364" t="s">
        <v>709</v>
      </c>
      <c r="AA1217" s="364" t="s">
        <v>708</v>
      </c>
      <c r="AB1217" s="364" t="s">
        <v>649</v>
      </c>
      <c r="AC1217" s="364" t="s">
        <v>649</v>
      </c>
      <c r="AD1217" s="364" t="s">
        <v>88</v>
      </c>
      <c r="AE1217" s="364" t="s">
        <v>88</v>
      </c>
      <c r="AF1217" s="364" t="s">
        <v>88</v>
      </c>
      <c r="AG1217" s="364" t="s">
        <v>88</v>
      </c>
      <c r="AH1217" s="364" t="s">
        <v>88</v>
      </c>
      <c r="AI1217" s="364" t="s">
        <v>1199</v>
      </c>
      <c r="AJ1217" s="364" t="s">
        <v>670</v>
      </c>
      <c r="AK1217" s="364" t="s">
        <v>669</v>
      </c>
      <c r="AL1217" s="364" t="s">
        <v>88</v>
      </c>
      <c r="AM1217" s="364" t="s">
        <v>668</v>
      </c>
      <c r="AN1217" s="364" t="s">
        <v>644</v>
      </c>
    </row>
    <row r="1218" spans="1:40" x14ac:dyDescent="0.3">
      <c r="A1218" s="364" t="s">
        <v>1399</v>
      </c>
      <c r="B1218" s="364" t="s">
        <v>661</v>
      </c>
      <c r="C1218" s="364" t="s">
        <v>677</v>
      </c>
      <c r="D1218" s="364" t="s">
        <v>87</v>
      </c>
      <c r="E1218" s="364" t="s">
        <v>1276</v>
      </c>
      <c r="F1218" s="364" t="s">
        <v>1276</v>
      </c>
      <c r="G1218" s="364" t="s">
        <v>658</v>
      </c>
      <c r="H1218" s="364" t="s">
        <v>684</v>
      </c>
      <c r="I1218" s="364" t="s">
        <v>1396</v>
      </c>
      <c r="J1218" s="364" t="s">
        <v>673</v>
      </c>
      <c r="K1218" s="364" t="s">
        <v>668</v>
      </c>
      <c r="L1218" s="364" t="s">
        <v>190</v>
      </c>
      <c r="M1218" s="364" t="s">
        <v>58</v>
      </c>
      <c r="N1218" s="364" t="s">
        <v>654</v>
      </c>
      <c r="O1218" s="364" t="s">
        <v>653</v>
      </c>
      <c r="P1218" s="364" t="s">
        <v>198</v>
      </c>
      <c r="Q1218" s="364" t="s">
        <v>652</v>
      </c>
      <c r="R1218" s="364" t="s">
        <v>88</v>
      </c>
      <c r="S1218" s="364" t="s">
        <v>88</v>
      </c>
      <c r="T1218" s="364" t="s">
        <v>88</v>
      </c>
      <c r="U1218" s="364" t="s">
        <v>88</v>
      </c>
      <c r="V1218" s="364" t="s">
        <v>88</v>
      </c>
      <c r="W1218" s="364" t="s">
        <v>88</v>
      </c>
      <c r="X1218" s="364" t="s">
        <v>88</v>
      </c>
      <c r="Y1218" s="364" t="s">
        <v>88</v>
      </c>
      <c r="Z1218" s="364" t="s">
        <v>702</v>
      </c>
      <c r="AA1218" s="364" t="s">
        <v>701</v>
      </c>
      <c r="AB1218" s="364" t="s">
        <v>649</v>
      </c>
      <c r="AC1218" s="364" t="s">
        <v>649</v>
      </c>
      <c r="AD1218" s="364" t="s">
        <v>88</v>
      </c>
      <c r="AE1218" s="364" t="s">
        <v>88</v>
      </c>
      <c r="AF1218" s="364" t="s">
        <v>88</v>
      </c>
      <c r="AG1218" s="364" t="s">
        <v>88</v>
      </c>
      <c r="AH1218" s="364" t="s">
        <v>88</v>
      </c>
      <c r="AI1218" s="364" t="s">
        <v>1199</v>
      </c>
      <c r="AJ1218" s="364" t="s">
        <v>670</v>
      </c>
      <c r="AK1218" s="364" t="s">
        <v>669</v>
      </c>
      <c r="AL1218" s="364" t="s">
        <v>88</v>
      </c>
      <c r="AM1218" s="364" t="s">
        <v>668</v>
      </c>
      <c r="AN1218" s="364" t="s">
        <v>644</v>
      </c>
    </row>
    <row r="1219" spans="1:40" x14ac:dyDescent="0.3">
      <c r="A1219" s="364" t="s">
        <v>1399</v>
      </c>
      <c r="B1219" s="364" t="s">
        <v>661</v>
      </c>
      <c r="C1219" s="364" t="s">
        <v>677</v>
      </c>
      <c r="D1219" s="364" t="s">
        <v>87</v>
      </c>
      <c r="E1219" s="364" t="s">
        <v>1276</v>
      </c>
      <c r="F1219" s="364" t="s">
        <v>1276</v>
      </c>
      <c r="G1219" s="364" t="s">
        <v>658</v>
      </c>
      <c r="H1219" s="364" t="s">
        <v>684</v>
      </c>
      <c r="I1219" s="364" t="s">
        <v>1396</v>
      </c>
      <c r="J1219" s="364" t="s">
        <v>673</v>
      </c>
      <c r="K1219" s="364" t="s">
        <v>668</v>
      </c>
      <c r="L1219" s="364" t="s">
        <v>190</v>
      </c>
      <c r="M1219" s="364" t="s">
        <v>166</v>
      </c>
      <c r="N1219" s="364" t="s">
        <v>654</v>
      </c>
      <c r="O1219" s="364" t="s">
        <v>653</v>
      </c>
      <c r="P1219" s="364" t="s">
        <v>198</v>
      </c>
      <c r="Q1219" s="364" t="s">
        <v>652</v>
      </c>
      <c r="R1219" s="364" t="s">
        <v>88</v>
      </c>
      <c r="S1219" s="364" t="s">
        <v>88</v>
      </c>
      <c r="T1219" s="364" t="s">
        <v>88</v>
      </c>
      <c r="U1219" s="364" t="s">
        <v>88</v>
      </c>
      <c r="V1219" s="364" t="s">
        <v>88</v>
      </c>
      <c r="W1219" s="364" t="s">
        <v>88</v>
      </c>
      <c r="X1219" s="364" t="s">
        <v>88</v>
      </c>
      <c r="Y1219" s="364" t="s">
        <v>88</v>
      </c>
      <c r="Z1219" s="364" t="s">
        <v>877</v>
      </c>
      <c r="AA1219" s="364" t="s">
        <v>876</v>
      </c>
      <c r="AB1219" s="364" t="s">
        <v>649</v>
      </c>
      <c r="AC1219" s="364" t="s">
        <v>649</v>
      </c>
      <c r="AD1219" s="364" t="s">
        <v>88</v>
      </c>
      <c r="AE1219" s="364" t="s">
        <v>88</v>
      </c>
      <c r="AF1219" s="364" t="s">
        <v>88</v>
      </c>
      <c r="AG1219" s="364" t="s">
        <v>88</v>
      </c>
      <c r="AH1219" s="364" t="s">
        <v>88</v>
      </c>
      <c r="AI1219" s="364" t="s">
        <v>1199</v>
      </c>
      <c r="AJ1219" s="364" t="s">
        <v>670</v>
      </c>
      <c r="AK1219" s="364" t="s">
        <v>669</v>
      </c>
      <c r="AL1219" s="364" t="s">
        <v>88</v>
      </c>
      <c r="AM1219" s="364" t="s">
        <v>668</v>
      </c>
      <c r="AN1219" s="364" t="s">
        <v>644</v>
      </c>
    </row>
    <row r="1220" spans="1:40" x14ac:dyDescent="0.3">
      <c r="A1220" s="364" t="s">
        <v>1398</v>
      </c>
      <c r="B1220" s="364" t="s">
        <v>661</v>
      </c>
      <c r="C1220" s="364" t="s">
        <v>677</v>
      </c>
      <c r="D1220" s="364" t="s">
        <v>87</v>
      </c>
      <c r="E1220" s="364" t="s">
        <v>1068</v>
      </c>
      <c r="F1220" s="364" t="s">
        <v>1068</v>
      </c>
      <c r="G1220" s="364" t="s">
        <v>658</v>
      </c>
      <c r="H1220" s="364" t="s">
        <v>992</v>
      </c>
      <c r="I1220" s="364" t="s">
        <v>1067</v>
      </c>
      <c r="J1220" s="364" t="s">
        <v>673</v>
      </c>
      <c r="K1220" s="364" t="s">
        <v>668</v>
      </c>
      <c r="L1220" s="364" t="s">
        <v>190</v>
      </c>
      <c r="M1220" s="364" t="s">
        <v>60</v>
      </c>
      <c r="N1220" s="364" t="s">
        <v>654</v>
      </c>
      <c r="O1220" s="364" t="s">
        <v>653</v>
      </c>
      <c r="P1220" s="364" t="s">
        <v>198</v>
      </c>
      <c r="Q1220" s="364" t="s">
        <v>652</v>
      </c>
      <c r="R1220" s="364" t="s">
        <v>88</v>
      </c>
      <c r="S1220" s="364" t="s">
        <v>88</v>
      </c>
      <c r="T1220" s="364" t="s">
        <v>88</v>
      </c>
      <c r="U1220" s="364" t="s">
        <v>88</v>
      </c>
      <c r="V1220" s="364" t="s">
        <v>88</v>
      </c>
      <c r="W1220" s="364" t="s">
        <v>88</v>
      </c>
      <c r="X1220" s="364" t="s">
        <v>88</v>
      </c>
      <c r="Y1220" s="364" t="s">
        <v>88</v>
      </c>
      <c r="Z1220" s="364" t="s">
        <v>709</v>
      </c>
      <c r="AA1220" s="364" t="s">
        <v>708</v>
      </c>
      <c r="AB1220" s="364" t="s">
        <v>649</v>
      </c>
      <c r="AC1220" s="364" t="s">
        <v>649</v>
      </c>
      <c r="AD1220" s="364" t="s">
        <v>88</v>
      </c>
      <c r="AE1220" s="364" t="s">
        <v>88</v>
      </c>
      <c r="AF1220" s="364" t="s">
        <v>88</v>
      </c>
      <c r="AG1220" s="364" t="s">
        <v>88</v>
      </c>
      <c r="AH1220" s="364" t="s">
        <v>88</v>
      </c>
      <c r="AI1220" s="364" t="s">
        <v>1199</v>
      </c>
      <c r="AJ1220" s="364" t="s">
        <v>670</v>
      </c>
      <c r="AK1220" s="364" t="s">
        <v>669</v>
      </c>
      <c r="AL1220" s="364" t="s">
        <v>88</v>
      </c>
      <c r="AM1220" s="364" t="s">
        <v>668</v>
      </c>
      <c r="AN1220" s="364" t="s">
        <v>644</v>
      </c>
    </row>
    <row r="1221" spans="1:40" x14ac:dyDescent="0.3">
      <c r="A1221" s="364" t="s">
        <v>1397</v>
      </c>
      <c r="B1221" s="364" t="s">
        <v>661</v>
      </c>
      <c r="C1221" s="364" t="s">
        <v>677</v>
      </c>
      <c r="D1221" s="364" t="s">
        <v>87</v>
      </c>
      <c r="E1221" s="364" t="s">
        <v>1276</v>
      </c>
      <c r="F1221" s="364" t="s">
        <v>1276</v>
      </c>
      <c r="G1221" s="364" t="s">
        <v>658</v>
      </c>
      <c r="H1221" s="364" t="s">
        <v>684</v>
      </c>
      <c r="I1221" s="364" t="s">
        <v>1396</v>
      </c>
      <c r="J1221" s="364" t="s">
        <v>673</v>
      </c>
      <c r="K1221" s="364" t="s">
        <v>668</v>
      </c>
      <c r="L1221" s="364" t="s">
        <v>190</v>
      </c>
      <c r="M1221" s="364" t="s">
        <v>60</v>
      </c>
      <c r="N1221" s="364" t="s">
        <v>654</v>
      </c>
      <c r="O1221" s="364" t="s">
        <v>653</v>
      </c>
      <c r="P1221" s="364" t="s">
        <v>198</v>
      </c>
      <c r="Q1221" s="364" t="s">
        <v>652</v>
      </c>
      <c r="R1221" s="364" t="s">
        <v>88</v>
      </c>
      <c r="S1221" s="364" t="s">
        <v>88</v>
      </c>
      <c r="T1221" s="364" t="s">
        <v>88</v>
      </c>
      <c r="U1221" s="364" t="s">
        <v>88</v>
      </c>
      <c r="V1221" s="364" t="s">
        <v>88</v>
      </c>
      <c r="W1221" s="364" t="s">
        <v>88</v>
      </c>
      <c r="X1221" s="364" t="s">
        <v>88</v>
      </c>
      <c r="Y1221" s="364" t="s">
        <v>88</v>
      </c>
      <c r="Z1221" s="364" t="s">
        <v>709</v>
      </c>
      <c r="AA1221" s="364" t="s">
        <v>708</v>
      </c>
      <c r="AB1221" s="364" t="s">
        <v>649</v>
      </c>
      <c r="AC1221" s="364" t="s">
        <v>649</v>
      </c>
      <c r="AD1221" s="364" t="s">
        <v>88</v>
      </c>
      <c r="AE1221" s="364" t="s">
        <v>88</v>
      </c>
      <c r="AF1221" s="364" t="s">
        <v>88</v>
      </c>
      <c r="AG1221" s="364" t="s">
        <v>88</v>
      </c>
      <c r="AH1221" s="364" t="s">
        <v>88</v>
      </c>
      <c r="AI1221" s="364" t="s">
        <v>1199</v>
      </c>
      <c r="AJ1221" s="364" t="s">
        <v>670</v>
      </c>
      <c r="AK1221" s="364" t="s">
        <v>669</v>
      </c>
      <c r="AL1221" s="364" t="s">
        <v>88</v>
      </c>
      <c r="AM1221" s="364" t="s">
        <v>668</v>
      </c>
      <c r="AN1221" s="364" t="s">
        <v>644</v>
      </c>
    </row>
    <row r="1222" spans="1:40" x14ac:dyDescent="0.3">
      <c r="A1222" s="364" t="s">
        <v>1395</v>
      </c>
      <c r="B1222" s="364" t="s">
        <v>661</v>
      </c>
      <c r="C1222" s="364" t="s">
        <v>677</v>
      </c>
      <c r="D1222" s="364" t="s">
        <v>87</v>
      </c>
      <c r="E1222" s="364" t="s">
        <v>1273</v>
      </c>
      <c r="F1222" s="364" t="s">
        <v>1273</v>
      </c>
      <c r="G1222" s="364" t="s">
        <v>658</v>
      </c>
      <c r="H1222" s="364" t="s">
        <v>1394</v>
      </c>
      <c r="I1222" s="364" t="s">
        <v>1208</v>
      </c>
      <c r="J1222" s="364" t="s">
        <v>673</v>
      </c>
      <c r="K1222" s="364" t="s">
        <v>668</v>
      </c>
      <c r="L1222" s="364" t="s">
        <v>190</v>
      </c>
      <c r="M1222" s="364" t="s">
        <v>60</v>
      </c>
      <c r="N1222" s="364" t="s">
        <v>654</v>
      </c>
      <c r="O1222" s="364" t="s">
        <v>653</v>
      </c>
      <c r="P1222" s="364" t="s">
        <v>198</v>
      </c>
      <c r="Q1222" s="364" t="s">
        <v>652</v>
      </c>
      <c r="R1222" s="364" t="s">
        <v>88</v>
      </c>
      <c r="S1222" s="364" t="s">
        <v>88</v>
      </c>
      <c r="T1222" s="364" t="s">
        <v>88</v>
      </c>
      <c r="U1222" s="364" t="s">
        <v>88</v>
      </c>
      <c r="V1222" s="364" t="s">
        <v>88</v>
      </c>
      <c r="W1222" s="364" t="s">
        <v>88</v>
      </c>
      <c r="X1222" s="364" t="s">
        <v>88</v>
      </c>
      <c r="Y1222" s="364" t="s">
        <v>88</v>
      </c>
      <c r="Z1222" s="364" t="s">
        <v>709</v>
      </c>
      <c r="AA1222" s="364" t="s">
        <v>708</v>
      </c>
      <c r="AB1222" s="364" t="s">
        <v>649</v>
      </c>
      <c r="AC1222" s="364" t="s">
        <v>649</v>
      </c>
      <c r="AD1222" s="364" t="s">
        <v>88</v>
      </c>
      <c r="AE1222" s="364" t="s">
        <v>88</v>
      </c>
      <c r="AF1222" s="364" t="s">
        <v>88</v>
      </c>
      <c r="AG1222" s="364" t="s">
        <v>88</v>
      </c>
      <c r="AH1222" s="364" t="s">
        <v>88</v>
      </c>
      <c r="AI1222" s="364" t="s">
        <v>1199</v>
      </c>
      <c r="AJ1222" s="364" t="s">
        <v>670</v>
      </c>
      <c r="AK1222" s="364" t="s">
        <v>669</v>
      </c>
      <c r="AL1222" s="364" t="s">
        <v>88</v>
      </c>
      <c r="AM1222" s="364" t="s">
        <v>668</v>
      </c>
      <c r="AN1222" s="364" t="s">
        <v>644</v>
      </c>
    </row>
    <row r="1223" spans="1:40" x14ac:dyDescent="0.3">
      <c r="A1223" s="364" t="s">
        <v>1393</v>
      </c>
      <c r="B1223" s="364" t="s">
        <v>661</v>
      </c>
      <c r="C1223" s="364" t="s">
        <v>677</v>
      </c>
      <c r="D1223" s="364" t="s">
        <v>87</v>
      </c>
      <c r="E1223" s="364" t="s">
        <v>1273</v>
      </c>
      <c r="F1223" s="364" t="s">
        <v>1273</v>
      </c>
      <c r="G1223" s="364" t="s">
        <v>658</v>
      </c>
      <c r="H1223" s="364" t="s">
        <v>1392</v>
      </c>
      <c r="I1223" s="364" t="s">
        <v>1391</v>
      </c>
      <c r="J1223" s="364" t="s">
        <v>673</v>
      </c>
      <c r="K1223" s="364" t="s">
        <v>668</v>
      </c>
      <c r="L1223" s="364" t="s">
        <v>190</v>
      </c>
      <c r="M1223" s="364" t="s">
        <v>58</v>
      </c>
      <c r="N1223" s="364" t="s">
        <v>654</v>
      </c>
      <c r="O1223" s="364" t="s">
        <v>653</v>
      </c>
      <c r="P1223" s="364" t="s">
        <v>198</v>
      </c>
      <c r="Q1223" s="364" t="s">
        <v>652</v>
      </c>
      <c r="R1223" s="364" t="s">
        <v>88</v>
      </c>
      <c r="S1223" s="364" t="s">
        <v>88</v>
      </c>
      <c r="T1223" s="364" t="s">
        <v>88</v>
      </c>
      <c r="U1223" s="364" t="s">
        <v>88</v>
      </c>
      <c r="V1223" s="364" t="s">
        <v>88</v>
      </c>
      <c r="W1223" s="364" t="s">
        <v>88</v>
      </c>
      <c r="X1223" s="364" t="s">
        <v>88</v>
      </c>
      <c r="Y1223" s="364" t="s">
        <v>88</v>
      </c>
      <c r="Z1223" s="364" t="s">
        <v>702</v>
      </c>
      <c r="AA1223" s="364" t="s">
        <v>701</v>
      </c>
      <c r="AB1223" s="364" t="s">
        <v>649</v>
      </c>
      <c r="AC1223" s="364" t="s">
        <v>649</v>
      </c>
      <c r="AD1223" s="364" t="s">
        <v>88</v>
      </c>
      <c r="AE1223" s="364" t="s">
        <v>88</v>
      </c>
      <c r="AF1223" s="364" t="s">
        <v>88</v>
      </c>
      <c r="AG1223" s="364" t="s">
        <v>88</v>
      </c>
      <c r="AH1223" s="364" t="s">
        <v>88</v>
      </c>
      <c r="AI1223" s="364" t="s">
        <v>1199</v>
      </c>
      <c r="AJ1223" s="364" t="s">
        <v>670</v>
      </c>
      <c r="AK1223" s="364" t="s">
        <v>669</v>
      </c>
      <c r="AL1223" s="364" t="s">
        <v>88</v>
      </c>
      <c r="AM1223" s="364" t="s">
        <v>668</v>
      </c>
      <c r="AN1223" s="364" t="s">
        <v>644</v>
      </c>
    </row>
    <row r="1224" spans="1:40" x14ac:dyDescent="0.3">
      <c r="A1224" s="364" t="s">
        <v>1393</v>
      </c>
      <c r="B1224" s="364" t="s">
        <v>661</v>
      </c>
      <c r="C1224" s="364" t="s">
        <v>677</v>
      </c>
      <c r="D1224" s="364" t="s">
        <v>87</v>
      </c>
      <c r="E1224" s="364" t="s">
        <v>1273</v>
      </c>
      <c r="F1224" s="364" t="s">
        <v>1273</v>
      </c>
      <c r="G1224" s="364" t="s">
        <v>658</v>
      </c>
      <c r="H1224" s="364" t="s">
        <v>1392</v>
      </c>
      <c r="I1224" s="364" t="s">
        <v>1391</v>
      </c>
      <c r="J1224" s="364" t="s">
        <v>673</v>
      </c>
      <c r="K1224" s="364" t="s">
        <v>668</v>
      </c>
      <c r="L1224" s="364" t="s">
        <v>190</v>
      </c>
      <c r="M1224" s="364" t="s">
        <v>166</v>
      </c>
      <c r="N1224" s="364" t="s">
        <v>654</v>
      </c>
      <c r="O1224" s="364" t="s">
        <v>653</v>
      </c>
      <c r="P1224" s="364" t="s">
        <v>198</v>
      </c>
      <c r="Q1224" s="364" t="s">
        <v>652</v>
      </c>
      <c r="R1224" s="364" t="s">
        <v>88</v>
      </c>
      <c r="S1224" s="364" t="s">
        <v>88</v>
      </c>
      <c r="T1224" s="364" t="s">
        <v>88</v>
      </c>
      <c r="U1224" s="364" t="s">
        <v>88</v>
      </c>
      <c r="V1224" s="364" t="s">
        <v>88</v>
      </c>
      <c r="W1224" s="364" t="s">
        <v>88</v>
      </c>
      <c r="X1224" s="364" t="s">
        <v>88</v>
      </c>
      <c r="Y1224" s="364" t="s">
        <v>88</v>
      </c>
      <c r="Z1224" s="364" t="s">
        <v>877</v>
      </c>
      <c r="AA1224" s="364" t="s">
        <v>876</v>
      </c>
      <c r="AB1224" s="364" t="s">
        <v>649</v>
      </c>
      <c r="AC1224" s="364" t="s">
        <v>649</v>
      </c>
      <c r="AD1224" s="364" t="s">
        <v>88</v>
      </c>
      <c r="AE1224" s="364" t="s">
        <v>88</v>
      </c>
      <c r="AF1224" s="364" t="s">
        <v>88</v>
      </c>
      <c r="AG1224" s="364" t="s">
        <v>88</v>
      </c>
      <c r="AH1224" s="364" t="s">
        <v>88</v>
      </c>
      <c r="AI1224" s="364" t="s">
        <v>1199</v>
      </c>
      <c r="AJ1224" s="364" t="s">
        <v>670</v>
      </c>
      <c r="AK1224" s="364" t="s">
        <v>669</v>
      </c>
      <c r="AL1224" s="364" t="s">
        <v>88</v>
      </c>
      <c r="AM1224" s="364" t="s">
        <v>668</v>
      </c>
      <c r="AN1224" s="364" t="s">
        <v>644</v>
      </c>
    </row>
    <row r="1225" spans="1:40" x14ac:dyDescent="0.3">
      <c r="A1225" s="364" t="s">
        <v>1390</v>
      </c>
      <c r="B1225" s="364" t="s">
        <v>661</v>
      </c>
      <c r="C1225" s="364" t="s">
        <v>1160</v>
      </c>
      <c r="D1225" s="364" t="s">
        <v>87</v>
      </c>
      <c r="E1225" s="364" t="s">
        <v>1273</v>
      </c>
      <c r="F1225" s="364" t="s">
        <v>1273</v>
      </c>
      <c r="G1225" s="364" t="s">
        <v>658</v>
      </c>
      <c r="H1225" s="364" t="s">
        <v>1389</v>
      </c>
      <c r="I1225" s="364" t="s">
        <v>88</v>
      </c>
      <c r="J1225" s="364" t="s">
        <v>88</v>
      </c>
      <c r="K1225" s="364" t="s">
        <v>88</v>
      </c>
      <c r="L1225" s="364" t="s">
        <v>88</v>
      </c>
      <c r="M1225" s="364" t="s">
        <v>138</v>
      </c>
      <c r="N1225" s="364" t="s">
        <v>654</v>
      </c>
      <c r="O1225" s="364" t="s">
        <v>653</v>
      </c>
      <c r="P1225" s="364" t="s">
        <v>88</v>
      </c>
      <c r="Q1225" s="364" t="s">
        <v>88</v>
      </c>
      <c r="R1225" s="364" t="s">
        <v>88</v>
      </c>
      <c r="S1225" s="364" t="s">
        <v>88</v>
      </c>
      <c r="T1225" s="364" t="s">
        <v>88</v>
      </c>
      <c r="U1225" s="364" t="s">
        <v>88</v>
      </c>
      <c r="V1225" s="364" t="s">
        <v>88</v>
      </c>
      <c r="W1225" s="364" t="s">
        <v>88</v>
      </c>
      <c r="X1225" s="364" t="s">
        <v>88</v>
      </c>
      <c r="Y1225" s="364" t="s">
        <v>88</v>
      </c>
      <c r="Z1225" s="364" t="s">
        <v>88</v>
      </c>
      <c r="AA1225" s="364" t="s">
        <v>649</v>
      </c>
      <c r="AB1225" s="364" t="s">
        <v>88</v>
      </c>
      <c r="AC1225" s="364" t="s">
        <v>88</v>
      </c>
      <c r="AD1225" s="364" t="s">
        <v>88</v>
      </c>
      <c r="AE1225" s="364" t="s">
        <v>88</v>
      </c>
      <c r="AF1225" s="364" t="s">
        <v>88</v>
      </c>
      <c r="AG1225" s="364" t="s">
        <v>88</v>
      </c>
      <c r="AH1225" s="364" t="s">
        <v>88</v>
      </c>
      <c r="AI1225" s="364" t="s">
        <v>1388</v>
      </c>
      <c r="AJ1225" s="364" t="s">
        <v>793</v>
      </c>
      <c r="AK1225" s="364" t="s">
        <v>88</v>
      </c>
      <c r="AL1225" s="364" t="s">
        <v>88</v>
      </c>
      <c r="AM1225" s="364" t="s">
        <v>88</v>
      </c>
      <c r="AN1225" s="364" t="s">
        <v>792</v>
      </c>
    </row>
    <row r="1226" spans="1:40" x14ac:dyDescent="0.3">
      <c r="A1226" s="364" t="s">
        <v>1387</v>
      </c>
      <c r="B1226" s="364" t="s">
        <v>661</v>
      </c>
      <c r="C1226" s="364" t="s">
        <v>796</v>
      </c>
      <c r="D1226" s="364" t="s">
        <v>87</v>
      </c>
      <c r="E1226" s="364" t="s">
        <v>1273</v>
      </c>
      <c r="F1226" s="364" t="s">
        <v>1273</v>
      </c>
      <c r="G1226" s="364" t="s">
        <v>658</v>
      </c>
      <c r="H1226" s="364" t="s">
        <v>1386</v>
      </c>
      <c r="I1226" s="364" t="s">
        <v>1385</v>
      </c>
      <c r="J1226" s="364" t="s">
        <v>88</v>
      </c>
      <c r="K1226" s="364" t="s">
        <v>88</v>
      </c>
      <c r="L1226" s="364" t="s">
        <v>88</v>
      </c>
      <c r="M1226" s="364" t="s">
        <v>138</v>
      </c>
      <c r="N1226" s="364" t="s">
        <v>654</v>
      </c>
      <c r="O1226" s="364" t="s">
        <v>653</v>
      </c>
      <c r="P1226" s="364" t="s">
        <v>88</v>
      </c>
      <c r="Q1226" s="364" t="s">
        <v>88</v>
      </c>
      <c r="R1226" s="364" t="s">
        <v>88</v>
      </c>
      <c r="S1226" s="364" t="s">
        <v>88</v>
      </c>
      <c r="T1226" s="364" t="s">
        <v>88</v>
      </c>
      <c r="U1226" s="364" t="s">
        <v>88</v>
      </c>
      <c r="V1226" s="364" t="s">
        <v>88</v>
      </c>
      <c r="W1226" s="364" t="s">
        <v>88</v>
      </c>
      <c r="X1226" s="364" t="s">
        <v>88</v>
      </c>
      <c r="Y1226" s="364" t="s">
        <v>88</v>
      </c>
      <c r="Z1226" s="364" t="s">
        <v>88</v>
      </c>
      <c r="AA1226" s="364" t="s">
        <v>649</v>
      </c>
      <c r="AB1226" s="364" t="s">
        <v>88</v>
      </c>
      <c r="AC1226" s="364" t="s">
        <v>88</v>
      </c>
      <c r="AD1226" s="364" t="s">
        <v>88</v>
      </c>
      <c r="AE1226" s="364" t="s">
        <v>88</v>
      </c>
      <c r="AF1226" s="364" t="s">
        <v>88</v>
      </c>
      <c r="AG1226" s="364" t="s">
        <v>88</v>
      </c>
      <c r="AH1226" s="364" t="s">
        <v>88</v>
      </c>
      <c r="AI1226" s="364" t="s">
        <v>1384</v>
      </c>
      <c r="AJ1226" s="364" t="s">
        <v>793</v>
      </c>
      <c r="AK1226" s="364" t="s">
        <v>88</v>
      </c>
      <c r="AL1226" s="364" t="s">
        <v>88</v>
      </c>
      <c r="AM1226" s="364" t="s">
        <v>88</v>
      </c>
      <c r="AN1226" s="364" t="s">
        <v>792</v>
      </c>
    </row>
    <row r="1227" spans="1:40" x14ac:dyDescent="0.3">
      <c r="A1227" s="364" t="s">
        <v>1383</v>
      </c>
      <c r="B1227" s="364" t="s">
        <v>661</v>
      </c>
      <c r="C1227" s="364" t="s">
        <v>677</v>
      </c>
      <c r="D1227" s="364" t="s">
        <v>87</v>
      </c>
      <c r="E1227" s="364" t="s">
        <v>1379</v>
      </c>
      <c r="F1227" s="364" t="s">
        <v>1379</v>
      </c>
      <c r="G1227" s="364" t="s">
        <v>658</v>
      </c>
      <c r="H1227" s="364" t="s">
        <v>1382</v>
      </c>
      <c r="I1227" s="364" t="s">
        <v>1381</v>
      </c>
      <c r="J1227" s="364" t="s">
        <v>673</v>
      </c>
      <c r="K1227" s="364" t="s">
        <v>668</v>
      </c>
      <c r="L1227" s="364" t="s">
        <v>190</v>
      </c>
      <c r="M1227" s="364" t="s">
        <v>58</v>
      </c>
      <c r="N1227" s="364" t="s">
        <v>654</v>
      </c>
      <c r="O1227" s="364" t="s">
        <v>653</v>
      </c>
      <c r="P1227" s="364" t="s">
        <v>198</v>
      </c>
      <c r="Q1227" s="364" t="s">
        <v>652</v>
      </c>
      <c r="R1227" s="364" t="s">
        <v>88</v>
      </c>
      <c r="S1227" s="364" t="s">
        <v>88</v>
      </c>
      <c r="T1227" s="364" t="s">
        <v>88</v>
      </c>
      <c r="U1227" s="364" t="s">
        <v>88</v>
      </c>
      <c r="V1227" s="364" t="s">
        <v>88</v>
      </c>
      <c r="W1227" s="364" t="s">
        <v>88</v>
      </c>
      <c r="X1227" s="364" t="s">
        <v>88</v>
      </c>
      <c r="Y1227" s="364" t="s">
        <v>88</v>
      </c>
      <c r="Z1227" s="364" t="s">
        <v>702</v>
      </c>
      <c r="AA1227" s="364" t="s">
        <v>701</v>
      </c>
      <c r="AB1227" s="364" t="s">
        <v>649</v>
      </c>
      <c r="AC1227" s="364" t="s">
        <v>649</v>
      </c>
      <c r="AD1227" s="364" t="s">
        <v>88</v>
      </c>
      <c r="AE1227" s="364" t="s">
        <v>88</v>
      </c>
      <c r="AF1227" s="364" t="s">
        <v>88</v>
      </c>
      <c r="AG1227" s="364" t="s">
        <v>88</v>
      </c>
      <c r="AH1227" s="364" t="s">
        <v>88</v>
      </c>
      <c r="AI1227" s="364" t="s">
        <v>1199</v>
      </c>
      <c r="AJ1227" s="364" t="s">
        <v>670</v>
      </c>
      <c r="AK1227" s="364" t="s">
        <v>669</v>
      </c>
      <c r="AL1227" s="364" t="s">
        <v>88</v>
      </c>
      <c r="AM1227" s="364" t="s">
        <v>668</v>
      </c>
      <c r="AN1227" s="364" t="s">
        <v>644</v>
      </c>
    </row>
    <row r="1228" spans="1:40" x14ac:dyDescent="0.3">
      <c r="A1228" s="364" t="s">
        <v>1383</v>
      </c>
      <c r="B1228" s="364" t="s">
        <v>661</v>
      </c>
      <c r="C1228" s="364" t="s">
        <v>677</v>
      </c>
      <c r="D1228" s="364" t="s">
        <v>87</v>
      </c>
      <c r="E1228" s="364" t="s">
        <v>1379</v>
      </c>
      <c r="F1228" s="364" t="s">
        <v>1379</v>
      </c>
      <c r="G1228" s="364" t="s">
        <v>658</v>
      </c>
      <c r="H1228" s="364" t="s">
        <v>1382</v>
      </c>
      <c r="I1228" s="364" t="s">
        <v>1381</v>
      </c>
      <c r="J1228" s="364" t="s">
        <v>673</v>
      </c>
      <c r="K1228" s="364" t="s">
        <v>668</v>
      </c>
      <c r="L1228" s="364" t="s">
        <v>190</v>
      </c>
      <c r="M1228" s="364" t="s">
        <v>166</v>
      </c>
      <c r="N1228" s="364" t="s">
        <v>654</v>
      </c>
      <c r="O1228" s="364" t="s">
        <v>653</v>
      </c>
      <c r="P1228" s="364" t="s">
        <v>198</v>
      </c>
      <c r="Q1228" s="364" t="s">
        <v>652</v>
      </c>
      <c r="R1228" s="364" t="s">
        <v>88</v>
      </c>
      <c r="S1228" s="364" t="s">
        <v>88</v>
      </c>
      <c r="T1228" s="364" t="s">
        <v>88</v>
      </c>
      <c r="U1228" s="364" t="s">
        <v>88</v>
      </c>
      <c r="V1228" s="364" t="s">
        <v>88</v>
      </c>
      <c r="W1228" s="364" t="s">
        <v>88</v>
      </c>
      <c r="X1228" s="364" t="s">
        <v>88</v>
      </c>
      <c r="Y1228" s="364" t="s">
        <v>88</v>
      </c>
      <c r="Z1228" s="364" t="s">
        <v>877</v>
      </c>
      <c r="AA1228" s="364" t="s">
        <v>876</v>
      </c>
      <c r="AB1228" s="364" t="s">
        <v>649</v>
      </c>
      <c r="AC1228" s="364" t="s">
        <v>649</v>
      </c>
      <c r="AD1228" s="364" t="s">
        <v>88</v>
      </c>
      <c r="AE1228" s="364" t="s">
        <v>88</v>
      </c>
      <c r="AF1228" s="364" t="s">
        <v>88</v>
      </c>
      <c r="AG1228" s="364" t="s">
        <v>88</v>
      </c>
      <c r="AH1228" s="364" t="s">
        <v>88</v>
      </c>
      <c r="AI1228" s="364" t="s">
        <v>1199</v>
      </c>
      <c r="AJ1228" s="364" t="s">
        <v>670</v>
      </c>
      <c r="AK1228" s="364" t="s">
        <v>669</v>
      </c>
      <c r="AL1228" s="364" t="s">
        <v>88</v>
      </c>
      <c r="AM1228" s="364" t="s">
        <v>668</v>
      </c>
      <c r="AN1228" s="364" t="s">
        <v>644</v>
      </c>
    </row>
    <row r="1229" spans="1:40" x14ac:dyDescent="0.3">
      <c r="A1229" s="364" t="s">
        <v>1380</v>
      </c>
      <c r="B1229" s="364" t="s">
        <v>661</v>
      </c>
      <c r="C1229" s="364" t="s">
        <v>677</v>
      </c>
      <c r="D1229" s="364" t="s">
        <v>87</v>
      </c>
      <c r="E1229" s="364" t="s">
        <v>1379</v>
      </c>
      <c r="F1229" s="364" t="s">
        <v>1379</v>
      </c>
      <c r="G1229" s="364" t="s">
        <v>658</v>
      </c>
      <c r="H1229" s="364" t="s">
        <v>1378</v>
      </c>
      <c r="I1229" s="364" t="s">
        <v>1208</v>
      </c>
      <c r="J1229" s="364" t="s">
        <v>673</v>
      </c>
      <c r="K1229" s="364" t="s">
        <v>668</v>
      </c>
      <c r="L1229" s="364" t="s">
        <v>190</v>
      </c>
      <c r="M1229" s="364" t="s">
        <v>60</v>
      </c>
      <c r="N1229" s="364" t="s">
        <v>654</v>
      </c>
      <c r="O1229" s="364" t="s">
        <v>653</v>
      </c>
      <c r="P1229" s="364" t="s">
        <v>198</v>
      </c>
      <c r="Q1229" s="364" t="s">
        <v>652</v>
      </c>
      <c r="R1229" s="364" t="s">
        <v>88</v>
      </c>
      <c r="S1229" s="364" t="s">
        <v>88</v>
      </c>
      <c r="T1229" s="364" t="s">
        <v>88</v>
      </c>
      <c r="U1229" s="364" t="s">
        <v>88</v>
      </c>
      <c r="V1229" s="364" t="s">
        <v>88</v>
      </c>
      <c r="W1229" s="364" t="s">
        <v>88</v>
      </c>
      <c r="X1229" s="364" t="s">
        <v>88</v>
      </c>
      <c r="Y1229" s="364" t="s">
        <v>88</v>
      </c>
      <c r="Z1229" s="364" t="s">
        <v>709</v>
      </c>
      <c r="AA1229" s="364" t="s">
        <v>708</v>
      </c>
      <c r="AB1229" s="364" t="s">
        <v>649</v>
      </c>
      <c r="AC1229" s="364" t="s">
        <v>649</v>
      </c>
      <c r="AD1229" s="364" t="s">
        <v>88</v>
      </c>
      <c r="AE1229" s="364" t="s">
        <v>88</v>
      </c>
      <c r="AF1229" s="364" t="s">
        <v>88</v>
      </c>
      <c r="AG1229" s="364" t="s">
        <v>88</v>
      </c>
      <c r="AH1229" s="364" t="s">
        <v>88</v>
      </c>
      <c r="AI1229" s="364" t="s">
        <v>1199</v>
      </c>
      <c r="AJ1229" s="364" t="s">
        <v>670</v>
      </c>
      <c r="AK1229" s="364" t="s">
        <v>669</v>
      </c>
      <c r="AL1229" s="364" t="s">
        <v>88</v>
      </c>
      <c r="AM1229" s="364" t="s">
        <v>668</v>
      </c>
      <c r="AN1229" s="364" t="s">
        <v>644</v>
      </c>
    </row>
    <row r="1230" spans="1:40" x14ac:dyDescent="0.3">
      <c r="A1230" s="364" t="s">
        <v>1377</v>
      </c>
      <c r="B1230" s="364" t="s">
        <v>661</v>
      </c>
      <c r="C1230" s="364" t="s">
        <v>677</v>
      </c>
      <c r="D1230" s="364" t="s">
        <v>87</v>
      </c>
      <c r="E1230" s="364" t="s">
        <v>1270</v>
      </c>
      <c r="F1230" s="364" t="s">
        <v>1270</v>
      </c>
      <c r="G1230" s="364" t="s">
        <v>658</v>
      </c>
      <c r="H1230" s="364" t="s">
        <v>1376</v>
      </c>
      <c r="I1230" s="364" t="s">
        <v>1375</v>
      </c>
      <c r="J1230" s="364" t="s">
        <v>673</v>
      </c>
      <c r="K1230" s="364" t="s">
        <v>668</v>
      </c>
      <c r="L1230" s="364" t="s">
        <v>190</v>
      </c>
      <c r="M1230" s="364" t="s">
        <v>58</v>
      </c>
      <c r="N1230" s="364" t="s">
        <v>654</v>
      </c>
      <c r="O1230" s="364" t="s">
        <v>653</v>
      </c>
      <c r="P1230" s="364" t="s">
        <v>198</v>
      </c>
      <c r="Q1230" s="364" t="s">
        <v>652</v>
      </c>
      <c r="R1230" s="364" t="s">
        <v>88</v>
      </c>
      <c r="S1230" s="364" t="s">
        <v>88</v>
      </c>
      <c r="T1230" s="364" t="s">
        <v>88</v>
      </c>
      <c r="U1230" s="364" t="s">
        <v>88</v>
      </c>
      <c r="V1230" s="364" t="s">
        <v>88</v>
      </c>
      <c r="W1230" s="364" t="s">
        <v>88</v>
      </c>
      <c r="X1230" s="364" t="s">
        <v>88</v>
      </c>
      <c r="Y1230" s="364" t="s">
        <v>88</v>
      </c>
      <c r="Z1230" s="364" t="s">
        <v>702</v>
      </c>
      <c r="AA1230" s="364" t="s">
        <v>701</v>
      </c>
      <c r="AB1230" s="364" t="s">
        <v>649</v>
      </c>
      <c r="AC1230" s="364" t="s">
        <v>649</v>
      </c>
      <c r="AD1230" s="364" t="s">
        <v>88</v>
      </c>
      <c r="AE1230" s="364" t="s">
        <v>88</v>
      </c>
      <c r="AF1230" s="364" t="s">
        <v>88</v>
      </c>
      <c r="AG1230" s="364" t="s">
        <v>88</v>
      </c>
      <c r="AH1230" s="364" t="s">
        <v>88</v>
      </c>
      <c r="AI1230" s="364" t="s">
        <v>1199</v>
      </c>
      <c r="AJ1230" s="364" t="s">
        <v>670</v>
      </c>
      <c r="AK1230" s="364" t="s">
        <v>669</v>
      </c>
      <c r="AL1230" s="364" t="s">
        <v>88</v>
      </c>
      <c r="AM1230" s="364" t="s">
        <v>668</v>
      </c>
      <c r="AN1230" s="364" t="s">
        <v>644</v>
      </c>
    </row>
    <row r="1231" spans="1:40" x14ac:dyDescent="0.3">
      <c r="A1231" s="364" t="s">
        <v>1377</v>
      </c>
      <c r="B1231" s="364" t="s">
        <v>661</v>
      </c>
      <c r="C1231" s="364" t="s">
        <v>677</v>
      </c>
      <c r="D1231" s="364" t="s">
        <v>87</v>
      </c>
      <c r="E1231" s="364" t="s">
        <v>1270</v>
      </c>
      <c r="F1231" s="364" t="s">
        <v>1270</v>
      </c>
      <c r="G1231" s="364" t="s">
        <v>658</v>
      </c>
      <c r="H1231" s="364" t="s">
        <v>1376</v>
      </c>
      <c r="I1231" s="364" t="s">
        <v>1375</v>
      </c>
      <c r="J1231" s="364" t="s">
        <v>673</v>
      </c>
      <c r="K1231" s="364" t="s">
        <v>668</v>
      </c>
      <c r="L1231" s="364" t="s">
        <v>190</v>
      </c>
      <c r="M1231" s="364" t="s">
        <v>166</v>
      </c>
      <c r="N1231" s="364" t="s">
        <v>654</v>
      </c>
      <c r="O1231" s="364" t="s">
        <v>653</v>
      </c>
      <c r="P1231" s="364" t="s">
        <v>198</v>
      </c>
      <c r="Q1231" s="364" t="s">
        <v>652</v>
      </c>
      <c r="R1231" s="364" t="s">
        <v>88</v>
      </c>
      <c r="S1231" s="364" t="s">
        <v>88</v>
      </c>
      <c r="T1231" s="364" t="s">
        <v>88</v>
      </c>
      <c r="U1231" s="364" t="s">
        <v>88</v>
      </c>
      <c r="V1231" s="364" t="s">
        <v>88</v>
      </c>
      <c r="W1231" s="364" t="s">
        <v>88</v>
      </c>
      <c r="X1231" s="364" t="s">
        <v>88</v>
      </c>
      <c r="Y1231" s="364" t="s">
        <v>88</v>
      </c>
      <c r="Z1231" s="364" t="s">
        <v>877</v>
      </c>
      <c r="AA1231" s="364" t="s">
        <v>876</v>
      </c>
      <c r="AB1231" s="364" t="s">
        <v>649</v>
      </c>
      <c r="AC1231" s="364" t="s">
        <v>649</v>
      </c>
      <c r="AD1231" s="364" t="s">
        <v>88</v>
      </c>
      <c r="AE1231" s="364" t="s">
        <v>88</v>
      </c>
      <c r="AF1231" s="364" t="s">
        <v>88</v>
      </c>
      <c r="AG1231" s="364" t="s">
        <v>88</v>
      </c>
      <c r="AH1231" s="364" t="s">
        <v>88</v>
      </c>
      <c r="AI1231" s="364" t="s">
        <v>1199</v>
      </c>
      <c r="AJ1231" s="364" t="s">
        <v>670</v>
      </c>
      <c r="AK1231" s="364" t="s">
        <v>669</v>
      </c>
      <c r="AL1231" s="364" t="s">
        <v>88</v>
      </c>
      <c r="AM1231" s="364" t="s">
        <v>668</v>
      </c>
      <c r="AN1231" s="364" t="s">
        <v>644</v>
      </c>
    </row>
    <row r="1232" spans="1:40" x14ac:dyDescent="0.3">
      <c r="A1232" s="364" t="s">
        <v>1374</v>
      </c>
      <c r="B1232" s="364" t="s">
        <v>661</v>
      </c>
      <c r="C1232" s="364" t="s">
        <v>677</v>
      </c>
      <c r="D1232" s="364" t="s">
        <v>87</v>
      </c>
      <c r="E1232" s="364" t="s">
        <v>1270</v>
      </c>
      <c r="F1232" s="364" t="s">
        <v>1270</v>
      </c>
      <c r="G1232" s="364" t="s">
        <v>658</v>
      </c>
      <c r="H1232" s="364" t="s">
        <v>1373</v>
      </c>
      <c r="I1232" s="364" t="s">
        <v>1208</v>
      </c>
      <c r="J1232" s="364" t="s">
        <v>673</v>
      </c>
      <c r="K1232" s="364" t="s">
        <v>668</v>
      </c>
      <c r="L1232" s="364" t="s">
        <v>190</v>
      </c>
      <c r="M1232" s="364" t="s">
        <v>60</v>
      </c>
      <c r="N1232" s="364" t="s">
        <v>654</v>
      </c>
      <c r="O1232" s="364" t="s">
        <v>653</v>
      </c>
      <c r="P1232" s="364" t="s">
        <v>198</v>
      </c>
      <c r="Q1232" s="364" t="s">
        <v>652</v>
      </c>
      <c r="R1232" s="364" t="s">
        <v>88</v>
      </c>
      <c r="S1232" s="364" t="s">
        <v>88</v>
      </c>
      <c r="T1232" s="364" t="s">
        <v>88</v>
      </c>
      <c r="U1232" s="364" t="s">
        <v>88</v>
      </c>
      <c r="V1232" s="364" t="s">
        <v>88</v>
      </c>
      <c r="W1232" s="364" t="s">
        <v>88</v>
      </c>
      <c r="X1232" s="364" t="s">
        <v>88</v>
      </c>
      <c r="Y1232" s="364" t="s">
        <v>88</v>
      </c>
      <c r="Z1232" s="364" t="s">
        <v>709</v>
      </c>
      <c r="AA1232" s="364" t="s">
        <v>708</v>
      </c>
      <c r="AB1232" s="364" t="s">
        <v>649</v>
      </c>
      <c r="AC1232" s="364" t="s">
        <v>649</v>
      </c>
      <c r="AD1232" s="364" t="s">
        <v>88</v>
      </c>
      <c r="AE1232" s="364" t="s">
        <v>88</v>
      </c>
      <c r="AF1232" s="364" t="s">
        <v>88</v>
      </c>
      <c r="AG1232" s="364" t="s">
        <v>88</v>
      </c>
      <c r="AH1232" s="364" t="s">
        <v>88</v>
      </c>
      <c r="AI1232" s="364" t="s">
        <v>1199</v>
      </c>
      <c r="AJ1232" s="364" t="s">
        <v>670</v>
      </c>
      <c r="AK1232" s="364" t="s">
        <v>669</v>
      </c>
      <c r="AL1232" s="364" t="s">
        <v>88</v>
      </c>
      <c r="AM1232" s="364" t="s">
        <v>668</v>
      </c>
      <c r="AN1232" s="364" t="s">
        <v>644</v>
      </c>
    </row>
    <row r="1233" spans="1:40" x14ac:dyDescent="0.3">
      <c r="A1233" s="364" t="s">
        <v>1372</v>
      </c>
      <c r="B1233" s="364" t="s">
        <v>661</v>
      </c>
      <c r="C1233" s="364" t="s">
        <v>677</v>
      </c>
      <c r="D1233" s="364" t="s">
        <v>87</v>
      </c>
      <c r="E1233" s="364" t="s">
        <v>1267</v>
      </c>
      <c r="F1233" s="364" t="s">
        <v>1267</v>
      </c>
      <c r="G1233" s="364" t="s">
        <v>658</v>
      </c>
      <c r="H1233" s="364" t="s">
        <v>1371</v>
      </c>
      <c r="I1233" s="364" t="s">
        <v>1208</v>
      </c>
      <c r="J1233" s="364" t="s">
        <v>673</v>
      </c>
      <c r="K1233" s="364" t="s">
        <v>668</v>
      </c>
      <c r="L1233" s="364" t="s">
        <v>190</v>
      </c>
      <c r="M1233" s="364" t="s">
        <v>60</v>
      </c>
      <c r="N1233" s="364" t="s">
        <v>654</v>
      </c>
      <c r="O1233" s="364" t="s">
        <v>653</v>
      </c>
      <c r="P1233" s="364" t="s">
        <v>198</v>
      </c>
      <c r="Q1233" s="364" t="s">
        <v>652</v>
      </c>
      <c r="R1233" s="364" t="s">
        <v>88</v>
      </c>
      <c r="S1233" s="364" t="s">
        <v>88</v>
      </c>
      <c r="T1233" s="364" t="s">
        <v>88</v>
      </c>
      <c r="U1233" s="364" t="s">
        <v>88</v>
      </c>
      <c r="V1233" s="364" t="s">
        <v>88</v>
      </c>
      <c r="W1233" s="364" t="s">
        <v>88</v>
      </c>
      <c r="X1233" s="364" t="s">
        <v>88</v>
      </c>
      <c r="Y1233" s="364" t="s">
        <v>88</v>
      </c>
      <c r="Z1233" s="364" t="s">
        <v>709</v>
      </c>
      <c r="AA1233" s="364" t="s">
        <v>708</v>
      </c>
      <c r="AB1233" s="364" t="s">
        <v>649</v>
      </c>
      <c r="AC1233" s="364" t="s">
        <v>649</v>
      </c>
      <c r="AD1233" s="364" t="s">
        <v>88</v>
      </c>
      <c r="AE1233" s="364" t="s">
        <v>88</v>
      </c>
      <c r="AF1233" s="364" t="s">
        <v>88</v>
      </c>
      <c r="AG1233" s="364" t="s">
        <v>88</v>
      </c>
      <c r="AH1233" s="364" t="s">
        <v>88</v>
      </c>
      <c r="AI1233" s="364" t="s">
        <v>1199</v>
      </c>
      <c r="AJ1233" s="364" t="s">
        <v>670</v>
      </c>
      <c r="AK1233" s="364" t="s">
        <v>669</v>
      </c>
      <c r="AL1233" s="364" t="s">
        <v>88</v>
      </c>
      <c r="AM1233" s="364" t="s">
        <v>668</v>
      </c>
      <c r="AN1233" s="364" t="s">
        <v>644</v>
      </c>
    </row>
    <row r="1234" spans="1:40" x14ac:dyDescent="0.3">
      <c r="A1234" s="364" t="s">
        <v>1370</v>
      </c>
      <c r="B1234" s="364" t="s">
        <v>661</v>
      </c>
      <c r="C1234" s="364" t="s">
        <v>677</v>
      </c>
      <c r="D1234" s="364" t="s">
        <v>87</v>
      </c>
      <c r="E1234" s="364" t="s">
        <v>1267</v>
      </c>
      <c r="F1234" s="364" t="s">
        <v>1267</v>
      </c>
      <c r="G1234" s="364" t="s">
        <v>658</v>
      </c>
      <c r="H1234" s="364" t="s">
        <v>1369</v>
      </c>
      <c r="I1234" s="364" t="s">
        <v>1205</v>
      </c>
      <c r="J1234" s="364" t="s">
        <v>673</v>
      </c>
      <c r="K1234" s="364" t="s">
        <v>668</v>
      </c>
      <c r="L1234" s="364" t="s">
        <v>190</v>
      </c>
      <c r="M1234" s="364" t="s">
        <v>58</v>
      </c>
      <c r="N1234" s="364" t="s">
        <v>654</v>
      </c>
      <c r="O1234" s="364" t="s">
        <v>653</v>
      </c>
      <c r="P1234" s="364" t="s">
        <v>198</v>
      </c>
      <c r="Q1234" s="364" t="s">
        <v>652</v>
      </c>
      <c r="R1234" s="364" t="s">
        <v>88</v>
      </c>
      <c r="S1234" s="364" t="s">
        <v>88</v>
      </c>
      <c r="T1234" s="364" t="s">
        <v>88</v>
      </c>
      <c r="U1234" s="364" t="s">
        <v>88</v>
      </c>
      <c r="V1234" s="364" t="s">
        <v>88</v>
      </c>
      <c r="W1234" s="364" t="s">
        <v>88</v>
      </c>
      <c r="X1234" s="364" t="s">
        <v>88</v>
      </c>
      <c r="Y1234" s="364" t="s">
        <v>88</v>
      </c>
      <c r="Z1234" s="364" t="s">
        <v>702</v>
      </c>
      <c r="AA1234" s="364" t="s">
        <v>701</v>
      </c>
      <c r="AB1234" s="364" t="s">
        <v>649</v>
      </c>
      <c r="AC1234" s="364" t="s">
        <v>649</v>
      </c>
      <c r="AD1234" s="364" t="s">
        <v>88</v>
      </c>
      <c r="AE1234" s="364" t="s">
        <v>88</v>
      </c>
      <c r="AF1234" s="364" t="s">
        <v>88</v>
      </c>
      <c r="AG1234" s="364" t="s">
        <v>88</v>
      </c>
      <c r="AH1234" s="364" t="s">
        <v>88</v>
      </c>
      <c r="AI1234" s="364" t="s">
        <v>1199</v>
      </c>
      <c r="AJ1234" s="364" t="s">
        <v>670</v>
      </c>
      <c r="AK1234" s="364" t="s">
        <v>669</v>
      </c>
      <c r="AL1234" s="364" t="s">
        <v>88</v>
      </c>
      <c r="AM1234" s="364" t="s">
        <v>668</v>
      </c>
      <c r="AN1234" s="364" t="s">
        <v>644</v>
      </c>
    </row>
    <row r="1235" spans="1:40" x14ac:dyDescent="0.3">
      <c r="A1235" s="364" t="s">
        <v>1370</v>
      </c>
      <c r="B1235" s="364" t="s">
        <v>661</v>
      </c>
      <c r="C1235" s="364" t="s">
        <v>677</v>
      </c>
      <c r="D1235" s="364" t="s">
        <v>87</v>
      </c>
      <c r="E1235" s="364" t="s">
        <v>1267</v>
      </c>
      <c r="F1235" s="364" t="s">
        <v>1267</v>
      </c>
      <c r="G1235" s="364" t="s">
        <v>658</v>
      </c>
      <c r="H1235" s="364" t="s">
        <v>1369</v>
      </c>
      <c r="I1235" s="364" t="s">
        <v>1205</v>
      </c>
      <c r="J1235" s="364" t="s">
        <v>673</v>
      </c>
      <c r="K1235" s="364" t="s">
        <v>668</v>
      </c>
      <c r="L1235" s="364" t="s">
        <v>190</v>
      </c>
      <c r="M1235" s="364" t="s">
        <v>166</v>
      </c>
      <c r="N1235" s="364" t="s">
        <v>654</v>
      </c>
      <c r="O1235" s="364" t="s">
        <v>653</v>
      </c>
      <c r="P1235" s="364" t="s">
        <v>198</v>
      </c>
      <c r="Q1235" s="364" t="s">
        <v>652</v>
      </c>
      <c r="R1235" s="364" t="s">
        <v>88</v>
      </c>
      <c r="S1235" s="364" t="s">
        <v>88</v>
      </c>
      <c r="T1235" s="364" t="s">
        <v>88</v>
      </c>
      <c r="U1235" s="364" t="s">
        <v>88</v>
      </c>
      <c r="V1235" s="364" t="s">
        <v>88</v>
      </c>
      <c r="W1235" s="364" t="s">
        <v>88</v>
      </c>
      <c r="X1235" s="364" t="s">
        <v>88</v>
      </c>
      <c r="Y1235" s="364" t="s">
        <v>88</v>
      </c>
      <c r="Z1235" s="364" t="s">
        <v>877</v>
      </c>
      <c r="AA1235" s="364" t="s">
        <v>876</v>
      </c>
      <c r="AB1235" s="364" t="s">
        <v>649</v>
      </c>
      <c r="AC1235" s="364" t="s">
        <v>649</v>
      </c>
      <c r="AD1235" s="364" t="s">
        <v>88</v>
      </c>
      <c r="AE1235" s="364" t="s">
        <v>88</v>
      </c>
      <c r="AF1235" s="364" t="s">
        <v>88</v>
      </c>
      <c r="AG1235" s="364" t="s">
        <v>88</v>
      </c>
      <c r="AH1235" s="364" t="s">
        <v>88</v>
      </c>
      <c r="AI1235" s="364" t="s">
        <v>1199</v>
      </c>
      <c r="AJ1235" s="364" t="s">
        <v>670</v>
      </c>
      <c r="AK1235" s="364" t="s">
        <v>669</v>
      </c>
      <c r="AL1235" s="364" t="s">
        <v>88</v>
      </c>
      <c r="AM1235" s="364" t="s">
        <v>668</v>
      </c>
      <c r="AN1235" s="364" t="s">
        <v>644</v>
      </c>
    </row>
    <row r="1236" spans="1:40" x14ac:dyDescent="0.3">
      <c r="A1236" s="364" t="s">
        <v>1368</v>
      </c>
      <c r="B1236" s="364" t="s">
        <v>661</v>
      </c>
      <c r="C1236" s="364" t="s">
        <v>677</v>
      </c>
      <c r="D1236" s="364" t="s">
        <v>87</v>
      </c>
      <c r="E1236" s="364" t="s">
        <v>1263</v>
      </c>
      <c r="F1236" s="364" t="s">
        <v>1263</v>
      </c>
      <c r="G1236" s="364" t="s">
        <v>658</v>
      </c>
      <c r="H1236" s="364" t="s">
        <v>1367</v>
      </c>
      <c r="I1236" s="364" t="s">
        <v>1205</v>
      </c>
      <c r="J1236" s="364" t="s">
        <v>673</v>
      </c>
      <c r="K1236" s="364" t="s">
        <v>668</v>
      </c>
      <c r="L1236" s="364" t="s">
        <v>190</v>
      </c>
      <c r="M1236" s="364" t="s">
        <v>58</v>
      </c>
      <c r="N1236" s="364" t="s">
        <v>654</v>
      </c>
      <c r="O1236" s="364" t="s">
        <v>653</v>
      </c>
      <c r="P1236" s="364" t="s">
        <v>198</v>
      </c>
      <c r="Q1236" s="364" t="s">
        <v>652</v>
      </c>
      <c r="R1236" s="364" t="s">
        <v>88</v>
      </c>
      <c r="S1236" s="364" t="s">
        <v>88</v>
      </c>
      <c r="T1236" s="364" t="s">
        <v>88</v>
      </c>
      <c r="U1236" s="364" t="s">
        <v>88</v>
      </c>
      <c r="V1236" s="364" t="s">
        <v>88</v>
      </c>
      <c r="W1236" s="364" t="s">
        <v>88</v>
      </c>
      <c r="X1236" s="364" t="s">
        <v>88</v>
      </c>
      <c r="Y1236" s="364" t="s">
        <v>88</v>
      </c>
      <c r="Z1236" s="364" t="s">
        <v>702</v>
      </c>
      <c r="AA1236" s="364" t="s">
        <v>701</v>
      </c>
      <c r="AB1236" s="364" t="s">
        <v>649</v>
      </c>
      <c r="AC1236" s="364" t="s">
        <v>649</v>
      </c>
      <c r="AD1236" s="364" t="s">
        <v>88</v>
      </c>
      <c r="AE1236" s="364" t="s">
        <v>88</v>
      </c>
      <c r="AF1236" s="364" t="s">
        <v>88</v>
      </c>
      <c r="AG1236" s="364" t="s">
        <v>88</v>
      </c>
      <c r="AH1236" s="364" t="s">
        <v>88</v>
      </c>
      <c r="AI1236" s="364" t="s">
        <v>1199</v>
      </c>
      <c r="AJ1236" s="364" t="s">
        <v>670</v>
      </c>
      <c r="AK1236" s="364" t="s">
        <v>669</v>
      </c>
      <c r="AL1236" s="364" t="s">
        <v>88</v>
      </c>
      <c r="AM1236" s="364" t="s">
        <v>668</v>
      </c>
      <c r="AN1236" s="364" t="s">
        <v>644</v>
      </c>
    </row>
    <row r="1237" spans="1:40" x14ac:dyDescent="0.3">
      <c r="A1237" s="364" t="s">
        <v>1368</v>
      </c>
      <c r="B1237" s="364" t="s">
        <v>661</v>
      </c>
      <c r="C1237" s="364" t="s">
        <v>677</v>
      </c>
      <c r="D1237" s="364" t="s">
        <v>87</v>
      </c>
      <c r="E1237" s="364" t="s">
        <v>1263</v>
      </c>
      <c r="F1237" s="364" t="s">
        <v>1263</v>
      </c>
      <c r="G1237" s="364" t="s">
        <v>658</v>
      </c>
      <c r="H1237" s="364" t="s">
        <v>1367</v>
      </c>
      <c r="I1237" s="364" t="s">
        <v>1205</v>
      </c>
      <c r="J1237" s="364" t="s">
        <v>673</v>
      </c>
      <c r="K1237" s="364" t="s">
        <v>668</v>
      </c>
      <c r="L1237" s="364" t="s">
        <v>190</v>
      </c>
      <c r="M1237" s="364" t="s">
        <v>166</v>
      </c>
      <c r="N1237" s="364" t="s">
        <v>654</v>
      </c>
      <c r="O1237" s="364" t="s">
        <v>653</v>
      </c>
      <c r="P1237" s="364" t="s">
        <v>198</v>
      </c>
      <c r="Q1237" s="364" t="s">
        <v>652</v>
      </c>
      <c r="R1237" s="364" t="s">
        <v>88</v>
      </c>
      <c r="S1237" s="364" t="s">
        <v>88</v>
      </c>
      <c r="T1237" s="364" t="s">
        <v>88</v>
      </c>
      <c r="U1237" s="364" t="s">
        <v>88</v>
      </c>
      <c r="V1237" s="364" t="s">
        <v>88</v>
      </c>
      <c r="W1237" s="364" t="s">
        <v>88</v>
      </c>
      <c r="X1237" s="364" t="s">
        <v>88</v>
      </c>
      <c r="Y1237" s="364" t="s">
        <v>88</v>
      </c>
      <c r="Z1237" s="364" t="s">
        <v>877</v>
      </c>
      <c r="AA1237" s="364" t="s">
        <v>876</v>
      </c>
      <c r="AB1237" s="364" t="s">
        <v>649</v>
      </c>
      <c r="AC1237" s="364" t="s">
        <v>649</v>
      </c>
      <c r="AD1237" s="364" t="s">
        <v>88</v>
      </c>
      <c r="AE1237" s="364" t="s">
        <v>88</v>
      </c>
      <c r="AF1237" s="364" t="s">
        <v>88</v>
      </c>
      <c r="AG1237" s="364" t="s">
        <v>88</v>
      </c>
      <c r="AH1237" s="364" t="s">
        <v>88</v>
      </c>
      <c r="AI1237" s="364" t="s">
        <v>1199</v>
      </c>
      <c r="AJ1237" s="364" t="s">
        <v>670</v>
      </c>
      <c r="AK1237" s="364" t="s">
        <v>669</v>
      </c>
      <c r="AL1237" s="364" t="s">
        <v>88</v>
      </c>
      <c r="AM1237" s="364" t="s">
        <v>668</v>
      </c>
      <c r="AN1237" s="364" t="s">
        <v>644</v>
      </c>
    </row>
    <row r="1238" spans="1:40" x14ac:dyDescent="0.3">
      <c r="A1238" s="364" t="s">
        <v>1366</v>
      </c>
      <c r="B1238" s="364" t="s">
        <v>661</v>
      </c>
      <c r="C1238" s="364" t="s">
        <v>677</v>
      </c>
      <c r="D1238" s="364" t="s">
        <v>87</v>
      </c>
      <c r="E1238" s="364" t="s">
        <v>1263</v>
      </c>
      <c r="F1238" s="364" t="s">
        <v>1263</v>
      </c>
      <c r="G1238" s="364" t="s">
        <v>658</v>
      </c>
      <c r="H1238" s="364" t="s">
        <v>1365</v>
      </c>
      <c r="I1238" s="364" t="s">
        <v>1208</v>
      </c>
      <c r="J1238" s="364" t="s">
        <v>673</v>
      </c>
      <c r="K1238" s="364" t="s">
        <v>668</v>
      </c>
      <c r="L1238" s="364" t="s">
        <v>190</v>
      </c>
      <c r="M1238" s="364" t="s">
        <v>60</v>
      </c>
      <c r="N1238" s="364" t="s">
        <v>654</v>
      </c>
      <c r="O1238" s="364" t="s">
        <v>653</v>
      </c>
      <c r="P1238" s="364" t="s">
        <v>198</v>
      </c>
      <c r="Q1238" s="364" t="s">
        <v>652</v>
      </c>
      <c r="R1238" s="364" t="s">
        <v>88</v>
      </c>
      <c r="S1238" s="364" t="s">
        <v>88</v>
      </c>
      <c r="T1238" s="364" t="s">
        <v>88</v>
      </c>
      <c r="U1238" s="364" t="s">
        <v>88</v>
      </c>
      <c r="V1238" s="364" t="s">
        <v>88</v>
      </c>
      <c r="W1238" s="364" t="s">
        <v>88</v>
      </c>
      <c r="X1238" s="364" t="s">
        <v>88</v>
      </c>
      <c r="Y1238" s="364" t="s">
        <v>88</v>
      </c>
      <c r="Z1238" s="364" t="s">
        <v>709</v>
      </c>
      <c r="AA1238" s="364" t="s">
        <v>708</v>
      </c>
      <c r="AB1238" s="364" t="s">
        <v>649</v>
      </c>
      <c r="AC1238" s="364" t="s">
        <v>649</v>
      </c>
      <c r="AD1238" s="364" t="s">
        <v>88</v>
      </c>
      <c r="AE1238" s="364" t="s">
        <v>88</v>
      </c>
      <c r="AF1238" s="364" t="s">
        <v>88</v>
      </c>
      <c r="AG1238" s="364" t="s">
        <v>88</v>
      </c>
      <c r="AH1238" s="364" t="s">
        <v>88</v>
      </c>
      <c r="AI1238" s="364" t="s">
        <v>1199</v>
      </c>
      <c r="AJ1238" s="364" t="s">
        <v>670</v>
      </c>
      <c r="AK1238" s="364" t="s">
        <v>669</v>
      </c>
      <c r="AL1238" s="364" t="s">
        <v>88</v>
      </c>
      <c r="AM1238" s="364" t="s">
        <v>668</v>
      </c>
      <c r="AN1238" s="364" t="s">
        <v>644</v>
      </c>
    </row>
    <row r="1239" spans="1:40" x14ac:dyDescent="0.3">
      <c r="A1239" s="364" t="s">
        <v>1364</v>
      </c>
      <c r="B1239" s="364" t="s">
        <v>661</v>
      </c>
      <c r="C1239" s="364" t="s">
        <v>677</v>
      </c>
      <c r="D1239" s="364" t="s">
        <v>87</v>
      </c>
      <c r="E1239" s="364" t="s">
        <v>1259</v>
      </c>
      <c r="F1239" s="364" t="s">
        <v>1259</v>
      </c>
      <c r="G1239" s="364" t="s">
        <v>658</v>
      </c>
      <c r="H1239" s="364" t="s">
        <v>992</v>
      </c>
      <c r="I1239" s="364" t="s">
        <v>1361</v>
      </c>
      <c r="J1239" s="364" t="s">
        <v>673</v>
      </c>
      <c r="K1239" s="364" t="s">
        <v>668</v>
      </c>
      <c r="L1239" s="364" t="s">
        <v>190</v>
      </c>
      <c r="M1239" s="364" t="s">
        <v>60</v>
      </c>
      <c r="N1239" s="364" t="s">
        <v>654</v>
      </c>
      <c r="O1239" s="364" t="s">
        <v>653</v>
      </c>
      <c r="P1239" s="364" t="s">
        <v>198</v>
      </c>
      <c r="Q1239" s="364" t="s">
        <v>652</v>
      </c>
      <c r="R1239" s="364" t="s">
        <v>88</v>
      </c>
      <c r="S1239" s="364" t="s">
        <v>88</v>
      </c>
      <c r="T1239" s="364" t="s">
        <v>88</v>
      </c>
      <c r="U1239" s="364" t="s">
        <v>88</v>
      </c>
      <c r="V1239" s="364" t="s">
        <v>88</v>
      </c>
      <c r="W1239" s="364" t="s">
        <v>88</v>
      </c>
      <c r="X1239" s="364" t="s">
        <v>88</v>
      </c>
      <c r="Y1239" s="364" t="s">
        <v>88</v>
      </c>
      <c r="Z1239" s="364" t="s">
        <v>709</v>
      </c>
      <c r="AA1239" s="364" t="s">
        <v>708</v>
      </c>
      <c r="AB1239" s="364" t="s">
        <v>649</v>
      </c>
      <c r="AC1239" s="364" t="s">
        <v>649</v>
      </c>
      <c r="AD1239" s="364" t="s">
        <v>88</v>
      </c>
      <c r="AE1239" s="364" t="s">
        <v>88</v>
      </c>
      <c r="AF1239" s="364" t="s">
        <v>88</v>
      </c>
      <c r="AG1239" s="364" t="s">
        <v>88</v>
      </c>
      <c r="AH1239" s="364" t="s">
        <v>88</v>
      </c>
      <c r="AI1239" s="364" t="s">
        <v>1199</v>
      </c>
      <c r="AJ1239" s="364" t="s">
        <v>670</v>
      </c>
      <c r="AK1239" s="364" t="s">
        <v>669</v>
      </c>
      <c r="AL1239" s="364" t="s">
        <v>88</v>
      </c>
      <c r="AM1239" s="364" t="s">
        <v>668</v>
      </c>
      <c r="AN1239" s="364" t="s">
        <v>644</v>
      </c>
    </row>
    <row r="1240" spans="1:40" x14ac:dyDescent="0.3">
      <c r="A1240" s="364" t="s">
        <v>1363</v>
      </c>
      <c r="B1240" s="364" t="s">
        <v>661</v>
      </c>
      <c r="C1240" s="364" t="s">
        <v>677</v>
      </c>
      <c r="D1240" s="364" t="s">
        <v>87</v>
      </c>
      <c r="E1240" s="364" t="s">
        <v>1256</v>
      </c>
      <c r="F1240" s="364" t="s">
        <v>1256</v>
      </c>
      <c r="G1240" s="364" t="s">
        <v>658</v>
      </c>
      <c r="H1240" s="364" t="s">
        <v>684</v>
      </c>
      <c r="I1240" s="364" t="s">
        <v>1359</v>
      </c>
      <c r="J1240" s="364" t="s">
        <v>673</v>
      </c>
      <c r="K1240" s="364" t="s">
        <v>668</v>
      </c>
      <c r="L1240" s="364" t="s">
        <v>190</v>
      </c>
      <c r="M1240" s="364" t="s">
        <v>60</v>
      </c>
      <c r="N1240" s="364" t="s">
        <v>654</v>
      </c>
      <c r="O1240" s="364" t="s">
        <v>653</v>
      </c>
      <c r="P1240" s="364" t="s">
        <v>198</v>
      </c>
      <c r="Q1240" s="364" t="s">
        <v>652</v>
      </c>
      <c r="R1240" s="364" t="s">
        <v>88</v>
      </c>
      <c r="S1240" s="364" t="s">
        <v>88</v>
      </c>
      <c r="T1240" s="364" t="s">
        <v>88</v>
      </c>
      <c r="U1240" s="364" t="s">
        <v>88</v>
      </c>
      <c r="V1240" s="364" t="s">
        <v>88</v>
      </c>
      <c r="W1240" s="364" t="s">
        <v>88</v>
      </c>
      <c r="X1240" s="364" t="s">
        <v>88</v>
      </c>
      <c r="Y1240" s="364" t="s">
        <v>88</v>
      </c>
      <c r="Z1240" s="364" t="s">
        <v>709</v>
      </c>
      <c r="AA1240" s="364" t="s">
        <v>708</v>
      </c>
      <c r="AB1240" s="364" t="s">
        <v>649</v>
      </c>
      <c r="AC1240" s="364" t="s">
        <v>649</v>
      </c>
      <c r="AD1240" s="364" t="s">
        <v>88</v>
      </c>
      <c r="AE1240" s="364" t="s">
        <v>88</v>
      </c>
      <c r="AF1240" s="364" t="s">
        <v>88</v>
      </c>
      <c r="AG1240" s="364" t="s">
        <v>88</v>
      </c>
      <c r="AH1240" s="364" t="s">
        <v>88</v>
      </c>
      <c r="AI1240" s="364" t="s">
        <v>1199</v>
      </c>
      <c r="AJ1240" s="364" t="s">
        <v>670</v>
      </c>
      <c r="AK1240" s="364" t="s">
        <v>669</v>
      </c>
      <c r="AL1240" s="364" t="s">
        <v>88</v>
      </c>
      <c r="AM1240" s="364" t="s">
        <v>668</v>
      </c>
      <c r="AN1240" s="364" t="s">
        <v>644</v>
      </c>
    </row>
    <row r="1241" spans="1:40" x14ac:dyDescent="0.3">
      <c r="A1241" s="364" t="s">
        <v>1362</v>
      </c>
      <c r="B1241" s="364" t="s">
        <v>661</v>
      </c>
      <c r="C1241" s="364" t="s">
        <v>677</v>
      </c>
      <c r="D1241" s="364" t="s">
        <v>87</v>
      </c>
      <c r="E1241" s="364" t="s">
        <v>1259</v>
      </c>
      <c r="F1241" s="364" t="s">
        <v>1259</v>
      </c>
      <c r="G1241" s="364" t="s">
        <v>658</v>
      </c>
      <c r="H1241" s="364" t="s">
        <v>992</v>
      </c>
      <c r="I1241" s="364" t="s">
        <v>1361</v>
      </c>
      <c r="J1241" s="364" t="s">
        <v>673</v>
      </c>
      <c r="K1241" s="364" t="s">
        <v>668</v>
      </c>
      <c r="L1241" s="364" t="s">
        <v>190</v>
      </c>
      <c r="M1241" s="364" t="s">
        <v>58</v>
      </c>
      <c r="N1241" s="364" t="s">
        <v>654</v>
      </c>
      <c r="O1241" s="364" t="s">
        <v>653</v>
      </c>
      <c r="P1241" s="364" t="s">
        <v>198</v>
      </c>
      <c r="Q1241" s="364" t="s">
        <v>652</v>
      </c>
      <c r="R1241" s="364" t="s">
        <v>88</v>
      </c>
      <c r="S1241" s="364" t="s">
        <v>88</v>
      </c>
      <c r="T1241" s="364" t="s">
        <v>88</v>
      </c>
      <c r="U1241" s="364" t="s">
        <v>88</v>
      </c>
      <c r="V1241" s="364" t="s">
        <v>88</v>
      </c>
      <c r="W1241" s="364" t="s">
        <v>88</v>
      </c>
      <c r="X1241" s="364" t="s">
        <v>88</v>
      </c>
      <c r="Y1241" s="364" t="s">
        <v>88</v>
      </c>
      <c r="Z1241" s="364" t="s">
        <v>702</v>
      </c>
      <c r="AA1241" s="364" t="s">
        <v>701</v>
      </c>
      <c r="AB1241" s="364" t="s">
        <v>649</v>
      </c>
      <c r="AC1241" s="364" t="s">
        <v>649</v>
      </c>
      <c r="AD1241" s="364" t="s">
        <v>88</v>
      </c>
      <c r="AE1241" s="364" t="s">
        <v>88</v>
      </c>
      <c r="AF1241" s="364" t="s">
        <v>88</v>
      </c>
      <c r="AG1241" s="364" t="s">
        <v>88</v>
      </c>
      <c r="AH1241" s="364" t="s">
        <v>88</v>
      </c>
      <c r="AI1241" s="364" t="s">
        <v>1199</v>
      </c>
      <c r="AJ1241" s="364" t="s">
        <v>670</v>
      </c>
      <c r="AK1241" s="364" t="s">
        <v>669</v>
      </c>
      <c r="AL1241" s="364" t="s">
        <v>88</v>
      </c>
      <c r="AM1241" s="364" t="s">
        <v>668</v>
      </c>
      <c r="AN1241" s="364" t="s">
        <v>644</v>
      </c>
    </row>
    <row r="1242" spans="1:40" x14ac:dyDescent="0.3">
      <c r="A1242" s="364" t="s">
        <v>1362</v>
      </c>
      <c r="B1242" s="364" t="s">
        <v>661</v>
      </c>
      <c r="C1242" s="364" t="s">
        <v>677</v>
      </c>
      <c r="D1242" s="364" t="s">
        <v>87</v>
      </c>
      <c r="E1242" s="364" t="s">
        <v>1259</v>
      </c>
      <c r="F1242" s="364" t="s">
        <v>1259</v>
      </c>
      <c r="G1242" s="364" t="s">
        <v>658</v>
      </c>
      <c r="H1242" s="364" t="s">
        <v>992</v>
      </c>
      <c r="I1242" s="364" t="s">
        <v>1361</v>
      </c>
      <c r="J1242" s="364" t="s">
        <v>673</v>
      </c>
      <c r="K1242" s="364" t="s">
        <v>668</v>
      </c>
      <c r="L1242" s="364" t="s">
        <v>190</v>
      </c>
      <c r="M1242" s="364" t="s">
        <v>166</v>
      </c>
      <c r="N1242" s="364" t="s">
        <v>654</v>
      </c>
      <c r="O1242" s="364" t="s">
        <v>653</v>
      </c>
      <c r="P1242" s="364" t="s">
        <v>198</v>
      </c>
      <c r="Q1242" s="364" t="s">
        <v>652</v>
      </c>
      <c r="R1242" s="364" t="s">
        <v>88</v>
      </c>
      <c r="S1242" s="364" t="s">
        <v>88</v>
      </c>
      <c r="T1242" s="364" t="s">
        <v>88</v>
      </c>
      <c r="U1242" s="364" t="s">
        <v>88</v>
      </c>
      <c r="V1242" s="364" t="s">
        <v>88</v>
      </c>
      <c r="W1242" s="364" t="s">
        <v>88</v>
      </c>
      <c r="X1242" s="364" t="s">
        <v>88</v>
      </c>
      <c r="Y1242" s="364" t="s">
        <v>88</v>
      </c>
      <c r="Z1242" s="364" t="s">
        <v>877</v>
      </c>
      <c r="AA1242" s="364" t="s">
        <v>876</v>
      </c>
      <c r="AB1242" s="364" t="s">
        <v>649</v>
      </c>
      <c r="AC1242" s="364" t="s">
        <v>649</v>
      </c>
      <c r="AD1242" s="364" t="s">
        <v>88</v>
      </c>
      <c r="AE1242" s="364" t="s">
        <v>88</v>
      </c>
      <c r="AF1242" s="364" t="s">
        <v>88</v>
      </c>
      <c r="AG1242" s="364" t="s">
        <v>88</v>
      </c>
      <c r="AH1242" s="364" t="s">
        <v>88</v>
      </c>
      <c r="AI1242" s="364" t="s">
        <v>1199</v>
      </c>
      <c r="AJ1242" s="364" t="s">
        <v>670</v>
      </c>
      <c r="AK1242" s="364" t="s">
        <v>669</v>
      </c>
      <c r="AL1242" s="364" t="s">
        <v>88</v>
      </c>
      <c r="AM1242" s="364" t="s">
        <v>668</v>
      </c>
      <c r="AN1242" s="364" t="s">
        <v>644</v>
      </c>
    </row>
    <row r="1243" spans="1:40" x14ac:dyDescent="0.3">
      <c r="A1243" s="364" t="s">
        <v>1360</v>
      </c>
      <c r="B1243" s="364" t="s">
        <v>661</v>
      </c>
      <c r="C1243" s="364" t="s">
        <v>677</v>
      </c>
      <c r="D1243" s="364" t="s">
        <v>87</v>
      </c>
      <c r="E1243" s="364" t="s">
        <v>1256</v>
      </c>
      <c r="F1243" s="364" t="s">
        <v>1256</v>
      </c>
      <c r="G1243" s="364" t="s">
        <v>658</v>
      </c>
      <c r="H1243" s="364" t="s">
        <v>684</v>
      </c>
      <c r="I1243" s="364" t="s">
        <v>1359</v>
      </c>
      <c r="J1243" s="364" t="s">
        <v>673</v>
      </c>
      <c r="K1243" s="364" t="s">
        <v>668</v>
      </c>
      <c r="L1243" s="364" t="s">
        <v>190</v>
      </c>
      <c r="M1243" s="364" t="s">
        <v>58</v>
      </c>
      <c r="N1243" s="364" t="s">
        <v>654</v>
      </c>
      <c r="O1243" s="364" t="s">
        <v>653</v>
      </c>
      <c r="P1243" s="364" t="s">
        <v>198</v>
      </c>
      <c r="Q1243" s="364" t="s">
        <v>652</v>
      </c>
      <c r="R1243" s="364" t="s">
        <v>88</v>
      </c>
      <c r="S1243" s="364" t="s">
        <v>88</v>
      </c>
      <c r="T1243" s="364" t="s">
        <v>88</v>
      </c>
      <c r="U1243" s="364" t="s">
        <v>88</v>
      </c>
      <c r="V1243" s="364" t="s">
        <v>88</v>
      </c>
      <c r="W1243" s="364" t="s">
        <v>88</v>
      </c>
      <c r="X1243" s="364" t="s">
        <v>88</v>
      </c>
      <c r="Y1243" s="364" t="s">
        <v>88</v>
      </c>
      <c r="Z1243" s="364" t="s">
        <v>702</v>
      </c>
      <c r="AA1243" s="364" t="s">
        <v>701</v>
      </c>
      <c r="AB1243" s="364" t="s">
        <v>649</v>
      </c>
      <c r="AC1243" s="364" t="s">
        <v>649</v>
      </c>
      <c r="AD1243" s="364" t="s">
        <v>88</v>
      </c>
      <c r="AE1243" s="364" t="s">
        <v>88</v>
      </c>
      <c r="AF1243" s="364" t="s">
        <v>88</v>
      </c>
      <c r="AG1243" s="364" t="s">
        <v>88</v>
      </c>
      <c r="AH1243" s="364" t="s">
        <v>88</v>
      </c>
      <c r="AI1243" s="364" t="s">
        <v>1199</v>
      </c>
      <c r="AJ1243" s="364" t="s">
        <v>670</v>
      </c>
      <c r="AK1243" s="364" t="s">
        <v>669</v>
      </c>
      <c r="AL1243" s="364" t="s">
        <v>88</v>
      </c>
      <c r="AM1243" s="364" t="s">
        <v>668</v>
      </c>
      <c r="AN1243" s="364" t="s">
        <v>644</v>
      </c>
    </row>
    <row r="1244" spans="1:40" x14ac:dyDescent="0.3">
      <c r="A1244" s="364" t="s">
        <v>1360</v>
      </c>
      <c r="B1244" s="364" t="s">
        <v>661</v>
      </c>
      <c r="C1244" s="364" t="s">
        <v>677</v>
      </c>
      <c r="D1244" s="364" t="s">
        <v>87</v>
      </c>
      <c r="E1244" s="364" t="s">
        <v>1256</v>
      </c>
      <c r="F1244" s="364" t="s">
        <v>1256</v>
      </c>
      <c r="G1244" s="364" t="s">
        <v>658</v>
      </c>
      <c r="H1244" s="364" t="s">
        <v>684</v>
      </c>
      <c r="I1244" s="364" t="s">
        <v>1359</v>
      </c>
      <c r="J1244" s="364" t="s">
        <v>673</v>
      </c>
      <c r="K1244" s="364" t="s">
        <v>668</v>
      </c>
      <c r="L1244" s="364" t="s">
        <v>190</v>
      </c>
      <c r="M1244" s="364" t="s">
        <v>166</v>
      </c>
      <c r="N1244" s="364" t="s">
        <v>654</v>
      </c>
      <c r="O1244" s="364" t="s">
        <v>653</v>
      </c>
      <c r="P1244" s="364" t="s">
        <v>198</v>
      </c>
      <c r="Q1244" s="364" t="s">
        <v>652</v>
      </c>
      <c r="R1244" s="364" t="s">
        <v>88</v>
      </c>
      <c r="S1244" s="364" t="s">
        <v>88</v>
      </c>
      <c r="T1244" s="364" t="s">
        <v>88</v>
      </c>
      <c r="U1244" s="364" t="s">
        <v>88</v>
      </c>
      <c r="V1244" s="364" t="s">
        <v>88</v>
      </c>
      <c r="W1244" s="364" t="s">
        <v>88</v>
      </c>
      <c r="X1244" s="364" t="s">
        <v>88</v>
      </c>
      <c r="Y1244" s="364" t="s">
        <v>88</v>
      </c>
      <c r="Z1244" s="364" t="s">
        <v>877</v>
      </c>
      <c r="AA1244" s="364" t="s">
        <v>876</v>
      </c>
      <c r="AB1244" s="364" t="s">
        <v>649</v>
      </c>
      <c r="AC1244" s="364" t="s">
        <v>649</v>
      </c>
      <c r="AD1244" s="364" t="s">
        <v>88</v>
      </c>
      <c r="AE1244" s="364" t="s">
        <v>88</v>
      </c>
      <c r="AF1244" s="364" t="s">
        <v>88</v>
      </c>
      <c r="AG1244" s="364" t="s">
        <v>88</v>
      </c>
      <c r="AH1244" s="364" t="s">
        <v>88</v>
      </c>
      <c r="AI1244" s="364" t="s">
        <v>1199</v>
      </c>
      <c r="AJ1244" s="364" t="s">
        <v>670</v>
      </c>
      <c r="AK1244" s="364" t="s">
        <v>669</v>
      </c>
      <c r="AL1244" s="364" t="s">
        <v>88</v>
      </c>
      <c r="AM1244" s="364" t="s">
        <v>668</v>
      </c>
      <c r="AN1244" s="364" t="s">
        <v>644</v>
      </c>
    </row>
    <row r="1245" spans="1:40" x14ac:dyDescent="0.3">
      <c r="A1245" s="364" t="s">
        <v>1358</v>
      </c>
      <c r="B1245" s="364" t="s">
        <v>661</v>
      </c>
      <c r="C1245" s="364" t="s">
        <v>1160</v>
      </c>
      <c r="D1245" s="364" t="s">
        <v>87</v>
      </c>
      <c r="E1245" s="364" t="s">
        <v>1256</v>
      </c>
      <c r="F1245" s="364" t="s">
        <v>1256</v>
      </c>
      <c r="G1245" s="364" t="s">
        <v>658</v>
      </c>
      <c r="H1245" s="364" t="s">
        <v>1357</v>
      </c>
      <c r="I1245" s="364" t="s">
        <v>88</v>
      </c>
      <c r="J1245" s="364" t="s">
        <v>88</v>
      </c>
      <c r="K1245" s="364" t="s">
        <v>88</v>
      </c>
      <c r="L1245" s="364" t="s">
        <v>88</v>
      </c>
      <c r="M1245" s="364" t="s">
        <v>138</v>
      </c>
      <c r="N1245" s="364" t="s">
        <v>654</v>
      </c>
      <c r="O1245" s="364" t="s">
        <v>653</v>
      </c>
      <c r="P1245" s="364" t="s">
        <v>88</v>
      </c>
      <c r="Q1245" s="364" t="s">
        <v>88</v>
      </c>
      <c r="R1245" s="364" t="s">
        <v>88</v>
      </c>
      <c r="S1245" s="364" t="s">
        <v>88</v>
      </c>
      <c r="T1245" s="364" t="s">
        <v>88</v>
      </c>
      <c r="U1245" s="364" t="s">
        <v>88</v>
      </c>
      <c r="V1245" s="364" t="s">
        <v>88</v>
      </c>
      <c r="W1245" s="364" t="s">
        <v>88</v>
      </c>
      <c r="X1245" s="364" t="s">
        <v>88</v>
      </c>
      <c r="Y1245" s="364" t="s">
        <v>88</v>
      </c>
      <c r="Z1245" s="364" t="s">
        <v>88</v>
      </c>
      <c r="AA1245" s="364" t="s">
        <v>649</v>
      </c>
      <c r="AB1245" s="364" t="s">
        <v>88</v>
      </c>
      <c r="AC1245" s="364" t="s">
        <v>88</v>
      </c>
      <c r="AD1245" s="364" t="s">
        <v>88</v>
      </c>
      <c r="AE1245" s="364" t="s">
        <v>88</v>
      </c>
      <c r="AF1245" s="364" t="s">
        <v>88</v>
      </c>
      <c r="AG1245" s="364" t="s">
        <v>88</v>
      </c>
      <c r="AH1245" s="364" t="s">
        <v>88</v>
      </c>
      <c r="AI1245" s="364" t="s">
        <v>1356</v>
      </c>
      <c r="AJ1245" s="364" t="s">
        <v>793</v>
      </c>
      <c r="AK1245" s="364" t="s">
        <v>88</v>
      </c>
      <c r="AL1245" s="364" t="s">
        <v>88</v>
      </c>
      <c r="AM1245" s="364" t="s">
        <v>88</v>
      </c>
      <c r="AN1245" s="364" t="s">
        <v>792</v>
      </c>
    </row>
    <row r="1246" spans="1:40" x14ac:dyDescent="0.3">
      <c r="A1246" s="364" t="s">
        <v>1355</v>
      </c>
      <c r="B1246" s="364" t="s">
        <v>661</v>
      </c>
      <c r="C1246" s="364" t="s">
        <v>1160</v>
      </c>
      <c r="D1246" s="364" t="s">
        <v>87</v>
      </c>
      <c r="E1246" s="364" t="s">
        <v>1256</v>
      </c>
      <c r="F1246" s="364" t="s">
        <v>1256</v>
      </c>
      <c r="G1246" s="364" t="s">
        <v>658</v>
      </c>
      <c r="H1246" s="364" t="s">
        <v>1354</v>
      </c>
      <c r="I1246" s="364" t="s">
        <v>88</v>
      </c>
      <c r="J1246" s="364" t="s">
        <v>88</v>
      </c>
      <c r="K1246" s="364" t="s">
        <v>88</v>
      </c>
      <c r="L1246" s="364" t="s">
        <v>88</v>
      </c>
      <c r="M1246" s="364" t="s">
        <v>138</v>
      </c>
      <c r="N1246" s="364" t="s">
        <v>654</v>
      </c>
      <c r="O1246" s="364" t="s">
        <v>653</v>
      </c>
      <c r="P1246" s="364" t="s">
        <v>88</v>
      </c>
      <c r="Q1246" s="364" t="s">
        <v>88</v>
      </c>
      <c r="R1246" s="364" t="s">
        <v>88</v>
      </c>
      <c r="S1246" s="364" t="s">
        <v>88</v>
      </c>
      <c r="T1246" s="364" t="s">
        <v>88</v>
      </c>
      <c r="U1246" s="364" t="s">
        <v>88</v>
      </c>
      <c r="V1246" s="364" t="s">
        <v>88</v>
      </c>
      <c r="W1246" s="364" t="s">
        <v>88</v>
      </c>
      <c r="X1246" s="364" t="s">
        <v>88</v>
      </c>
      <c r="Y1246" s="364" t="s">
        <v>88</v>
      </c>
      <c r="Z1246" s="364" t="s">
        <v>88</v>
      </c>
      <c r="AA1246" s="364" t="s">
        <v>649</v>
      </c>
      <c r="AB1246" s="364" t="s">
        <v>88</v>
      </c>
      <c r="AC1246" s="364" t="s">
        <v>88</v>
      </c>
      <c r="AD1246" s="364" t="s">
        <v>88</v>
      </c>
      <c r="AE1246" s="364" t="s">
        <v>88</v>
      </c>
      <c r="AF1246" s="364" t="s">
        <v>88</v>
      </c>
      <c r="AG1246" s="364" t="s">
        <v>88</v>
      </c>
      <c r="AH1246" s="364" t="s">
        <v>88</v>
      </c>
      <c r="AI1246" s="364" t="s">
        <v>1353</v>
      </c>
      <c r="AJ1246" s="364" t="s">
        <v>793</v>
      </c>
      <c r="AK1246" s="364" t="s">
        <v>88</v>
      </c>
      <c r="AL1246" s="364" t="s">
        <v>88</v>
      </c>
      <c r="AM1246" s="364" t="s">
        <v>88</v>
      </c>
      <c r="AN1246" s="364" t="s">
        <v>792</v>
      </c>
    </row>
    <row r="1247" spans="1:40" x14ac:dyDescent="0.3">
      <c r="A1247" s="364" t="s">
        <v>1352</v>
      </c>
      <c r="B1247" s="364" t="s">
        <v>661</v>
      </c>
      <c r="C1247" s="364" t="s">
        <v>1160</v>
      </c>
      <c r="D1247" s="364" t="s">
        <v>87</v>
      </c>
      <c r="E1247" s="364" t="s">
        <v>1256</v>
      </c>
      <c r="F1247" s="364" t="s">
        <v>1256</v>
      </c>
      <c r="G1247" s="364" t="s">
        <v>658</v>
      </c>
      <c r="H1247" s="364" t="s">
        <v>1351</v>
      </c>
      <c r="I1247" s="364" t="s">
        <v>88</v>
      </c>
      <c r="J1247" s="364" t="s">
        <v>88</v>
      </c>
      <c r="K1247" s="364" t="s">
        <v>88</v>
      </c>
      <c r="L1247" s="364" t="s">
        <v>88</v>
      </c>
      <c r="M1247" s="364" t="s">
        <v>138</v>
      </c>
      <c r="N1247" s="364" t="s">
        <v>654</v>
      </c>
      <c r="O1247" s="364" t="s">
        <v>653</v>
      </c>
      <c r="P1247" s="364" t="s">
        <v>88</v>
      </c>
      <c r="Q1247" s="364" t="s">
        <v>88</v>
      </c>
      <c r="R1247" s="364" t="s">
        <v>88</v>
      </c>
      <c r="S1247" s="364" t="s">
        <v>88</v>
      </c>
      <c r="T1247" s="364" t="s">
        <v>88</v>
      </c>
      <c r="U1247" s="364" t="s">
        <v>88</v>
      </c>
      <c r="V1247" s="364" t="s">
        <v>88</v>
      </c>
      <c r="W1247" s="364" t="s">
        <v>88</v>
      </c>
      <c r="X1247" s="364" t="s">
        <v>88</v>
      </c>
      <c r="Y1247" s="364" t="s">
        <v>88</v>
      </c>
      <c r="Z1247" s="364" t="s">
        <v>88</v>
      </c>
      <c r="AA1247" s="364" t="s">
        <v>649</v>
      </c>
      <c r="AB1247" s="364" t="s">
        <v>88</v>
      </c>
      <c r="AC1247" s="364" t="s">
        <v>88</v>
      </c>
      <c r="AD1247" s="364" t="s">
        <v>88</v>
      </c>
      <c r="AE1247" s="364" t="s">
        <v>88</v>
      </c>
      <c r="AF1247" s="364" t="s">
        <v>88</v>
      </c>
      <c r="AG1247" s="364" t="s">
        <v>88</v>
      </c>
      <c r="AH1247" s="364" t="s">
        <v>88</v>
      </c>
      <c r="AI1247" s="364" t="s">
        <v>1350</v>
      </c>
      <c r="AJ1247" s="364" t="s">
        <v>793</v>
      </c>
      <c r="AK1247" s="364" t="s">
        <v>88</v>
      </c>
      <c r="AL1247" s="364" t="s">
        <v>88</v>
      </c>
      <c r="AM1247" s="364" t="s">
        <v>88</v>
      </c>
      <c r="AN1247" s="364" t="s">
        <v>792</v>
      </c>
    </row>
    <row r="1248" spans="1:40" x14ac:dyDescent="0.3">
      <c r="A1248" s="364" t="s">
        <v>1349</v>
      </c>
      <c r="B1248" s="364" t="s">
        <v>661</v>
      </c>
      <c r="C1248" s="364" t="s">
        <v>1160</v>
      </c>
      <c r="D1248" s="364" t="s">
        <v>87</v>
      </c>
      <c r="E1248" s="364" t="s">
        <v>1256</v>
      </c>
      <c r="F1248" s="364" t="s">
        <v>1256</v>
      </c>
      <c r="G1248" s="364" t="s">
        <v>658</v>
      </c>
      <c r="H1248" s="364" t="s">
        <v>1348</v>
      </c>
      <c r="I1248" s="364" t="s">
        <v>88</v>
      </c>
      <c r="J1248" s="364" t="s">
        <v>88</v>
      </c>
      <c r="K1248" s="364" t="s">
        <v>88</v>
      </c>
      <c r="L1248" s="364" t="s">
        <v>88</v>
      </c>
      <c r="M1248" s="364" t="s">
        <v>138</v>
      </c>
      <c r="N1248" s="364" t="s">
        <v>654</v>
      </c>
      <c r="O1248" s="364" t="s">
        <v>653</v>
      </c>
      <c r="P1248" s="364" t="s">
        <v>88</v>
      </c>
      <c r="Q1248" s="364" t="s">
        <v>88</v>
      </c>
      <c r="R1248" s="364" t="s">
        <v>88</v>
      </c>
      <c r="S1248" s="364" t="s">
        <v>88</v>
      </c>
      <c r="T1248" s="364" t="s">
        <v>88</v>
      </c>
      <c r="U1248" s="364" t="s">
        <v>88</v>
      </c>
      <c r="V1248" s="364" t="s">
        <v>88</v>
      </c>
      <c r="W1248" s="364" t="s">
        <v>88</v>
      </c>
      <c r="X1248" s="364" t="s">
        <v>88</v>
      </c>
      <c r="Y1248" s="364" t="s">
        <v>88</v>
      </c>
      <c r="Z1248" s="364" t="s">
        <v>88</v>
      </c>
      <c r="AA1248" s="364" t="s">
        <v>649</v>
      </c>
      <c r="AB1248" s="364" t="s">
        <v>88</v>
      </c>
      <c r="AC1248" s="364" t="s">
        <v>88</v>
      </c>
      <c r="AD1248" s="364" t="s">
        <v>88</v>
      </c>
      <c r="AE1248" s="364" t="s">
        <v>88</v>
      </c>
      <c r="AF1248" s="364" t="s">
        <v>88</v>
      </c>
      <c r="AG1248" s="364" t="s">
        <v>88</v>
      </c>
      <c r="AH1248" s="364" t="s">
        <v>88</v>
      </c>
      <c r="AI1248" s="364" t="s">
        <v>1347</v>
      </c>
      <c r="AJ1248" s="364" t="s">
        <v>793</v>
      </c>
      <c r="AK1248" s="364" t="s">
        <v>88</v>
      </c>
      <c r="AL1248" s="364" t="s">
        <v>88</v>
      </c>
      <c r="AM1248" s="364" t="s">
        <v>88</v>
      </c>
      <c r="AN1248" s="364" t="s">
        <v>792</v>
      </c>
    </row>
    <row r="1249" spans="1:40" x14ac:dyDescent="0.3">
      <c r="A1249" s="364" t="s">
        <v>1346</v>
      </c>
      <c r="B1249" s="364" t="s">
        <v>661</v>
      </c>
      <c r="C1249" s="364" t="s">
        <v>1160</v>
      </c>
      <c r="D1249" s="364" t="s">
        <v>87</v>
      </c>
      <c r="E1249" s="364" t="s">
        <v>1256</v>
      </c>
      <c r="F1249" s="364" t="s">
        <v>1256</v>
      </c>
      <c r="G1249" s="364" t="s">
        <v>658</v>
      </c>
      <c r="H1249" s="364" t="s">
        <v>1345</v>
      </c>
      <c r="I1249" s="364" t="s">
        <v>88</v>
      </c>
      <c r="J1249" s="364" t="s">
        <v>88</v>
      </c>
      <c r="K1249" s="364" t="s">
        <v>88</v>
      </c>
      <c r="L1249" s="364" t="s">
        <v>88</v>
      </c>
      <c r="M1249" s="364" t="s">
        <v>138</v>
      </c>
      <c r="N1249" s="364" t="s">
        <v>654</v>
      </c>
      <c r="O1249" s="364" t="s">
        <v>653</v>
      </c>
      <c r="P1249" s="364" t="s">
        <v>88</v>
      </c>
      <c r="Q1249" s="364" t="s">
        <v>88</v>
      </c>
      <c r="R1249" s="364" t="s">
        <v>88</v>
      </c>
      <c r="S1249" s="364" t="s">
        <v>88</v>
      </c>
      <c r="T1249" s="364" t="s">
        <v>88</v>
      </c>
      <c r="U1249" s="364" t="s">
        <v>88</v>
      </c>
      <c r="V1249" s="364" t="s">
        <v>88</v>
      </c>
      <c r="W1249" s="364" t="s">
        <v>88</v>
      </c>
      <c r="X1249" s="364" t="s">
        <v>88</v>
      </c>
      <c r="Y1249" s="364" t="s">
        <v>88</v>
      </c>
      <c r="Z1249" s="364" t="s">
        <v>88</v>
      </c>
      <c r="AA1249" s="364" t="s">
        <v>649</v>
      </c>
      <c r="AB1249" s="364" t="s">
        <v>88</v>
      </c>
      <c r="AC1249" s="364" t="s">
        <v>88</v>
      </c>
      <c r="AD1249" s="364" t="s">
        <v>88</v>
      </c>
      <c r="AE1249" s="364" t="s">
        <v>88</v>
      </c>
      <c r="AF1249" s="364" t="s">
        <v>88</v>
      </c>
      <c r="AG1249" s="364" t="s">
        <v>88</v>
      </c>
      <c r="AH1249" s="364" t="s">
        <v>88</v>
      </c>
      <c r="AI1249" s="364" t="s">
        <v>1344</v>
      </c>
      <c r="AJ1249" s="364" t="s">
        <v>793</v>
      </c>
      <c r="AK1249" s="364" t="s">
        <v>88</v>
      </c>
      <c r="AL1249" s="364" t="s">
        <v>88</v>
      </c>
      <c r="AM1249" s="364" t="s">
        <v>88</v>
      </c>
      <c r="AN1249" s="364" t="s">
        <v>792</v>
      </c>
    </row>
    <row r="1250" spans="1:40" x14ac:dyDescent="0.3">
      <c r="A1250" s="364" t="s">
        <v>1343</v>
      </c>
      <c r="B1250" s="364" t="s">
        <v>661</v>
      </c>
      <c r="C1250" s="364" t="s">
        <v>677</v>
      </c>
      <c r="D1250" s="364" t="s">
        <v>87</v>
      </c>
      <c r="E1250" s="364" t="s">
        <v>800</v>
      </c>
      <c r="F1250" s="364" t="s">
        <v>800</v>
      </c>
      <c r="G1250" s="364" t="s">
        <v>658</v>
      </c>
      <c r="H1250" s="364" t="s">
        <v>1342</v>
      </c>
      <c r="I1250" s="364" t="s">
        <v>1205</v>
      </c>
      <c r="J1250" s="364" t="s">
        <v>673</v>
      </c>
      <c r="K1250" s="364" t="s">
        <v>668</v>
      </c>
      <c r="L1250" s="364" t="s">
        <v>190</v>
      </c>
      <c r="M1250" s="364" t="s">
        <v>58</v>
      </c>
      <c r="N1250" s="364" t="s">
        <v>654</v>
      </c>
      <c r="O1250" s="364" t="s">
        <v>653</v>
      </c>
      <c r="P1250" s="364" t="s">
        <v>198</v>
      </c>
      <c r="Q1250" s="364" t="s">
        <v>652</v>
      </c>
      <c r="R1250" s="364" t="s">
        <v>88</v>
      </c>
      <c r="S1250" s="364" t="s">
        <v>88</v>
      </c>
      <c r="T1250" s="364" t="s">
        <v>88</v>
      </c>
      <c r="U1250" s="364" t="s">
        <v>88</v>
      </c>
      <c r="V1250" s="364" t="s">
        <v>88</v>
      </c>
      <c r="W1250" s="364" t="s">
        <v>88</v>
      </c>
      <c r="X1250" s="364" t="s">
        <v>88</v>
      </c>
      <c r="Y1250" s="364" t="s">
        <v>88</v>
      </c>
      <c r="Z1250" s="364" t="s">
        <v>702</v>
      </c>
      <c r="AA1250" s="364" t="s">
        <v>701</v>
      </c>
      <c r="AB1250" s="364" t="s">
        <v>649</v>
      </c>
      <c r="AC1250" s="364" t="s">
        <v>649</v>
      </c>
      <c r="AD1250" s="364" t="s">
        <v>88</v>
      </c>
      <c r="AE1250" s="364" t="s">
        <v>88</v>
      </c>
      <c r="AF1250" s="364" t="s">
        <v>88</v>
      </c>
      <c r="AG1250" s="364" t="s">
        <v>88</v>
      </c>
      <c r="AH1250" s="364" t="s">
        <v>88</v>
      </c>
      <c r="AI1250" s="364" t="s">
        <v>1199</v>
      </c>
      <c r="AJ1250" s="364" t="s">
        <v>670</v>
      </c>
      <c r="AK1250" s="364" t="s">
        <v>669</v>
      </c>
      <c r="AL1250" s="364" t="s">
        <v>88</v>
      </c>
      <c r="AM1250" s="364" t="s">
        <v>668</v>
      </c>
      <c r="AN1250" s="364" t="s">
        <v>644</v>
      </c>
    </row>
    <row r="1251" spans="1:40" x14ac:dyDescent="0.3">
      <c r="A1251" s="364" t="s">
        <v>1343</v>
      </c>
      <c r="B1251" s="364" t="s">
        <v>661</v>
      </c>
      <c r="C1251" s="364" t="s">
        <v>677</v>
      </c>
      <c r="D1251" s="364" t="s">
        <v>87</v>
      </c>
      <c r="E1251" s="364" t="s">
        <v>800</v>
      </c>
      <c r="F1251" s="364" t="s">
        <v>800</v>
      </c>
      <c r="G1251" s="364" t="s">
        <v>658</v>
      </c>
      <c r="H1251" s="364" t="s">
        <v>1342</v>
      </c>
      <c r="I1251" s="364" t="s">
        <v>1205</v>
      </c>
      <c r="J1251" s="364" t="s">
        <v>673</v>
      </c>
      <c r="K1251" s="364" t="s">
        <v>668</v>
      </c>
      <c r="L1251" s="364" t="s">
        <v>190</v>
      </c>
      <c r="M1251" s="364" t="s">
        <v>166</v>
      </c>
      <c r="N1251" s="364" t="s">
        <v>654</v>
      </c>
      <c r="O1251" s="364" t="s">
        <v>653</v>
      </c>
      <c r="P1251" s="364" t="s">
        <v>198</v>
      </c>
      <c r="Q1251" s="364" t="s">
        <v>652</v>
      </c>
      <c r="R1251" s="364" t="s">
        <v>88</v>
      </c>
      <c r="S1251" s="364" t="s">
        <v>88</v>
      </c>
      <c r="T1251" s="364" t="s">
        <v>88</v>
      </c>
      <c r="U1251" s="364" t="s">
        <v>88</v>
      </c>
      <c r="V1251" s="364" t="s">
        <v>88</v>
      </c>
      <c r="W1251" s="364" t="s">
        <v>88</v>
      </c>
      <c r="X1251" s="364" t="s">
        <v>88</v>
      </c>
      <c r="Y1251" s="364" t="s">
        <v>88</v>
      </c>
      <c r="Z1251" s="364" t="s">
        <v>877</v>
      </c>
      <c r="AA1251" s="364" t="s">
        <v>876</v>
      </c>
      <c r="AB1251" s="364" t="s">
        <v>649</v>
      </c>
      <c r="AC1251" s="364" t="s">
        <v>649</v>
      </c>
      <c r="AD1251" s="364" t="s">
        <v>88</v>
      </c>
      <c r="AE1251" s="364" t="s">
        <v>88</v>
      </c>
      <c r="AF1251" s="364" t="s">
        <v>88</v>
      </c>
      <c r="AG1251" s="364" t="s">
        <v>88</v>
      </c>
      <c r="AH1251" s="364" t="s">
        <v>88</v>
      </c>
      <c r="AI1251" s="364" t="s">
        <v>1199</v>
      </c>
      <c r="AJ1251" s="364" t="s">
        <v>670</v>
      </c>
      <c r="AK1251" s="364" t="s">
        <v>669</v>
      </c>
      <c r="AL1251" s="364" t="s">
        <v>88</v>
      </c>
      <c r="AM1251" s="364" t="s">
        <v>668</v>
      </c>
      <c r="AN1251" s="364" t="s">
        <v>644</v>
      </c>
    </row>
    <row r="1252" spans="1:40" x14ac:dyDescent="0.3">
      <c r="A1252" s="364" t="s">
        <v>1341</v>
      </c>
      <c r="B1252" s="364" t="s">
        <v>661</v>
      </c>
      <c r="C1252" s="364" t="s">
        <v>677</v>
      </c>
      <c r="D1252" s="364" t="s">
        <v>87</v>
      </c>
      <c r="E1252" s="364" t="s">
        <v>800</v>
      </c>
      <c r="F1252" s="364" t="s">
        <v>800</v>
      </c>
      <c r="G1252" s="364" t="s">
        <v>658</v>
      </c>
      <c r="H1252" s="364" t="s">
        <v>1340</v>
      </c>
      <c r="I1252" s="364" t="s">
        <v>1315</v>
      </c>
      <c r="J1252" s="364" t="s">
        <v>673</v>
      </c>
      <c r="K1252" s="364" t="s">
        <v>668</v>
      </c>
      <c r="L1252" s="364" t="s">
        <v>190</v>
      </c>
      <c r="M1252" s="364" t="s">
        <v>60</v>
      </c>
      <c r="N1252" s="364" t="s">
        <v>654</v>
      </c>
      <c r="O1252" s="364" t="s">
        <v>653</v>
      </c>
      <c r="P1252" s="364" t="s">
        <v>198</v>
      </c>
      <c r="Q1252" s="364" t="s">
        <v>652</v>
      </c>
      <c r="R1252" s="364" t="s">
        <v>88</v>
      </c>
      <c r="S1252" s="364" t="s">
        <v>88</v>
      </c>
      <c r="T1252" s="364" t="s">
        <v>88</v>
      </c>
      <c r="U1252" s="364" t="s">
        <v>88</v>
      </c>
      <c r="V1252" s="364" t="s">
        <v>88</v>
      </c>
      <c r="W1252" s="364" t="s">
        <v>88</v>
      </c>
      <c r="X1252" s="364" t="s">
        <v>88</v>
      </c>
      <c r="Y1252" s="364" t="s">
        <v>88</v>
      </c>
      <c r="Z1252" s="364" t="s">
        <v>709</v>
      </c>
      <c r="AA1252" s="364" t="s">
        <v>708</v>
      </c>
      <c r="AB1252" s="364" t="s">
        <v>649</v>
      </c>
      <c r="AC1252" s="364" t="s">
        <v>649</v>
      </c>
      <c r="AD1252" s="364" t="s">
        <v>88</v>
      </c>
      <c r="AE1252" s="364" t="s">
        <v>88</v>
      </c>
      <c r="AF1252" s="364" t="s">
        <v>88</v>
      </c>
      <c r="AG1252" s="364" t="s">
        <v>88</v>
      </c>
      <c r="AH1252" s="364" t="s">
        <v>88</v>
      </c>
      <c r="AI1252" s="364" t="s">
        <v>1199</v>
      </c>
      <c r="AJ1252" s="364" t="s">
        <v>670</v>
      </c>
      <c r="AK1252" s="364" t="s">
        <v>669</v>
      </c>
      <c r="AL1252" s="364" t="s">
        <v>88</v>
      </c>
      <c r="AM1252" s="364" t="s">
        <v>668</v>
      </c>
      <c r="AN1252" s="364" t="s">
        <v>644</v>
      </c>
    </row>
    <row r="1253" spans="1:40" x14ac:dyDescent="0.3">
      <c r="A1253" s="364" t="s">
        <v>1339</v>
      </c>
      <c r="B1253" s="364" t="s">
        <v>661</v>
      </c>
      <c r="C1253" s="364" t="s">
        <v>1160</v>
      </c>
      <c r="D1253" s="364" t="s">
        <v>87</v>
      </c>
      <c r="E1253" s="364" t="s">
        <v>800</v>
      </c>
      <c r="F1253" s="364" t="s">
        <v>800</v>
      </c>
      <c r="G1253" s="364" t="s">
        <v>658</v>
      </c>
      <c r="H1253" s="364" t="s">
        <v>1338</v>
      </c>
      <c r="I1253" s="364" t="s">
        <v>88</v>
      </c>
      <c r="J1253" s="364" t="s">
        <v>88</v>
      </c>
      <c r="K1253" s="364" t="s">
        <v>88</v>
      </c>
      <c r="L1253" s="364" t="s">
        <v>88</v>
      </c>
      <c r="M1253" s="364" t="s">
        <v>138</v>
      </c>
      <c r="N1253" s="364" t="s">
        <v>654</v>
      </c>
      <c r="O1253" s="364" t="s">
        <v>653</v>
      </c>
      <c r="P1253" s="364" t="s">
        <v>88</v>
      </c>
      <c r="Q1253" s="364" t="s">
        <v>88</v>
      </c>
      <c r="R1253" s="364" t="s">
        <v>88</v>
      </c>
      <c r="S1253" s="364" t="s">
        <v>88</v>
      </c>
      <c r="T1253" s="364" t="s">
        <v>88</v>
      </c>
      <c r="U1253" s="364" t="s">
        <v>88</v>
      </c>
      <c r="V1253" s="364" t="s">
        <v>88</v>
      </c>
      <c r="W1253" s="364" t="s">
        <v>88</v>
      </c>
      <c r="X1253" s="364" t="s">
        <v>88</v>
      </c>
      <c r="Y1253" s="364" t="s">
        <v>88</v>
      </c>
      <c r="Z1253" s="364" t="s">
        <v>88</v>
      </c>
      <c r="AA1253" s="364" t="s">
        <v>649</v>
      </c>
      <c r="AB1253" s="364" t="s">
        <v>88</v>
      </c>
      <c r="AC1253" s="364" t="s">
        <v>88</v>
      </c>
      <c r="AD1253" s="364" t="s">
        <v>88</v>
      </c>
      <c r="AE1253" s="364" t="s">
        <v>88</v>
      </c>
      <c r="AF1253" s="364" t="s">
        <v>88</v>
      </c>
      <c r="AG1253" s="364" t="s">
        <v>88</v>
      </c>
      <c r="AH1253" s="364" t="s">
        <v>88</v>
      </c>
      <c r="AI1253" s="364" t="s">
        <v>1337</v>
      </c>
      <c r="AJ1253" s="364" t="s">
        <v>798</v>
      </c>
      <c r="AK1253" s="364" t="s">
        <v>88</v>
      </c>
      <c r="AL1253" s="364" t="s">
        <v>88</v>
      </c>
      <c r="AM1253" s="364" t="s">
        <v>88</v>
      </c>
      <c r="AN1253" s="364" t="s">
        <v>792</v>
      </c>
    </row>
    <row r="1254" spans="1:40" x14ac:dyDescent="0.3">
      <c r="A1254" s="364" t="s">
        <v>1336</v>
      </c>
      <c r="B1254" s="364" t="s">
        <v>661</v>
      </c>
      <c r="C1254" s="364" t="s">
        <v>1160</v>
      </c>
      <c r="D1254" s="364" t="s">
        <v>87</v>
      </c>
      <c r="E1254" s="364" t="s">
        <v>800</v>
      </c>
      <c r="F1254" s="364" t="s">
        <v>800</v>
      </c>
      <c r="G1254" s="364" t="s">
        <v>658</v>
      </c>
      <c r="H1254" s="364" t="s">
        <v>1335</v>
      </c>
      <c r="I1254" s="364" t="s">
        <v>88</v>
      </c>
      <c r="J1254" s="364" t="s">
        <v>88</v>
      </c>
      <c r="K1254" s="364" t="s">
        <v>88</v>
      </c>
      <c r="L1254" s="364" t="s">
        <v>88</v>
      </c>
      <c r="M1254" s="364" t="s">
        <v>138</v>
      </c>
      <c r="N1254" s="364" t="s">
        <v>654</v>
      </c>
      <c r="O1254" s="364" t="s">
        <v>653</v>
      </c>
      <c r="P1254" s="364" t="s">
        <v>88</v>
      </c>
      <c r="Q1254" s="364" t="s">
        <v>88</v>
      </c>
      <c r="R1254" s="364" t="s">
        <v>88</v>
      </c>
      <c r="S1254" s="364" t="s">
        <v>88</v>
      </c>
      <c r="T1254" s="364" t="s">
        <v>88</v>
      </c>
      <c r="U1254" s="364" t="s">
        <v>88</v>
      </c>
      <c r="V1254" s="364" t="s">
        <v>88</v>
      </c>
      <c r="W1254" s="364" t="s">
        <v>88</v>
      </c>
      <c r="X1254" s="364" t="s">
        <v>88</v>
      </c>
      <c r="Y1254" s="364" t="s">
        <v>88</v>
      </c>
      <c r="Z1254" s="364" t="s">
        <v>88</v>
      </c>
      <c r="AA1254" s="364" t="s">
        <v>649</v>
      </c>
      <c r="AB1254" s="364" t="s">
        <v>88</v>
      </c>
      <c r="AC1254" s="364" t="s">
        <v>88</v>
      </c>
      <c r="AD1254" s="364" t="s">
        <v>88</v>
      </c>
      <c r="AE1254" s="364" t="s">
        <v>88</v>
      </c>
      <c r="AF1254" s="364" t="s">
        <v>88</v>
      </c>
      <c r="AG1254" s="364" t="s">
        <v>88</v>
      </c>
      <c r="AH1254" s="364" t="s">
        <v>88</v>
      </c>
      <c r="AI1254" s="364" t="s">
        <v>1334</v>
      </c>
      <c r="AJ1254" s="364" t="s">
        <v>798</v>
      </c>
      <c r="AK1254" s="364" t="s">
        <v>88</v>
      </c>
      <c r="AL1254" s="364" t="s">
        <v>88</v>
      </c>
      <c r="AM1254" s="364" t="s">
        <v>88</v>
      </c>
      <c r="AN1254" s="364" t="s">
        <v>792</v>
      </c>
    </row>
    <row r="1255" spans="1:40" x14ac:dyDescent="0.3">
      <c r="A1255" s="364" t="s">
        <v>1333</v>
      </c>
      <c r="B1255" s="364" t="s">
        <v>661</v>
      </c>
      <c r="C1255" s="364" t="s">
        <v>677</v>
      </c>
      <c r="D1255" s="364" t="s">
        <v>87</v>
      </c>
      <c r="E1255" s="364" t="s">
        <v>1195</v>
      </c>
      <c r="F1255" s="364" t="s">
        <v>1195</v>
      </c>
      <c r="G1255" s="364" t="s">
        <v>658</v>
      </c>
      <c r="H1255" s="364" t="s">
        <v>1332</v>
      </c>
      <c r="I1255" s="364" t="s">
        <v>1315</v>
      </c>
      <c r="J1255" s="364" t="s">
        <v>673</v>
      </c>
      <c r="K1255" s="364" t="s">
        <v>668</v>
      </c>
      <c r="L1255" s="364" t="s">
        <v>190</v>
      </c>
      <c r="M1255" s="364" t="s">
        <v>60</v>
      </c>
      <c r="N1255" s="364" t="s">
        <v>654</v>
      </c>
      <c r="O1255" s="364" t="s">
        <v>653</v>
      </c>
      <c r="P1255" s="364" t="s">
        <v>198</v>
      </c>
      <c r="Q1255" s="364" t="s">
        <v>652</v>
      </c>
      <c r="R1255" s="364" t="s">
        <v>88</v>
      </c>
      <c r="S1255" s="364" t="s">
        <v>88</v>
      </c>
      <c r="T1255" s="364" t="s">
        <v>88</v>
      </c>
      <c r="U1255" s="364" t="s">
        <v>88</v>
      </c>
      <c r="V1255" s="364" t="s">
        <v>88</v>
      </c>
      <c r="W1255" s="364" t="s">
        <v>88</v>
      </c>
      <c r="X1255" s="364" t="s">
        <v>88</v>
      </c>
      <c r="Y1255" s="364" t="s">
        <v>88</v>
      </c>
      <c r="Z1255" s="364" t="s">
        <v>709</v>
      </c>
      <c r="AA1255" s="364" t="s">
        <v>708</v>
      </c>
      <c r="AB1255" s="364" t="s">
        <v>649</v>
      </c>
      <c r="AC1255" s="364" t="s">
        <v>649</v>
      </c>
      <c r="AD1255" s="364" t="s">
        <v>88</v>
      </c>
      <c r="AE1255" s="364" t="s">
        <v>88</v>
      </c>
      <c r="AF1255" s="364" t="s">
        <v>88</v>
      </c>
      <c r="AG1255" s="364" t="s">
        <v>88</v>
      </c>
      <c r="AH1255" s="364" t="s">
        <v>88</v>
      </c>
      <c r="AI1255" s="364" t="s">
        <v>1199</v>
      </c>
      <c r="AJ1255" s="364" t="s">
        <v>670</v>
      </c>
      <c r="AK1255" s="364" t="s">
        <v>669</v>
      </c>
      <c r="AL1255" s="364" t="s">
        <v>88</v>
      </c>
      <c r="AM1255" s="364" t="s">
        <v>668</v>
      </c>
      <c r="AN1255" s="364" t="s">
        <v>644</v>
      </c>
    </row>
    <row r="1256" spans="1:40" x14ac:dyDescent="0.3">
      <c r="A1256" s="364" t="s">
        <v>1331</v>
      </c>
      <c r="B1256" s="364" t="s">
        <v>661</v>
      </c>
      <c r="C1256" s="364" t="s">
        <v>677</v>
      </c>
      <c r="D1256" s="364" t="s">
        <v>87</v>
      </c>
      <c r="E1256" s="364" t="s">
        <v>1195</v>
      </c>
      <c r="F1256" s="364" t="s">
        <v>1195</v>
      </c>
      <c r="G1256" s="364" t="s">
        <v>658</v>
      </c>
      <c r="H1256" s="364" t="s">
        <v>1330</v>
      </c>
      <c r="I1256" s="364" t="s">
        <v>1205</v>
      </c>
      <c r="J1256" s="364" t="s">
        <v>673</v>
      </c>
      <c r="K1256" s="364" t="s">
        <v>668</v>
      </c>
      <c r="L1256" s="364" t="s">
        <v>190</v>
      </c>
      <c r="M1256" s="364" t="s">
        <v>58</v>
      </c>
      <c r="N1256" s="364" t="s">
        <v>654</v>
      </c>
      <c r="O1256" s="364" t="s">
        <v>653</v>
      </c>
      <c r="P1256" s="364" t="s">
        <v>198</v>
      </c>
      <c r="Q1256" s="364" t="s">
        <v>652</v>
      </c>
      <c r="R1256" s="364" t="s">
        <v>88</v>
      </c>
      <c r="S1256" s="364" t="s">
        <v>88</v>
      </c>
      <c r="T1256" s="364" t="s">
        <v>88</v>
      </c>
      <c r="U1256" s="364" t="s">
        <v>88</v>
      </c>
      <c r="V1256" s="364" t="s">
        <v>88</v>
      </c>
      <c r="W1256" s="364" t="s">
        <v>88</v>
      </c>
      <c r="X1256" s="364" t="s">
        <v>88</v>
      </c>
      <c r="Y1256" s="364" t="s">
        <v>88</v>
      </c>
      <c r="Z1256" s="364" t="s">
        <v>702</v>
      </c>
      <c r="AA1256" s="364" t="s">
        <v>701</v>
      </c>
      <c r="AB1256" s="364" t="s">
        <v>649</v>
      </c>
      <c r="AC1256" s="364" t="s">
        <v>649</v>
      </c>
      <c r="AD1256" s="364" t="s">
        <v>88</v>
      </c>
      <c r="AE1256" s="364" t="s">
        <v>88</v>
      </c>
      <c r="AF1256" s="364" t="s">
        <v>88</v>
      </c>
      <c r="AG1256" s="364" t="s">
        <v>88</v>
      </c>
      <c r="AH1256" s="364" t="s">
        <v>88</v>
      </c>
      <c r="AI1256" s="364" t="s">
        <v>1199</v>
      </c>
      <c r="AJ1256" s="364" t="s">
        <v>670</v>
      </c>
      <c r="AK1256" s="364" t="s">
        <v>669</v>
      </c>
      <c r="AL1256" s="364" t="s">
        <v>88</v>
      </c>
      <c r="AM1256" s="364" t="s">
        <v>668</v>
      </c>
      <c r="AN1256" s="364" t="s">
        <v>644</v>
      </c>
    </row>
    <row r="1257" spans="1:40" x14ac:dyDescent="0.3">
      <c r="A1257" s="364" t="s">
        <v>1331</v>
      </c>
      <c r="B1257" s="364" t="s">
        <v>661</v>
      </c>
      <c r="C1257" s="364" t="s">
        <v>677</v>
      </c>
      <c r="D1257" s="364" t="s">
        <v>87</v>
      </c>
      <c r="E1257" s="364" t="s">
        <v>1195</v>
      </c>
      <c r="F1257" s="364" t="s">
        <v>1195</v>
      </c>
      <c r="G1257" s="364" t="s">
        <v>658</v>
      </c>
      <c r="H1257" s="364" t="s">
        <v>1330</v>
      </c>
      <c r="I1257" s="364" t="s">
        <v>1205</v>
      </c>
      <c r="J1257" s="364" t="s">
        <v>673</v>
      </c>
      <c r="K1257" s="364" t="s">
        <v>668</v>
      </c>
      <c r="L1257" s="364" t="s">
        <v>190</v>
      </c>
      <c r="M1257" s="364" t="s">
        <v>166</v>
      </c>
      <c r="N1257" s="364" t="s">
        <v>654</v>
      </c>
      <c r="O1257" s="364" t="s">
        <v>653</v>
      </c>
      <c r="P1257" s="364" t="s">
        <v>198</v>
      </c>
      <c r="Q1257" s="364" t="s">
        <v>652</v>
      </c>
      <c r="R1257" s="364" t="s">
        <v>88</v>
      </c>
      <c r="S1257" s="364" t="s">
        <v>88</v>
      </c>
      <c r="T1257" s="364" t="s">
        <v>88</v>
      </c>
      <c r="U1257" s="364" t="s">
        <v>88</v>
      </c>
      <c r="V1257" s="364" t="s">
        <v>88</v>
      </c>
      <c r="W1257" s="364" t="s">
        <v>88</v>
      </c>
      <c r="X1257" s="364" t="s">
        <v>88</v>
      </c>
      <c r="Y1257" s="364" t="s">
        <v>88</v>
      </c>
      <c r="Z1257" s="364" t="s">
        <v>877</v>
      </c>
      <c r="AA1257" s="364" t="s">
        <v>876</v>
      </c>
      <c r="AB1257" s="364" t="s">
        <v>649</v>
      </c>
      <c r="AC1257" s="364" t="s">
        <v>649</v>
      </c>
      <c r="AD1257" s="364" t="s">
        <v>88</v>
      </c>
      <c r="AE1257" s="364" t="s">
        <v>88</v>
      </c>
      <c r="AF1257" s="364" t="s">
        <v>88</v>
      </c>
      <c r="AG1257" s="364" t="s">
        <v>88</v>
      </c>
      <c r="AH1257" s="364" t="s">
        <v>88</v>
      </c>
      <c r="AI1257" s="364" t="s">
        <v>1199</v>
      </c>
      <c r="AJ1257" s="364" t="s">
        <v>670</v>
      </c>
      <c r="AK1257" s="364" t="s">
        <v>669</v>
      </c>
      <c r="AL1257" s="364" t="s">
        <v>88</v>
      </c>
      <c r="AM1257" s="364" t="s">
        <v>668</v>
      </c>
      <c r="AN1257" s="364" t="s">
        <v>644</v>
      </c>
    </row>
    <row r="1258" spans="1:40" x14ac:dyDescent="0.3">
      <c r="A1258" s="364" t="s">
        <v>1329</v>
      </c>
      <c r="B1258" s="364" t="s">
        <v>661</v>
      </c>
      <c r="C1258" s="364" t="s">
        <v>677</v>
      </c>
      <c r="D1258" s="364" t="s">
        <v>87</v>
      </c>
      <c r="E1258" s="364" t="s">
        <v>1192</v>
      </c>
      <c r="F1258" s="364" t="s">
        <v>1192</v>
      </c>
      <c r="G1258" s="364" t="s">
        <v>658</v>
      </c>
      <c r="H1258" s="364" t="s">
        <v>1328</v>
      </c>
      <c r="I1258" s="364" t="s">
        <v>1315</v>
      </c>
      <c r="J1258" s="364" t="s">
        <v>673</v>
      </c>
      <c r="K1258" s="364" t="s">
        <v>668</v>
      </c>
      <c r="L1258" s="364" t="s">
        <v>190</v>
      </c>
      <c r="M1258" s="364" t="s">
        <v>60</v>
      </c>
      <c r="N1258" s="364" t="s">
        <v>654</v>
      </c>
      <c r="O1258" s="364" t="s">
        <v>653</v>
      </c>
      <c r="P1258" s="364" t="s">
        <v>198</v>
      </c>
      <c r="Q1258" s="364" t="s">
        <v>652</v>
      </c>
      <c r="R1258" s="364" t="s">
        <v>88</v>
      </c>
      <c r="S1258" s="364" t="s">
        <v>88</v>
      </c>
      <c r="T1258" s="364" t="s">
        <v>88</v>
      </c>
      <c r="U1258" s="364" t="s">
        <v>88</v>
      </c>
      <c r="V1258" s="364" t="s">
        <v>88</v>
      </c>
      <c r="W1258" s="364" t="s">
        <v>88</v>
      </c>
      <c r="X1258" s="364" t="s">
        <v>88</v>
      </c>
      <c r="Y1258" s="364" t="s">
        <v>88</v>
      </c>
      <c r="Z1258" s="364" t="s">
        <v>709</v>
      </c>
      <c r="AA1258" s="364" t="s">
        <v>708</v>
      </c>
      <c r="AB1258" s="364" t="s">
        <v>649</v>
      </c>
      <c r="AC1258" s="364" t="s">
        <v>649</v>
      </c>
      <c r="AD1258" s="364" t="s">
        <v>88</v>
      </c>
      <c r="AE1258" s="364" t="s">
        <v>88</v>
      </c>
      <c r="AF1258" s="364" t="s">
        <v>88</v>
      </c>
      <c r="AG1258" s="364" t="s">
        <v>88</v>
      </c>
      <c r="AH1258" s="364" t="s">
        <v>88</v>
      </c>
      <c r="AI1258" s="364" t="s">
        <v>1199</v>
      </c>
      <c r="AJ1258" s="364" t="s">
        <v>670</v>
      </c>
      <c r="AK1258" s="364" t="s">
        <v>669</v>
      </c>
      <c r="AL1258" s="364" t="s">
        <v>88</v>
      </c>
      <c r="AM1258" s="364" t="s">
        <v>668</v>
      </c>
      <c r="AN1258" s="364" t="s">
        <v>644</v>
      </c>
    </row>
    <row r="1259" spans="1:40" x14ac:dyDescent="0.3">
      <c r="A1259" s="364" t="s">
        <v>1327</v>
      </c>
      <c r="B1259" s="364" t="s">
        <v>661</v>
      </c>
      <c r="C1259" s="364" t="s">
        <v>677</v>
      </c>
      <c r="D1259" s="364" t="s">
        <v>87</v>
      </c>
      <c r="E1259" s="364" t="s">
        <v>1192</v>
      </c>
      <c r="F1259" s="364" t="s">
        <v>1192</v>
      </c>
      <c r="G1259" s="364" t="s">
        <v>658</v>
      </c>
      <c r="H1259" s="364" t="s">
        <v>1326</v>
      </c>
      <c r="I1259" s="364" t="s">
        <v>1205</v>
      </c>
      <c r="J1259" s="364" t="s">
        <v>673</v>
      </c>
      <c r="K1259" s="364" t="s">
        <v>668</v>
      </c>
      <c r="L1259" s="364" t="s">
        <v>190</v>
      </c>
      <c r="M1259" s="364" t="s">
        <v>58</v>
      </c>
      <c r="N1259" s="364" t="s">
        <v>654</v>
      </c>
      <c r="O1259" s="364" t="s">
        <v>653</v>
      </c>
      <c r="P1259" s="364" t="s">
        <v>198</v>
      </c>
      <c r="Q1259" s="364" t="s">
        <v>652</v>
      </c>
      <c r="R1259" s="364" t="s">
        <v>88</v>
      </c>
      <c r="S1259" s="364" t="s">
        <v>88</v>
      </c>
      <c r="T1259" s="364" t="s">
        <v>88</v>
      </c>
      <c r="U1259" s="364" t="s">
        <v>88</v>
      </c>
      <c r="V1259" s="364" t="s">
        <v>88</v>
      </c>
      <c r="W1259" s="364" t="s">
        <v>88</v>
      </c>
      <c r="X1259" s="364" t="s">
        <v>88</v>
      </c>
      <c r="Y1259" s="364" t="s">
        <v>88</v>
      </c>
      <c r="Z1259" s="364" t="s">
        <v>702</v>
      </c>
      <c r="AA1259" s="364" t="s">
        <v>701</v>
      </c>
      <c r="AB1259" s="364" t="s">
        <v>649</v>
      </c>
      <c r="AC1259" s="364" t="s">
        <v>649</v>
      </c>
      <c r="AD1259" s="364" t="s">
        <v>88</v>
      </c>
      <c r="AE1259" s="364" t="s">
        <v>88</v>
      </c>
      <c r="AF1259" s="364" t="s">
        <v>88</v>
      </c>
      <c r="AG1259" s="364" t="s">
        <v>88</v>
      </c>
      <c r="AH1259" s="364" t="s">
        <v>88</v>
      </c>
      <c r="AI1259" s="364" t="s">
        <v>1199</v>
      </c>
      <c r="AJ1259" s="364" t="s">
        <v>670</v>
      </c>
      <c r="AK1259" s="364" t="s">
        <v>669</v>
      </c>
      <c r="AL1259" s="364" t="s">
        <v>88</v>
      </c>
      <c r="AM1259" s="364" t="s">
        <v>668</v>
      </c>
      <c r="AN1259" s="364" t="s">
        <v>644</v>
      </c>
    </row>
    <row r="1260" spans="1:40" x14ac:dyDescent="0.3">
      <c r="A1260" s="364" t="s">
        <v>1327</v>
      </c>
      <c r="B1260" s="364" t="s">
        <v>661</v>
      </c>
      <c r="C1260" s="364" t="s">
        <v>677</v>
      </c>
      <c r="D1260" s="364" t="s">
        <v>87</v>
      </c>
      <c r="E1260" s="364" t="s">
        <v>1192</v>
      </c>
      <c r="F1260" s="364" t="s">
        <v>1192</v>
      </c>
      <c r="G1260" s="364" t="s">
        <v>658</v>
      </c>
      <c r="H1260" s="364" t="s">
        <v>1326</v>
      </c>
      <c r="I1260" s="364" t="s">
        <v>1205</v>
      </c>
      <c r="J1260" s="364" t="s">
        <v>673</v>
      </c>
      <c r="K1260" s="364" t="s">
        <v>668</v>
      </c>
      <c r="L1260" s="364" t="s">
        <v>190</v>
      </c>
      <c r="M1260" s="364" t="s">
        <v>166</v>
      </c>
      <c r="N1260" s="364" t="s">
        <v>654</v>
      </c>
      <c r="O1260" s="364" t="s">
        <v>653</v>
      </c>
      <c r="P1260" s="364" t="s">
        <v>198</v>
      </c>
      <c r="Q1260" s="364" t="s">
        <v>652</v>
      </c>
      <c r="R1260" s="364" t="s">
        <v>88</v>
      </c>
      <c r="S1260" s="364" t="s">
        <v>88</v>
      </c>
      <c r="T1260" s="364" t="s">
        <v>88</v>
      </c>
      <c r="U1260" s="364" t="s">
        <v>88</v>
      </c>
      <c r="V1260" s="364" t="s">
        <v>88</v>
      </c>
      <c r="W1260" s="364" t="s">
        <v>88</v>
      </c>
      <c r="X1260" s="364" t="s">
        <v>88</v>
      </c>
      <c r="Y1260" s="364" t="s">
        <v>88</v>
      </c>
      <c r="Z1260" s="364" t="s">
        <v>877</v>
      </c>
      <c r="AA1260" s="364" t="s">
        <v>876</v>
      </c>
      <c r="AB1260" s="364" t="s">
        <v>649</v>
      </c>
      <c r="AC1260" s="364" t="s">
        <v>649</v>
      </c>
      <c r="AD1260" s="364" t="s">
        <v>88</v>
      </c>
      <c r="AE1260" s="364" t="s">
        <v>88</v>
      </c>
      <c r="AF1260" s="364" t="s">
        <v>88</v>
      </c>
      <c r="AG1260" s="364" t="s">
        <v>88</v>
      </c>
      <c r="AH1260" s="364" t="s">
        <v>88</v>
      </c>
      <c r="AI1260" s="364" t="s">
        <v>1199</v>
      </c>
      <c r="AJ1260" s="364" t="s">
        <v>670</v>
      </c>
      <c r="AK1260" s="364" t="s">
        <v>669</v>
      </c>
      <c r="AL1260" s="364" t="s">
        <v>88</v>
      </c>
      <c r="AM1260" s="364" t="s">
        <v>668</v>
      </c>
      <c r="AN1260" s="364" t="s">
        <v>644</v>
      </c>
    </row>
    <row r="1261" spans="1:40" x14ac:dyDescent="0.3">
      <c r="A1261" s="364" t="s">
        <v>1325</v>
      </c>
      <c r="B1261" s="364" t="s">
        <v>661</v>
      </c>
      <c r="C1261" s="364" t="s">
        <v>1160</v>
      </c>
      <c r="D1261" s="364" t="s">
        <v>87</v>
      </c>
      <c r="E1261" s="364" t="s">
        <v>1195</v>
      </c>
      <c r="F1261" s="364" t="s">
        <v>1195</v>
      </c>
      <c r="G1261" s="364" t="s">
        <v>658</v>
      </c>
      <c r="H1261" s="364" t="s">
        <v>1324</v>
      </c>
      <c r="I1261" s="364" t="s">
        <v>88</v>
      </c>
      <c r="J1261" s="364" t="s">
        <v>88</v>
      </c>
      <c r="K1261" s="364" t="s">
        <v>88</v>
      </c>
      <c r="L1261" s="364" t="s">
        <v>88</v>
      </c>
      <c r="M1261" s="364" t="s">
        <v>138</v>
      </c>
      <c r="N1261" s="364" t="s">
        <v>654</v>
      </c>
      <c r="O1261" s="364" t="s">
        <v>653</v>
      </c>
      <c r="P1261" s="364" t="s">
        <v>88</v>
      </c>
      <c r="Q1261" s="364" t="s">
        <v>88</v>
      </c>
      <c r="R1261" s="364" t="s">
        <v>88</v>
      </c>
      <c r="S1261" s="364" t="s">
        <v>88</v>
      </c>
      <c r="T1261" s="364" t="s">
        <v>88</v>
      </c>
      <c r="U1261" s="364" t="s">
        <v>88</v>
      </c>
      <c r="V1261" s="364" t="s">
        <v>88</v>
      </c>
      <c r="W1261" s="364" t="s">
        <v>88</v>
      </c>
      <c r="X1261" s="364" t="s">
        <v>88</v>
      </c>
      <c r="Y1261" s="364" t="s">
        <v>88</v>
      </c>
      <c r="Z1261" s="364" t="s">
        <v>88</v>
      </c>
      <c r="AA1261" s="364" t="s">
        <v>649</v>
      </c>
      <c r="AB1261" s="364" t="s">
        <v>88</v>
      </c>
      <c r="AC1261" s="364" t="s">
        <v>88</v>
      </c>
      <c r="AD1261" s="364" t="s">
        <v>88</v>
      </c>
      <c r="AE1261" s="364" t="s">
        <v>88</v>
      </c>
      <c r="AF1261" s="364" t="s">
        <v>88</v>
      </c>
      <c r="AG1261" s="364" t="s">
        <v>88</v>
      </c>
      <c r="AH1261" s="364" t="s">
        <v>88</v>
      </c>
      <c r="AI1261" s="364" t="s">
        <v>1323</v>
      </c>
      <c r="AJ1261" s="364" t="s">
        <v>793</v>
      </c>
      <c r="AK1261" s="364" t="s">
        <v>88</v>
      </c>
      <c r="AL1261" s="364" t="s">
        <v>88</v>
      </c>
      <c r="AM1261" s="364" t="s">
        <v>88</v>
      </c>
      <c r="AN1261" s="364" t="s">
        <v>792</v>
      </c>
    </row>
    <row r="1262" spans="1:40" x14ac:dyDescent="0.3">
      <c r="A1262" s="364" t="s">
        <v>1322</v>
      </c>
      <c r="B1262" s="364" t="s">
        <v>661</v>
      </c>
      <c r="C1262" s="364" t="s">
        <v>1160</v>
      </c>
      <c r="D1262" s="364" t="s">
        <v>87</v>
      </c>
      <c r="E1262" s="364" t="s">
        <v>1195</v>
      </c>
      <c r="F1262" s="364" t="s">
        <v>1195</v>
      </c>
      <c r="G1262" s="364" t="s">
        <v>658</v>
      </c>
      <c r="H1262" s="364" t="s">
        <v>1321</v>
      </c>
      <c r="I1262" s="364" t="s">
        <v>88</v>
      </c>
      <c r="J1262" s="364" t="s">
        <v>88</v>
      </c>
      <c r="K1262" s="364" t="s">
        <v>88</v>
      </c>
      <c r="L1262" s="364" t="s">
        <v>88</v>
      </c>
      <c r="M1262" s="364" t="s">
        <v>138</v>
      </c>
      <c r="N1262" s="364" t="s">
        <v>654</v>
      </c>
      <c r="O1262" s="364" t="s">
        <v>653</v>
      </c>
      <c r="P1262" s="364" t="s">
        <v>88</v>
      </c>
      <c r="Q1262" s="364" t="s">
        <v>88</v>
      </c>
      <c r="R1262" s="364" t="s">
        <v>88</v>
      </c>
      <c r="S1262" s="364" t="s">
        <v>88</v>
      </c>
      <c r="T1262" s="364" t="s">
        <v>88</v>
      </c>
      <c r="U1262" s="364" t="s">
        <v>88</v>
      </c>
      <c r="V1262" s="364" t="s">
        <v>88</v>
      </c>
      <c r="W1262" s="364" t="s">
        <v>88</v>
      </c>
      <c r="X1262" s="364" t="s">
        <v>88</v>
      </c>
      <c r="Y1262" s="364" t="s">
        <v>88</v>
      </c>
      <c r="Z1262" s="364" t="s">
        <v>88</v>
      </c>
      <c r="AA1262" s="364" t="s">
        <v>649</v>
      </c>
      <c r="AB1262" s="364" t="s">
        <v>88</v>
      </c>
      <c r="AC1262" s="364" t="s">
        <v>88</v>
      </c>
      <c r="AD1262" s="364" t="s">
        <v>88</v>
      </c>
      <c r="AE1262" s="364" t="s">
        <v>88</v>
      </c>
      <c r="AF1262" s="364" t="s">
        <v>88</v>
      </c>
      <c r="AG1262" s="364" t="s">
        <v>88</v>
      </c>
      <c r="AH1262" s="364" t="s">
        <v>88</v>
      </c>
      <c r="AI1262" s="364" t="s">
        <v>1320</v>
      </c>
      <c r="AJ1262" s="364" t="s">
        <v>793</v>
      </c>
      <c r="AK1262" s="364" t="s">
        <v>88</v>
      </c>
      <c r="AL1262" s="364" t="s">
        <v>88</v>
      </c>
      <c r="AM1262" s="364" t="s">
        <v>88</v>
      </c>
      <c r="AN1262" s="364" t="s">
        <v>792</v>
      </c>
    </row>
    <row r="1263" spans="1:40" x14ac:dyDescent="0.3">
      <c r="A1263" s="364" t="s">
        <v>1319</v>
      </c>
      <c r="B1263" s="364" t="s">
        <v>661</v>
      </c>
      <c r="C1263" s="364" t="s">
        <v>677</v>
      </c>
      <c r="D1263" s="364" t="s">
        <v>87</v>
      </c>
      <c r="E1263" s="364" t="s">
        <v>1189</v>
      </c>
      <c r="F1263" s="364" t="s">
        <v>1189</v>
      </c>
      <c r="G1263" s="364" t="s">
        <v>658</v>
      </c>
      <c r="H1263" s="364" t="s">
        <v>1318</v>
      </c>
      <c r="I1263" s="364" t="s">
        <v>1205</v>
      </c>
      <c r="J1263" s="364" t="s">
        <v>673</v>
      </c>
      <c r="K1263" s="364" t="s">
        <v>668</v>
      </c>
      <c r="L1263" s="364" t="s">
        <v>190</v>
      </c>
      <c r="M1263" s="364" t="s">
        <v>58</v>
      </c>
      <c r="N1263" s="364" t="s">
        <v>654</v>
      </c>
      <c r="O1263" s="364" t="s">
        <v>653</v>
      </c>
      <c r="P1263" s="364" t="s">
        <v>198</v>
      </c>
      <c r="Q1263" s="364" t="s">
        <v>652</v>
      </c>
      <c r="R1263" s="364" t="s">
        <v>88</v>
      </c>
      <c r="S1263" s="364" t="s">
        <v>88</v>
      </c>
      <c r="T1263" s="364" t="s">
        <v>88</v>
      </c>
      <c r="U1263" s="364" t="s">
        <v>88</v>
      </c>
      <c r="V1263" s="364" t="s">
        <v>88</v>
      </c>
      <c r="W1263" s="364" t="s">
        <v>88</v>
      </c>
      <c r="X1263" s="364" t="s">
        <v>88</v>
      </c>
      <c r="Y1263" s="364" t="s">
        <v>88</v>
      </c>
      <c r="Z1263" s="364" t="s">
        <v>702</v>
      </c>
      <c r="AA1263" s="364" t="s">
        <v>701</v>
      </c>
      <c r="AB1263" s="364" t="s">
        <v>649</v>
      </c>
      <c r="AC1263" s="364" t="s">
        <v>649</v>
      </c>
      <c r="AD1263" s="364" t="s">
        <v>88</v>
      </c>
      <c r="AE1263" s="364" t="s">
        <v>88</v>
      </c>
      <c r="AF1263" s="364" t="s">
        <v>88</v>
      </c>
      <c r="AG1263" s="364" t="s">
        <v>88</v>
      </c>
      <c r="AH1263" s="364" t="s">
        <v>88</v>
      </c>
      <c r="AI1263" s="364" t="s">
        <v>1199</v>
      </c>
      <c r="AJ1263" s="364" t="s">
        <v>670</v>
      </c>
      <c r="AK1263" s="364" t="s">
        <v>669</v>
      </c>
      <c r="AL1263" s="364" t="s">
        <v>88</v>
      </c>
      <c r="AM1263" s="364" t="s">
        <v>668</v>
      </c>
      <c r="AN1263" s="364" t="s">
        <v>644</v>
      </c>
    </row>
    <row r="1264" spans="1:40" x14ac:dyDescent="0.3">
      <c r="A1264" s="364" t="s">
        <v>1319</v>
      </c>
      <c r="B1264" s="364" t="s">
        <v>661</v>
      </c>
      <c r="C1264" s="364" t="s">
        <v>677</v>
      </c>
      <c r="D1264" s="364" t="s">
        <v>87</v>
      </c>
      <c r="E1264" s="364" t="s">
        <v>1189</v>
      </c>
      <c r="F1264" s="364" t="s">
        <v>1189</v>
      </c>
      <c r="G1264" s="364" t="s">
        <v>658</v>
      </c>
      <c r="H1264" s="364" t="s">
        <v>1318</v>
      </c>
      <c r="I1264" s="364" t="s">
        <v>1205</v>
      </c>
      <c r="J1264" s="364" t="s">
        <v>673</v>
      </c>
      <c r="K1264" s="364" t="s">
        <v>668</v>
      </c>
      <c r="L1264" s="364" t="s">
        <v>190</v>
      </c>
      <c r="M1264" s="364" t="s">
        <v>166</v>
      </c>
      <c r="N1264" s="364" t="s">
        <v>654</v>
      </c>
      <c r="O1264" s="364" t="s">
        <v>653</v>
      </c>
      <c r="P1264" s="364" t="s">
        <v>198</v>
      </c>
      <c r="Q1264" s="364" t="s">
        <v>652</v>
      </c>
      <c r="R1264" s="364" t="s">
        <v>88</v>
      </c>
      <c r="S1264" s="364" t="s">
        <v>88</v>
      </c>
      <c r="T1264" s="364" t="s">
        <v>88</v>
      </c>
      <c r="U1264" s="364" t="s">
        <v>88</v>
      </c>
      <c r="V1264" s="364" t="s">
        <v>88</v>
      </c>
      <c r="W1264" s="364" t="s">
        <v>88</v>
      </c>
      <c r="X1264" s="364" t="s">
        <v>88</v>
      </c>
      <c r="Y1264" s="364" t="s">
        <v>88</v>
      </c>
      <c r="Z1264" s="364" t="s">
        <v>877</v>
      </c>
      <c r="AA1264" s="364" t="s">
        <v>876</v>
      </c>
      <c r="AB1264" s="364" t="s">
        <v>649</v>
      </c>
      <c r="AC1264" s="364" t="s">
        <v>649</v>
      </c>
      <c r="AD1264" s="364" t="s">
        <v>88</v>
      </c>
      <c r="AE1264" s="364" t="s">
        <v>88</v>
      </c>
      <c r="AF1264" s="364" t="s">
        <v>88</v>
      </c>
      <c r="AG1264" s="364" t="s">
        <v>88</v>
      </c>
      <c r="AH1264" s="364" t="s">
        <v>88</v>
      </c>
      <c r="AI1264" s="364" t="s">
        <v>1199</v>
      </c>
      <c r="AJ1264" s="364" t="s">
        <v>670</v>
      </c>
      <c r="AK1264" s="364" t="s">
        <v>669</v>
      </c>
      <c r="AL1264" s="364" t="s">
        <v>88</v>
      </c>
      <c r="AM1264" s="364" t="s">
        <v>668</v>
      </c>
      <c r="AN1264" s="364" t="s">
        <v>644</v>
      </c>
    </row>
    <row r="1265" spans="1:40" x14ac:dyDescent="0.3">
      <c r="A1265" s="364" t="s">
        <v>1317</v>
      </c>
      <c r="B1265" s="364" t="s">
        <v>661</v>
      </c>
      <c r="C1265" s="364" t="s">
        <v>677</v>
      </c>
      <c r="D1265" s="364" t="s">
        <v>87</v>
      </c>
      <c r="E1265" s="364" t="s">
        <v>1189</v>
      </c>
      <c r="F1265" s="364" t="s">
        <v>1189</v>
      </c>
      <c r="G1265" s="364" t="s">
        <v>658</v>
      </c>
      <c r="H1265" s="364" t="s">
        <v>1316</v>
      </c>
      <c r="I1265" s="364" t="s">
        <v>1315</v>
      </c>
      <c r="J1265" s="364" t="s">
        <v>673</v>
      </c>
      <c r="K1265" s="364" t="s">
        <v>668</v>
      </c>
      <c r="L1265" s="364" t="s">
        <v>190</v>
      </c>
      <c r="M1265" s="364" t="s">
        <v>60</v>
      </c>
      <c r="N1265" s="364" t="s">
        <v>654</v>
      </c>
      <c r="O1265" s="364" t="s">
        <v>653</v>
      </c>
      <c r="P1265" s="364" t="s">
        <v>198</v>
      </c>
      <c r="Q1265" s="364" t="s">
        <v>652</v>
      </c>
      <c r="R1265" s="364" t="s">
        <v>88</v>
      </c>
      <c r="S1265" s="364" t="s">
        <v>88</v>
      </c>
      <c r="T1265" s="364" t="s">
        <v>88</v>
      </c>
      <c r="U1265" s="364" t="s">
        <v>88</v>
      </c>
      <c r="V1265" s="364" t="s">
        <v>88</v>
      </c>
      <c r="W1265" s="364" t="s">
        <v>88</v>
      </c>
      <c r="X1265" s="364" t="s">
        <v>88</v>
      </c>
      <c r="Y1265" s="364" t="s">
        <v>88</v>
      </c>
      <c r="Z1265" s="364" t="s">
        <v>709</v>
      </c>
      <c r="AA1265" s="364" t="s">
        <v>708</v>
      </c>
      <c r="AB1265" s="364" t="s">
        <v>649</v>
      </c>
      <c r="AC1265" s="364" t="s">
        <v>649</v>
      </c>
      <c r="AD1265" s="364" t="s">
        <v>88</v>
      </c>
      <c r="AE1265" s="364" t="s">
        <v>88</v>
      </c>
      <c r="AF1265" s="364" t="s">
        <v>88</v>
      </c>
      <c r="AG1265" s="364" t="s">
        <v>88</v>
      </c>
      <c r="AH1265" s="364" t="s">
        <v>88</v>
      </c>
      <c r="AI1265" s="364" t="s">
        <v>1199</v>
      </c>
      <c r="AJ1265" s="364" t="s">
        <v>670</v>
      </c>
      <c r="AK1265" s="364" t="s">
        <v>669</v>
      </c>
      <c r="AL1265" s="364" t="s">
        <v>88</v>
      </c>
      <c r="AM1265" s="364" t="s">
        <v>668</v>
      </c>
      <c r="AN1265" s="364" t="s">
        <v>644</v>
      </c>
    </row>
    <row r="1266" spans="1:40" x14ac:dyDescent="0.3">
      <c r="A1266" s="364" t="s">
        <v>1314</v>
      </c>
      <c r="B1266" s="364" t="s">
        <v>661</v>
      </c>
      <c r="C1266" s="364" t="s">
        <v>677</v>
      </c>
      <c r="D1266" s="364" t="s">
        <v>90</v>
      </c>
      <c r="E1266" s="364" t="s">
        <v>1313</v>
      </c>
      <c r="F1266" s="364" t="s">
        <v>1313</v>
      </c>
      <c r="G1266" s="364" t="s">
        <v>658</v>
      </c>
      <c r="H1266" s="364" t="s">
        <v>1312</v>
      </c>
      <c r="I1266" s="364" t="s">
        <v>1311</v>
      </c>
      <c r="J1266" s="364" t="s">
        <v>673</v>
      </c>
      <c r="K1266" s="364" t="s">
        <v>668</v>
      </c>
      <c r="L1266" s="364" t="s">
        <v>190</v>
      </c>
      <c r="M1266" s="364" t="s">
        <v>61</v>
      </c>
      <c r="N1266" s="364" t="s">
        <v>654</v>
      </c>
      <c r="O1266" s="364" t="s">
        <v>653</v>
      </c>
      <c r="P1266" s="364" t="s">
        <v>198</v>
      </c>
      <c r="Q1266" s="364" t="s">
        <v>652</v>
      </c>
      <c r="R1266" s="364" t="s">
        <v>88</v>
      </c>
      <c r="S1266" s="364" t="s">
        <v>88</v>
      </c>
      <c r="T1266" s="364" t="s">
        <v>88</v>
      </c>
      <c r="U1266" s="364" t="s">
        <v>88</v>
      </c>
      <c r="V1266" s="364" t="s">
        <v>88</v>
      </c>
      <c r="W1266" s="364" t="s">
        <v>88</v>
      </c>
      <c r="X1266" s="364" t="s">
        <v>88</v>
      </c>
      <c r="Y1266" s="364" t="s">
        <v>88</v>
      </c>
      <c r="Z1266" s="364" t="s">
        <v>1021</v>
      </c>
      <c r="AA1266" s="364" t="s">
        <v>671</v>
      </c>
      <c r="AB1266" s="364" t="s">
        <v>649</v>
      </c>
      <c r="AC1266" s="364" t="s">
        <v>649</v>
      </c>
      <c r="AD1266" s="364" t="s">
        <v>88</v>
      </c>
      <c r="AE1266" s="364" t="s">
        <v>88</v>
      </c>
      <c r="AF1266" s="364" t="s">
        <v>88</v>
      </c>
      <c r="AG1266" s="364" t="s">
        <v>88</v>
      </c>
      <c r="AH1266" s="364" t="s">
        <v>88</v>
      </c>
      <c r="AI1266" s="364" t="s">
        <v>1155</v>
      </c>
      <c r="AJ1266" s="364" t="s">
        <v>710</v>
      </c>
      <c r="AK1266" s="364" t="s">
        <v>647</v>
      </c>
      <c r="AL1266" s="364" t="s">
        <v>88</v>
      </c>
      <c r="AM1266" s="364" t="s">
        <v>668</v>
      </c>
      <c r="AN1266" s="364" t="s">
        <v>644</v>
      </c>
    </row>
    <row r="1267" spans="1:40" x14ac:dyDescent="0.3">
      <c r="A1267" s="364" t="s">
        <v>1314</v>
      </c>
      <c r="B1267" s="364" t="s">
        <v>661</v>
      </c>
      <c r="C1267" s="364" t="s">
        <v>677</v>
      </c>
      <c r="D1267" s="364" t="s">
        <v>90</v>
      </c>
      <c r="E1267" s="364" t="s">
        <v>1313</v>
      </c>
      <c r="F1267" s="364" t="s">
        <v>1313</v>
      </c>
      <c r="G1267" s="364" t="s">
        <v>658</v>
      </c>
      <c r="H1267" s="364" t="s">
        <v>1312</v>
      </c>
      <c r="I1267" s="364" t="s">
        <v>1311</v>
      </c>
      <c r="J1267" s="364" t="s">
        <v>673</v>
      </c>
      <c r="K1267" s="364" t="s">
        <v>668</v>
      </c>
      <c r="L1267" s="364" t="s">
        <v>190</v>
      </c>
      <c r="M1267" s="364" t="s">
        <v>242</v>
      </c>
      <c r="N1267" s="364" t="s">
        <v>654</v>
      </c>
      <c r="O1267" s="364" t="s">
        <v>653</v>
      </c>
      <c r="P1267" s="364" t="s">
        <v>198</v>
      </c>
      <c r="Q1267" s="364" t="s">
        <v>652</v>
      </c>
      <c r="R1267" s="364" t="s">
        <v>88</v>
      </c>
      <c r="S1267" s="364" t="s">
        <v>88</v>
      </c>
      <c r="T1267" s="364" t="s">
        <v>88</v>
      </c>
      <c r="U1267" s="364" t="s">
        <v>88</v>
      </c>
      <c r="V1267" s="364" t="s">
        <v>88</v>
      </c>
      <c r="W1267" s="364" t="s">
        <v>88</v>
      </c>
      <c r="X1267" s="364" t="s">
        <v>88</v>
      </c>
      <c r="Y1267" s="364" t="s">
        <v>88</v>
      </c>
      <c r="Z1267" s="364" t="s">
        <v>1157</v>
      </c>
      <c r="AA1267" s="364" t="s">
        <v>1156</v>
      </c>
      <c r="AB1267" s="364" t="s">
        <v>649</v>
      </c>
      <c r="AC1267" s="364" t="s">
        <v>649</v>
      </c>
      <c r="AD1267" s="364" t="s">
        <v>88</v>
      </c>
      <c r="AE1267" s="364" t="s">
        <v>88</v>
      </c>
      <c r="AF1267" s="364" t="s">
        <v>88</v>
      </c>
      <c r="AG1267" s="364" t="s">
        <v>88</v>
      </c>
      <c r="AH1267" s="364" t="s">
        <v>88</v>
      </c>
      <c r="AI1267" s="364" t="s">
        <v>1155</v>
      </c>
      <c r="AJ1267" s="364" t="s">
        <v>710</v>
      </c>
      <c r="AK1267" s="364" t="s">
        <v>647</v>
      </c>
      <c r="AL1267" s="364" t="s">
        <v>88</v>
      </c>
      <c r="AM1267" s="364" t="s">
        <v>668</v>
      </c>
      <c r="AN1267" s="364" t="s">
        <v>644</v>
      </c>
    </row>
    <row r="1268" spans="1:40" x14ac:dyDescent="0.3">
      <c r="A1268" s="364" t="s">
        <v>1314</v>
      </c>
      <c r="B1268" s="364" t="s">
        <v>661</v>
      </c>
      <c r="C1268" s="364" t="s">
        <v>677</v>
      </c>
      <c r="D1268" s="364" t="s">
        <v>90</v>
      </c>
      <c r="E1268" s="364" t="s">
        <v>1313</v>
      </c>
      <c r="F1268" s="364" t="s">
        <v>1313</v>
      </c>
      <c r="G1268" s="364" t="s">
        <v>658</v>
      </c>
      <c r="H1268" s="364" t="s">
        <v>1312</v>
      </c>
      <c r="I1268" s="364" t="s">
        <v>1311</v>
      </c>
      <c r="J1268" s="364" t="s">
        <v>673</v>
      </c>
      <c r="K1268" s="364" t="s">
        <v>668</v>
      </c>
      <c r="L1268" s="364" t="s">
        <v>190</v>
      </c>
      <c r="M1268" s="364" t="s">
        <v>1168</v>
      </c>
      <c r="N1268" s="364" t="s">
        <v>654</v>
      </c>
      <c r="O1268" s="364" t="s">
        <v>653</v>
      </c>
      <c r="P1268" s="364" t="s">
        <v>198</v>
      </c>
      <c r="Q1268" s="364" t="s">
        <v>652</v>
      </c>
      <c r="R1268" s="364" t="s">
        <v>88</v>
      </c>
      <c r="S1268" s="364" t="s">
        <v>88</v>
      </c>
      <c r="T1268" s="364" t="s">
        <v>88</v>
      </c>
      <c r="U1268" s="364" t="s">
        <v>88</v>
      </c>
      <c r="V1268" s="364" t="s">
        <v>88</v>
      </c>
      <c r="W1268" s="364" t="s">
        <v>88</v>
      </c>
      <c r="X1268" s="364" t="s">
        <v>88</v>
      </c>
      <c r="Y1268" s="364" t="s">
        <v>88</v>
      </c>
      <c r="Z1268" s="364" t="s">
        <v>1167</v>
      </c>
      <c r="AA1268" s="364" t="s">
        <v>1166</v>
      </c>
      <c r="AB1268" s="364" t="s">
        <v>649</v>
      </c>
      <c r="AC1268" s="364" t="s">
        <v>649</v>
      </c>
      <c r="AD1268" s="364" t="s">
        <v>88</v>
      </c>
      <c r="AE1268" s="364" t="s">
        <v>88</v>
      </c>
      <c r="AF1268" s="364" t="s">
        <v>88</v>
      </c>
      <c r="AG1268" s="364" t="s">
        <v>88</v>
      </c>
      <c r="AH1268" s="364" t="s">
        <v>88</v>
      </c>
      <c r="AI1268" s="364" t="s">
        <v>1155</v>
      </c>
      <c r="AJ1268" s="364" t="s">
        <v>710</v>
      </c>
      <c r="AK1268" s="364" t="s">
        <v>647</v>
      </c>
      <c r="AL1268" s="364" t="s">
        <v>88</v>
      </c>
      <c r="AM1268" s="364" t="s">
        <v>668</v>
      </c>
      <c r="AN1268" s="364" t="s">
        <v>644</v>
      </c>
    </row>
    <row r="1269" spans="1:40" x14ac:dyDescent="0.3">
      <c r="A1269" s="364" t="s">
        <v>1314</v>
      </c>
      <c r="B1269" s="364" t="s">
        <v>661</v>
      </c>
      <c r="C1269" s="364" t="s">
        <v>677</v>
      </c>
      <c r="D1269" s="364" t="s">
        <v>90</v>
      </c>
      <c r="E1269" s="364" t="s">
        <v>1313</v>
      </c>
      <c r="F1269" s="364" t="s">
        <v>1313</v>
      </c>
      <c r="G1269" s="364" t="s">
        <v>658</v>
      </c>
      <c r="H1269" s="364" t="s">
        <v>1312</v>
      </c>
      <c r="I1269" s="364" t="s">
        <v>1311</v>
      </c>
      <c r="J1269" s="364" t="s">
        <v>673</v>
      </c>
      <c r="K1269" s="364" t="s">
        <v>668</v>
      </c>
      <c r="L1269" s="364" t="s">
        <v>190</v>
      </c>
      <c r="M1269" s="364" t="s">
        <v>713</v>
      </c>
      <c r="N1269" s="364" t="s">
        <v>654</v>
      </c>
      <c r="O1269" s="364" t="s">
        <v>653</v>
      </c>
      <c r="P1269" s="364" t="s">
        <v>198</v>
      </c>
      <c r="Q1269" s="364" t="s">
        <v>652</v>
      </c>
      <c r="R1269" s="364" t="s">
        <v>88</v>
      </c>
      <c r="S1269" s="364" t="s">
        <v>88</v>
      </c>
      <c r="T1269" s="364" t="s">
        <v>88</v>
      </c>
      <c r="U1269" s="364" t="s">
        <v>88</v>
      </c>
      <c r="V1269" s="364" t="s">
        <v>88</v>
      </c>
      <c r="W1269" s="364" t="s">
        <v>88</v>
      </c>
      <c r="X1269" s="364" t="s">
        <v>88</v>
      </c>
      <c r="Y1269" s="364" t="s">
        <v>88</v>
      </c>
      <c r="Z1269" s="364" t="s">
        <v>712</v>
      </c>
      <c r="AA1269" s="364" t="s">
        <v>711</v>
      </c>
      <c r="AB1269" s="364" t="s">
        <v>649</v>
      </c>
      <c r="AC1269" s="364" t="s">
        <v>649</v>
      </c>
      <c r="AD1269" s="364" t="s">
        <v>88</v>
      </c>
      <c r="AE1269" s="364" t="s">
        <v>88</v>
      </c>
      <c r="AF1269" s="364" t="s">
        <v>88</v>
      </c>
      <c r="AG1269" s="364" t="s">
        <v>88</v>
      </c>
      <c r="AH1269" s="364" t="s">
        <v>88</v>
      </c>
      <c r="AI1269" s="364" t="s">
        <v>1155</v>
      </c>
      <c r="AJ1269" s="364" t="s">
        <v>710</v>
      </c>
      <c r="AK1269" s="364" t="s">
        <v>647</v>
      </c>
      <c r="AL1269" s="364" t="s">
        <v>88</v>
      </c>
      <c r="AM1269" s="364" t="s">
        <v>668</v>
      </c>
      <c r="AN1269" s="364" t="s">
        <v>644</v>
      </c>
    </row>
    <row r="1270" spans="1:40" x14ac:dyDescent="0.3">
      <c r="A1270" s="364" t="s">
        <v>1314</v>
      </c>
      <c r="B1270" s="364" t="s">
        <v>661</v>
      </c>
      <c r="C1270" s="364" t="s">
        <v>677</v>
      </c>
      <c r="D1270" s="364" t="s">
        <v>90</v>
      </c>
      <c r="E1270" s="364" t="s">
        <v>1313</v>
      </c>
      <c r="F1270" s="364" t="s">
        <v>1313</v>
      </c>
      <c r="G1270" s="364" t="s">
        <v>658</v>
      </c>
      <c r="H1270" s="364" t="s">
        <v>1312</v>
      </c>
      <c r="I1270" s="364" t="s">
        <v>1311</v>
      </c>
      <c r="J1270" s="364" t="s">
        <v>673</v>
      </c>
      <c r="K1270" s="364" t="s">
        <v>668</v>
      </c>
      <c r="L1270" s="364" t="s">
        <v>190</v>
      </c>
      <c r="M1270" s="364" t="s">
        <v>56</v>
      </c>
      <c r="N1270" s="364" t="s">
        <v>654</v>
      </c>
      <c r="O1270" s="364" t="s">
        <v>653</v>
      </c>
      <c r="P1270" s="364" t="s">
        <v>198</v>
      </c>
      <c r="Q1270" s="364" t="s">
        <v>652</v>
      </c>
      <c r="R1270" s="364" t="s">
        <v>88</v>
      </c>
      <c r="S1270" s="364" t="s">
        <v>88</v>
      </c>
      <c r="T1270" s="364" t="s">
        <v>88</v>
      </c>
      <c r="U1270" s="364" t="s">
        <v>88</v>
      </c>
      <c r="V1270" s="364" t="s">
        <v>88</v>
      </c>
      <c r="W1270" s="364" t="s">
        <v>88</v>
      </c>
      <c r="X1270" s="364" t="s">
        <v>88</v>
      </c>
      <c r="Y1270" s="364" t="s">
        <v>88</v>
      </c>
      <c r="Z1270" s="364" t="s">
        <v>1165</v>
      </c>
      <c r="AA1270" s="364" t="s">
        <v>1164</v>
      </c>
      <c r="AB1270" s="364" t="s">
        <v>649</v>
      </c>
      <c r="AC1270" s="364" t="s">
        <v>649</v>
      </c>
      <c r="AD1270" s="364" t="s">
        <v>88</v>
      </c>
      <c r="AE1270" s="364" t="s">
        <v>88</v>
      </c>
      <c r="AF1270" s="364" t="s">
        <v>88</v>
      </c>
      <c r="AG1270" s="364" t="s">
        <v>88</v>
      </c>
      <c r="AH1270" s="364" t="s">
        <v>88</v>
      </c>
      <c r="AI1270" s="364" t="s">
        <v>1155</v>
      </c>
      <c r="AJ1270" s="364" t="s">
        <v>710</v>
      </c>
      <c r="AK1270" s="364" t="s">
        <v>647</v>
      </c>
      <c r="AL1270" s="364" t="s">
        <v>88</v>
      </c>
      <c r="AM1270" s="364" t="s">
        <v>668</v>
      </c>
      <c r="AN1270" s="364" t="s">
        <v>644</v>
      </c>
    </row>
    <row r="1271" spans="1:40" x14ac:dyDescent="0.3">
      <c r="A1271" s="364" t="s">
        <v>1314</v>
      </c>
      <c r="B1271" s="364" t="s">
        <v>661</v>
      </c>
      <c r="C1271" s="364" t="s">
        <v>677</v>
      </c>
      <c r="D1271" s="364" t="s">
        <v>90</v>
      </c>
      <c r="E1271" s="364" t="s">
        <v>1313</v>
      </c>
      <c r="F1271" s="364" t="s">
        <v>1313</v>
      </c>
      <c r="G1271" s="364" t="s">
        <v>658</v>
      </c>
      <c r="H1271" s="364" t="s">
        <v>1312</v>
      </c>
      <c r="I1271" s="364" t="s">
        <v>1311</v>
      </c>
      <c r="J1271" s="364" t="s">
        <v>673</v>
      </c>
      <c r="K1271" s="364" t="s">
        <v>668</v>
      </c>
      <c r="L1271" s="364" t="s">
        <v>190</v>
      </c>
      <c r="M1271" s="364" t="s">
        <v>241</v>
      </c>
      <c r="N1271" s="364" t="s">
        <v>654</v>
      </c>
      <c r="O1271" s="364" t="s">
        <v>653</v>
      </c>
      <c r="P1271" s="364" t="s">
        <v>198</v>
      </c>
      <c r="Q1271" s="364" t="s">
        <v>652</v>
      </c>
      <c r="R1271" s="364" t="s">
        <v>88</v>
      </c>
      <c r="S1271" s="364" t="s">
        <v>88</v>
      </c>
      <c r="T1271" s="364" t="s">
        <v>88</v>
      </c>
      <c r="U1271" s="364" t="s">
        <v>88</v>
      </c>
      <c r="V1271" s="364" t="s">
        <v>88</v>
      </c>
      <c r="W1271" s="364" t="s">
        <v>88</v>
      </c>
      <c r="X1271" s="364" t="s">
        <v>88</v>
      </c>
      <c r="Y1271" s="364" t="s">
        <v>88</v>
      </c>
      <c r="Z1271" s="364" t="s">
        <v>1170</v>
      </c>
      <c r="AA1271" s="364" t="s">
        <v>1169</v>
      </c>
      <c r="AB1271" s="364" t="s">
        <v>649</v>
      </c>
      <c r="AC1271" s="364" t="s">
        <v>649</v>
      </c>
      <c r="AD1271" s="364" t="s">
        <v>88</v>
      </c>
      <c r="AE1271" s="364" t="s">
        <v>88</v>
      </c>
      <c r="AF1271" s="364" t="s">
        <v>88</v>
      </c>
      <c r="AG1271" s="364" t="s">
        <v>88</v>
      </c>
      <c r="AH1271" s="364" t="s">
        <v>88</v>
      </c>
      <c r="AI1271" s="364" t="s">
        <v>1155</v>
      </c>
      <c r="AJ1271" s="364" t="s">
        <v>710</v>
      </c>
      <c r="AK1271" s="364" t="s">
        <v>647</v>
      </c>
      <c r="AL1271" s="364" t="s">
        <v>88</v>
      </c>
      <c r="AM1271" s="364" t="s">
        <v>668</v>
      </c>
      <c r="AN1271" s="364" t="s">
        <v>644</v>
      </c>
    </row>
    <row r="1272" spans="1:40" x14ac:dyDescent="0.3">
      <c r="A1272" s="364" t="s">
        <v>1314</v>
      </c>
      <c r="B1272" s="364" t="s">
        <v>661</v>
      </c>
      <c r="C1272" s="364" t="s">
        <v>677</v>
      </c>
      <c r="D1272" s="364" t="s">
        <v>90</v>
      </c>
      <c r="E1272" s="364" t="s">
        <v>1313</v>
      </c>
      <c r="F1272" s="364" t="s">
        <v>1313</v>
      </c>
      <c r="G1272" s="364" t="s">
        <v>658</v>
      </c>
      <c r="H1272" s="364" t="s">
        <v>1312</v>
      </c>
      <c r="I1272" s="364" t="s">
        <v>1311</v>
      </c>
      <c r="J1272" s="364" t="s">
        <v>673</v>
      </c>
      <c r="K1272" s="364" t="s">
        <v>668</v>
      </c>
      <c r="L1272" s="364" t="s">
        <v>190</v>
      </c>
      <c r="M1272" s="364" t="s">
        <v>240</v>
      </c>
      <c r="N1272" s="364" t="s">
        <v>654</v>
      </c>
      <c r="O1272" s="364" t="s">
        <v>653</v>
      </c>
      <c r="P1272" s="364" t="s">
        <v>198</v>
      </c>
      <c r="Q1272" s="364" t="s">
        <v>652</v>
      </c>
      <c r="R1272" s="364" t="s">
        <v>88</v>
      </c>
      <c r="S1272" s="364" t="s">
        <v>88</v>
      </c>
      <c r="T1272" s="364" t="s">
        <v>88</v>
      </c>
      <c r="U1272" s="364" t="s">
        <v>88</v>
      </c>
      <c r="V1272" s="364" t="s">
        <v>88</v>
      </c>
      <c r="W1272" s="364" t="s">
        <v>88</v>
      </c>
      <c r="X1272" s="364" t="s">
        <v>88</v>
      </c>
      <c r="Y1272" s="364" t="s">
        <v>88</v>
      </c>
      <c r="Z1272" s="364" t="s">
        <v>1163</v>
      </c>
      <c r="AA1272" s="364" t="s">
        <v>1162</v>
      </c>
      <c r="AB1272" s="364" t="s">
        <v>649</v>
      </c>
      <c r="AC1272" s="364" t="s">
        <v>649</v>
      </c>
      <c r="AD1272" s="364" t="s">
        <v>88</v>
      </c>
      <c r="AE1272" s="364" t="s">
        <v>88</v>
      </c>
      <c r="AF1272" s="364" t="s">
        <v>88</v>
      </c>
      <c r="AG1272" s="364" t="s">
        <v>88</v>
      </c>
      <c r="AH1272" s="364" t="s">
        <v>88</v>
      </c>
      <c r="AI1272" s="364" t="s">
        <v>1155</v>
      </c>
      <c r="AJ1272" s="364" t="s">
        <v>710</v>
      </c>
      <c r="AK1272" s="364" t="s">
        <v>647</v>
      </c>
      <c r="AL1272" s="364" t="s">
        <v>88</v>
      </c>
      <c r="AM1272" s="364" t="s">
        <v>668</v>
      </c>
      <c r="AN1272" s="364" t="s">
        <v>644</v>
      </c>
    </row>
    <row r="1273" spans="1:40" x14ac:dyDescent="0.3">
      <c r="A1273" s="364" t="s">
        <v>1314</v>
      </c>
      <c r="B1273" s="364" t="s">
        <v>661</v>
      </c>
      <c r="C1273" s="364" t="s">
        <v>677</v>
      </c>
      <c r="D1273" s="364" t="s">
        <v>90</v>
      </c>
      <c r="E1273" s="364" t="s">
        <v>1313</v>
      </c>
      <c r="F1273" s="364" t="s">
        <v>1313</v>
      </c>
      <c r="G1273" s="364" t="s">
        <v>658</v>
      </c>
      <c r="H1273" s="364" t="s">
        <v>1312</v>
      </c>
      <c r="I1273" s="364" t="s">
        <v>1311</v>
      </c>
      <c r="J1273" s="364" t="s">
        <v>673</v>
      </c>
      <c r="K1273" s="364" t="s">
        <v>668</v>
      </c>
      <c r="L1273" s="364" t="s">
        <v>190</v>
      </c>
      <c r="M1273" s="364" t="s">
        <v>417</v>
      </c>
      <c r="N1273" s="364" t="s">
        <v>654</v>
      </c>
      <c r="O1273" s="364" t="s">
        <v>653</v>
      </c>
      <c r="P1273" s="364" t="s">
        <v>198</v>
      </c>
      <c r="Q1273" s="364" t="s">
        <v>652</v>
      </c>
      <c r="R1273" s="364" t="s">
        <v>88</v>
      </c>
      <c r="S1273" s="364" t="s">
        <v>88</v>
      </c>
      <c r="T1273" s="364" t="s">
        <v>88</v>
      </c>
      <c r="U1273" s="364" t="s">
        <v>88</v>
      </c>
      <c r="V1273" s="364" t="s">
        <v>88</v>
      </c>
      <c r="W1273" s="364" t="s">
        <v>88</v>
      </c>
      <c r="X1273" s="364" t="s">
        <v>88</v>
      </c>
      <c r="Y1273" s="364" t="s">
        <v>88</v>
      </c>
      <c r="Z1273" s="364" t="s">
        <v>1261</v>
      </c>
      <c r="AA1273" s="364" t="s">
        <v>649</v>
      </c>
      <c r="AB1273" s="364" t="s">
        <v>649</v>
      </c>
      <c r="AC1273" s="364" t="s">
        <v>649</v>
      </c>
      <c r="AD1273" s="364" t="s">
        <v>88</v>
      </c>
      <c r="AE1273" s="364" t="s">
        <v>88</v>
      </c>
      <c r="AF1273" s="364" t="s">
        <v>88</v>
      </c>
      <c r="AG1273" s="364" t="s">
        <v>88</v>
      </c>
      <c r="AH1273" s="364" t="s">
        <v>88</v>
      </c>
      <c r="AI1273" s="364" t="s">
        <v>1155</v>
      </c>
      <c r="AJ1273" s="364" t="s">
        <v>710</v>
      </c>
      <c r="AK1273" s="364" t="s">
        <v>647</v>
      </c>
      <c r="AL1273" s="364" t="s">
        <v>88</v>
      </c>
      <c r="AM1273" s="364" t="s">
        <v>668</v>
      </c>
      <c r="AN1273" s="364" t="s">
        <v>644</v>
      </c>
    </row>
    <row r="1274" spans="1:40" x14ac:dyDescent="0.3">
      <c r="A1274" s="364" t="s">
        <v>1310</v>
      </c>
      <c r="B1274" s="364" t="s">
        <v>661</v>
      </c>
      <c r="C1274" s="364" t="s">
        <v>677</v>
      </c>
      <c r="D1274" s="364" t="s">
        <v>90</v>
      </c>
      <c r="E1274" s="364" t="s">
        <v>1309</v>
      </c>
      <c r="F1274" s="364" t="s">
        <v>1309</v>
      </c>
      <c r="G1274" s="364" t="s">
        <v>658</v>
      </c>
      <c r="H1274" s="364" t="s">
        <v>1308</v>
      </c>
      <c r="I1274" s="364" t="s">
        <v>1307</v>
      </c>
      <c r="J1274" s="364" t="s">
        <v>673</v>
      </c>
      <c r="K1274" s="364" t="s">
        <v>668</v>
      </c>
      <c r="L1274" s="364" t="s">
        <v>190</v>
      </c>
      <c r="M1274" s="364" t="s">
        <v>61</v>
      </c>
      <c r="N1274" s="364" t="s">
        <v>654</v>
      </c>
      <c r="O1274" s="364" t="s">
        <v>653</v>
      </c>
      <c r="P1274" s="364" t="s">
        <v>198</v>
      </c>
      <c r="Q1274" s="364" t="s">
        <v>652</v>
      </c>
      <c r="R1274" s="364" t="s">
        <v>88</v>
      </c>
      <c r="S1274" s="364" t="s">
        <v>88</v>
      </c>
      <c r="T1274" s="364" t="s">
        <v>88</v>
      </c>
      <c r="U1274" s="364" t="s">
        <v>88</v>
      </c>
      <c r="V1274" s="364" t="s">
        <v>88</v>
      </c>
      <c r="W1274" s="364" t="s">
        <v>88</v>
      </c>
      <c r="X1274" s="364" t="s">
        <v>88</v>
      </c>
      <c r="Y1274" s="364" t="s">
        <v>88</v>
      </c>
      <c r="Z1274" s="364" t="s">
        <v>1021</v>
      </c>
      <c r="AA1274" s="364" t="s">
        <v>671</v>
      </c>
      <c r="AB1274" s="364" t="s">
        <v>649</v>
      </c>
      <c r="AC1274" s="364" t="s">
        <v>649</v>
      </c>
      <c r="AD1274" s="364" t="s">
        <v>88</v>
      </c>
      <c r="AE1274" s="364" t="s">
        <v>88</v>
      </c>
      <c r="AF1274" s="364" t="s">
        <v>88</v>
      </c>
      <c r="AG1274" s="364" t="s">
        <v>88</v>
      </c>
      <c r="AH1274" s="364" t="s">
        <v>88</v>
      </c>
      <c r="AI1274" s="364" t="s">
        <v>1155</v>
      </c>
      <c r="AJ1274" s="364" t="s">
        <v>710</v>
      </c>
      <c r="AK1274" s="364" t="s">
        <v>647</v>
      </c>
      <c r="AL1274" s="364" t="s">
        <v>88</v>
      </c>
      <c r="AM1274" s="364" t="s">
        <v>668</v>
      </c>
      <c r="AN1274" s="364" t="s">
        <v>644</v>
      </c>
    </row>
    <row r="1275" spans="1:40" x14ac:dyDescent="0.3">
      <c r="A1275" s="364" t="s">
        <v>1310</v>
      </c>
      <c r="B1275" s="364" t="s">
        <v>661</v>
      </c>
      <c r="C1275" s="364" t="s">
        <v>677</v>
      </c>
      <c r="D1275" s="364" t="s">
        <v>90</v>
      </c>
      <c r="E1275" s="364" t="s">
        <v>1309</v>
      </c>
      <c r="F1275" s="364" t="s">
        <v>1309</v>
      </c>
      <c r="G1275" s="364" t="s">
        <v>658</v>
      </c>
      <c r="H1275" s="364" t="s">
        <v>1308</v>
      </c>
      <c r="I1275" s="364" t="s">
        <v>1307</v>
      </c>
      <c r="J1275" s="364" t="s">
        <v>673</v>
      </c>
      <c r="K1275" s="364" t="s">
        <v>668</v>
      </c>
      <c r="L1275" s="364" t="s">
        <v>190</v>
      </c>
      <c r="M1275" s="364" t="s">
        <v>242</v>
      </c>
      <c r="N1275" s="364" t="s">
        <v>654</v>
      </c>
      <c r="O1275" s="364" t="s">
        <v>653</v>
      </c>
      <c r="P1275" s="364" t="s">
        <v>198</v>
      </c>
      <c r="Q1275" s="364" t="s">
        <v>652</v>
      </c>
      <c r="R1275" s="364" t="s">
        <v>88</v>
      </c>
      <c r="S1275" s="364" t="s">
        <v>88</v>
      </c>
      <c r="T1275" s="364" t="s">
        <v>88</v>
      </c>
      <c r="U1275" s="364" t="s">
        <v>88</v>
      </c>
      <c r="V1275" s="364" t="s">
        <v>88</v>
      </c>
      <c r="W1275" s="364" t="s">
        <v>88</v>
      </c>
      <c r="X1275" s="364" t="s">
        <v>88</v>
      </c>
      <c r="Y1275" s="364" t="s">
        <v>88</v>
      </c>
      <c r="Z1275" s="364" t="s">
        <v>1157</v>
      </c>
      <c r="AA1275" s="364" t="s">
        <v>1156</v>
      </c>
      <c r="AB1275" s="364" t="s">
        <v>649</v>
      </c>
      <c r="AC1275" s="364" t="s">
        <v>649</v>
      </c>
      <c r="AD1275" s="364" t="s">
        <v>88</v>
      </c>
      <c r="AE1275" s="364" t="s">
        <v>88</v>
      </c>
      <c r="AF1275" s="364" t="s">
        <v>88</v>
      </c>
      <c r="AG1275" s="364" t="s">
        <v>88</v>
      </c>
      <c r="AH1275" s="364" t="s">
        <v>88</v>
      </c>
      <c r="AI1275" s="364" t="s">
        <v>1155</v>
      </c>
      <c r="AJ1275" s="364" t="s">
        <v>710</v>
      </c>
      <c r="AK1275" s="364" t="s">
        <v>647</v>
      </c>
      <c r="AL1275" s="364" t="s">
        <v>88</v>
      </c>
      <c r="AM1275" s="364" t="s">
        <v>668</v>
      </c>
      <c r="AN1275" s="364" t="s">
        <v>644</v>
      </c>
    </row>
    <row r="1276" spans="1:40" x14ac:dyDescent="0.3">
      <c r="A1276" s="364" t="s">
        <v>1310</v>
      </c>
      <c r="B1276" s="364" t="s">
        <v>661</v>
      </c>
      <c r="C1276" s="364" t="s">
        <v>677</v>
      </c>
      <c r="D1276" s="364" t="s">
        <v>90</v>
      </c>
      <c r="E1276" s="364" t="s">
        <v>1309</v>
      </c>
      <c r="F1276" s="364" t="s">
        <v>1309</v>
      </c>
      <c r="G1276" s="364" t="s">
        <v>658</v>
      </c>
      <c r="H1276" s="364" t="s">
        <v>1308</v>
      </c>
      <c r="I1276" s="364" t="s">
        <v>1307</v>
      </c>
      <c r="J1276" s="364" t="s">
        <v>673</v>
      </c>
      <c r="K1276" s="364" t="s">
        <v>668</v>
      </c>
      <c r="L1276" s="364" t="s">
        <v>190</v>
      </c>
      <c r="M1276" s="364" t="s">
        <v>1168</v>
      </c>
      <c r="N1276" s="364" t="s">
        <v>654</v>
      </c>
      <c r="O1276" s="364" t="s">
        <v>653</v>
      </c>
      <c r="P1276" s="364" t="s">
        <v>198</v>
      </c>
      <c r="Q1276" s="364" t="s">
        <v>652</v>
      </c>
      <c r="R1276" s="364" t="s">
        <v>88</v>
      </c>
      <c r="S1276" s="364" t="s">
        <v>88</v>
      </c>
      <c r="T1276" s="364" t="s">
        <v>88</v>
      </c>
      <c r="U1276" s="364" t="s">
        <v>88</v>
      </c>
      <c r="V1276" s="364" t="s">
        <v>88</v>
      </c>
      <c r="W1276" s="364" t="s">
        <v>88</v>
      </c>
      <c r="X1276" s="364" t="s">
        <v>88</v>
      </c>
      <c r="Y1276" s="364" t="s">
        <v>88</v>
      </c>
      <c r="Z1276" s="364" t="s">
        <v>1167</v>
      </c>
      <c r="AA1276" s="364" t="s">
        <v>1166</v>
      </c>
      <c r="AB1276" s="364" t="s">
        <v>649</v>
      </c>
      <c r="AC1276" s="364" t="s">
        <v>649</v>
      </c>
      <c r="AD1276" s="364" t="s">
        <v>88</v>
      </c>
      <c r="AE1276" s="364" t="s">
        <v>88</v>
      </c>
      <c r="AF1276" s="364" t="s">
        <v>88</v>
      </c>
      <c r="AG1276" s="364" t="s">
        <v>88</v>
      </c>
      <c r="AH1276" s="364" t="s">
        <v>88</v>
      </c>
      <c r="AI1276" s="364" t="s">
        <v>1155</v>
      </c>
      <c r="AJ1276" s="364" t="s">
        <v>710</v>
      </c>
      <c r="AK1276" s="364" t="s">
        <v>647</v>
      </c>
      <c r="AL1276" s="364" t="s">
        <v>88</v>
      </c>
      <c r="AM1276" s="364" t="s">
        <v>668</v>
      </c>
      <c r="AN1276" s="364" t="s">
        <v>644</v>
      </c>
    </row>
    <row r="1277" spans="1:40" x14ac:dyDescent="0.3">
      <c r="A1277" s="364" t="s">
        <v>1310</v>
      </c>
      <c r="B1277" s="364" t="s">
        <v>661</v>
      </c>
      <c r="C1277" s="364" t="s">
        <v>677</v>
      </c>
      <c r="D1277" s="364" t="s">
        <v>90</v>
      </c>
      <c r="E1277" s="364" t="s">
        <v>1309</v>
      </c>
      <c r="F1277" s="364" t="s">
        <v>1309</v>
      </c>
      <c r="G1277" s="364" t="s">
        <v>658</v>
      </c>
      <c r="H1277" s="364" t="s">
        <v>1308</v>
      </c>
      <c r="I1277" s="364" t="s">
        <v>1307</v>
      </c>
      <c r="J1277" s="364" t="s">
        <v>673</v>
      </c>
      <c r="K1277" s="364" t="s">
        <v>668</v>
      </c>
      <c r="L1277" s="364" t="s">
        <v>190</v>
      </c>
      <c r="M1277" s="364" t="s">
        <v>713</v>
      </c>
      <c r="N1277" s="364" t="s">
        <v>654</v>
      </c>
      <c r="O1277" s="364" t="s">
        <v>653</v>
      </c>
      <c r="P1277" s="364" t="s">
        <v>198</v>
      </c>
      <c r="Q1277" s="364" t="s">
        <v>652</v>
      </c>
      <c r="R1277" s="364" t="s">
        <v>88</v>
      </c>
      <c r="S1277" s="364" t="s">
        <v>88</v>
      </c>
      <c r="T1277" s="364" t="s">
        <v>88</v>
      </c>
      <c r="U1277" s="364" t="s">
        <v>88</v>
      </c>
      <c r="V1277" s="364" t="s">
        <v>88</v>
      </c>
      <c r="W1277" s="364" t="s">
        <v>88</v>
      </c>
      <c r="X1277" s="364" t="s">
        <v>88</v>
      </c>
      <c r="Y1277" s="364" t="s">
        <v>88</v>
      </c>
      <c r="Z1277" s="364" t="s">
        <v>712</v>
      </c>
      <c r="AA1277" s="364" t="s">
        <v>711</v>
      </c>
      <c r="AB1277" s="364" t="s">
        <v>649</v>
      </c>
      <c r="AC1277" s="364" t="s">
        <v>649</v>
      </c>
      <c r="AD1277" s="364" t="s">
        <v>88</v>
      </c>
      <c r="AE1277" s="364" t="s">
        <v>88</v>
      </c>
      <c r="AF1277" s="364" t="s">
        <v>88</v>
      </c>
      <c r="AG1277" s="364" t="s">
        <v>88</v>
      </c>
      <c r="AH1277" s="364" t="s">
        <v>88</v>
      </c>
      <c r="AI1277" s="364" t="s">
        <v>1155</v>
      </c>
      <c r="AJ1277" s="364" t="s">
        <v>710</v>
      </c>
      <c r="AK1277" s="364" t="s">
        <v>647</v>
      </c>
      <c r="AL1277" s="364" t="s">
        <v>88</v>
      </c>
      <c r="AM1277" s="364" t="s">
        <v>668</v>
      </c>
      <c r="AN1277" s="364" t="s">
        <v>644</v>
      </c>
    </row>
    <row r="1278" spans="1:40" x14ac:dyDescent="0.3">
      <c r="A1278" s="364" t="s">
        <v>1310</v>
      </c>
      <c r="B1278" s="364" t="s">
        <v>661</v>
      </c>
      <c r="C1278" s="364" t="s">
        <v>677</v>
      </c>
      <c r="D1278" s="364" t="s">
        <v>90</v>
      </c>
      <c r="E1278" s="364" t="s">
        <v>1309</v>
      </c>
      <c r="F1278" s="364" t="s">
        <v>1309</v>
      </c>
      <c r="G1278" s="364" t="s">
        <v>658</v>
      </c>
      <c r="H1278" s="364" t="s">
        <v>1308</v>
      </c>
      <c r="I1278" s="364" t="s">
        <v>1307</v>
      </c>
      <c r="J1278" s="364" t="s">
        <v>673</v>
      </c>
      <c r="K1278" s="364" t="s">
        <v>668</v>
      </c>
      <c r="L1278" s="364" t="s">
        <v>190</v>
      </c>
      <c r="M1278" s="364" t="s">
        <v>56</v>
      </c>
      <c r="N1278" s="364" t="s">
        <v>654</v>
      </c>
      <c r="O1278" s="364" t="s">
        <v>653</v>
      </c>
      <c r="P1278" s="364" t="s">
        <v>198</v>
      </c>
      <c r="Q1278" s="364" t="s">
        <v>652</v>
      </c>
      <c r="R1278" s="364" t="s">
        <v>88</v>
      </c>
      <c r="S1278" s="364" t="s">
        <v>88</v>
      </c>
      <c r="T1278" s="364" t="s">
        <v>88</v>
      </c>
      <c r="U1278" s="364" t="s">
        <v>88</v>
      </c>
      <c r="V1278" s="364" t="s">
        <v>88</v>
      </c>
      <c r="W1278" s="364" t="s">
        <v>88</v>
      </c>
      <c r="X1278" s="364" t="s">
        <v>88</v>
      </c>
      <c r="Y1278" s="364" t="s">
        <v>88</v>
      </c>
      <c r="Z1278" s="364" t="s">
        <v>1165</v>
      </c>
      <c r="AA1278" s="364" t="s">
        <v>1164</v>
      </c>
      <c r="AB1278" s="364" t="s">
        <v>649</v>
      </c>
      <c r="AC1278" s="364" t="s">
        <v>649</v>
      </c>
      <c r="AD1278" s="364" t="s">
        <v>88</v>
      </c>
      <c r="AE1278" s="364" t="s">
        <v>88</v>
      </c>
      <c r="AF1278" s="364" t="s">
        <v>88</v>
      </c>
      <c r="AG1278" s="364" t="s">
        <v>88</v>
      </c>
      <c r="AH1278" s="364" t="s">
        <v>88</v>
      </c>
      <c r="AI1278" s="364" t="s">
        <v>1155</v>
      </c>
      <c r="AJ1278" s="364" t="s">
        <v>710</v>
      </c>
      <c r="AK1278" s="364" t="s">
        <v>647</v>
      </c>
      <c r="AL1278" s="364" t="s">
        <v>88</v>
      </c>
      <c r="AM1278" s="364" t="s">
        <v>668</v>
      </c>
      <c r="AN1278" s="364" t="s">
        <v>644</v>
      </c>
    </row>
    <row r="1279" spans="1:40" x14ac:dyDescent="0.3">
      <c r="A1279" s="364" t="s">
        <v>1310</v>
      </c>
      <c r="B1279" s="364" t="s">
        <v>661</v>
      </c>
      <c r="C1279" s="364" t="s">
        <v>677</v>
      </c>
      <c r="D1279" s="364" t="s">
        <v>90</v>
      </c>
      <c r="E1279" s="364" t="s">
        <v>1309</v>
      </c>
      <c r="F1279" s="364" t="s">
        <v>1309</v>
      </c>
      <c r="G1279" s="364" t="s">
        <v>658</v>
      </c>
      <c r="H1279" s="364" t="s">
        <v>1308</v>
      </c>
      <c r="I1279" s="364" t="s">
        <v>1307</v>
      </c>
      <c r="J1279" s="364" t="s">
        <v>673</v>
      </c>
      <c r="K1279" s="364" t="s">
        <v>668</v>
      </c>
      <c r="L1279" s="364" t="s">
        <v>190</v>
      </c>
      <c r="M1279" s="364" t="s">
        <v>241</v>
      </c>
      <c r="N1279" s="364" t="s">
        <v>654</v>
      </c>
      <c r="O1279" s="364" t="s">
        <v>653</v>
      </c>
      <c r="P1279" s="364" t="s">
        <v>198</v>
      </c>
      <c r="Q1279" s="364" t="s">
        <v>652</v>
      </c>
      <c r="R1279" s="364" t="s">
        <v>88</v>
      </c>
      <c r="S1279" s="364" t="s">
        <v>88</v>
      </c>
      <c r="T1279" s="364" t="s">
        <v>88</v>
      </c>
      <c r="U1279" s="364" t="s">
        <v>88</v>
      </c>
      <c r="V1279" s="364" t="s">
        <v>88</v>
      </c>
      <c r="W1279" s="364" t="s">
        <v>88</v>
      </c>
      <c r="X1279" s="364" t="s">
        <v>88</v>
      </c>
      <c r="Y1279" s="364" t="s">
        <v>88</v>
      </c>
      <c r="Z1279" s="364" t="s">
        <v>1170</v>
      </c>
      <c r="AA1279" s="364" t="s">
        <v>1169</v>
      </c>
      <c r="AB1279" s="364" t="s">
        <v>649</v>
      </c>
      <c r="AC1279" s="364" t="s">
        <v>649</v>
      </c>
      <c r="AD1279" s="364" t="s">
        <v>88</v>
      </c>
      <c r="AE1279" s="364" t="s">
        <v>88</v>
      </c>
      <c r="AF1279" s="364" t="s">
        <v>88</v>
      </c>
      <c r="AG1279" s="364" t="s">
        <v>88</v>
      </c>
      <c r="AH1279" s="364" t="s">
        <v>88</v>
      </c>
      <c r="AI1279" s="364" t="s">
        <v>1155</v>
      </c>
      <c r="AJ1279" s="364" t="s">
        <v>710</v>
      </c>
      <c r="AK1279" s="364" t="s">
        <v>647</v>
      </c>
      <c r="AL1279" s="364" t="s">
        <v>88</v>
      </c>
      <c r="AM1279" s="364" t="s">
        <v>668</v>
      </c>
      <c r="AN1279" s="364" t="s">
        <v>644</v>
      </c>
    </row>
    <row r="1280" spans="1:40" x14ac:dyDescent="0.3">
      <c r="A1280" s="364" t="s">
        <v>1310</v>
      </c>
      <c r="B1280" s="364" t="s">
        <v>661</v>
      </c>
      <c r="C1280" s="364" t="s">
        <v>677</v>
      </c>
      <c r="D1280" s="364" t="s">
        <v>90</v>
      </c>
      <c r="E1280" s="364" t="s">
        <v>1309</v>
      </c>
      <c r="F1280" s="364" t="s">
        <v>1309</v>
      </c>
      <c r="G1280" s="364" t="s">
        <v>658</v>
      </c>
      <c r="H1280" s="364" t="s">
        <v>1308</v>
      </c>
      <c r="I1280" s="364" t="s">
        <v>1307</v>
      </c>
      <c r="J1280" s="364" t="s">
        <v>673</v>
      </c>
      <c r="K1280" s="364" t="s">
        <v>668</v>
      </c>
      <c r="L1280" s="364" t="s">
        <v>190</v>
      </c>
      <c r="M1280" s="364" t="s">
        <v>240</v>
      </c>
      <c r="N1280" s="364" t="s">
        <v>654</v>
      </c>
      <c r="O1280" s="364" t="s">
        <v>653</v>
      </c>
      <c r="P1280" s="364" t="s">
        <v>198</v>
      </c>
      <c r="Q1280" s="364" t="s">
        <v>652</v>
      </c>
      <c r="R1280" s="364" t="s">
        <v>88</v>
      </c>
      <c r="S1280" s="364" t="s">
        <v>88</v>
      </c>
      <c r="T1280" s="364" t="s">
        <v>88</v>
      </c>
      <c r="U1280" s="364" t="s">
        <v>88</v>
      </c>
      <c r="V1280" s="364" t="s">
        <v>88</v>
      </c>
      <c r="W1280" s="364" t="s">
        <v>88</v>
      </c>
      <c r="X1280" s="364" t="s">
        <v>88</v>
      </c>
      <c r="Y1280" s="364" t="s">
        <v>88</v>
      </c>
      <c r="Z1280" s="364" t="s">
        <v>1163</v>
      </c>
      <c r="AA1280" s="364" t="s">
        <v>1162</v>
      </c>
      <c r="AB1280" s="364" t="s">
        <v>649</v>
      </c>
      <c r="AC1280" s="364" t="s">
        <v>649</v>
      </c>
      <c r="AD1280" s="364" t="s">
        <v>88</v>
      </c>
      <c r="AE1280" s="364" t="s">
        <v>88</v>
      </c>
      <c r="AF1280" s="364" t="s">
        <v>88</v>
      </c>
      <c r="AG1280" s="364" t="s">
        <v>88</v>
      </c>
      <c r="AH1280" s="364" t="s">
        <v>88</v>
      </c>
      <c r="AI1280" s="364" t="s">
        <v>1155</v>
      </c>
      <c r="AJ1280" s="364" t="s">
        <v>710</v>
      </c>
      <c r="AK1280" s="364" t="s">
        <v>647</v>
      </c>
      <c r="AL1280" s="364" t="s">
        <v>88</v>
      </c>
      <c r="AM1280" s="364" t="s">
        <v>668</v>
      </c>
      <c r="AN1280" s="364" t="s">
        <v>644</v>
      </c>
    </row>
    <row r="1281" spans="1:40" x14ac:dyDescent="0.3">
      <c r="A1281" s="364" t="s">
        <v>1310</v>
      </c>
      <c r="B1281" s="364" t="s">
        <v>661</v>
      </c>
      <c r="C1281" s="364" t="s">
        <v>677</v>
      </c>
      <c r="D1281" s="364" t="s">
        <v>90</v>
      </c>
      <c r="E1281" s="364" t="s">
        <v>1309</v>
      </c>
      <c r="F1281" s="364" t="s">
        <v>1309</v>
      </c>
      <c r="G1281" s="364" t="s">
        <v>658</v>
      </c>
      <c r="H1281" s="364" t="s">
        <v>1308</v>
      </c>
      <c r="I1281" s="364" t="s">
        <v>1307</v>
      </c>
      <c r="J1281" s="364" t="s">
        <v>673</v>
      </c>
      <c r="K1281" s="364" t="s">
        <v>668</v>
      </c>
      <c r="L1281" s="364" t="s">
        <v>190</v>
      </c>
      <c r="M1281" s="364" t="s">
        <v>417</v>
      </c>
      <c r="N1281" s="364" t="s">
        <v>654</v>
      </c>
      <c r="O1281" s="364" t="s">
        <v>653</v>
      </c>
      <c r="P1281" s="364" t="s">
        <v>198</v>
      </c>
      <c r="Q1281" s="364" t="s">
        <v>652</v>
      </c>
      <c r="R1281" s="364" t="s">
        <v>88</v>
      </c>
      <c r="S1281" s="364" t="s">
        <v>88</v>
      </c>
      <c r="T1281" s="364" t="s">
        <v>88</v>
      </c>
      <c r="U1281" s="364" t="s">
        <v>88</v>
      </c>
      <c r="V1281" s="364" t="s">
        <v>88</v>
      </c>
      <c r="W1281" s="364" t="s">
        <v>88</v>
      </c>
      <c r="X1281" s="364" t="s">
        <v>88</v>
      </c>
      <c r="Y1281" s="364" t="s">
        <v>88</v>
      </c>
      <c r="Z1281" s="364" t="s">
        <v>1261</v>
      </c>
      <c r="AA1281" s="364" t="s">
        <v>649</v>
      </c>
      <c r="AB1281" s="364" t="s">
        <v>649</v>
      </c>
      <c r="AC1281" s="364" t="s">
        <v>649</v>
      </c>
      <c r="AD1281" s="364" t="s">
        <v>88</v>
      </c>
      <c r="AE1281" s="364" t="s">
        <v>88</v>
      </c>
      <c r="AF1281" s="364" t="s">
        <v>88</v>
      </c>
      <c r="AG1281" s="364" t="s">
        <v>88</v>
      </c>
      <c r="AH1281" s="364" t="s">
        <v>88</v>
      </c>
      <c r="AI1281" s="364" t="s">
        <v>1155</v>
      </c>
      <c r="AJ1281" s="364" t="s">
        <v>710</v>
      </c>
      <c r="AK1281" s="364" t="s">
        <v>647</v>
      </c>
      <c r="AL1281" s="364" t="s">
        <v>88</v>
      </c>
      <c r="AM1281" s="364" t="s">
        <v>668</v>
      </c>
      <c r="AN1281" s="364" t="s">
        <v>644</v>
      </c>
    </row>
    <row r="1282" spans="1:40" x14ac:dyDescent="0.3">
      <c r="A1282" s="364" t="s">
        <v>1306</v>
      </c>
      <c r="B1282" s="364" t="s">
        <v>661</v>
      </c>
      <c r="C1282" s="364" t="s">
        <v>677</v>
      </c>
      <c r="D1282" s="364" t="s">
        <v>90</v>
      </c>
      <c r="E1282" s="364" t="s">
        <v>1305</v>
      </c>
      <c r="F1282" s="364" t="s">
        <v>1305</v>
      </c>
      <c r="G1282" s="364" t="s">
        <v>658</v>
      </c>
      <c r="H1282" s="364" t="s">
        <v>1304</v>
      </c>
      <c r="I1282" s="364" t="s">
        <v>1303</v>
      </c>
      <c r="J1282" s="364" t="s">
        <v>673</v>
      </c>
      <c r="K1282" s="364" t="s">
        <v>668</v>
      </c>
      <c r="L1282" s="364" t="s">
        <v>190</v>
      </c>
      <c r="M1282" s="364" t="s">
        <v>61</v>
      </c>
      <c r="N1282" s="364" t="s">
        <v>654</v>
      </c>
      <c r="O1282" s="364" t="s">
        <v>653</v>
      </c>
      <c r="P1282" s="364" t="s">
        <v>198</v>
      </c>
      <c r="Q1282" s="364" t="s">
        <v>652</v>
      </c>
      <c r="R1282" s="364" t="s">
        <v>88</v>
      </c>
      <c r="S1282" s="364" t="s">
        <v>88</v>
      </c>
      <c r="T1282" s="364" t="s">
        <v>88</v>
      </c>
      <c r="U1282" s="364" t="s">
        <v>88</v>
      </c>
      <c r="V1282" s="364" t="s">
        <v>88</v>
      </c>
      <c r="W1282" s="364" t="s">
        <v>88</v>
      </c>
      <c r="X1282" s="364" t="s">
        <v>88</v>
      </c>
      <c r="Y1282" s="364" t="s">
        <v>88</v>
      </c>
      <c r="Z1282" s="364" t="s">
        <v>1021</v>
      </c>
      <c r="AA1282" s="364" t="s">
        <v>671</v>
      </c>
      <c r="AB1282" s="364" t="s">
        <v>649</v>
      </c>
      <c r="AC1282" s="364" t="s">
        <v>649</v>
      </c>
      <c r="AD1282" s="364" t="s">
        <v>88</v>
      </c>
      <c r="AE1282" s="364" t="s">
        <v>88</v>
      </c>
      <c r="AF1282" s="364" t="s">
        <v>88</v>
      </c>
      <c r="AG1282" s="364" t="s">
        <v>88</v>
      </c>
      <c r="AH1282" s="364" t="s">
        <v>88</v>
      </c>
      <c r="AI1282" s="364" t="s">
        <v>1155</v>
      </c>
      <c r="AJ1282" s="364" t="s">
        <v>710</v>
      </c>
      <c r="AK1282" s="364" t="s">
        <v>647</v>
      </c>
      <c r="AL1282" s="364" t="s">
        <v>88</v>
      </c>
      <c r="AM1282" s="364" t="s">
        <v>668</v>
      </c>
      <c r="AN1282" s="364" t="s">
        <v>644</v>
      </c>
    </row>
    <row r="1283" spans="1:40" x14ac:dyDescent="0.3">
      <c r="A1283" s="364" t="s">
        <v>1306</v>
      </c>
      <c r="B1283" s="364" t="s">
        <v>661</v>
      </c>
      <c r="C1283" s="364" t="s">
        <v>677</v>
      </c>
      <c r="D1283" s="364" t="s">
        <v>90</v>
      </c>
      <c r="E1283" s="364" t="s">
        <v>1305</v>
      </c>
      <c r="F1283" s="364" t="s">
        <v>1305</v>
      </c>
      <c r="G1283" s="364" t="s">
        <v>658</v>
      </c>
      <c r="H1283" s="364" t="s">
        <v>1304</v>
      </c>
      <c r="I1283" s="364" t="s">
        <v>1303</v>
      </c>
      <c r="J1283" s="364" t="s">
        <v>673</v>
      </c>
      <c r="K1283" s="364" t="s">
        <v>668</v>
      </c>
      <c r="L1283" s="364" t="s">
        <v>190</v>
      </c>
      <c r="M1283" s="364" t="s">
        <v>242</v>
      </c>
      <c r="N1283" s="364" t="s">
        <v>654</v>
      </c>
      <c r="O1283" s="364" t="s">
        <v>653</v>
      </c>
      <c r="P1283" s="364" t="s">
        <v>198</v>
      </c>
      <c r="Q1283" s="364" t="s">
        <v>652</v>
      </c>
      <c r="R1283" s="364" t="s">
        <v>88</v>
      </c>
      <c r="S1283" s="364" t="s">
        <v>88</v>
      </c>
      <c r="T1283" s="364" t="s">
        <v>88</v>
      </c>
      <c r="U1283" s="364" t="s">
        <v>88</v>
      </c>
      <c r="V1283" s="364" t="s">
        <v>88</v>
      </c>
      <c r="W1283" s="364" t="s">
        <v>88</v>
      </c>
      <c r="X1283" s="364" t="s">
        <v>88</v>
      </c>
      <c r="Y1283" s="364" t="s">
        <v>88</v>
      </c>
      <c r="Z1283" s="364" t="s">
        <v>1157</v>
      </c>
      <c r="AA1283" s="364" t="s">
        <v>1156</v>
      </c>
      <c r="AB1283" s="364" t="s">
        <v>649</v>
      </c>
      <c r="AC1283" s="364" t="s">
        <v>649</v>
      </c>
      <c r="AD1283" s="364" t="s">
        <v>88</v>
      </c>
      <c r="AE1283" s="364" t="s">
        <v>88</v>
      </c>
      <c r="AF1283" s="364" t="s">
        <v>88</v>
      </c>
      <c r="AG1283" s="364" t="s">
        <v>88</v>
      </c>
      <c r="AH1283" s="364" t="s">
        <v>88</v>
      </c>
      <c r="AI1283" s="364" t="s">
        <v>1155</v>
      </c>
      <c r="AJ1283" s="364" t="s">
        <v>710</v>
      </c>
      <c r="AK1283" s="364" t="s">
        <v>647</v>
      </c>
      <c r="AL1283" s="364" t="s">
        <v>88</v>
      </c>
      <c r="AM1283" s="364" t="s">
        <v>668</v>
      </c>
      <c r="AN1283" s="364" t="s">
        <v>644</v>
      </c>
    </row>
    <row r="1284" spans="1:40" x14ac:dyDescent="0.3">
      <c r="A1284" s="364" t="s">
        <v>1306</v>
      </c>
      <c r="B1284" s="364" t="s">
        <v>661</v>
      </c>
      <c r="C1284" s="364" t="s">
        <v>677</v>
      </c>
      <c r="D1284" s="364" t="s">
        <v>90</v>
      </c>
      <c r="E1284" s="364" t="s">
        <v>1305</v>
      </c>
      <c r="F1284" s="364" t="s">
        <v>1305</v>
      </c>
      <c r="G1284" s="364" t="s">
        <v>658</v>
      </c>
      <c r="H1284" s="364" t="s">
        <v>1304</v>
      </c>
      <c r="I1284" s="364" t="s">
        <v>1303</v>
      </c>
      <c r="J1284" s="364" t="s">
        <v>673</v>
      </c>
      <c r="K1284" s="364" t="s">
        <v>668</v>
      </c>
      <c r="L1284" s="364" t="s">
        <v>190</v>
      </c>
      <c r="M1284" s="364" t="s">
        <v>1168</v>
      </c>
      <c r="N1284" s="364" t="s">
        <v>654</v>
      </c>
      <c r="O1284" s="364" t="s">
        <v>653</v>
      </c>
      <c r="P1284" s="364" t="s">
        <v>198</v>
      </c>
      <c r="Q1284" s="364" t="s">
        <v>652</v>
      </c>
      <c r="R1284" s="364" t="s">
        <v>88</v>
      </c>
      <c r="S1284" s="364" t="s">
        <v>88</v>
      </c>
      <c r="T1284" s="364" t="s">
        <v>88</v>
      </c>
      <c r="U1284" s="364" t="s">
        <v>88</v>
      </c>
      <c r="V1284" s="364" t="s">
        <v>88</v>
      </c>
      <c r="W1284" s="364" t="s">
        <v>88</v>
      </c>
      <c r="X1284" s="364" t="s">
        <v>88</v>
      </c>
      <c r="Y1284" s="364" t="s">
        <v>88</v>
      </c>
      <c r="Z1284" s="364" t="s">
        <v>1167</v>
      </c>
      <c r="AA1284" s="364" t="s">
        <v>1166</v>
      </c>
      <c r="AB1284" s="364" t="s">
        <v>649</v>
      </c>
      <c r="AC1284" s="364" t="s">
        <v>649</v>
      </c>
      <c r="AD1284" s="364" t="s">
        <v>88</v>
      </c>
      <c r="AE1284" s="364" t="s">
        <v>88</v>
      </c>
      <c r="AF1284" s="364" t="s">
        <v>88</v>
      </c>
      <c r="AG1284" s="364" t="s">
        <v>88</v>
      </c>
      <c r="AH1284" s="364" t="s">
        <v>88</v>
      </c>
      <c r="AI1284" s="364" t="s">
        <v>1155</v>
      </c>
      <c r="AJ1284" s="364" t="s">
        <v>710</v>
      </c>
      <c r="AK1284" s="364" t="s">
        <v>647</v>
      </c>
      <c r="AL1284" s="364" t="s">
        <v>88</v>
      </c>
      <c r="AM1284" s="364" t="s">
        <v>668</v>
      </c>
      <c r="AN1284" s="364" t="s">
        <v>644</v>
      </c>
    </row>
    <row r="1285" spans="1:40" x14ac:dyDescent="0.3">
      <c r="A1285" s="364" t="s">
        <v>1306</v>
      </c>
      <c r="B1285" s="364" t="s">
        <v>661</v>
      </c>
      <c r="C1285" s="364" t="s">
        <v>677</v>
      </c>
      <c r="D1285" s="364" t="s">
        <v>90</v>
      </c>
      <c r="E1285" s="364" t="s">
        <v>1305</v>
      </c>
      <c r="F1285" s="364" t="s">
        <v>1305</v>
      </c>
      <c r="G1285" s="364" t="s">
        <v>658</v>
      </c>
      <c r="H1285" s="364" t="s">
        <v>1304</v>
      </c>
      <c r="I1285" s="364" t="s">
        <v>1303</v>
      </c>
      <c r="J1285" s="364" t="s">
        <v>673</v>
      </c>
      <c r="K1285" s="364" t="s">
        <v>668</v>
      </c>
      <c r="L1285" s="364" t="s">
        <v>190</v>
      </c>
      <c r="M1285" s="364" t="s">
        <v>713</v>
      </c>
      <c r="N1285" s="364" t="s">
        <v>654</v>
      </c>
      <c r="O1285" s="364" t="s">
        <v>653</v>
      </c>
      <c r="P1285" s="364" t="s">
        <v>198</v>
      </c>
      <c r="Q1285" s="364" t="s">
        <v>652</v>
      </c>
      <c r="R1285" s="364" t="s">
        <v>88</v>
      </c>
      <c r="S1285" s="364" t="s">
        <v>88</v>
      </c>
      <c r="T1285" s="364" t="s">
        <v>88</v>
      </c>
      <c r="U1285" s="364" t="s">
        <v>88</v>
      </c>
      <c r="V1285" s="364" t="s">
        <v>88</v>
      </c>
      <c r="W1285" s="364" t="s">
        <v>88</v>
      </c>
      <c r="X1285" s="364" t="s">
        <v>88</v>
      </c>
      <c r="Y1285" s="364" t="s">
        <v>88</v>
      </c>
      <c r="Z1285" s="364" t="s">
        <v>712</v>
      </c>
      <c r="AA1285" s="364" t="s">
        <v>711</v>
      </c>
      <c r="AB1285" s="364" t="s">
        <v>649</v>
      </c>
      <c r="AC1285" s="364" t="s">
        <v>649</v>
      </c>
      <c r="AD1285" s="364" t="s">
        <v>88</v>
      </c>
      <c r="AE1285" s="364" t="s">
        <v>88</v>
      </c>
      <c r="AF1285" s="364" t="s">
        <v>88</v>
      </c>
      <c r="AG1285" s="364" t="s">
        <v>88</v>
      </c>
      <c r="AH1285" s="364" t="s">
        <v>88</v>
      </c>
      <c r="AI1285" s="364" t="s">
        <v>1155</v>
      </c>
      <c r="AJ1285" s="364" t="s">
        <v>710</v>
      </c>
      <c r="AK1285" s="364" t="s">
        <v>647</v>
      </c>
      <c r="AL1285" s="364" t="s">
        <v>88</v>
      </c>
      <c r="AM1285" s="364" t="s">
        <v>668</v>
      </c>
      <c r="AN1285" s="364" t="s">
        <v>644</v>
      </c>
    </row>
    <row r="1286" spans="1:40" x14ac:dyDescent="0.3">
      <c r="A1286" s="364" t="s">
        <v>1306</v>
      </c>
      <c r="B1286" s="364" t="s">
        <v>661</v>
      </c>
      <c r="C1286" s="364" t="s">
        <v>677</v>
      </c>
      <c r="D1286" s="364" t="s">
        <v>90</v>
      </c>
      <c r="E1286" s="364" t="s">
        <v>1305</v>
      </c>
      <c r="F1286" s="364" t="s">
        <v>1305</v>
      </c>
      <c r="G1286" s="364" t="s">
        <v>658</v>
      </c>
      <c r="H1286" s="364" t="s">
        <v>1304</v>
      </c>
      <c r="I1286" s="364" t="s">
        <v>1303</v>
      </c>
      <c r="J1286" s="364" t="s">
        <v>673</v>
      </c>
      <c r="K1286" s="364" t="s">
        <v>668</v>
      </c>
      <c r="L1286" s="364" t="s">
        <v>190</v>
      </c>
      <c r="M1286" s="364" t="s">
        <v>56</v>
      </c>
      <c r="N1286" s="364" t="s">
        <v>654</v>
      </c>
      <c r="O1286" s="364" t="s">
        <v>653</v>
      </c>
      <c r="P1286" s="364" t="s">
        <v>198</v>
      </c>
      <c r="Q1286" s="364" t="s">
        <v>652</v>
      </c>
      <c r="R1286" s="364" t="s">
        <v>88</v>
      </c>
      <c r="S1286" s="364" t="s">
        <v>88</v>
      </c>
      <c r="T1286" s="364" t="s">
        <v>88</v>
      </c>
      <c r="U1286" s="364" t="s">
        <v>88</v>
      </c>
      <c r="V1286" s="364" t="s">
        <v>88</v>
      </c>
      <c r="W1286" s="364" t="s">
        <v>88</v>
      </c>
      <c r="X1286" s="364" t="s">
        <v>88</v>
      </c>
      <c r="Y1286" s="364" t="s">
        <v>88</v>
      </c>
      <c r="Z1286" s="364" t="s">
        <v>1165</v>
      </c>
      <c r="AA1286" s="364" t="s">
        <v>1164</v>
      </c>
      <c r="AB1286" s="364" t="s">
        <v>649</v>
      </c>
      <c r="AC1286" s="364" t="s">
        <v>649</v>
      </c>
      <c r="AD1286" s="364" t="s">
        <v>88</v>
      </c>
      <c r="AE1286" s="364" t="s">
        <v>88</v>
      </c>
      <c r="AF1286" s="364" t="s">
        <v>88</v>
      </c>
      <c r="AG1286" s="364" t="s">
        <v>88</v>
      </c>
      <c r="AH1286" s="364" t="s">
        <v>88</v>
      </c>
      <c r="AI1286" s="364" t="s">
        <v>1155</v>
      </c>
      <c r="AJ1286" s="364" t="s">
        <v>710</v>
      </c>
      <c r="AK1286" s="364" t="s">
        <v>647</v>
      </c>
      <c r="AL1286" s="364" t="s">
        <v>88</v>
      </c>
      <c r="AM1286" s="364" t="s">
        <v>668</v>
      </c>
      <c r="AN1286" s="364" t="s">
        <v>644</v>
      </c>
    </row>
    <row r="1287" spans="1:40" x14ac:dyDescent="0.3">
      <c r="A1287" s="364" t="s">
        <v>1306</v>
      </c>
      <c r="B1287" s="364" t="s">
        <v>661</v>
      </c>
      <c r="C1287" s="364" t="s">
        <v>677</v>
      </c>
      <c r="D1287" s="364" t="s">
        <v>90</v>
      </c>
      <c r="E1287" s="364" t="s">
        <v>1305</v>
      </c>
      <c r="F1287" s="364" t="s">
        <v>1305</v>
      </c>
      <c r="G1287" s="364" t="s">
        <v>658</v>
      </c>
      <c r="H1287" s="364" t="s">
        <v>1304</v>
      </c>
      <c r="I1287" s="364" t="s">
        <v>1303</v>
      </c>
      <c r="J1287" s="364" t="s">
        <v>673</v>
      </c>
      <c r="K1287" s="364" t="s">
        <v>668</v>
      </c>
      <c r="L1287" s="364" t="s">
        <v>190</v>
      </c>
      <c r="M1287" s="364" t="s">
        <v>241</v>
      </c>
      <c r="N1287" s="364" t="s">
        <v>654</v>
      </c>
      <c r="O1287" s="364" t="s">
        <v>653</v>
      </c>
      <c r="P1287" s="364" t="s">
        <v>198</v>
      </c>
      <c r="Q1287" s="364" t="s">
        <v>652</v>
      </c>
      <c r="R1287" s="364" t="s">
        <v>88</v>
      </c>
      <c r="S1287" s="364" t="s">
        <v>88</v>
      </c>
      <c r="T1287" s="364" t="s">
        <v>88</v>
      </c>
      <c r="U1287" s="364" t="s">
        <v>88</v>
      </c>
      <c r="V1287" s="364" t="s">
        <v>88</v>
      </c>
      <c r="W1287" s="364" t="s">
        <v>88</v>
      </c>
      <c r="X1287" s="364" t="s">
        <v>88</v>
      </c>
      <c r="Y1287" s="364" t="s">
        <v>88</v>
      </c>
      <c r="Z1287" s="364" t="s">
        <v>1170</v>
      </c>
      <c r="AA1287" s="364" t="s">
        <v>1169</v>
      </c>
      <c r="AB1287" s="364" t="s">
        <v>649</v>
      </c>
      <c r="AC1287" s="364" t="s">
        <v>649</v>
      </c>
      <c r="AD1287" s="364" t="s">
        <v>88</v>
      </c>
      <c r="AE1287" s="364" t="s">
        <v>88</v>
      </c>
      <c r="AF1287" s="364" t="s">
        <v>88</v>
      </c>
      <c r="AG1287" s="364" t="s">
        <v>88</v>
      </c>
      <c r="AH1287" s="364" t="s">
        <v>88</v>
      </c>
      <c r="AI1287" s="364" t="s">
        <v>1155</v>
      </c>
      <c r="AJ1287" s="364" t="s">
        <v>710</v>
      </c>
      <c r="AK1287" s="364" t="s">
        <v>647</v>
      </c>
      <c r="AL1287" s="364" t="s">
        <v>88</v>
      </c>
      <c r="AM1287" s="364" t="s">
        <v>668</v>
      </c>
      <c r="AN1287" s="364" t="s">
        <v>644</v>
      </c>
    </row>
    <row r="1288" spans="1:40" x14ac:dyDescent="0.3">
      <c r="A1288" s="364" t="s">
        <v>1306</v>
      </c>
      <c r="B1288" s="364" t="s">
        <v>661</v>
      </c>
      <c r="C1288" s="364" t="s">
        <v>677</v>
      </c>
      <c r="D1288" s="364" t="s">
        <v>90</v>
      </c>
      <c r="E1288" s="364" t="s">
        <v>1305</v>
      </c>
      <c r="F1288" s="364" t="s">
        <v>1305</v>
      </c>
      <c r="G1288" s="364" t="s">
        <v>658</v>
      </c>
      <c r="H1288" s="364" t="s">
        <v>1304</v>
      </c>
      <c r="I1288" s="364" t="s">
        <v>1303</v>
      </c>
      <c r="J1288" s="364" t="s">
        <v>673</v>
      </c>
      <c r="K1288" s="364" t="s">
        <v>668</v>
      </c>
      <c r="L1288" s="364" t="s">
        <v>190</v>
      </c>
      <c r="M1288" s="364" t="s">
        <v>240</v>
      </c>
      <c r="N1288" s="364" t="s">
        <v>654</v>
      </c>
      <c r="O1288" s="364" t="s">
        <v>653</v>
      </c>
      <c r="P1288" s="364" t="s">
        <v>198</v>
      </c>
      <c r="Q1288" s="364" t="s">
        <v>652</v>
      </c>
      <c r="R1288" s="364" t="s">
        <v>88</v>
      </c>
      <c r="S1288" s="364" t="s">
        <v>88</v>
      </c>
      <c r="T1288" s="364" t="s">
        <v>88</v>
      </c>
      <c r="U1288" s="364" t="s">
        <v>88</v>
      </c>
      <c r="V1288" s="364" t="s">
        <v>88</v>
      </c>
      <c r="W1288" s="364" t="s">
        <v>88</v>
      </c>
      <c r="X1288" s="364" t="s">
        <v>88</v>
      </c>
      <c r="Y1288" s="364" t="s">
        <v>88</v>
      </c>
      <c r="Z1288" s="364" t="s">
        <v>1163</v>
      </c>
      <c r="AA1288" s="364" t="s">
        <v>1162</v>
      </c>
      <c r="AB1288" s="364" t="s">
        <v>649</v>
      </c>
      <c r="AC1288" s="364" t="s">
        <v>649</v>
      </c>
      <c r="AD1288" s="364" t="s">
        <v>88</v>
      </c>
      <c r="AE1288" s="364" t="s">
        <v>88</v>
      </c>
      <c r="AF1288" s="364" t="s">
        <v>88</v>
      </c>
      <c r="AG1288" s="364" t="s">
        <v>88</v>
      </c>
      <c r="AH1288" s="364" t="s">
        <v>88</v>
      </c>
      <c r="AI1288" s="364" t="s">
        <v>1155</v>
      </c>
      <c r="AJ1288" s="364" t="s">
        <v>710</v>
      </c>
      <c r="AK1288" s="364" t="s">
        <v>647</v>
      </c>
      <c r="AL1288" s="364" t="s">
        <v>88</v>
      </c>
      <c r="AM1288" s="364" t="s">
        <v>668</v>
      </c>
      <c r="AN1288" s="364" t="s">
        <v>644</v>
      </c>
    </row>
    <row r="1289" spans="1:40" x14ac:dyDescent="0.3">
      <c r="A1289" s="364" t="s">
        <v>1306</v>
      </c>
      <c r="B1289" s="364" t="s">
        <v>661</v>
      </c>
      <c r="C1289" s="364" t="s">
        <v>677</v>
      </c>
      <c r="D1289" s="364" t="s">
        <v>90</v>
      </c>
      <c r="E1289" s="364" t="s">
        <v>1305</v>
      </c>
      <c r="F1289" s="364" t="s">
        <v>1305</v>
      </c>
      <c r="G1289" s="364" t="s">
        <v>658</v>
      </c>
      <c r="H1289" s="364" t="s">
        <v>1304</v>
      </c>
      <c r="I1289" s="364" t="s">
        <v>1303</v>
      </c>
      <c r="J1289" s="364" t="s">
        <v>673</v>
      </c>
      <c r="K1289" s="364" t="s">
        <v>668</v>
      </c>
      <c r="L1289" s="364" t="s">
        <v>190</v>
      </c>
      <c r="M1289" s="364" t="s">
        <v>417</v>
      </c>
      <c r="N1289" s="364" t="s">
        <v>654</v>
      </c>
      <c r="O1289" s="364" t="s">
        <v>653</v>
      </c>
      <c r="P1289" s="364" t="s">
        <v>198</v>
      </c>
      <c r="Q1289" s="364" t="s">
        <v>652</v>
      </c>
      <c r="R1289" s="364" t="s">
        <v>88</v>
      </c>
      <c r="S1289" s="364" t="s">
        <v>88</v>
      </c>
      <c r="T1289" s="364" t="s">
        <v>88</v>
      </c>
      <c r="U1289" s="364" t="s">
        <v>88</v>
      </c>
      <c r="V1289" s="364" t="s">
        <v>88</v>
      </c>
      <c r="W1289" s="364" t="s">
        <v>88</v>
      </c>
      <c r="X1289" s="364" t="s">
        <v>88</v>
      </c>
      <c r="Y1289" s="364" t="s">
        <v>88</v>
      </c>
      <c r="Z1289" s="364" t="s">
        <v>1261</v>
      </c>
      <c r="AA1289" s="364" t="s">
        <v>649</v>
      </c>
      <c r="AB1289" s="364" t="s">
        <v>649</v>
      </c>
      <c r="AC1289" s="364" t="s">
        <v>649</v>
      </c>
      <c r="AD1289" s="364" t="s">
        <v>88</v>
      </c>
      <c r="AE1289" s="364" t="s">
        <v>88</v>
      </c>
      <c r="AF1289" s="364" t="s">
        <v>88</v>
      </c>
      <c r="AG1289" s="364" t="s">
        <v>88</v>
      </c>
      <c r="AH1289" s="364" t="s">
        <v>88</v>
      </c>
      <c r="AI1289" s="364" t="s">
        <v>1155</v>
      </c>
      <c r="AJ1289" s="364" t="s">
        <v>710</v>
      </c>
      <c r="AK1289" s="364" t="s">
        <v>647</v>
      </c>
      <c r="AL1289" s="364" t="s">
        <v>88</v>
      </c>
      <c r="AM1289" s="364" t="s">
        <v>668</v>
      </c>
      <c r="AN1289" s="364" t="s">
        <v>644</v>
      </c>
    </row>
    <row r="1290" spans="1:40" x14ac:dyDescent="0.3">
      <c r="A1290" s="364" t="s">
        <v>1306</v>
      </c>
      <c r="B1290" s="364" t="s">
        <v>661</v>
      </c>
      <c r="C1290" s="364" t="s">
        <v>677</v>
      </c>
      <c r="D1290" s="364" t="s">
        <v>90</v>
      </c>
      <c r="E1290" s="364" t="s">
        <v>1305</v>
      </c>
      <c r="F1290" s="364" t="s">
        <v>1305</v>
      </c>
      <c r="G1290" s="364" t="s">
        <v>658</v>
      </c>
      <c r="H1290" s="364" t="s">
        <v>1304</v>
      </c>
      <c r="I1290" s="364" t="s">
        <v>1303</v>
      </c>
      <c r="J1290" s="364" t="s">
        <v>673</v>
      </c>
      <c r="K1290" s="364" t="s">
        <v>668</v>
      </c>
      <c r="L1290" s="364" t="s">
        <v>190</v>
      </c>
      <c r="M1290" s="364" t="s">
        <v>1173</v>
      </c>
      <c r="N1290" s="364" t="s">
        <v>654</v>
      </c>
      <c r="O1290" s="364" t="s">
        <v>653</v>
      </c>
      <c r="P1290" s="364" t="s">
        <v>198</v>
      </c>
      <c r="Q1290" s="364" t="s">
        <v>652</v>
      </c>
      <c r="R1290" s="364" t="s">
        <v>88</v>
      </c>
      <c r="S1290" s="364" t="s">
        <v>88</v>
      </c>
      <c r="T1290" s="364" t="s">
        <v>88</v>
      </c>
      <c r="U1290" s="364" t="s">
        <v>88</v>
      </c>
      <c r="V1290" s="364" t="s">
        <v>88</v>
      </c>
      <c r="W1290" s="364" t="s">
        <v>88</v>
      </c>
      <c r="X1290" s="364" t="s">
        <v>88</v>
      </c>
      <c r="Y1290" s="364" t="s">
        <v>88</v>
      </c>
      <c r="Z1290" s="364" t="s">
        <v>1172</v>
      </c>
      <c r="AA1290" s="364" t="s">
        <v>1171</v>
      </c>
      <c r="AB1290" s="364" t="s">
        <v>649</v>
      </c>
      <c r="AC1290" s="364" t="s">
        <v>649</v>
      </c>
      <c r="AD1290" s="364" t="s">
        <v>88</v>
      </c>
      <c r="AE1290" s="364" t="s">
        <v>88</v>
      </c>
      <c r="AF1290" s="364" t="s">
        <v>88</v>
      </c>
      <c r="AG1290" s="364" t="s">
        <v>88</v>
      </c>
      <c r="AH1290" s="364" t="s">
        <v>88</v>
      </c>
      <c r="AI1290" s="364" t="s">
        <v>1155</v>
      </c>
      <c r="AJ1290" s="364" t="s">
        <v>710</v>
      </c>
      <c r="AK1290" s="364" t="s">
        <v>647</v>
      </c>
      <c r="AL1290" s="364" t="s">
        <v>88</v>
      </c>
      <c r="AM1290" s="364" t="s">
        <v>668</v>
      </c>
      <c r="AN1290" s="364" t="s">
        <v>644</v>
      </c>
    </row>
    <row r="1291" spans="1:40" x14ac:dyDescent="0.3">
      <c r="A1291" s="364" t="s">
        <v>1302</v>
      </c>
      <c r="B1291" s="364" t="s">
        <v>661</v>
      </c>
      <c r="C1291" s="364" t="s">
        <v>677</v>
      </c>
      <c r="D1291" s="364" t="s">
        <v>90</v>
      </c>
      <c r="E1291" s="364" t="s">
        <v>1301</v>
      </c>
      <c r="F1291" s="364" t="s">
        <v>1301</v>
      </c>
      <c r="G1291" s="364" t="s">
        <v>658</v>
      </c>
      <c r="H1291" s="364" t="s">
        <v>1300</v>
      </c>
      <c r="I1291" s="364" t="s">
        <v>1299</v>
      </c>
      <c r="J1291" s="364" t="s">
        <v>673</v>
      </c>
      <c r="K1291" s="364" t="s">
        <v>668</v>
      </c>
      <c r="L1291" s="364" t="s">
        <v>190</v>
      </c>
      <c r="M1291" s="364" t="s">
        <v>61</v>
      </c>
      <c r="N1291" s="364" t="s">
        <v>654</v>
      </c>
      <c r="O1291" s="364" t="s">
        <v>653</v>
      </c>
      <c r="P1291" s="364" t="s">
        <v>198</v>
      </c>
      <c r="Q1291" s="364" t="s">
        <v>652</v>
      </c>
      <c r="R1291" s="364" t="s">
        <v>88</v>
      </c>
      <c r="S1291" s="364" t="s">
        <v>88</v>
      </c>
      <c r="T1291" s="364" t="s">
        <v>88</v>
      </c>
      <c r="U1291" s="364" t="s">
        <v>88</v>
      </c>
      <c r="V1291" s="364" t="s">
        <v>88</v>
      </c>
      <c r="W1291" s="364" t="s">
        <v>88</v>
      </c>
      <c r="X1291" s="364" t="s">
        <v>88</v>
      </c>
      <c r="Y1291" s="364" t="s">
        <v>88</v>
      </c>
      <c r="Z1291" s="364" t="s">
        <v>1021</v>
      </c>
      <c r="AA1291" s="364" t="s">
        <v>671</v>
      </c>
      <c r="AB1291" s="364" t="s">
        <v>649</v>
      </c>
      <c r="AC1291" s="364" t="s">
        <v>649</v>
      </c>
      <c r="AD1291" s="364" t="s">
        <v>88</v>
      </c>
      <c r="AE1291" s="364" t="s">
        <v>88</v>
      </c>
      <c r="AF1291" s="364" t="s">
        <v>88</v>
      </c>
      <c r="AG1291" s="364" t="s">
        <v>88</v>
      </c>
      <c r="AH1291" s="364" t="s">
        <v>88</v>
      </c>
      <c r="AI1291" s="364" t="s">
        <v>1155</v>
      </c>
      <c r="AJ1291" s="364" t="s">
        <v>710</v>
      </c>
      <c r="AK1291" s="364" t="s">
        <v>647</v>
      </c>
      <c r="AL1291" s="364" t="s">
        <v>88</v>
      </c>
      <c r="AM1291" s="364" t="s">
        <v>668</v>
      </c>
      <c r="AN1291" s="364" t="s">
        <v>644</v>
      </c>
    </row>
    <row r="1292" spans="1:40" x14ac:dyDescent="0.3">
      <c r="A1292" s="364" t="s">
        <v>1302</v>
      </c>
      <c r="B1292" s="364" t="s">
        <v>661</v>
      </c>
      <c r="C1292" s="364" t="s">
        <v>677</v>
      </c>
      <c r="D1292" s="364" t="s">
        <v>90</v>
      </c>
      <c r="E1292" s="364" t="s">
        <v>1301</v>
      </c>
      <c r="F1292" s="364" t="s">
        <v>1301</v>
      </c>
      <c r="G1292" s="364" t="s">
        <v>658</v>
      </c>
      <c r="H1292" s="364" t="s">
        <v>1300</v>
      </c>
      <c r="I1292" s="364" t="s">
        <v>1299</v>
      </c>
      <c r="J1292" s="364" t="s">
        <v>673</v>
      </c>
      <c r="K1292" s="364" t="s">
        <v>668</v>
      </c>
      <c r="L1292" s="364" t="s">
        <v>190</v>
      </c>
      <c r="M1292" s="364" t="s">
        <v>242</v>
      </c>
      <c r="N1292" s="364" t="s">
        <v>654</v>
      </c>
      <c r="O1292" s="364" t="s">
        <v>653</v>
      </c>
      <c r="P1292" s="364" t="s">
        <v>198</v>
      </c>
      <c r="Q1292" s="364" t="s">
        <v>652</v>
      </c>
      <c r="R1292" s="364" t="s">
        <v>88</v>
      </c>
      <c r="S1292" s="364" t="s">
        <v>88</v>
      </c>
      <c r="T1292" s="364" t="s">
        <v>88</v>
      </c>
      <c r="U1292" s="364" t="s">
        <v>88</v>
      </c>
      <c r="V1292" s="364" t="s">
        <v>88</v>
      </c>
      <c r="W1292" s="364" t="s">
        <v>88</v>
      </c>
      <c r="X1292" s="364" t="s">
        <v>88</v>
      </c>
      <c r="Y1292" s="364" t="s">
        <v>88</v>
      </c>
      <c r="Z1292" s="364" t="s">
        <v>1157</v>
      </c>
      <c r="AA1292" s="364" t="s">
        <v>1156</v>
      </c>
      <c r="AB1292" s="364" t="s">
        <v>649</v>
      </c>
      <c r="AC1292" s="364" t="s">
        <v>649</v>
      </c>
      <c r="AD1292" s="364" t="s">
        <v>88</v>
      </c>
      <c r="AE1292" s="364" t="s">
        <v>88</v>
      </c>
      <c r="AF1292" s="364" t="s">
        <v>88</v>
      </c>
      <c r="AG1292" s="364" t="s">
        <v>88</v>
      </c>
      <c r="AH1292" s="364" t="s">
        <v>88</v>
      </c>
      <c r="AI1292" s="364" t="s">
        <v>1155</v>
      </c>
      <c r="AJ1292" s="364" t="s">
        <v>710</v>
      </c>
      <c r="AK1292" s="364" t="s">
        <v>647</v>
      </c>
      <c r="AL1292" s="364" t="s">
        <v>88</v>
      </c>
      <c r="AM1292" s="364" t="s">
        <v>668</v>
      </c>
      <c r="AN1292" s="364" t="s">
        <v>644</v>
      </c>
    </row>
    <row r="1293" spans="1:40" x14ac:dyDescent="0.3">
      <c r="A1293" s="364" t="s">
        <v>1302</v>
      </c>
      <c r="B1293" s="364" t="s">
        <v>661</v>
      </c>
      <c r="C1293" s="364" t="s">
        <v>677</v>
      </c>
      <c r="D1293" s="364" t="s">
        <v>90</v>
      </c>
      <c r="E1293" s="364" t="s">
        <v>1301</v>
      </c>
      <c r="F1293" s="364" t="s">
        <v>1301</v>
      </c>
      <c r="G1293" s="364" t="s">
        <v>658</v>
      </c>
      <c r="H1293" s="364" t="s">
        <v>1300</v>
      </c>
      <c r="I1293" s="364" t="s">
        <v>1299</v>
      </c>
      <c r="J1293" s="364" t="s">
        <v>673</v>
      </c>
      <c r="K1293" s="364" t="s">
        <v>668</v>
      </c>
      <c r="L1293" s="364" t="s">
        <v>190</v>
      </c>
      <c r="M1293" s="364" t="s">
        <v>1168</v>
      </c>
      <c r="N1293" s="364" t="s">
        <v>654</v>
      </c>
      <c r="O1293" s="364" t="s">
        <v>653</v>
      </c>
      <c r="P1293" s="364" t="s">
        <v>198</v>
      </c>
      <c r="Q1293" s="364" t="s">
        <v>652</v>
      </c>
      <c r="R1293" s="364" t="s">
        <v>88</v>
      </c>
      <c r="S1293" s="364" t="s">
        <v>88</v>
      </c>
      <c r="T1293" s="364" t="s">
        <v>88</v>
      </c>
      <c r="U1293" s="364" t="s">
        <v>88</v>
      </c>
      <c r="V1293" s="364" t="s">
        <v>88</v>
      </c>
      <c r="W1293" s="364" t="s">
        <v>88</v>
      </c>
      <c r="X1293" s="364" t="s">
        <v>88</v>
      </c>
      <c r="Y1293" s="364" t="s">
        <v>88</v>
      </c>
      <c r="Z1293" s="364" t="s">
        <v>1167</v>
      </c>
      <c r="AA1293" s="364" t="s">
        <v>1166</v>
      </c>
      <c r="AB1293" s="364" t="s">
        <v>649</v>
      </c>
      <c r="AC1293" s="364" t="s">
        <v>649</v>
      </c>
      <c r="AD1293" s="364" t="s">
        <v>88</v>
      </c>
      <c r="AE1293" s="364" t="s">
        <v>88</v>
      </c>
      <c r="AF1293" s="364" t="s">
        <v>88</v>
      </c>
      <c r="AG1293" s="364" t="s">
        <v>88</v>
      </c>
      <c r="AH1293" s="364" t="s">
        <v>88</v>
      </c>
      <c r="AI1293" s="364" t="s">
        <v>1155</v>
      </c>
      <c r="AJ1293" s="364" t="s">
        <v>710</v>
      </c>
      <c r="AK1293" s="364" t="s">
        <v>647</v>
      </c>
      <c r="AL1293" s="364" t="s">
        <v>88</v>
      </c>
      <c r="AM1293" s="364" t="s">
        <v>668</v>
      </c>
      <c r="AN1293" s="364" t="s">
        <v>644</v>
      </c>
    </row>
    <row r="1294" spans="1:40" x14ac:dyDescent="0.3">
      <c r="A1294" s="364" t="s">
        <v>1302</v>
      </c>
      <c r="B1294" s="364" t="s">
        <v>661</v>
      </c>
      <c r="C1294" s="364" t="s">
        <v>677</v>
      </c>
      <c r="D1294" s="364" t="s">
        <v>90</v>
      </c>
      <c r="E1294" s="364" t="s">
        <v>1301</v>
      </c>
      <c r="F1294" s="364" t="s">
        <v>1301</v>
      </c>
      <c r="G1294" s="364" t="s">
        <v>658</v>
      </c>
      <c r="H1294" s="364" t="s">
        <v>1300</v>
      </c>
      <c r="I1294" s="364" t="s">
        <v>1299</v>
      </c>
      <c r="J1294" s="364" t="s">
        <v>673</v>
      </c>
      <c r="K1294" s="364" t="s">
        <v>668</v>
      </c>
      <c r="L1294" s="364" t="s">
        <v>190</v>
      </c>
      <c r="M1294" s="364" t="s">
        <v>713</v>
      </c>
      <c r="N1294" s="364" t="s">
        <v>654</v>
      </c>
      <c r="O1294" s="364" t="s">
        <v>653</v>
      </c>
      <c r="P1294" s="364" t="s">
        <v>198</v>
      </c>
      <c r="Q1294" s="364" t="s">
        <v>652</v>
      </c>
      <c r="R1294" s="364" t="s">
        <v>88</v>
      </c>
      <c r="S1294" s="364" t="s">
        <v>88</v>
      </c>
      <c r="T1294" s="364" t="s">
        <v>88</v>
      </c>
      <c r="U1294" s="364" t="s">
        <v>88</v>
      </c>
      <c r="V1294" s="364" t="s">
        <v>88</v>
      </c>
      <c r="W1294" s="364" t="s">
        <v>88</v>
      </c>
      <c r="X1294" s="364" t="s">
        <v>88</v>
      </c>
      <c r="Y1294" s="364" t="s">
        <v>88</v>
      </c>
      <c r="Z1294" s="364" t="s">
        <v>712</v>
      </c>
      <c r="AA1294" s="364" t="s">
        <v>711</v>
      </c>
      <c r="AB1294" s="364" t="s">
        <v>649</v>
      </c>
      <c r="AC1294" s="364" t="s">
        <v>649</v>
      </c>
      <c r="AD1294" s="364" t="s">
        <v>88</v>
      </c>
      <c r="AE1294" s="364" t="s">
        <v>88</v>
      </c>
      <c r="AF1294" s="364" t="s">
        <v>88</v>
      </c>
      <c r="AG1294" s="364" t="s">
        <v>88</v>
      </c>
      <c r="AH1294" s="364" t="s">
        <v>88</v>
      </c>
      <c r="AI1294" s="364" t="s">
        <v>1155</v>
      </c>
      <c r="AJ1294" s="364" t="s">
        <v>710</v>
      </c>
      <c r="AK1294" s="364" t="s">
        <v>647</v>
      </c>
      <c r="AL1294" s="364" t="s">
        <v>88</v>
      </c>
      <c r="AM1294" s="364" t="s">
        <v>668</v>
      </c>
      <c r="AN1294" s="364" t="s">
        <v>644</v>
      </c>
    </row>
    <row r="1295" spans="1:40" x14ac:dyDescent="0.3">
      <c r="A1295" s="364" t="s">
        <v>1302</v>
      </c>
      <c r="B1295" s="364" t="s">
        <v>661</v>
      </c>
      <c r="C1295" s="364" t="s">
        <v>677</v>
      </c>
      <c r="D1295" s="364" t="s">
        <v>90</v>
      </c>
      <c r="E1295" s="364" t="s">
        <v>1301</v>
      </c>
      <c r="F1295" s="364" t="s">
        <v>1301</v>
      </c>
      <c r="G1295" s="364" t="s">
        <v>658</v>
      </c>
      <c r="H1295" s="364" t="s">
        <v>1300</v>
      </c>
      <c r="I1295" s="364" t="s">
        <v>1299</v>
      </c>
      <c r="J1295" s="364" t="s">
        <v>673</v>
      </c>
      <c r="K1295" s="364" t="s">
        <v>668</v>
      </c>
      <c r="L1295" s="364" t="s">
        <v>190</v>
      </c>
      <c r="M1295" s="364" t="s">
        <v>56</v>
      </c>
      <c r="N1295" s="364" t="s">
        <v>654</v>
      </c>
      <c r="O1295" s="364" t="s">
        <v>653</v>
      </c>
      <c r="P1295" s="364" t="s">
        <v>198</v>
      </c>
      <c r="Q1295" s="364" t="s">
        <v>652</v>
      </c>
      <c r="R1295" s="364" t="s">
        <v>88</v>
      </c>
      <c r="S1295" s="364" t="s">
        <v>88</v>
      </c>
      <c r="T1295" s="364" t="s">
        <v>88</v>
      </c>
      <c r="U1295" s="364" t="s">
        <v>88</v>
      </c>
      <c r="V1295" s="364" t="s">
        <v>88</v>
      </c>
      <c r="W1295" s="364" t="s">
        <v>88</v>
      </c>
      <c r="X1295" s="364" t="s">
        <v>88</v>
      </c>
      <c r="Y1295" s="364" t="s">
        <v>88</v>
      </c>
      <c r="Z1295" s="364" t="s">
        <v>1165</v>
      </c>
      <c r="AA1295" s="364" t="s">
        <v>1164</v>
      </c>
      <c r="AB1295" s="364" t="s">
        <v>649</v>
      </c>
      <c r="AC1295" s="364" t="s">
        <v>649</v>
      </c>
      <c r="AD1295" s="364" t="s">
        <v>88</v>
      </c>
      <c r="AE1295" s="364" t="s">
        <v>88</v>
      </c>
      <c r="AF1295" s="364" t="s">
        <v>88</v>
      </c>
      <c r="AG1295" s="364" t="s">
        <v>88</v>
      </c>
      <c r="AH1295" s="364" t="s">
        <v>88</v>
      </c>
      <c r="AI1295" s="364" t="s">
        <v>1155</v>
      </c>
      <c r="AJ1295" s="364" t="s">
        <v>710</v>
      </c>
      <c r="AK1295" s="364" t="s">
        <v>647</v>
      </c>
      <c r="AL1295" s="364" t="s">
        <v>88</v>
      </c>
      <c r="AM1295" s="364" t="s">
        <v>668</v>
      </c>
      <c r="AN1295" s="364" t="s">
        <v>644</v>
      </c>
    </row>
    <row r="1296" spans="1:40" x14ac:dyDescent="0.3">
      <c r="A1296" s="364" t="s">
        <v>1302</v>
      </c>
      <c r="B1296" s="364" t="s">
        <v>661</v>
      </c>
      <c r="C1296" s="364" t="s">
        <v>677</v>
      </c>
      <c r="D1296" s="364" t="s">
        <v>90</v>
      </c>
      <c r="E1296" s="364" t="s">
        <v>1301</v>
      </c>
      <c r="F1296" s="364" t="s">
        <v>1301</v>
      </c>
      <c r="G1296" s="364" t="s">
        <v>658</v>
      </c>
      <c r="H1296" s="364" t="s">
        <v>1300</v>
      </c>
      <c r="I1296" s="364" t="s">
        <v>1299</v>
      </c>
      <c r="J1296" s="364" t="s">
        <v>673</v>
      </c>
      <c r="K1296" s="364" t="s">
        <v>668</v>
      </c>
      <c r="L1296" s="364" t="s">
        <v>190</v>
      </c>
      <c r="M1296" s="364" t="s">
        <v>241</v>
      </c>
      <c r="N1296" s="364" t="s">
        <v>654</v>
      </c>
      <c r="O1296" s="364" t="s">
        <v>653</v>
      </c>
      <c r="P1296" s="364" t="s">
        <v>198</v>
      </c>
      <c r="Q1296" s="364" t="s">
        <v>652</v>
      </c>
      <c r="R1296" s="364" t="s">
        <v>88</v>
      </c>
      <c r="S1296" s="364" t="s">
        <v>88</v>
      </c>
      <c r="T1296" s="364" t="s">
        <v>88</v>
      </c>
      <c r="U1296" s="364" t="s">
        <v>88</v>
      </c>
      <c r="V1296" s="364" t="s">
        <v>88</v>
      </c>
      <c r="W1296" s="364" t="s">
        <v>88</v>
      </c>
      <c r="X1296" s="364" t="s">
        <v>88</v>
      </c>
      <c r="Y1296" s="364" t="s">
        <v>88</v>
      </c>
      <c r="Z1296" s="364" t="s">
        <v>1170</v>
      </c>
      <c r="AA1296" s="364" t="s">
        <v>1169</v>
      </c>
      <c r="AB1296" s="364" t="s">
        <v>649</v>
      </c>
      <c r="AC1296" s="364" t="s">
        <v>649</v>
      </c>
      <c r="AD1296" s="364" t="s">
        <v>88</v>
      </c>
      <c r="AE1296" s="364" t="s">
        <v>88</v>
      </c>
      <c r="AF1296" s="364" t="s">
        <v>88</v>
      </c>
      <c r="AG1296" s="364" t="s">
        <v>88</v>
      </c>
      <c r="AH1296" s="364" t="s">
        <v>88</v>
      </c>
      <c r="AI1296" s="364" t="s">
        <v>1155</v>
      </c>
      <c r="AJ1296" s="364" t="s">
        <v>710</v>
      </c>
      <c r="AK1296" s="364" t="s">
        <v>647</v>
      </c>
      <c r="AL1296" s="364" t="s">
        <v>88</v>
      </c>
      <c r="AM1296" s="364" t="s">
        <v>668</v>
      </c>
      <c r="AN1296" s="364" t="s">
        <v>644</v>
      </c>
    </row>
    <row r="1297" spans="1:40" x14ac:dyDescent="0.3">
      <c r="A1297" s="364" t="s">
        <v>1302</v>
      </c>
      <c r="B1297" s="364" t="s">
        <v>661</v>
      </c>
      <c r="C1297" s="364" t="s">
        <v>677</v>
      </c>
      <c r="D1297" s="364" t="s">
        <v>90</v>
      </c>
      <c r="E1297" s="364" t="s">
        <v>1301</v>
      </c>
      <c r="F1297" s="364" t="s">
        <v>1301</v>
      </c>
      <c r="G1297" s="364" t="s">
        <v>658</v>
      </c>
      <c r="H1297" s="364" t="s">
        <v>1300</v>
      </c>
      <c r="I1297" s="364" t="s">
        <v>1299</v>
      </c>
      <c r="J1297" s="364" t="s">
        <v>673</v>
      </c>
      <c r="K1297" s="364" t="s">
        <v>668</v>
      </c>
      <c r="L1297" s="364" t="s">
        <v>190</v>
      </c>
      <c r="M1297" s="364" t="s">
        <v>240</v>
      </c>
      <c r="N1297" s="364" t="s">
        <v>654</v>
      </c>
      <c r="O1297" s="364" t="s">
        <v>653</v>
      </c>
      <c r="P1297" s="364" t="s">
        <v>198</v>
      </c>
      <c r="Q1297" s="364" t="s">
        <v>652</v>
      </c>
      <c r="R1297" s="364" t="s">
        <v>88</v>
      </c>
      <c r="S1297" s="364" t="s">
        <v>88</v>
      </c>
      <c r="T1297" s="364" t="s">
        <v>88</v>
      </c>
      <c r="U1297" s="364" t="s">
        <v>88</v>
      </c>
      <c r="V1297" s="364" t="s">
        <v>88</v>
      </c>
      <c r="W1297" s="364" t="s">
        <v>88</v>
      </c>
      <c r="X1297" s="364" t="s">
        <v>88</v>
      </c>
      <c r="Y1297" s="364" t="s">
        <v>88</v>
      </c>
      <c r="Z1297" s="364" t="s">
        <v>1163</v>
      </c>
      <c r="AA1297" s="364" t="s">
        <v>1162</v>
      </c>
      <c r="AB1297" s="364" t="s">
        <v>649</v>
      </c>
      <c r="AC1297" s="364" t="s">
        <v>649</v>
      </c>
      <c r="AD1297" s="364" t="s">
        <v>88</v>
      </c>
      <c r="AE1297" s="364" t="s">
        <v>88</v>
      </c>
      <c r="AF1297" s="364" t="s">
        <v>88</v>
      </c>
      <c r="AG1297" s="364" t="s">
        <v>88</v>
      </c>
      <c r="AH1297" s="364" t="s">
        <v>88</v>
      </c>
      <c r="AI1297" s="364" t="s">
        <v>1155</v>
      </c>
      <c r="AJ1297" s="364" t="s">
        <v>710</v>
      </c>
      <c r="AK1297" s="364" t="s">
        <v>647</v>
      </c>
      <c r="AL1297" s="364" t="s">
        <v>88</v>
      </c>
      <c r="AM1297" s="364" t="s">
        <v>668</v>
      </c>
      <c r="AN1297" s="364" t="s">
        <v>644</v>
      </c>
    </row>
    <row r="1298" spans="1:40" x14ac:dyDescent="0.3">
      <c r="A1298" s="364" t="s">
        <v>1302</v>
      </c>
      <c r="B1298" s="364" t="s">
        <v>661</v>
      </c>
      <c r="C1298" s="364" t="s">
        <v>677</v>
      </c>
      <c r="D1298" s="364" t="s">
        <v>90</v>
      </c>
      <c r="E1298" s="364" t="s">
        <v>1301</v>
      </c>
      <c r="F1298" s="364" t="s">
        <v>1301</v>
      </c>
      <c r="G1298" s="364" t="s">
        <v>658</v>
      </c>
      <c r="H1298" s="364" t="s">
        <v>1300</v>
      </c>
      <c r="I1298" s="364" t="s">
        <v>1299</v>
      </c>
      <c r="J1298" s="364" t="s">
        <v>673</v>
      </c>
      <c r="K1298" s="364" t="s">
        <v>668</v>
      </c>
      <c r="L1298" s="364" t="s">
        <v>190</v>
      </c>
      <c r="M1298" s="364" t="s">
        <v>417</v>
      </c>
      <c r="N1298" s="364" t="s">
        <v>654</v>
      </c>
      <c r="O1298" s="364" t="s">
        <v>653</v>
      </c>
      <c r="P1298" s="364" t="s">
        <v>198</v>
      </c>
      <c r="Q1298" s="364" t="s">
        <v>652</v>
      </c>
      <c r="R1298" s="364" t="s">
        <v>88</v>
      </c>
      <c r="S1298" s="364" t="s">
        <v>88</v>
      </c>
      <c r="T1298" s="364" t="s">
        <v>88</v>
      </c>
      <c r="U1298" s="364" t="s">
        <v>88</v>
      </c>
      <c r="V1298" s="364" t="s">
        <v>88</v>
      </c>
      <c r="W1298" s="364" t="s">
        <v>88</v>
      </c>
      <c r="X1298" s="364" t="s">
        <v>88</v>
      </c>
      <c r="Y1298" s="364" t="s">
        <v>88</v>
      </c>
      <c r="Z1298" s="364" t="s">
        <v>1261</v>
      </c>
      <c r="AA1298" s="364" t="s">
        <v>649</v>
      </c>
      <c r="AB1298" s="364" t="s">
        <v>649</v>
      </c>
      <c r="AC1298" s="364" t="s">
        <v>649</v>
      </c>
      <c r="AD1298" s="364" t="s">
        <v>88</v>
      </c>
      <c r="AE1298" s="364" t="s">
        <v>88</v>
      </c>
      <c r="AF1298" s="364" t="s">
        <v>88</v>
      </c>
      <c r="AG1298" s="364" t="s">
        <v>88</v>
      </c>
      <c r="AH1298" s="364" t="s">
        <v>88</v>
      </c>
      <c r="AI1298" s="364" t="s">
        <v>1155</v>
      </c>
      <c r="AJ1298" s="364" t="s">
        <v>710</v>
      </c>
      <c r="AK1298" s="364" t="s">
        <v>647</v>
      </c>
      <c r="AL1298" s="364" t="s">
        <v>88</v>
      </c>
      <c r="AM1298" s="364" t="s">
        <v>668</v>
      </c>
      <c r="AN1298" s="364" t="s">
        <v>644</v>
      </c>
    </row>
    <row r="1299" spans="1:40" x14ac:dyDescent="0.3">
      <c r="A1299" s="364" t="s">
        <v>1302</v>
      </c>
      <c r="B1299" s="364" t="s">
        <v>661</v>
      </c>
      <c r="C1299" s="364" t="s">
        <v>677</v>
      </c>
      <c r="D1299" s="364" t="s">
        <v>90</v>
      </c>
      <c r="E1299" s="364" t="s">
        <v>1301</v>
      </c>
      <c r="F1299" s="364" t="s">
        <v>1301</v>
      </c>
      <c r="G1299" s="364" t="s">
        <v>658</v>
      </c>
      <c r="H1299" s="364" t="s">
        <v>1300</v>
      </c>
      <c r="I1299" s="364" t="s">
        <v>1299</v>
      </c>
      <c r="J1299" s="364" t="s">
        <v>673</v>
      </c>
      <c r="K1299" s="364" t="s">
        <v>668</v>
      </c>
      <c r="L1299" s="364" t="s">
        <v>190</v>
      </c>
      <c r="M1299" s="364" t="s">
        <v>1173</v>
      </c>
      <c r="N1299" s="364" t="s">
        <v>654</v>
      </c>
      <c r="O1299" s="364" t="s">
        <v>653</v>
      </c>
      <c r="P1299" s="364" t="s">
        <v>198</v>
      </c>
      <c r="Q1299" s="364" t="s">
        <v>652</v>
      </c>
      <c r="R1299" s="364" t="s">
        <v>88</v>
      </c>
      <c r="S1299" s="364" t="s">
        <v>88</v>
      </c>
      <c r="T1299" s="364" t="s">
        <v>88</v>
      </c>
      <c r="U1299" s="364" t="s">
        <v>88</v>
      </c>
      <c r="V1299" s="364" t="s">
        <v>88</v>
      </c>
      <c r="W1299" s="364" t="s">
        <v>88</v>
      </c>
      <c r="X1299" s="364" t="s">
        <v>88</v>
      </c>
      <c r="Y1299" s="364" t="s">
        <v>88</v>
      </c>
      <c r="Z1299" s="364" t="s">
        <v>1172</v>
      </c>
      <c r="AA1299" s="364" t="s">
        <v>1171</v>
      </c>
      <c r="AB1299" s="364" t="s">
        <v>649</v>
      </c>
      <c r="AC1299" s="364" t="s">
        <v>649</v>
      </c>
      <c r="AD1299" s="364" t="s">
        <v>88</v>
      </c>
      <c r="AE1299" s="364" t="s">
        <v>88</v>
      </c>
      <c r="AF1299" s="364" t="s">
        <v>88</v>
      </c>
      <c r="AG1299" s="364" t="s">
        <v>88</v>
      </c>
      <c r="AH1299" s="364" t="s">
        <v>88</v>
      </c>
      <c r="AI1299" s="364" t="s">
        <v>1155</v>
      </c>
      <c r="AJ1299" s="364" t="s">
        <v>710</v>
      </c>
      <c r="AK1299" s="364" t="s">
        <v>647</v>
      </c>
      <c r="AL1299" s="364" t="s">
        <v>88</v>
      </c>
      <c r="AM1299" s="364" t="s">
        <v>668</v>
      </c>
      <c r="AN1299" s="364" t="s">
        <v>644</v>
      </c>
    </row>
    <row r="1300" spans="1:40" x14ac:dyDescent="0.3">
      <c r="A1300" s="364" t="s">
        <v>1298</v>
      </c>
      <c r="B1300" s="364" t="s">
        <v>661</v>
      </c>
      <c r="C1300" s="364" t="s">
        <v>677</v>
      </c>
      <c r="D1300" s="364" t="s">
        <v>90</v>
      </c>
      <c r="E1300" s="364" t="s">
        <v>993</v>
      </c>
      <c r="F1300" s="364" t="s">
        <v>993</v>
      </c>
      <c r="G1300" s="364" t="s">
        <v>658</v>
      </c>
      <c r="H1300" s="364" t="s">
        <v>1287</v>
      </c>
      <c r="I1300" s="364" t="s">
        <v>1297</v>
      </c>
      <c r="J1300" s="364" t="s">
        <v>673</v>
      </c>
      <c r="K1300" s="364" t="s">
        <v>668</v>
      </c>
      <c r="L1300" s="364" t="s">
        <v>190</v>
      </c>
      <c r="M1300" s="364" t="s">
        <v>61</v>
      </c>
      <c r="N1300" s="364" t="s">
        <v>654</v>
      </c>
      <c r="O1300" s="364" t="s">
        <v>653</v>
      </c>
      <c r="P1300" s="364" t="s">
        <v>198</v>
      </c>
      <c r="Q1300" s="364" t="s">
        <v>652</v>
      </c>
      <c r="R1300" s="364" t="s">
        <v>88</v>
      </c>
      <c r="S1300" s="364" t="s">
        <v>88</v>
      </c>
      <c r="T1300" s="364" t="s">
        <v>88</v>
      </c>
      <c r="U1300" s="364" t="s">
        <v>88</v>
      </c>
      <c r="V1300" s="364" t="s">
        <v>88</v>
      </c>
      <c r="W1300" s="364" t="s">
        <v>88</v>
      </c>
      <c r="X1300" s="364" t="s">
        <v>88</v>
      </c>
      <c r="Y1300" s="364" t="s">
        <v>88</v>
      </c>
      <c r="Z1300" s="364" t="s">
        <v>1021</v>
      </c>
      <c r="AA1300" s="364" t="s">
        <v>671</v>
      </c>
      <c r="AB1300" s="364" t="s">
        <v>649</v>
      </c>
      <c r="AC1300" s="364" t="s">
        <v>649</v>
      </c>
      <c r="AD1300" s="364" t="s">
        <v>88</v>
      </c>
      <c r="AE1300" s="364" t="s">
        <v>88</v>
      </c>
      <c r="AF1300" s="364" t="s">
        <v>88</v>
      </c>
      <c r="AG1300" s="364" t="s">
        <v>88</v>
      </c>
      <c r="AH1300" s="364" t="s">
        <v>88</v>
      </c>
      <c r="AI1300" s="364" t="s">
        <v>1155</v>
      </c>
      <c r="AJ1300" s="364" t="s">
        <v>710</v>
      </c>
      <c r="AK1300" s="364" t="s">
        <v>647</v>
      </c>
      <c r="AL1300" s="364" t="s">
        <v>88</v>
      </c>
      <c r="AM1300" s="364" t="s">
        <v>668</v>
      </c>
      <c r="AN1300" s="364" t="s">
        <v>644</v>
      </c>
    </row>
    <row r="1301" spans="1:40" x14ac:dyDescent="0.3">
      <c r="A1301" s="364" t="s">
        <v>1298</v>
      </c>
      <c r="B1301" s="364" t="s">
        <v>661</v>
      </c>
      <c r="C1301" s="364" t="s">
        <v>677</v>
      </c>
      <c r="D1301" s="364" t="s">
        <v>90</v>
      </c>
      <c r="E1301" s="364" t="s">
        <v>993</v>
      </c>
      <c r="F1301" s="364" t="s">
        <v>993</v>
      </c>
      <c r="G1301" s="364" t="s">
        <v>658</v>
      </c>
      <c r="H1301" s="364" t="s">
        <v>1287</v>
      </c>
      <c r="I1301" s="364" t="s">
        <v>1297</v>
      </c>
      <c r="J1301" s="364" t="s">
        <v>673</v>
      </c>
      <c r="K1301" s="364" t="s">
        <v>668</v>
      </c>
      <c r="L1301" s="364" t="s">
        <v>190</v>
      </c>
      <c r="M1301" s="364" t="s">
        <v>242</v>
      </c>
      <c r="N1301" s="364" t="s">
        <v>654</v>
      </c>
      <c r="O1301" s="364" t="s">
        <v>653</v>
      </c>
      <c r="P1301" s="364" t="s">
        <v>198</v>
      </c>
      <c r="Q1301" s="364" t="s">
        <v>652</v>
      </c>
      <c r="R1301" s="364" t="s">
        <v>88</v>
      </c>
      <c r="S1301" s="364" t="s">
        <v>88</v>
      </c>
      <c r="T1301" s="364" t="s">
        <v>88</v>
      </c>
      <c r="U1301" s="364" t="s">
        <v>88</v>
      </c>
      <c r="V1301" s="364" t="s">
        <v>88</v>
      </c>
      <c r="W1301" s="364" t="s">
        <v>88</v>
      </c>
      <c r="X1301" s="364" t="s">
        <v>88</v>
      </c>
      <c r="Y1301" s="364" t="s">
        <v>88</v>
      </c>
      <c r="Z1301" s="364" t="s">
        <v>1157</v>
      </c>
      <c r="AA1301" s="364" t="s">
        <v>1156</v>
      </c>
      <c r="AB1301" s="364" t="s">
        <v>649</v>
      </c>
      <c r="AC1301" s="364" t="s">
        <v>649</v>
      </c>
      <c r="AD1301" s="364" t="s">
        <v>88</v>
      </c>
      <c r="AE1301" s="364" t="s">
        <v>88</v>
      </c>
      <c r="AF1301" s="364" t="s">
        <v>88</v>
      </c>
      <c r="AG1301" s="364" t="s">
        <v>88</v>
      </c>
      <c r="AH1301" s="364" t="s">
        <v>88</v>
      </c>
      <c r="AI1301" s="364" t="s">
        <v>1155</v>
      </c>
      <c r="AJ1301" s="364" t="s">
        <v>710</v>
      </c>
      <c r="AK1301" s="364" t="s">
        <v>647</v>
      </c>
      <c r="AL1301" s="364" t="s">
        <v>88</v>
      </c>
      <c r="AM1301" s="364" t="s">
        <v>668</v>
      </c>
      <c r="AN1301" s="364" t="s">
        <v>644</v>
      </c>
    </row>
    <row r="1302" spans="1:40" x14ac:dyDescent="0.3">
      <c r="A1302" s="364" t="s">
        <v>1298</v>
      </c>
      <c r="B1302" s="364" t="s">
        <v>661</v>
      </c>
      <c r="C1302" s="364" t="s">
        <v>677</v>
      </c>
      <c r="D1302" s="364" t="s">
        <v>90</v>
      </c>
      <c r="E1302" s="364" t="s">
        <v>993</v>
      </c>
      <c r="F1302" s="364" t="s">
        <v>993</v>
      </c>
      <c r="G1302" s="364" t="s">
        <v>658</v>
      </c>
      <c r="H1302" s="364" t="s">
        <v>1287</v>
      </c>
      <c r="I1302" s="364" t="s">
        <v>1297</v>
      </c>
      <c r="J1302" s="364" t="s">
        <v>673</v>
      </c>
      <c r="K1302" s="364" t="s">
        <v>668</v>
      </c>
      <c r="L1302" s="364" t="s">
        <v>190</v>
      </c>
      <c r="M1302" s="364" t="s">
        <v>1168</v>
      </c>
      <c r="N1302" s="364" t="s">
        <v>654</v>
      </c>
      <c r="O1302" s="364" t="s">
        <v>653</v>
      </c>
      <c r="P1302" s="364" t="s">
        <v>198</v>
      </c>
      <c r="Q1302" s="364" t="s">
        <v>652</v>
      </c>
      <c r="R1302" s="364" t="s">
        <v>88</v>
      </c>
      <c r="S1302" s="364" t="s">
        <v>88</v>
      </c>
      <c r="T1302" s="364" t="s">
        <v>88</v>
      </c>
      <c r="U1302" s="364" t="s">
        <v>88</v>
      </c>
      <c r="V1302" s="364" t="s">
        <v>88</v>
      </c>
      <c r="W1302" s="364" t="s">
        <v>88</v>
      </c>
      <c r="X1302" s="364" t="s">
        <v>88</v>
      </c>
      <c r="Y1302" s="364" t="s">
        <v>88</v>
      </c>
      <c r="Z1302" s="364" t="s">
        <v>1167</v>
      </c>
      <c r="AA1302" s="364" t="s">
        <v>1166</v>
      </c>
      <c r="AB1302" s="364" t="s">
        <v>649</v>
      </c>
      <c r="AC1302" s="364" t="s">
        <v>649</v>
      </c>
      <c r="AD1302" s="364" t="s">
        <v>88</v>
      </c>
      <c r="AE1302" s="364" t="s">
        <v>88</v>
      </c>
      <c r="AF1302" s="364" t="s">
        <v>88</v>
      </c>
      <c r="AG1302" s="364" t="s">
        <v>88</v>
      </c>
      <c r="AH1302" s="364" t="s">
        <v>88</v>
      </c>
      <c r="AI1302" s="364" t="s">
        <v>1155</v>
      </c>
      <c r="AJ1302" s="364" t="s">
        <v>710</v>
      </c>
      <c r="AK1302" s="364" t="s">
        <v>647</v>
      </c>
      <c r="AL1302" s="364" t="s">
        <v>88</v>
      </c>
      <c r="AM1302" s="364" t="s">
        <v>668</v>
      </c>
      <c r="AN1302" s="364" t="s">
        <v>644</v>
      </c>
    </row>
    <row r="1303" spans="1:40" x14ac:dyDescent="0.3">
      <c r="A1303" s="364" t="s">
        <v>1298</v>
      </c>
      <c r="B1303" s="364" t="s">
        <v>661</v>
      </c>
      <c r="C1303" s="364" t="s">
        <v>677</v>
      </c>
      <c r="D1303" s="364" t="s">
        <v>90</v>
      </c>
      <c r="E1303" s="364" t="s">
        <v>993</v>
      </c>
      <c r="F1303" s="364" t="s">
        <v>993</v>
      </c>
      <c r="G1303" s="364" t="s">
        <v>658</v>
      </c>
      <c r="H1303" s="364" t="s">
        <v>1287</v>
      </c>
      <c r="I1303" s="364" t="s">
        <v>1297</v>
      </c>
      <c r="J1303" s="364" t="s">
        <v>673</v>
      </c>
      <c r="K1303" s="364" t="s">
        <v>668</v>
      </c>
      <c r="L1303" s="364" t="s">
        <v>190</v>
      </c>
      <c r="M1303" s="364" t="s">
        <v>713</v>
      </c>
      <c r="N1303" s="364" t="s">
        <v>654</v>
      </c>
      <c r="O1303" s="364" t="s">
        <v>653</v>
      </c>
      <c r="P1303" s="364" t="s">
        <v>198</v>
      </c>
      <c r="Q1303" s="364" t="s">
        <v>652</v>
      </c>
      <c r="R1303" s="364" t="s">
        <v>88</v>
      </c>
      <c r="S1303" s="364" t="s">
        <v>88</v>
      </c>
      <c r="T1303" s="364" t="s">
        <v>88</v>
      </c>
      <c r="U1303" s="364" t="s">
        <v>88</v>
      </c>
      <c r="V1303" s="364" t="s">
        <v>88</v>
      </c>
      <c r="W1303" s="364" t="s">
        <v>88</v>
      </c>
      <c r="X1303" s="364" t="s">
        <v>88</v>
      </c>
      <c r="Y1303" s="364" t="s">
        <v>88</v>
      </c>
      <c r="Z1303" s="364" t="s">
        <v>712</v>
      </c>
      <c r="AA1303" s="364" t="s">
        <v>711</v>
      </c>
      <c r="AB1303" s="364" t="s">
        <v>649</v>
      </c>
      <c r="AC1303" s="364" t="s">
        <v>649</v>
      </c>
      <c r="AD1303" s="364" t="s">
        <v>88</v>
      </c>
      <c r="AE1303" s="364" t="s">
        <v>88</v>
      </c>
      <c r="AF1303" s="364" t="s">
        <v>88</v>
      </c>
      <c r="AG1303" s="364" t="s">
        <v>88</v>
      </c>
      <c r="AH1303" s="364" t="s">
        <v>88</v>
      </c>
      <c r="AI1303" s="364" t="s">
        <v>1155</v>
      </c>
      <c r="AJ1303" s="364" t="s">
        <v>710</v>
      </c>
      <c r="AK1303" s="364" t="s">
        <v>647</v>
      </c>
      <c r="AL1303" s="364" t="s">
        <v>88</v>
      </c>
      <c r="AM1303" s="364" t="s">
        <v>668</v>
      </c>
      <c r="AN1303" s="364" t="s">
        <v>644</v>
      </c>
    </row>
    <row r="1304" spans="1:40" x14ac:dyDescent="0.3">
      <c r="A1304" s="364" t="s">
        <v>1298</v>
      </c>
      <c r="B1304" s="364" t="s">
        <v>661</v>
      </c>
      <c r="C1304" s="364" t="s">
        <v>677</v>
      </c>
      <c r="D1304" s="364" t="s">
        <v>90</v>
      </c>
      <c r="E1304" s="364" t="s">
        <v>993</v>
      </c>
      <c r="F1304" s="364" t="s">
        <v>993</v>
      </c>
      <c r="G1304" s="364" t="s">
        <v>658</v>
      </c>
      <c r="H1304" s="364" t="s">
        <v>1287</v>
      </c>
      <c r="I1304" s="364" t="s">
        <v>1297</v>
      </c>
      <c r="J1304" s="364" t="s">
        <v>673</v>
      </c>
      <c r="K1304" s="364" t="s">
        <v>668</v>
      </c>
      <c r="L1304" s="364" t="s">
        <v>190</v>
      </c>
      <c r="M1304" s="364" t="s">
        <v>56</v>
      </c>
      <c r="N1304" s="364" t="s">
        <v>654</v>
      </c>
      <c r="O1304" s="364" t="s">
        <v>653</v>
      </c>
      <c r="P1304" s="364" t="s">
        <v>198</v>
      </c>
      <c r="Q1304" s="364" t="s">
        <v>652</v>
      </c>
      <c r="R1304" s="364" t="s">
        <v>88</v>
      </c>
      <c r="S1304" s="364" t="s">
        <v>88</v>
      </c>
      <c r="T1304" s="364" t="s">
        <v>88</v>
      </c>
      <c r="U1304" s="364" t="s">
        <v>88</v>
      </c>
      <c r="V1304" s="364" t="s">
        <v>88</v>
      </c>
      <c r="W1304" s="364" t="s">
        <v>88</v>
      </c>
      <c r="X1304" s="364" t="s">
        <v>88</v>
      </c>
      <c r="Y1304" s="364" t="s">
        <v>88</v>
      </c>
      <c r="Z1304" s="364" t="s">
        <v>1165</v>
      </c>
      <c r="AA1304" s="364" t="s">
        <v>1164</v>
      </c>
      <c r="AB1304" s="364" t="s">
        <v>649</v>
      </c>
      <c r="AC1304" s="364" t="s">
        <v>649</v>
      </c>
      <c r="AD1304" s="364" t="s">
        <v>88</v>
      </c>
      <c r="AE1304" s="364" t="s">
        <v>88</v>
      </c>
      <c r="AF1304" s="364" t="s">
        <v>88</v>
      </c>
      <c r="AG1304" s="364" t="s">
        <v>88</v>
      </c>
      <c r="AH1304" s="364" t="s">
        <v>88</v>
      </c>
      <c r="AI1304" s="364" t="s">
        <v>1155</v>
      </c>
      <c r="AJ1304" s="364" t="s">
        <v>710</v>
      </c>
      <c r="AK1304" s="364" t="s">
        <v>647</v>
      </c>
      <c r="AL1304" s="364" t="s">
        <v>88</v>
      </c>
      <c r="AM1304" s="364" t="s">
        <v>668</v>
      </c>
      <c r="AN1304" s="364" t="s">
        <v>644</v>
      </c>
    </row>
    <row r="1305" spans="1:40" x14ac:dyDescent="0.3">
      <c r="A1305" s="364" t="s">
        <v>1298</v>
      </c>
      <c r="B1305" s="364" t="s">
        <v>661</v>
      </c>
      <c r="C1305" s="364" t="s">
        <v>677</v>
      </c>
      <c r="D1305" s="364" t="s">
        <v>90</v>
      </c>
      <c r="E1305" s="364" t="s">
        <v>993</v>
      </c>
      <c r="F1305" s="364" t="s">
        <v>993</v>
      </c>
      <c r="G1305" s="364" t="s">
        <v>658</v>
      </c>
      <c r="H1305" s="364" t="s">
        <v>1287</v>
      </c>
      <c r="I1305" s="364" t="s">
        <v>1297</v>
      </c>
      <c r="J1305" s="364" t="s">
        <v>673</v>
      </c>
      <c r="K1305" s="364" t="s">
        <v>668</v>
      </c>
      <c r="L1305" s="364" t="s">
        <v>190</v>
      </c>
      <c r="M1305" s="364" t="s">
        <v>241</v>
      </c>
      <c r="N1305" s="364" t="s">
        <v>654</v>
      </c>
      <c r="O1305" s="364" t="s">
        <v>653</v>
      </c>
      <c r="P1305" s="364" t="s">
        <v>198</v>
      </c>
      <c r="Q1305" s="364" t="s">
        <v>652</v>
      </c>
      <c r="R1305" s="364" t="s">
        <v>88</v>
      </c>
      <c r="S1305" s="364" t="s">
        <v>88</v>
      </c>
      <c r="T1305" s="364" t="s">
        <v>88</v>
      </c>
      <c r="U1305" s="364" t="s">
        <v>88</v>
      </c>
      <c r="V1305" s="364" t="s">
        <v>88</v>
      </c>
      <c r="W1305" s="364" t="s">
        <v>88</v>
      </c>
      <c r="X1305" s="364" t="s">
        <v>88</v>
      </c>
      <c r="Y1305" s="364" t="s">
        <v>88</v>
      </c>
      <c r="Z1305" s="364" t="s">
        <v>1170</v>
      </c>
      <c r="AA1305" s="364" t="s">
        <v>1169</v>
      </c>
      <c r="AB1305" s="364" t="s">
        <v>649</v>
      </c>
      <c r="AC1305" s="364" t="s">
        <v>649</v>
      </c>
      <c r="AD1305" s="364" t="s">
        <v>88</v>
      </c>
      <c r="AE1305" s="364" t="s">
        <v>88</v>
      </c>
      <c r="AF1305" s="364" t="s">
        <v>88</v>
      </c>
      <c r="AG1305" s="364" t="s">
        <v>88</v>
      </c>
      <c r="AH1305" s="364" t="s">
        <v>88</v>
      </c>
      <c r="AI1305" s="364" t="s">
        <v>1155</v>
      </c>
      <c r="AJ1305" s="364" t="s">
        <v>710</v>
      </c>
      <c r="AK1305" s="364" t="s">
        <v>647</v>
      </c>
      <c r="AL1305" s="364" t="s">
        <v>88</v>
      </c>
      <c r="AM1305" s="364" t="s">
        <v>668</v>
      </c>
      <c r="AN1305" s="364" t="s">
        <v>644</v>
      </c>
    </row>
    <row r="1306" spans="1:40" x14ac:dyDescent="0.3">
      <c r="A1306" s="364" t="s">
        <v>1298</v>
      </c>
      <c r="B1306" s="364" t="s">
        <v>661</v>
      </c>
      <c r="C1306" s="364" t="s">
        <v>677</v>
      </c>
      <c r="D1306" s="364" t="s">
        <v>90</v>
      </c>
      <c r="E1306" s="364" t="s">
        <v>993</v>
      </c>
      <c r="F1306" s="364" t="s">
        <v>993</v>
      </c>
      <c r="G1306" s="364" t="s">
        <v>658</v>
      </c>
      <c r="H1306" s="364" t="s">
        <v>1287</v>
      </c>
      <c r="I1306" s="364" t="s">
        <v>1297</v>
      </c>
      <c r="J1306" s="364" t="s">
        <v>673</v>
      </c>
      <c r="K1306" s="364" t="s">
        <v>668</v>
      </c>
      <c r="L1306" s="364" t="s">
        <v>190</v>
      </c>
      <c r="M1306" s="364" t="s">
        <v>240</v>
      </c>
      <c r="N1306" s="364" t="s">
        <v>654</v>
      </c>
      <c r="O1306" s="364" t="s">
        <v>653</v>
      </c>
      <c r="P1306" s="364" t="s">
        <v>198</v>
      </c>
      <c r="Q1306" s="364" t="s">
        <v>652</v>
      </c>
      <c r="R1306" s="364" t="s">
        <v>88</v>
      </c>
      <c r="S1306" s="364" t="s">
        <v>88</v>
      </c>
      <c r="T1306" s="364" t="s">
        <v>88</v>
      </c>
      <c r="U1306" s="364" t="s">
        <v>88</v>
      </c>
      <c r="V1306" s="364" t="s">
        <v>88</v>
      </c>
      <c r="W1306" s="364" t="s">
        <v>88</v>
      </c>
      <c r="X1306" s="364" t="s">
        <v>88</v>
      </c>
      <c r="Y1306" s="364" t="s">
        <v>88</v>
      </c>
      <c r="Z1306" s="364" t="s">
        <v>1163</v>
      </c>
      <c r="AA1306" s="364" t="s">
        <v>1162</v>
      </c>
      <c r="AB1306" s="364" t="s">
        <v>649</v>
      </c>
      <c r="AC1306" s="364" t="s">
        <v>649</v>
      </c>
      <c r="AD1306" s="364" t="s">
        <v>88</v>
      </c>
      <c r="AE1306" s="364" t="s">
        <v>88</v>
      </c>
      <c r="AF1306" s="364" t="s">
        <v>88</v>
      </c>
      <c r="AG1306" s="364" t="s">
        <v>88</v>
      </c>
      <c r="AH1306" s="364" t="s">
        <v>88</v>
      </c>
      <c r="AI1306" s="364" t="s">
        <v>1155</v>
      </c>
      <c r="AJ1306" s="364" t="s">
        <v>710</v>
      </c>
      <c r="AK1306" s="364" t="s">
        <v>647</v>
      </c>
      <c r="AL1306" s="364" t="s">
        <v>88</v>
      </c>
      <c r="AM1306" s="364" t="s">
        <v>668</v>
      </c>
      <c r="AN1306" s="364" t="s">
        <v>644</v>
      </c>
    </row>
    <row r="1307" spans="1:40" x14ac:dyDescent="0.3">
      <c r="A1307" s="364" t="s">
        <v>1298</v>
      </c>
      <c r="B1307" s="364" t="s">
        <v>661</v>
      </c>
      <c r="C1307" s="364" t="s">
        <v>677</v>
      </c>
      <c r="D1307" s="364" t="s">
        <v>90</v>
      </c>
      <c r="E1307" s="364" t="s">
        <v>993</v>
      </c>
      <c r="F1307" s="364" t="s">
        <v>993</v>
      </c>
      <c r="G1307" s="364" t="s">
        <v>658</v>
      </c>
      <c r="H1307" s="364" t="s">
        <v>1287</v>
      </c>
      <c r="I1307" s="364" t="s">
        <v>1297</v>
      </c>
      <c r="J1307" s="364" t="s">
        <v>673</v>
      </c>
      <c r="K1307" s="364" t="s">
        <v>668</v>
      </c>
      <c r="L1307" s="364" t="s">
        <v>190</v>
      </c>
      <c r="M1307" s="364" t="s">
        <v>417</v>
      </c>
      <c r="N1307" s="364" t="s">
        <v>654</v>
      </c>
      <c r="O1307" s="364" t="s">
        <v>653</v>
      </c>
      <c r="P1307" s="364" t="s">
        <v>198</v>
      </c>
      <c r="Q1307" s="364" t="s">
        <v>652</v>
      </c>
      <c r="R1307" s="364" t="s">
        <v>88</v>
      </c>
      <c r="S1307" s="364" t="s">
        <v>88</v>
      </c>
      <c r="T1307" s="364" t="s">
        <v>88</v>
      </c>
      <c r="U1307" s="364" t="s">
        <v>88</v>
      </c>
      <c r="V1307" s="364" t="s">
        <v>88</v>
      </c>
      <c r="W1307" s="364" t="s">
        <v>88</v>
      </c>
      <c r="X1307" s="364" t="s">
        <v>88</v>
      </c>
      <c r="Y1307" s="364" t="s">
        <v>88</v>
      </c>
      <c r="Z1307" s="364" t="s">
        <v>1261</v>
      </c>
      <c r="AA1307" s="364" t="s">
        <v>649</v>
      </c>
      <c r="AB1307" s="364" t="s">
        <v>649</v>
      </c>
      <c r="AC1307" s="364" t="s">
        <v>649</v>
      </c>
      <c r="AD1307" s="364" t="s">
        <v>88</v>
      </c>
      <c r="AE1307" s="364" t="s">
        <v>88</v>
      </c>
      <c r="AF1307" s="364" t="s">
        <v>88</v>
      </c>
      <c r="AG1307" s="364" t="s">
        <v>88</v>
      </c>
      <c r="AH1307" s="364" t="s">
        <v>88</v>
      </c>
      <c r="AI1307" s="364" t="s">
        <v>1155</v>
      </c>
      <c r="AJ1307" s="364" t="s">
        <v>710</v>
      </c>
      <c r="AK1307" s="364" t="s">
        <v>647</v>
      </c>
      <c r="AL1307" s="364" t="s">
        <v>88</v>
      </c>
      <c r="AM1307" s="364" t="s">
        <v>668</v>
      </c>
      <c r="AN1307" s="364" t="s">
        <v>644</v>
      </c>
    </row>
    <row r="1308" spans="1:40" x14ac:dyDescent="0.3">
      <c r="A1308" s="364" t="s">
        <v>1296</v>
      </c>
      <c r="B1308" s="364" t="s">
        <v>661</v>
      </c>
      <c r="C1308" s="364" t="s">
        <v>677</v>
      </c>
      <c r="D1308" s="364" t="s">
        <v>90</v>
      </c>
      <c r="E1308" s="364" t="s">
        <v>1295</v>
      </c>
      <c r="F1308" s="364" t="s">
        <v>1295</v>
      </c>
      <c r="G1308" s="364" t="s">
        <v>658</v>
      </c>
      <c r="H1308" s="364" t="s">
        <v>1287</v>
      </c>
      <c r="I1308" s="364" t="s">
        <v>1294</v>
      </c>
      <c r="J1308" s="364" t="s">
        <v>673</v>
      </c>
      <c r="K1308" s="364" t="s">
        <v>668</v>
      </c>
      <c r="L1308" s="364" t="s">
        <v>190</v>
      </c>
      <c r="M1308" s="364" t="s">
        <v>61</v>
      </c>
      <c r="N1308" s="364" t="s">
        <v>654</v>
      </c>
      <c r="O1308" s="364" t="s">
        <v>653</v>
      </c>
      <c r="P1308" s="364" t="s">
        <v>198</v>
      </c>
      <c r="Q1308" s="364" t="s">
        <v>652</v>
      </c>
      <c r="R1308" s="364" t="s">
        <v>88</v>
      </c>
      <c r="S1308" s="364" t="s">
        <v>88</v>
      </c>
      <c r="T1308" s="364" t="s">
        <v>88</v>
      </c>
      <c r="U1308" s="364" t="s">
        <v>88</v>
      </c>
      <c r="V1308" s="364" t="s">
        <v>88</v>
      </c>
      <c r="W1308" s="364" t="s">
        <v>88</v>
      </c>
      <c r="X1308" s="364" t="s">
        <v>88</v>
      </c>
      <c r="Y1308" s="364" t="s">
        <v>88</v>
      </c>
      <c r="Z1308" s="364" t="s">
        <v>1021</v>
      </c>
      <c r="AA1308" s="364" t="s">
        <v>671</v>
      </c>
      <c r="AB1308" s="364" t="s">
        <v>649</v>
      </c>
      <c r="AC1308" s="364" t="s">
        <v>649</v>
      </c>
      <c r="AD1308" s="364" t="s">
        <v>88</v>
      </c>
      <c r="AE1308" s="364" t="s">
        <v>88</v>
      </c>
      <c r="AF1308" s="364" t="s">
        <v>88</v>
      </c>
      <c r="AG1308" s="364" t="s">
        <v>88</v>
      </c>
      <c r="AH1308" s="364" t="s">
        <v>88</v>
      </c>
      <c r="AI1308" s="364" t="s">
        <v>1155</v>
      </c>
      <c r="AJ1308" s="364" t="s">
        <v>710</v>
      </c>
      <c r="AK1308" s="364" t="s">
        <v>647</v>
      </c>
      <c r="AL1308" s="364" t="s">
        <v>88</v>
      </c>
      <c r="AM1308" s="364" t="s">
        <v>668</v>
      </c>
      <c r="AN1308" s="364" t="s">
        <v>644</v>
      </c>
    </row>
    <row r="1309" spans="1:40" x14ac:dyDescent="0.3">
      <c r="A1309" s="364" t="s">
        <v>1296</v>
      </c>
      <c r="B1309" s="364" t="s">
        <v>661</v>
      </c>
      <c r="C1309" s="364" t="s">
        <v>677</v>
      </c>
      <c r="D1309" s="364" t="s">
        <v>90</v>
      </c>
      <c r="E1309" s="364" t="s">
        <v>1295</v>
      </c>
      <c r="F1309" s="364" t="s">
        <v>1295</v>
      </c>
      <c r="G1309" s="364" t="s">
        <v>658</v>
      </c>
      <c r="H1309" s="364" t="s">
        <v>1287</v>
      </c>
      <c r="I1309" s="364" t="s">
        <v>1294</v>
      </c>
      <c r="J1309" s="364" t="s">
        <v>673</v>
      </c>
      <c r="K1309" s="364" t="s">
        <v>668</v>
      </c>
      <c r="L1309" s="364" t="s">
        <v>190</v>
      </c>
      <c r="M1309" s="364" t="s">
        <v>242</v>
      </c>
      <c r="N1309" s="364" t="s">
        <v>654</v>
      </c>
      <c r="O1309" s="364" t="s">
        <v>653</v>
      </c>
      <c r="P1309" s="364" t="s">
        <v>198</v>
      </c>
      <c r="Q1309" s="364" t="s">
        <v>652</v>
      </c>
      <c r="R1309" s="364" t="s">
        <v>88</v>
      </c>
      <c r="S1309" s="364" t="s">
        <v>88</v>
      </c>
      <c r="T1309" s="364" t="s">
        <v>88</v>
      </c>
      <c r="U1309" s="364" t="s">
        <v>88</v>
      </c>
      <c r="V1309" s="364" t="s">
        <v>88</v>
      </c>
      <c r="W1309" s="364" t="s">
        <v>88</v>
      </c>
      <c r="X1309" s="364" t="s">
        <v>88</v>
      </c>
      <c r="Y1309" s="364" t="s">
        <v>88</v>
      </c>
      <c r="Z1309" s="364" t="s">
        <v>1157</v>
      </c>
      <c r="AA1309" s="364" t="s">
        <v>1156</v>
      </c>
      <c r="AB1309" s="364" t="s">
        <v>649</v>
      </c>
      <c r="AC1309" s="364" t="s">
        <v>649</v>
      </c>
      <c r="AD1309" s="364" t="s">
        <v>88</v>
      </c>
      <c r="AE1309" s="364" t="s">
        <v>88</v>
      </c>
      <c r="AF1309" s="364" t="s">
        <v>88</v>
      </c>
      <c r="AG1309" s="364" t="s">
        <v>88</v>
      </c>
      <c r="AH1309" s="364" t="s">
        <v>88</v>
      </c>
      <c r="AI1309" s="364" t="s">
        <v>1155</v>
      </c>
      <c r="AJ1309" s="364" t="s">
        <v>710</v>
      </c>
      <c r="AK1309" s="364" t="s">
        <v>647</v>
      </c>
      <c r="AL1309" s="364" t="s">
        <v>88</v>
      </c>
      <c r="AM1309" s="364" t="s">
        <v>668</v>
      </c>
      <c r="AN1309" s="364" t="s">
        <v>644</v>
      </c>
    </row>
    <row r="1310" spans="1:40" x14ac:dyDescent="0.3">
      <c r="A1310" s="364" t="s">
        <v>1296</v>
      </c>
      <c r="B1310" s="364" t="s">
        <v>661</v>
      </c>
      <c r="C1310" s="364" t="s">
        <v>677</v>
      </c>
      <c r="D1310" s="364" t="s">
        <v>90</v>
      </c>
      <c r="E1310" s="364" t="s">
        <v>1295</v>
      </c>
      <c r="F1310" s="364" t="s">
        <v>1295</v>
      </c>
      <c r="G1310" s="364" t="s">
        <v>658</v>
      </c>
      <c r="H1310" s="364" t="s">
        <v>1287</v>
      </c>
      <c r="I1310" s="364" t="s">
        <v>1294</v>
      </c>
      <c r="J1310" s="364" t="s">
        <v>673</v>
      </c>
      <c r="K1310" s="364" t="s">
        <v>668</v>
      </c>
      <c r="L1310" s="364" t="s">
        <v>190</v>
      </c>
      <c r="M1310" s="364" t="s">
        <v>1168</v>
      </c>
      <c r="N1310" s="364" t="s">
        <v>654</v>
      </c>
      <c r="O1310" s="364" t="s">
        <v>653</v>
      </c>
      <c r="P1310" s="364" t="s">
        <v>198</v>
      </c>
      <c r="Q1310" s="364" t="s">
        <v>652</v>
      </c>
      <c r="R1310" s="364" t="s">
        <v>88</v>
      </c>
      <c r="S1310" s="364" t="s">
        <v>88</v>
      </c>
      <c r="T1310" s="364" t="s">
        <v>88</v>
      </c>
      <c r="U1310" s="364" t="s">
        <v>88</v>
      </c>
      <c r="V1310" s="364" t="s">
        <v>88</v>
      </c>
      <c r="W1310" s="364" t="s">
        <v>88</v>
      </c>
      <c r="X1310" s="364" t="s">
        <v>88</v>
      </c>
      <c r="Y1310" s="364" t="s">
        <v>88</v>
      </c>
      <c r="Z1310" s="364" t="s">
        <v>1167</v>
      </c>
      <c r="AA1310" s="364" t="s">
        <v>1166</v>
      </c>
      <c r="AB1310" s="364" t="s">
        <v>649</v>
      </c>
      <c r="AC1310" s="364" t="s">
        <v>649</v>
      </c>
      <c r="AD1310" s="364" t="s">
        <v>88</v>
      </c>
      <c r="AE1310" s="364" t="s">
        <v>88</v>
      </c>
      <c r="AF1310" s="364" t="s">
        <v>88</v>
      </c>
      <c r="AG1310" s="364" t="s">
        <v>88</v>
      </c>
      <c r="AH1310" s="364" t="s">
        <v>88</v>
      </c>
      <c r="AI1310" s="364" t="s">
        <v>1155</v>
      </c>
      <c r="AJ1310" s="364" t="s">
        <v>710</v>
      </c>
      <c r="AK1310" s="364" t="s">
        <v>647</v>
      </c>
      <c r="AL1310" s="364" t="s">
        <v>88</v>
      </c>
      <c r="AM1310" s="364" t="s">
        <v>668</v>
      </c>
      <c r="AN1310" s="364" t="s">
        <v>644</v>
      </c>
    </row>
    <row r="1311" spans="1:40" x14ac:dyDescent="0.3">
      <c r="A1311" s="364" t="s">
        <v>1296</v>
      </c>
      <c r="B1311" s="364" t="s">
        <v>661</v>
      </c>
      <c r="C1311" s="364" t="s">
        <v>677</v>
      </c>
      <c r="D1311" s="364" t="s">
        <v>90</v>
      </c>
      <c r="E1311" s="364" t="s">
        <v>1295</v>
      </c>
      <c r="F1311" s="364" t="s">
        <v>1295</v>
      </c>
      <c r="G1311" s="364" t="s">
        <v>658</v>
      </c>
      <c r="H1311" s="364" t="s">
        <v>1287</v>
      </c>
      <c r="I1311" s="364" t="s">
        <v>1294</v>
      </c>
      <c r="J1311" s="364" t="s">
        <v>673</v>
      </c>
      <c r="K1311" s="364" t="s">
        <v>668</v>
      </c>
      <c r="L1311" s="364" t="s">
        <v>190</v>
      </c>
      <c r="M1311" s="364" t="s">
        <v>713</v>
      </c>
      <c r="N1311" s="364" t="s">
        <v>654</v>
      </c>
      <c r="O1311" s="364" t="s">
        <v>653</v>
      </c>
      <c r="P1311" s="364" t="s">
        <v>198</v>
      </c>
      <c r="Q1311" s="364" t="s">
        <v>652</v>
      </c>
      <c r="R1311" s="364" t="s">
        <v>88</v>
      </c>
      <c r="S1311" s="364" t="s">
        <v>88</v>
      </c>
      <c r="T1311" s="364" t="s">
        <v>88</v>
      </c>
      <c r="U1311" s="364" t="s">
        <v>88</v>
      </c>
      <c r="V1311" s="364" t="s">
        <v>88</v>
      </c>
      <c r="W1311" s="364" t="s">
        <v>88</v>
      </c>
      <c r="X1311" s="364" t="s">
        <v>88</v>
      </c>
      <c r="Y1311" s="364" t="s">
        <v>88</v>
      </c>
      <c r="Z1311" s="364" t="s">
        <v>712</v>
      </c>
      <c r="AA1311" s="364" t="s">
        <v>711</v>
      </c>
      <c r="AB1311" s="364" t="s">
        <v>649</v>
      </c>
      <c r="AC1311" s="364" t="s">
        <v>649</v>
      </c>
      <c r="AD1311" s="364" t="s">
        <v>88</v>
      </c>
      <c r="AE1311" s="364" t="s">
        <v>88</v>
      </c>
      <c r="AF1311" s="364" t="s">
        <v>88</v>
      </c>
      <c r="AG1311" s="364" t="s">
        <v>88</v>
      </c>
      <c r="AH1311" s="364" t="s">
        <v>88</v>
      </c>
      <c r="AI1311" s="364" t="s">
        <v>1155</v>
      </c>
      <c r="AJ1311" s="364" t="s">
        <v>710</v>
      </c>
      <c r="AK1311" s="364" t="s">
        <v>647</v>
      </c>
      <c r="AL1311" s="364" t="s">
        <v>88</v>
      </c>
      <c r="AM1311" s="364" t="s">
        <v>668</v>
      </c>
      <c r="AN1311" s="364" t="s">
        <v>644</v>
      </c>
    </row>
    <row r="1312" spans="1:40" x14ac:dyDescent="0.3">
      <c r="A1312" s="364" t="s">
        <v>1296</v>
      </c>
      <c r="B1312" s="364" t="s">
        <v>661</v>
      </c>
      <c r="C1312" s="364" t="s">
        <v>677</v>
      </c>
      <c r="D1312" s="364" t="s">
        <v>90</v>
      </c>
      <c r="E1312" s="364" t="s">
        <v>1295</v>
      </c>
      <c r="F1312" s="364" t="s">
        <v>1295</v>
      </c>
      <c r="G1312" s="364" t="s">
        <v>658</v>
      </c>
      <c r="H1312" s="364" t="s">
        <v>1287</v>
      </c>
      <c r="I1312" s="364" t="s">
        <v>1294</v>
      </c>
      <c r="J1312" s="364" t="s">
        <v>673</v>
      </c>
      <c r="K1312" s="364" t="s">
        <v>668</v>
      </c>
      <c r="L1312" s="364" t="s">
        <v>190</v>
      </c>
      <c r="M1312" s="364" t="s">
        <v>56</v>
      </c>
      <c r="N1312" s="364" t="s">
        <v>654</v>
      </c>
      <c r="O1312" s="364" t="s">
        <v>653</v>
      </c>
      <c r="P1312" s="364" t="s">
        <v>198</v>
      </c>
      <c r="Q1312" s="364" t="s">
        <v>652</v>
      </c>
      <c r="R1312" s="364" t="s">
        <v>88</v>
      </c>
      <c r="S1312" s="364" t="s">
        <v>88</v>
      </c>
      <c r="T1312" s="364" t="s">
        <v>88</v>
      </c>
      <c r="U1312" s="364" t="s">
        <v>88</v>
      </c>
      <c r="V1312" s="364" t="s">
        <v>88</v>
      </c>
      <c r="W1312" s="364" t="s">
        <v>88</v>
      </c>
      <c r="X1312" s="364" t="s">
        <v>88</v>
      </c>
      <c r="Y1312" s="364" t="s">
        <v>88</v>
      </c>
      <c r="Z1312" s="364" t="s">
        <v>1165</v>
      </c>
      <c r="AA1312" s="364" t="s">
        <v>1164</v>
      </c>
      <c r="AB1312" s="364" t="s">
        <v>649</v>
      </c>
      <c r="AC1312" s="364" t="s">
        <v>649</v>
      </c>
      <c r="AD1312" s="364" t="s">
        <v>88</v>
      </c>
      <c r="AE1312" s="364" t="s">
        <v>88</v>
      </c>
      <c r="AF1312" s="364" t="s">
        <v>88</v>
      </c>
      <c r="AG1312" s="364" t="s">
        <v>88</v>
      </c>
      <c r="AH1312" s="364" t="s">
        <v>88</v>
      </c>
      <c r="AI1312" s="364" t="s">
        <v>1155</v>
      </c>
      <c r="AJ1312" s="364" t="s">
        <v>710</v>
      </c>
      <c r="AK1312" s="364" t="s">
        <v>647</v>
      </c>
      <c r="AL1312" s="364" t="s">
        <v>88</v>
      </c>
      <c r="AM1312" s="364" t="s">
        <v>668</v>
      </c>
      <c r="AN1312" s="364" t="s">
        <v>644</v>
      </c>
    </row>
    <row r="1313" spans="1:40" x14ac:dyDescent="0.3">
      <c r="A1313" s="364" t="s">
        <v>1296</v>
      </c>
      <c r="B1313" s="364" t="s">
        <v>661</v>
      </c>
      <c r="C1313" s="364" t="s">
        <v>677</v>
      </c>
      <c r="D1313" s="364" t="s">
        <v>90</v>
      </c>
      <c r="E1313" s="364" t="s">
        <v>1295</v>
      </c>
      <c r="F1313" s="364" t="s">
        <v>1295</v>
      </c>
      <c r="G1313" s="364" t="s">
        <v>658</v>
      </c>
      <c r="H1313" s="364" t="s">
        <v>1287</v>
      </c>
      <c r="I1313" s="364" t="s">
        <v>1294</v>
      </c>
      <c r="J1313" s="364" t="s">
        <v>673</v>
      </c>
      <c r="K1313" s="364" t="s">
        <v>668</v>
      </c>
      <c r="L1313" s="364" t="s">
        <v>190</v>
      </c>
      <c r="M1313" s="364" t="s">
        <v>241</v>
      </c>
      <c r="N1313" s="364" t="s">
        <v>654</v>
      </c>
      <c r="O1313" s="364" t="s">
        <v>653</v>
      </c>
      <c r="P1313" s="364" t="s">
        <v>198</v>
      </c>
      <c r="Q1313" s="364" t="s">
        <v>652</v>
      </c>
      <c r="R1313" s="364" t="s">
        <v>88</v>
      </c>
      <c r="S1313" s="364" t="s">
        <v>88</v>
      </c>
      <c r="T1313" s="364" t="s">
        <v>88</v>
      </c>
      <c r="U1313" s="364" t="s">
        <v>88</v>
      </c>
      <c r="V1313" s="364" t="s">
        <v>88</v>
      </c>
      <c r="W1313" s="364" t="s">
        <v>88</v>
      </c>
      <c r="X1313" s="364" t="s">
        <v>88</v>
      </c>
      <c r="Y1313" s="364" t="s">
        <v>88</v>
      </c>
      <c r="Z1313" s="364" t="s">
        <v>1170</v>
      </c>
      <c r="AA1313" s="364" t="s">
        <v>1169</v>
      </c>
      <c r="AB1313" s="364" t="s">
        <v>649</v>
      </c>
      <c r="AC1313" s="364" t="s">
        <v>649</v>
      </c>
      <c r="AD1313" s="364" t="s">
        <v>88</v>
      </c>
      <c r="AE1313" s="364" t="s">
        <v>88</v>
      </c>
      <c r="AF1313" s="364" t="s">
        <v>88</v>
      </c>
      <c r="AG1313" s="364" t="s">
        <v>88</v>
      </c>
      <c r="AH1313" s="364" t="s">
        <v>88</v>
      </c>
      <c r="AI1313" s="364" t="s">
        <v>1155</v>
      </c>
      <c r="AJ1313" s="364" t="s">
        <v>710</v>
      </c>
      <c r="AK1313" s="364" t="s">
        <v>647</v>
      </c>
      <c r="AL1313" s="364" t="s">
        <v>88</v>
      </c>
      <c r="AM1313" s="364" t="s">
        <v>668</v>
      </c>
      <c r="AN1313" s="364" t="s">
        <v>644</v>
      </c>
    </row>
    <row r="1314" spans="1:40" x14ac:dyDescent="0.3">
      <c r="A1314" s="364" t="s">
        <v>1296</v>
      </c>
      <c r="B1314" s="364" t="s">
        <v>661</v>
      </c>
      <c r="C1314" s="364" t="s">
        <v>677</v>
      </c>
      <c r="D1314" s="364" t="s">
        <v>90</v>
      </c>
      <c r="E1314" s="364" t="s">
        <v>1295</v>
      </c>
      <c r="F1314" s="364" t="s">
        <v>1295</v>
      </c>
      <c r="G1314" s="364" t="s">
        <v>658</v>
      </c>
      <c r="H1314" s="364" t="s">
        <v>1287</v>
      </c>
      <c r="I1314" s="364" t="s">
        <v>1294</v>
      </c>
      <c r="J1314" s="364" t="s">
        <v>673</v>
      </c>
      <c r="K1314" s="364" t="s">
        <v>668</v>
      </c>
      <c r="L1314" s="364" t="s">
        <v>190</v>
      </c>
      <c r="M1314" s="364" t="s">
        <v>240</v>
      </c>
      <c r="N1314" s="364" t="s">
        <v>654</v>
      </c>
      <c r="O1314" s="364" t="s">
        <v>653</v>
      </c>
      <c r="P1314" s="364" t="s">
        <v>198</v>
      </c>
      <c r="Q1314" s="364" t="s">
        <v>652</v>
      </c>
      <c r="R1314" s="364" t="s">
        <v>88</v>
      </c>
      <c r="S1314" s="364" t="s">
        <v>88</v>
      </c>
      <c r="T1314" s="364" t="s">
        <v>88</v>
      </c>
      <c r="U1314" s="364" t="s">
        <v>88</v>
      </c>
      <c r="V1314" s="364" t="s">
        <v>88</v>
      </c>
      <c r="W1314" s="364" t="s">
        <v>88</v>
      </c>
      <c r="X1314" s="364" t="s">
        <v>88</v>
      </c>
      <c r="Y1314" s="364" t="s">
        <v>88</v>
      </c>
      <c r="Z1314" s="364" t="s">
        <v>1163</v>
      </c>
      <c r="AA1314" s="364" t="s">
        <v>1162</v>
      </c>
      <c r="AB1314" s="364" t="s">
        <v>649</v>
      </c>
      <c r="AC1314" s="364" t="s">
        <v>649</v>
      </c>
      <c r="AD1314" s="364" t="s">
        <v>88</v>
      </c>
      <c r="AE1314" s="364" t="s">
        <v>88</v>
      </c>
      <c r="AF1314" s="364" t="s">
        <v>88</v>
      </c>
      <c r="AG1314" s="364" t="s">
        <v>88</v>
      </c>
      <c r="AH1314" s="364" t="s">
        <v>88</v>
      </c>
      <c r="AI1314" s="364" t="s">
        <v>1155</v>
      </c>
      <c r="AJ1314" s="364" t="s">
        <v>710</v>
      </c>
      <c r="AK1314" s="364" t="s">
        <v>647</v>
      </c>
      <c r="AL1314" s="364" t="s">
        <v>88</v>
      </c>
      <c r="AM1314" s="364" t="s">
        <v>668</v>
      </c>
      <c r="AN1314" s="364" t="s">
        <v>644</v>
      </c>
    </row>
    <row r="1315" spans="1:40" x14ac:dyDescent="0.3">
      <c r="A1315" s="364" t="s">
        <v>1296</v>
      </c>
      <c r="B1315" s="364" t="s">
        <v>661</v>
      </c>
      <c r="C1315" s="364" t="s">
        <v>677</v>
      </c>
      <c r="D1315" s="364" t="s">
        <v>90</v>
      </c>
      <c r="E1315" s="364" t="s">
        <v>1295</v>
      </c>
      <c r="F1315" s="364" t="s">
        <v>1295</v>
      </c>
      <c r="G1315" s="364" t="s">
        <v>658</v>
      </c>
      <c r="H1315" s="364" t="s">
        <v>1287</v>
      </c>
      <c r="I1315" s="364" t="s">
        <v>1294</v>
      </c>
      <c r="J1315" s="364" t="s">
        <v>673</v>
      </c>
      <c r="K1315" s="364" t="s">
        <v>668</v>
      </c>
      <c r="L1315" s="364" t="s">
        <v>190</v>
      </c>
      <c r="M1315" s="364" t="s">
        <v>417</v>
      </c>
      <c r="N1315" s="364" t="s">
        <v>654</v>
      </c>
      <c r="O1315" s="364" t="s">
        <v>653</v>
      </c>
      <c r="P1315" s="364" t="s">
        <v>198</v>
      </c>
      <c r="Q1315" s="364" t="s">
        <v>652</v>
      </c>
      <c r="R1315" s="364" t="s">
        <v>88</v>
      </c>
      <c r="S1315" s="364" t="s">
        <v>88</v>
      </c>
      <c r="T1315" s="364" t="s">
        <v>88</v>
      </c>
      <c r="U1315" s="364" t="s">
        <v>88</v>
      </c>
      <c r="V1315" s="364" t="s">
        <v>88</v>
      </c>
      <c r="W1315" s="364" t="s">
        <v>88</v>
      </c>
      <c r="X1315" s="364" t="s">
        <v>88</v>
      </c>
      <c r="Y1315" s="364" t="s">
        <v>88</v>
      </c>
      <c r="Z1315" s="364" t="s">
        <v>1261</v>
      </c>
      <c r="AA1315" s="364" t="s">
        <v>649</v>
      </c>
      <c r="AB1315" s="364" t="s">
        <v>649</v>
      </c>
      <c r="AC1315" s="364" t="s">
        <v>649</v>
      </c>
      <c r="AD1315" s="364" t="s">
        <v>88</v>
      </c>
      <c r="AE1315" s="364" t="s">
        <v>88</v>
      </c>
      <c r="AF1315" s="364" t="s">
        <v>88</v>
      </c>
      <c r="AG1315" s="364" t="s">
        <v>88</v>
      </c>
      <c r="AH1315" s="364" t="s">
        <v>88</v>
      </c>
      <c r="AI1315" s="364" t="s">
        <v>1155</v>
      </c>
      <c r="AJ1315" s="364" t="s">
        <v>710</v>
      </c>
      <c r="AK1315" s="364" t="s">
        <v>647</v>
      </c>
      <c r="AL1315" s="364" t="s">
        <v>88</v>
      </c>
      <c r="AM1315" s="364" t="s">
        <v>668</v>
      </c>
      <c r="AN1315" s="364" t="s">
        <v>644</v>
      </c>
    </row>
    <row r="1316" spans="1:40" x14ac:dyDescent="0.3">
      <c r="A1316" s="364" t="s">
        <v>1293</v>
      </c>
      <c r="B1316" s="364" t="s">
        <v>661</v>
      </c>
      <c r="C1316" s="364" t="s">
        <v>677</v>
      </c>
      <c r="D1316" s="364" t="s">
        <v>90</v>
      </c>
      <c r="E1316" s="364" t="s">
        <v>1292</v>
      </c>
      <c r="F1316" s="364" t="s">
        <v>1292</v>
      </c>
      <c r="G1316" s="364" t="s">
        <v>658</v>
      </c>
      <c r="H1316" s="364" t="s">
        <v>1287</v>
      </c>
      <c r="I1316" s="364" t="s">
        <v>1286</v>
      </c>
      <c r="J1316" s="364" t="s">
        <v>673</v>
      </c>
      <c r="K1316" s="364" t="s">
        <v>668</v>
      </c>
      <c r="L1316" s="364" t="s">
        <v>190</v>
      </c>
      <c r="M1316" s="364" t="s">
        <v>61</v>
      </c>
      <c r="N1316" s="364" t="s">
        <v>654</v>
      </c>
      <c r="O1316" s="364" t="s">
        <v>653</v>
      </c>
      <c r="P1316" s="364" t="s">
        <v>198</v>
      </c>
      <c r="Q1316" s="364" t="s">
        <v>652</v>
      </c>
      <c r="R1316" s="364" t="s">
        <v>88</v>
      </c>
      <c r="S1316" s="364" t="s">
        <v>88</v>
      </c>
      <c r="T1316" s="364" t="s">
        <v>88</v>
      </c>
      <c r="U1316" s="364" t="s">
        <v>88</v>
      </c>
      <c r="V1316" s="364" t="s">
        <v>88</v>
      </c>
      <c r="W1316" s="364" t="s">
        <v>88</v>
      </c>
      <c r="X1316" s="364" t="s">
        <v>88</v>
      </c>
      <c r="Y1316" s="364" t="s">
        <v>88</v>
      </c>
      <c r="Z1316" s="364" t="s">
        <v>1021</v>
      </c>
      <c r="AA1316" s="364" t="s">
        <v>671</v>
      </c>
      <c r="AB1316" s="364" t="s">
        <v>649</v>
      </c>
      <c r="AC1316" s="364" t="s">
        <v>649</v>
      </c>
      <c r="AD1316" s="364" t="s">
        <v>88</v>
      </c>
      <c r="AE1316" s="364" t="s">
        <v>88</v>
      </c>
      <c r="AF1316" s="364" t="s">
        <v>88</v>
      </c>
      <c r="AG1316" s="364" t="s">
        <v>88</v>
      </c>
      <c r="AH1316" s="364" t="s">
        <v>88</v>
      </c>
      <c r="AI1316" s="364" t="s">
        <v>1155</v>
      </c>
      <c r="AJ1316" s="364" t="s">
        <v>710</v>
      </c>
      <c r="AK1316" s="364" t="s">
        <v>647</v>
      </c>
      <c r="AL1316" s="364" t="s">
        <v>88</v>
      </c>
      <c r="AM1316" s="364" t="s">
        <v>668</v>
      </c>
      <c r="AN1316" s="364" t="s">
        <v>644</v>
      </c>
    </row>
    <row r="1317" spans="1:40" x14ac:dyDescent="0.3">
      <c r="A1317" s="364" t="s">
        <v>1293</v>
      </c>
      <c r="B1317" s="364" t="s">
        <v>661</v>
      </c>
      <c r="C1317" s="364" t="s">
        <v>677</v>
      </c>
      <c r="D1317" s="364" t="s">
        <v>90</v>
      </c>
      <c r="E1317" s="364" t="s">
        <v>1292</v>
      </c>
      <c r="F1317" s="364" t="s">
        <v>1292</v>
      </c>
      <c r="G1317" s="364" t="s">
        <v>658</v>
      </c>
      <c r="H1317" s="364" t="s">
        <v>1287</v>
      </c>
      <c r="I1317" s="364" t="s">
        <v>1286</v>
      </c>
      <c r="J1317" s="364" t="s">
        <v>673</v>
      </c>
      <c r="K1317" s="364" t="s">
        <v>668</v>
      </c>
      <c r="L1317" s="364" t="s">
        <v>190</v>
      </c>
      <c r="M1317" s="364" t="s">
        <v>242</v>
      </c>
      <c r="N1317" s="364" t="s">
        <v>654</v>
      </c>
      <c r="O1317" s="364" t="s">
        <v>653</v>
      </c>
      <c r="P1317" s="364" t="s">
        <v>198</v>
      </c>
      <c r="Q1317" s="364" t="s">
        <v>652</v>
      </c>
      <c r="R1317" s="364" t="s">
        <v>88</v>
      </c>
      <c r="S1317" s="364" t="s">
        <v>88</v>
      </c>
      <c r="T1317" s="364" t="s">
        <v>88</v>
      </c>
      <c r="U1317" s="364" t="s">
        <v>88</v>
      </c>
      <c r="V1317" s="364" t="s">
        <v>88</v>
      </c>
      <c r="W1317" s="364" t="s">
        <v>88</v>
      </c>
      <c r="X1317" s="364" t="s">
        <v>88</v>
      </c>
      <c r="Y1317" s="364" t="s">
        <v>88</v>
      </c>
      <c r="Z1317" s="364" t="s">
        <v>1157</v>
      </c>
      <c r="AA1317" s="364" t="s">
        <v>1156</v>
      </c>
      <c r="AB1317" s="364" t="s">
        <v>649</v>
      </c>
      <c r="AC1317" s="364" t="s">
        <v>649</v>
      </c>
      <c r="AD1317" s="364" t="s">
        <v>88</v>
      </c>
      <c r="AE1317" s="364" t="s">
        <v>88</v>
      </c>
      <c r="AF1317" s="364" t="s">
        <v>88</v>
      </c>
      <c r="AG1317" s="364" t="s">
        <v>88</v>
      </c>
      <c r="AH1317" s="364" t="s">
        <v>88</v>
      </c>
      <c r="AI1317" s="364" t="s">
        <v>1155</v>
      </c>
      <c r="AJ1317" s="364" t="s">
        <v>710</v>
      </c>
      <c r="AK1317" s="364" t="s">
        <v>647</v>
      </c>
      <c r="AL1317" s="364" t="s">
        <v>88</v>
      </c>
      <c r="AM1317" s="364" t="s">
        <v>668</v>
      </c>
      <c r="AN1317" s="364" t="s">
        <v>644</v>
      </c>
    </row>
    <row r="1318" spans="1:40" x14ac:dyDescent="0.3">
      <c r="A1318" s="364" t="s">
        <v>1293</v>
      </c>
      <c r="B1318" s="364" t="s">
        <v>661</v>
      </c>
      <c r="C1318" s="364" t="s">
        <v>677</v>
      </c>
      <c r="D1318" s="364" t="s">
        <v>90</v>
      </c>
      <c r="E1318" s="364" t="s">
        <v>1292</v>
      </c>
      <c r="F1318" s="364" t="s">
        <v>1292</v>
      </c>
      <c r="G1318" s="364" t="s">
        <v>658</v>
      </c>
      <c r="H1318" s="364" t="s">
        <v>1287</v>
      </c>
      <c r="I1318" s="364" t="s">
        <v>1286</v>
      </c>
      <c r="J1318" s="364" t="s">
        <v>673</v>
      </c>
      <c r="K1318" s="364" t="s">
        <v>668</v>
      </c>
      <c r="L1318" s="364" t="s">
        <v>190</v>
      </c>
      <c r="M1318" s="364" t="s">
        <v>1168</v>
      </c>
      <c r="N1318" s="364" t="s">
        <v>654</v>
      </c>
      <c r="O1318" s="364" t="s">
        <v>653</v>
      </c>
      <c r="P1318" s="364" t="s">
        <v>198</v>
      </c>
      <c r="Q1318" s="364" t="s">
        <v>652</v>
      </c>
      <c r="R1318" s="364" t="s">
        <v>88</v>
      </c>
      <c r="S1318" s="364" t="s">
        <v>88</v>
      </c>
      <c r="T1318" s="364" t="s">
        <v>88</v>
      </c>
      <c r="U1318" s="364" t="s">
        <v>88</v>
      </c>
      <c r="V1318" s="364" t="s">
        <v>88</v>
      </c>
      <c r="W1318" s="364" t="s">
        <v>88</v>
      </c>
      <c r="X1318" s="364" t="s">
        <v>88</v>
      </c>
      <c r="Y1318" s="364" t="s">
        <v>88</v>
      </c>
      <c r="Z1318" s="364" t="s">
        <v>1167</v>
      </c>
      <c r="AA1318" s="364" t="s">
        <v>1166</v>
      </c>
      <c r="AB1318" s="364" t="s">
        <v>649</v>
      </c>
      <c r="AC1318" s="364" t="s">
        <v>649</v>
      </c>
      <c r="AD1318" s="364" t="s">
        <v>88</v>
      </c>
      <c r="AE1318" s="364" t="s">
        <v>88</v>
      </c>
      <c r="AF1318" s="364" t="s">
        <v>88</v>
      </c>
      <c r="AG1318" s="364" t="s">
        <v>88</v>
      </c>
      <c r="AH1318" s="364" t="s">
        <v>88</v>
      </c>
      <c r="AI1318" s="364" t="s">
        <v>1155</v>
      </c>
      <c r="AJ1318" s="364" t="s">
        <v>710</v>
      </c>
      <c r="AK1318" s="364" t="s">
        <v>647</v>
      </c>
      <c r="AL1318" s="364" t="s">
        <v>88</v>
      </c>
      <c r="AM1318" s="364" t="s">
        <v>668</v>
      </c>
      <c r="AN1318" s="364" t="s">
        <v>644</v>
      </c>
    </row>
    <row r="1319" spans="1:40" x14ac:dyDescent="0.3">
      <c r="A1319" s="364" t="s">
        <v>1293</v>
      </c>
      <c r="B1319" s="364" t="s">
        <v>661</v>
      </c>
      <c r="C1319" s="364" t="s">
        <v>677</v>
      </c>
      <c r="D1319" s="364" t="s">
        <v>90</v>
      </c>
      <c r="E1319" s="364" t="s">
        <v>1292</v>
      </c>
      <c r="F1319" s="364" t="s">
        <v>1292</v>
      </c>
      <c r="G1319" s="364" t="s">
        <v>658</v>
      </c>
      <c r="H1319" s="364" t="s">
        <v>1287</v>
      </c>
      <c r="I1319" s="364" t="s">
        <v>1286</v>
      </c>
      <c r="J1319" s="364" t="s">
        <v>673</v>
      </c>
      <c r="K1319" s="364" t="s">
        <v>668</v>
      </c>
      <c r="L1319" s="364" t="s">
        <v>190</v>
      </c>
      <c r="M1319" s="364" t="s">
        <v>713</v>
      </c>
      <c r="N1319" s="364" t="s">
        <v>654</v>
      </c>
      <c r="O1319" s="364" t="s">
        <v>653</v>
      </c>
      <c r="P1319" s="364" t="s">
        <v>198</v>
      </c>
      <c r="Q1319" s="364" t="s">
        <v>652</v>
      </c>
      <c r="R1319" s="364" t="s">
        <v>88</v>
      </c>
      <c r="S1319" s="364" t="s">
        <v>88</v>
      </c>
      <c r="T1319" s="364" t="s">
        <v>88</v>
      </c>
      <c r="U1319" s="364" t="s">
        <v>88</v>
      </c>
      <c r="V1319" s="364" t="s">
        <v>88</v>
      </c>
      <c r="W1319" s="364" t="s">
        <v>88</v>
      </c>
      <c r="X1319" s="364" t="s">
        <v>88</v>
      </c>
      <c r="Y1319" s="364" t="s">
        <v>88</v>
      </c>
      <c r="Z1319" s="364" t="s">
        <v>712</v>
      </c>
      <c r="AA1319" s="364" t="s">
        <v>711</v>
      </c>
      <c r="AB1319" s="364" t="s">
        <v>649</v>
      </c>
      <c r="AC1319" s="364" t="s">
        <v>649</v>
      </c>
      <c r="AD1319" s="364" t="s">
        <v>88</v>
      </c>
      <c r="AE1319" s="364" t="s">
        <v>88</v>
      </c>
      <c r="AF1319" s="364" t="s">
        <v>88</v>
      </c>
      <c r="AG1319" s="364" t="s">
        <v>88</v>
      </c>
      <c r="AH1319" s="364" t="s">
        <v>88</v>
      </c>
      <c r="AI1319" s="364" t="s">
        <v>1155</v>
      </c>
      <c r="AJ1319" s="364" t="s">
        <v>710</v>
      </c>
      <c r="AK1319" s="364" t="s">
        <v>647</v>
      </c>
      <c r="AL1319" s="364" t="s">
        <v>88</v>
      </c>
      <c r="AM1319" s="364" t="s">
        <v>668</v>
      </c>
      <c r="AN1319" s="364" t="s">
        <v>644</v>
      </c>
    </row>
    <row r="1320" spans="1:40" x14ac:dyDescent="0.3">
      <c r="A1320" s="364" t="s">
        <v>1293</v>
      </c>
      <c r="B1320" s="364" t="s">
        <v>661</v>
      </c>
      <c r="C1320" s="364" t="s">
        <v>677</v>
      </c>
      <c r="D1320" s="364" t="s">
        <v>90</v>
      </c>
      <c r="E1320" s="364" t="s">
        <v>1292</v>
      </c>
      <c r="F1320" s="364" t="s">
        <v>1292</v>
      </c>
      <c r="G1320" s="364" t="s">
        <v>658</v>
      </c>
      <c r="H1320" s="364" t="s">
        <v>1287</v>
      </c>
      <c r="I1320" s="364" t="s">
        <v>1286</v>
      </c>
      <c r="J1320" s="364" t="s">
        <v>673</v>
      </c>
      <c r="K1320" s="364" t="s">
        <v>668</v>
      </c>
      <c r="L1320" s="364" t="s">
        <v>190</v>
      </c>
      <c r="M1320" s="364" t="s">
        <v>56</v>
      </c>
      <c r="N1320" s="364" t="s">
        <v>654</v>
      </c>
      <c r="O1320" s="364" t="s">
        <v>653</v>
      </c>
      <c r="P1320" s="364" t="s">
        <v>198</v>
      </c>
      <c r="Q1320" s="364" t="s">
        <v>652</v>
      </c>
      <c r="R1320" s="364" t="s">
        <v>88</v>
      </c>
      <c r="S1320" s="364" t="s">
        <v>88</v>
      </c>
      <c r="T1320" s="364" t="s">
        <v>88</v>
      </c>
      <c r="U1320" s="364" t="s">
        <v>88</v>
      </c>
      <c r="V1320" s="364" t="s">
        <v>88</v>
      </c>
      <c r="W1320" s="364" t="s">
        <v>88</v>
      </c>
      <c r="X1320" s="364" t="s">
        <v>88</v>
      </c>
      <c r="Y1320" s="364" t="s">
        <v>88</v>
      </c>
      <c r="Z1320" s="364" t="s">
        <v>1165</v>
      </c>
      <c r="AA1320" s="364" t="s">
        <v>1164</v>
      </c>
      <c r="AB1320" s="364" t="s">
        <v>649</v>
      </c>
      <c r="AC1320" s="364" t="s">
        <v>649</v>
      </c>
      <c r="AD1320" s="364" t="s">
        <v>88</v>
      </c>
      <c r="AE1320" s="364" t="s">
        <v>88</v>
      </c>
      <c r="AF1320" s="364" t="s">
        <v>88</v>
      </c>
      <c r="AG1320" s="364" t="s">
        <v>88</v>
      </c>
      <c r="AH1320" s="364" t="s">
        <v>88</v>
      </c>
      <c r="AI1320" s="364" t="s">
        <v>1155</v>
      </c>
      <c r="AJ1320" s="364" t="s">
        <v>710</v>
      </c>
      <c r="AK1320" s="364" t="s">
        <v>647</v>
      </c>
      <c r="AL1320" s="364" t="s">
        <v>88</v>
      </c>
      <c r="AM1320" s="364" t="s">
        <v>668</v>
      </c>
      <c r="AN1320" s="364" t="s">
        <v>644</v>
      </c>
    </row>
    <row r="1321" spans="1:40" x14ac:dyDescent="0.3">
      <c r="A1321" s="364" t="s">
        <v>1293</v>
      </c>
      <c r="B1321" s="364" t="s">
        <v>661</v>
      </c>
      <c r="C1321" s="364" t="s">
        <v>677</v>
      </c>
      <c r="D1321" s="364" t="s">
        <v>90</v>
      </c>
      <c r="E1321" s="364" t="s">
        <v>1292</v>
      </c>
      <c r="F1321" s="364" t="s">
        <v>1292</v>
      </c>
      <c r="G1321" s="364" t="s">
        <v>658</v>
      </c>
      <c r="H1321" s="364" t="s">
        <v>1287</v>
      </c>
      <c r="I1321" s="364" t="s">
        <v>1286</v>
      </c>
      <c r="J1321" s="364" t="s">
        <v>673</v>
      </c>
      <c r="K1321" s="364" t="s">
        <v>668</v>
      </c>
      <c r="L1321" s="364" t="s">
        <v>190</v>
      </c>
      <c r="M1321" s="364" t="s">
        <v>241</v>
      </c>
      <c r="N1321" s="364" t="s">
        <v>654</v>
      </c>
      <c r="O1321" s="364" t="s">
        <v>653</v>
      </c>
      <c r="P1321" s="364" t="s">
        <v>198</v>
      </c>
      <c r="Q1321" s="364" t="s">
        <v>652</v>
      </c>
      <c r="R1321" s="364" t="s">
        <v>88</v>
      </c>
      <c r="S1321" s="364" t="s">
        <v>88</v>
      </c>
      <c r="T1321" s="364" t="s">
        <v>88</v>
      </c>
      <c r="U1321" s="364" t="s">
        <v>88</v>
      </c>
      <c r="V1321" s="364" t="s">
        <v>88</v>
      </c>
      <c r="W1321" s="364" t="s">
        <v>88</v>
      </c>
      <c r="X1321" s="364" t="s">
        <v>88</v>
      </c>
      <c r="Y1321" s="364" t="s">
        <v>88</v>
      </c>
      <c r="Z1321" s="364" t="s">
        <v>1170</v>
      </c>
      <c r="AA1321" s="364" t="s">
        <v>1169</v>
      </c>
      <c r="AB1321" s="364" t="s">
        <v>649</v>
      </c>
      <c r="AC1321" s="364" t="s">
        <v>649</v>
      </c>
      <c r="AD1321" s="364" t="s">
        <v>88</v>
      </c>
      <c r="AE1321" s="364" t="s">
        <v>88</v>
      </c>
      <c r="AF1321" s="364" t="s">
        <v>88</v>
      </c>
      <c r="AG1321" s="364" t="s">
        <v>88</v>
      </c>
      <c r="AH1321" s="364" t="s">
        <v>88</v>
      </c>
      <c r="AI1321" s="364" t="s">
        <v>1155</v>
      </c>
      <c r="AJ1321" s="364" t="s">
        <v>710</v>
      </c>
      <c r="AK1321" s="364" t="s">
        <v>647</v>
      </c>
      <c r="AL1321" s="364" t="s">
        <v>88</v>
      </c>
      <c r="AM1321" s="364" t="s">
        <v>668</v>
      </c>
      <c r="AN1321" s="364" t="s">
        <v>644</v>
      </c>
    </row>
    <row r="1322" spans="1:40" x14ac:dyDescent="0.3">
      <c r="A1322" s="364" t="s">
        <v>1293</v>
      </c>
      <c r="B1322" s="364" t="s">
        <v>661</v>
      </c>
      <c r="C1322" s="364" t="s">
        <v>677</v>
      </c>
      <c r="D1322" s="364" t="s">
        <v>90</v>
      </c>
      <c r="E1322" s="364" t="s">
        <v>1292</v>
      </c>
      <c r="F1322" s="364" t="s">
        <v>1292</v>
      </c>
      <c r="G1322" s="364" t="s">
        <v>658</v>
      </c>
      <c r="H1322" s="364" t="s">
        <v>1287</v>
      </c>
      <c r="I1322" s="364" t="s">
        <v>1286</v>
      </c>
      <c r="J1322" s="364" t="s">
        <v>673</v>
      </c>
      <c r="K1322" s="364" t="s">
        <v>668</v>
      </c>
      <c r="L1322" s="364" t="s">
        <v>190</v>
      </c>
      <c r="M1322" s="364" t="s">
        <v>240</v>
      </c>
      <c r="N1322" s="364" t="s">
        <v>654</v>
      </c>
      <c r="O1322" s="364" t="s">
        <v>653</v>
      </c>
      <c r="P1322" s="364" t="s">
        <v>198</v>
      </c>
      <c r="Q1322" s="364" t="s">
        <v>652</v>
      </c>
      <c r="R1322" s="364" t="s">
        <v>88</v>
      </c>
      <c r="S1322" s="364" t="s">
        <v>88</v>
      </c>
      <c r="T1322" s="364" t="s">
        <v>88</v>
      </c>
      <c r="U1322" s="364" t="s">
        <v>88</v>
      </c>
      <c r="V1322" s="364" t="s">
        <v>88</v>
      </c>
      <c r="W1322" s="364" t="s">
        <v>88</v>
      </c>
      <c r="X1322" s="364" t="s">
        <v>88</v>
      </c>
      <c r="Y1322" s="364" t="s">
        <v>88</v>
      </c>
      <c r="Z1322" s="364" t="s">
        <v>1163</v>
      </c>
      <c r="AA1322" s="364" t="s">
        <v>1162</v>
      </c>
      <c r="AB1322" s="364" t="s">
        <v>649</v>
      </c>
      <c r="AC1322" s="364" t="s">
        <v>649</v>
      </c>
      <c r="AD1322" s="364" t="s">
        <v>88</v>
      </c>
      <c r="AE1322" s="364" t="s">
        <v>88</v>
      </c>
      <c r="AF1322" s="364" t="s">
        <v>88</v>
      </c>
      <c r="AG1322" s="364" t="s">
        <v>88</v>
      </c>
      <c r="AH1322" s="364" t="s">
        <v>88</v>
      </c>
      <c r="AI1322" s="364" t="s">
        <v>1155</v>
      </c>
      <c r="AJ1322" s="364" t="s">
        <v>710</v>
      </c>
      <c r="AK1322" s="364" t="s">
        <v>647</v>
      </c>
      <c r="AL1322" s="364" t="s">
        <v>88</v>
      </c>
      <c r="AM1322" s="364" t="s">
        <v>668</v>
      </c>
      <c r="AN1322" s="364" t="s">
        <v>644</v>
      </c>
    </row>
    <row r="1323" spans="1:40" x14ac:dyDescent="0.3">
      <c r="A1323" s="364" t="s">
        <v>1293</v>
      </c>
      <c r="B1323" s="364" t="s">
        <v>661</v>
      </c>
      <c r="C1323" s="364" t="s">
        <v>677</v>
      </c>
      <c r="D1323" s="364" t="s">
        <v>90</v>
      </c>
      <c r="E1323" s="364" t="s">
        <v>1292</v>
      </c>
      <c r="F1323" s="364" t="s">
        <v>1292</v>
      </c>
      <c r="G1323" s="364" t="s">
        <v>658</v>
      </c>
      <c r="H1323" s="364" t="s">
        <v>1287</v>
      </c>
      <c r="I1323" s="364" t="s">
        <v>1286</v>
      </c>
      <c r="J1323" s="364" t="s">
        <v>673</v>
      </c>
      <c r="K1323" s="364" t="s">
        <v>668</v>
      </c>
      <c r="L1323" s="364" t="s">
        <v>190</v>
      </c>
      <c r="M1323" s="364" t="s">
        <v>417</v>
      </c>
      <c r="N1323" s="364" t="s">
        <v>654</v>
      </c>
      <c r="O1323" s="364" t="s">
        <v>653</v>
      </c>
      <c r="P1323" s="364" t="s">
        <v>198</v>
      </c>
      <c r="Q1323" s="364" t="s">
        <v>652</v>
      </c>
      <c r="R1323" s="364" t="s">
        <v>88</v>
      </c>
      <c r="S1323" s="364" t="s">
        <v>88</v>
      </c>
      <c r="T1323" s="364" t="s">
        <v>88</v>
      </c>
      <c r="U1323" s="364" t="s">
        <v>88</v>
      </c>
      <c r="V1323" s="364" t="s">
        <v>88</v>
      </c>
      <c r="W1323" s="364" t="s">
        <v>88</v>
      </c>
      <c r="X1323" s="364" t="s">
        <v>88</v>
      </c>
      <c r="Y1323" s="364" t="s">
        <v>88</v>
      </c>
      <c r="Z1323" s="364" t="s">
        <v>1261</v>
      </c>
      <c r="AA1323" s="364" t="s">
        <v>649</v>
      </c>
      <c r="AB1323" s="364" t="s">
        <v>649</v>
      </c>
      <c r="AC1323" s="364" t="s">
        <v>649</v>
      </c>
      <c r="AD1323" s="364" t="s">
        <v>88</v>
      </c>
      <c r="AE1323" s="364" t="s">
        <v>88</v>
      </c>
      <c r="AF1323" s="364" t="s">
        <v>88</v>
      </c>
      <c r="AG1323" s="364" t="s">
        <v>88</v>
      </c>
      <c r="AH1323" s="364" t="s">
        <v>88</v>
      </c>
      <c r="AI1323" s="364" t="s">
        <v>1155</v>
      </c>
      <c r="AJ1323" s="364" t="s">
        <v>710</v>
      </c>
      <c r="AK1323" s="364" t="s">
        <v>647</v>
      </c>
      <c r="AL1323" s="364" t="s">
        <v>88</v>
      </c>
      <c r="AM1323" s="364" t="s">
        <v>668</v>
      </c>
      <c r="AN1323" s="364" t="s">
        <v>644</v>
      </c>
    </row>
    <row r="1324" spans="1:40" x14ac:dyDescent="0.3">
      <c r="A1324" s="364" t="s">
        <v>1291</v>
      </c>
      <c r="B1324" s="364" t="s">
        <v>661</v>
      </c>
      <c r="C1324" s="364" t="s">
        <v>677</v>
      </c>
      <c r="D1324" s="364" t="s">
        <v>90</v>
      </c>
      <c r="E1324" s="364" t="s">
        <v>1290</v>
      </c>
      <c r="F1324" s="364" t="s">
        <v>1290</v>
      </c>
      <c r="G1324" s="364" t="s">
        <v>658</v>
      </c>
      <c r="H1324" s="364" t="s">
        <v>1287</v>
      </c>
      <c r="I1324" s="364" t="s">
        <v>1286</v>
      </c>
      <c r="J1324" s="364" t="s">
        <v>673</v>
      </c>
      <c r="K1324" s="364" t="s">
        <v>668</v>
      </c>
      <c r="L1324" s="364" t="s">
        <v>190</v>
      </c>
      <c r="M1324" s="364" t="s">
        <v>61</v>
      </c>
      <c r="N1324" s="364" t="s">
        <v>654</v>
      </c>
      <c r="O1324" s="364" t="s">
        <v>653</v>
      </c>
      <c r="P1324" s="364" t="s">
        <v>198</v>
      </c>
      <c r="Q1324" s="364" t="s">
        <v>652</v>
      </c>
      <c r="R1324" s="364" t="s">
        <v>88</v>
      </c>
      <c r="S1324" s="364" t="s">
        <v>88</v>
      </c>
      <c r="T1324" s="364" t="s">
        <v>88</v>
      </c>
      <c r="U1324" s="364" t="s">
        <v>88</v>
      </c>
      <c r="V1324" s="364" t="s">
        <v>88</v>
      </c>
      <c r="W1324" s="364" t="s">
        <v>88</v>
      </c>
      <c r="X1324" s="364" t="s">
        <v>88</v>
      </c>
      <c r="Y1324" s="364" t="s">
        <v>88</v>
      </c>
      <c r="Z1324" s="364" t="s">
        <v>1021</v>
      </c>
      <c r="AA1324" s="364" t="s">
        <v>671</v>
      </c>
      <c r="AB1324" s="364" t="s">
        <v>649</v>
      </c>
      <c r="AC1324" s="364" t="s">
        <v>649</v>
      </c>
      <c r="AD1324" s="364" t="s">
        <v>88</v>
      </c>
      <c r="AE1324" s="364" t="s">
        <v>88</v>
      </c>
      <c r="AF1324" s="364" t="s">
        <v>88</v>
      </c>
      <c r="AG1324" s="364" t="s">
        <v>88</v>
      </c>
      <c r="AH1324" s="364" t="s">
        <v>88</v>
      </c>
      <c r="AI1324" s="364" t="s">
        <v>1155</v>
      </c>
      <c r="AJ1324" s="364" t="s">
        <v>710</v>
      </c>
      <c r="AK1324" s="364" t="s">
        <v>647</v>
      </c>
      <c r="AL1324" s="364" t="s">
        <v>88</v>
      </c>
      <c r="AM1324" s="364" t="s">
        <v>668</v>
      </c>
      <c r="AN1324" s="364" t="s">
        <v>644</v>
      </c>
    </row>
    <row r="1325" spans="1:40" x14ac:dyDescent="0.3">
      <c r="A1325" s="364" t="s">
        <v>1291</v>
      </c>
      <c r="B1325" s="364" t="s">
        <v>661</v>
      </c>
      <c r="C1325" s="364" t="s">
        <v>677</v>
      </c>
      <c r="D1325" s="364" t="s">
        <v>90</v>
      </c>
      <c r="E1325" s="364" t="s">
        <v>1290</v>
      </c>
      <c r="F1325" s="364" t="s">
        <v>1290</v>
      </c>
      <c r="G1325" s="364" t="s">
        <v>658</v>
      </c>
      <c r="H1325" s="364" t="s">
        <v>1287</v>
      </c>
      <c r="I1325" s="364" t="s">
        <v>1286</v>
      </c>
      <c r="J1325" s="364" t="s">
        <v>673</v>
      </c>
      <c r="K1325" s="364" t="s">
        <v>668</v>
      </c>
      <c r="L1325" s="364" t="s">
        <v>190</v>
      </c>
      <c r="M1325" s="364" t="s">
        <v>242</v>
      </c>
      <c r="N1325" s="364" t="s">
        <v>654</v>
      </c>
      <c r="O1325" s="364" t="s">
        <v>653</v>
      </c>
      <c r="P1325" s="364" t="s">
        <v>198</v>
      </c>
      <c r="Q1325" s="364" t="s">
        <v>652</v>
      </c>
      <c r="R1325" s="364" t="s">
        <v>88</v>
      </c>
      <c r="S1325" s="364" t="s">
        <v>88</v>
      </c>
      <c r="T1325" s="364" t="s">
        <v>88</v>
      </c>
      <c r="U1325" s="364" t="s">
        <v>88</v>
      </c>
      <c r="V1325" s="364" t="s">
        <v>88</v>
      </c>
      <c r="W1325" s="364" t="s">
        <v>88</v>
      </c>
      <c r="X1325" s="364" t="s">
        <v>88</v>
      </c>
      <c r="Y1325" s="364" t="s">
        <v>88</v>
      </c>
      <c r="Z1325" s="364" t="s">
        <v>1157</v>
      </c>
      <c r="AA1325" s="364" t="s">
        <v>1156</v>
      </c>
      <c r="AB1325" s="364" t="s">
        <v>649</v>
      </c>
      <c r="AC1325" s="364" t="s">
        <v>649</v>
      </c>
      <c r="AD1325" s="364" t="s">
        <v>88</v>
      </c>
      <c r="AE1325" s="364" t="s">
        <v>88</v>
      </c>
      <c r="AF1325" s="364" t="s">
        <v>88</v>
      </c>
      <c r="AG1325" s="364" t="s">
        <v>88</v>
      </c>
      <c r="AH1325" s="364" t="s">
        <v>88</v>
      </c>
      <c r="AI1325" s="364" t="s">
        <v>1155</v>
      </c>
      <c r="AJ1325" s="364" t="s">
        <v>710</v>
      </c>
      <c r="AK1325" s="364" t="s">
        <v>647</v>
      </c>
      <c r="AL1325" s="364" t="s">
        <v>88</v>
      </c>
      <c r="AM1325" s="364" t="s">
        <v>668</v>
      </c>
      <c r="AN1325" s="364" t="s">
        <v>644</v>
      </c>
    </row>
    <row r="1326" spans="1:40" x14ac:dyDescent="0.3">
      <c r="A1326" s="364" t="s">
        <v>1291</v>
      </c>
      <c r="B1326" s="364" t="s">
        <v>661</v>
      </c>
      <c r="C1326" s="364" t="s">
        <v>677</v>
      </c>
      <c r="D1326" s="364" t="s">
        <v>90</v>
      </c>
      <c r="E1326" s="364" t="s">
        <v>1290</v>
      </c>
      <c r="F1326" s="364" t="s">
        <v>1290</v>
      </c>
      <c r="G1326" s="364" t="s">
        <v>658</v>
      </c>
      <c r="H1326" s="364" t="s">
        <v>1287</v>
      </c>
      <c r="I1326" s="364" t="s">
        <v>1286</v>
      </c>
      <c r="J1326" s="364" t="s">
        <v>673</v>
      </c>
      <c r="K1326" s="364" t="s">
        <v>668</v>
      </c>
      <c r="L1326" s="364" t="s">
        <v>190</v>
      </c>
      <c r="M1326" s="364" t="s">
        <v>1168</v>
      </c>
      <c r="N1326" s="364" t="s">
        <v>654</v>
      </c>
      <c r="O1326" s="364" t="s">
        <v>653</v>
      </c>
      <c r="P1326" s="364" t="s">
        <v>198</v>
      </c>
      <c r="Q1326" s="364" t="s">
        <v>652</v>
      </c>
      <c r="R1326" s="364" t="s">
        <v>88</v>
      </c>
      <c r="S1326" s="364" t="s">
        <v>88</v>
      </c>
      <c r="T1326" s="364" t="s">
        <v>88</v>
      </c>
      <c r="U1326" s="364" t="s">
        <v>88</v>
      </c>
      <c r="V1326" s="364" t="s">
        <v>88</v>
      </c>
      <c r="W1326" s="364" t="s">
        <v>88</v>
      </c>
      <c r="X1326" s="364" t="s">
        <v>88</v>
      </c>
      <c r="Y1326" s="364" t="s">
        <v>88</v>
      </c>
      <c r="Z1326" s="364" t="s">
        <v>1167</v>
      </c>
      <c r="AA1326" s="364" t="s">
        <v>1166</v>
      </c>
      <c r="AB1326" s="364" t="s">
        <v>649</v>
      </c>
      <c r="AC1326" s="364" t="s">
        <v>649</v>
      </c>
      <c r="AD1326" s="364" t="s">
        <v>88</v>
      </c>
      <c r="AE1326" s="364" t="s">
        <v>88</v>
      </c>
      <c r="AF1326" s="364" t="s">
        <v>88</v>
      </c>
      <c r="AG1326" s="364" t="s">
        <v>88</v>
      </c>
      <c r="AH1326" s="364" t="s">
        <v>88</v>
      </c>
      <c r="AI1326" s="364" t="s">
        <v>1155</v>
      </c>
      <c r="AJ1326" s="364" t="s">
        <v>710</v>
      </c>
      <c r="AK1326" s="364" t="s">
        <v>647</v>
      </c>
      <c r="AL1326" s="364" t="s">
        <v>88</v>
      </c>
      <c r="AM1326" s="364" t="s">
        <v>668</v>
      </c>
      <c r="AN1326" s="364" t="s">
        <v>644</v>
      </c>
    </row>
    <row r="1327" spans="1:40" x14ac:dyDescent="0.3">
      <c r="A1327" s="364" t="s">
        <v>1291</v>
      </c>
      <c r="B1327" s="364" t="s">
        <v>661</v>
      </c>
      <c r="C1327" s="364" t="s">
        <v>677</v>
      </c>
      <c r="D1327" s="364" t="s">
        <v>90</v>
      </c>
      <c r="E1327" s="364" t="s">
        <v>1290</v>
      </c>
      <c r="F1327" s="364" t="s">
        <v>1290</v>
      </c>
      <c r="G1327" s="364" t="s">
        <v>658</v>
      </c>
      <c r="H1327" s="364" t="s">
        <v>1287</v>
      </c>
      <c r="I1327" s="364" t="s">
        <v>1286</v>
      </c>
      <c r="J1327" s="364" t="s">
        <v>673</v>
      </c>
      <c r="K1327" s="364" t="s">
        <v>668</v>
      </c>
      <c r="L1327" s="364" t="s">
        <v>190</v>
      </c>
      <c r="M1327" s="364" t="s">
        <v>713</v>
      </c>
      <c r="N1327" s="364" t="s">
        <v>654</v>
      </c>
      <c r="O1327" s="364" t="s">
        <v>653</v>
      </c>
      <c r="P1327" s="364" t="s">
        <v>198</v>
      </c>
      <c r="Q1327" s="364" t="s">
        <v>652</v>
      </c>
      <c r="R1327" s="364" t="s">
        <v>88</v>
      </c>
      <c r="S1327" s="364" t="s">
        <v>88</v>
      </c>
      <c r="T1327" s="364" t="s">
        <v>88</v>
      </c>
      <c r="U1327" s="364" t="s">
        <v>88</v>
      </c>
      <c r="V1327" s="364" t="s">
        <v>88</v>
      </c>
      <c r="W1327" s="364" t="s">
        <v>88</v>
      </c>
      <c r="X1327" s="364" t="s">
        <v>88</v>
      </c>
      <c r="Y1327" s="364" t="s">
        <v>88</v>
      </c>
      <c r="Z1327" s="364" t="s">
        <v>712</v>
      </c>
      <c r="AA1327" s="364" t="s">
        <v>711</v>
      </c>
      <c r="AB1327" s="364" t="s">
        <v>649</v>
      </c>
      <c r="AC1327" s="364" t="s">
        <v>649</v>
      </c>
      <c r="AD1327" s="364" t="s">
        <v>88</v>
      </c>
      <c r="AE1327" s="364" t="s">
        <v>88</v>
      </c>
      <c r="AF1327" s="364" t="s">
        <v>88</v>
      </c>
      <c r="AG1327" s="364" t="s">
        <v>88</v>
      </c>
      <c r="AH1327" s="364" t="s">
        <v>88</v>
      </c>
      <c r="AI1327" s="364" t="s">
        <v>1155</v>
      </c>
      <c r="AJ1327" s="364" t="s">
        <v>710</v>
      </c>
      <c r="AK1327" s="364" t="s">
        <v>647</v>
      </c>
      <c r="AL1327" s="364" t="s">
        <v>88</v>
      </c>
      <c r="AM1327" s="364" t="s">
        <v>668</v>
      </c>
      <c r="AN1327" s="364" t="s">
        <v>644</v>
      </c>
    </row>
    <row r="1328" spans="1:40" x14ac:dyDescent="0.3">
      <c r="A1328" s="364" t="s">
        <v>1291</v>
      </c>
      <c r="B1328" s="364" t="s">
        <v>661</v>
      </c>
      <c r="C1328" s="364" t="s">
        <v>677</v>
      </c>
      <c r="D1328" s="364" t="s">
        <v>90</v>
      </c>
      <c r="E1328" s="364" t="s">
        <v>1290</v>
      </c>
      <c r="F1328" s="364" t="s">
        <v>1290</v>
      </c>
      <c r="G1328" s="364" t="s">
        <v>658</v>
      </c>
      <c r="H1328" s="364" t="s">
        <v>1287</v>
      </c>
      <c r="I1328" s="364" t="s">
        <v>1286</v>
      </c>
      <c r="J1328" s="364" t="s">
        <v>673</v>
      </c>
      <c r="K1328" s="364" t="s">
        <v>668</v>
      </c>
      <c r="L1328" s="364" t="s">
        <v>190</v>
      </c>
      <c r="M1328" s="364" t="s">
        <v>56</v>
      </c>
      <c r="N1328" s="364" t="s">
        <v>654</v>
      </c>
      <c r="O1328" s="364" t="s">
        <v>653</v>
      </c>
      <c r="P1328" s="364" t="s">
        <v>198</v>
      </c>
      <c r="Q1328" s="364" t="s">
        <v>652</v>
      </c>
      <c r="R1328" s="364" t="s">
        <v>88</v>
      </c>
      <c r="S1328" s="364" t="s">
        <v>88</v>
      </c>
      <c r="T1328" s="364" t="s">
        <v>88</v>
      </c>
      <c r="U1328" s="364" t="s">
        <v>88</v>
      </c>
      <c r="V1328" s="364" t="s">
        <v>88</v>
      </c>
      <c r="W1328" s="364" t="s">
        <v>88</v>
      </c>
      <c r="X1328" s="364" t="s">
        <v>88</v>
      </c>
      <c r="Y1328" s="364" t="s">
        <v>88</v>
      </c>
      <c r="Z1328" s="364" t="s">
        <v>1165</v>
      </c>
      <c r="AA1328" s="364" t="s">
        <v>1164</v>
      </c>
      <c r="AB1328" s="364" t="s">
        <v>649</v>
      </c>
      <c r="AC1328" s="364" t="s">
        <v>649</v>
      </c>
      <c r="AD1328" s="364" t="s">
        <v>88</v>
      </c>
      <c r="AE1328" s="364" t="s">
        <v>88</v>
      </c>
      <c r="AF1328" s="364" t="s">
        <v>88</v>
      </c>
      <c r="AG1328" s="364" t="s">
        <v>88</v>
      </c>
      <c r="AH1328" s="364" t="s">
        <v>88</v>
      </c>
      <c r="AI1328" s="364" t="s">
        <v>1155</v>
      </c>
      <c r="AJ1328" s="364" t="s">
        <v>710</v>
      </c>
      <c r="AK1328" s="364" t="s">
        <v>647</v>
      </c>
      <c r="AL1328" s="364" t="s">
        <v>88</v>
      </c>
      <c r="AM1328" s="364" t="s">
        <v>668</v>
      </c>
      <c r="AN1328" s="364" t="s">
        <v>644</v>
      </c>
    </row>
    <row r="1329" spans="1:40" x14ac:dyDescent="0.3">
      <c r="A1329" s="364" t="s">
        <v>1291</v>
      </c>
      <c r="B1329" s="364" t="s">
        <v>661</v>
      </c>
      <c r="C1329" s="364" t="s">
        <v>677</v>
      </c>
      <c r="D1329" s="364" t="s">
        <v>90</v>
      </c>
      <c r="E1329" s="364" t="s">
        <v>1290</v>
      </c>
      <c r="F1329" s="364" t="s">
        <v>1290</v>
      </c>
      <c r="G1329" s="364" t="s">
        <v>658</v>
      </c>
      <c r="H1329" s="364" t="s">
        <v>1287</v>
      </c>
      <c r="I1329" s="364" t="s">
        <v>1286</v>
      </c>
      <c r="J1329" s="364" t="s">
        <v>673</v>
      </c>
      <c r="K1329" s="364" t="s">
        <v>668</v>
      </c>
      <c r="L1329" s="364" t="s">
        <v>190</v>
      </c>
      <c r="M1329" s="364" t="s">
        <v>241</v>
      </c>
      <c r="N1329" s="364" t="s">
        <v>654</v>
      </c>
      <c r="O1329" s="364" t="s">
        <v>653</v>
      </c>
      <c r="P1329" s="364" t="s">
        <v>198</v>
      </c>
      <c r="Q1329" s="364" t="s">
        <v>652</v>
      </c>
      <c r="R1329" s="364" t="s">
        <v>88</v>
      </c>
      <c r="S1329" s="364" t="s">
        <v>88</v>
      </c>
      <c r="T1329" s="364" t="s">
        <v>88</v>
      </c>
      <c r="U1329" s="364" t="s">
        <v>88</v>
      </c>
      <c r="V1329" s="364" t="s">
        <v>88</v>
      </c>
      <c r="W1329" s="364" t="s">
        <v>88</v>
      </c>
      <c r="X1329" s="364" t="s">
        <v>88</v>
      </c>
      <c r="Y1329" s="364" t="s">
        <v>88</v>
      </c>
      <c r="Z1329" s="364" t="s">
        <v>1170</v>
      </c>
      <c r="AA1329" s="364" t="s">
        <v>1169</v>
      </c>
      <c r="AB1329" s="364" t="s">
        <v>649</v>
      </c>
      <c r="AC1329" s="364" t="s">
        <v>649</v>
      </c>
      <c r="AD1329" s="364" t="s">
        <v>88</v>
      </c>
      <c r="AE1329" s="364" t="s">
        <v>88</v>
      </c>
      <c r="AF1329" s="364" t="s">
        <v>88</v>
      </c>
      <c r="AG1329" s="364" t="s">
        <v>88</v>
      </c>
      <c r="AH1329" s="364" t="s">
        <v>88</v>
      </c>
      <c r="AI1329" s="364" t="s">
        <v>1155</v>
      </c>
      <c r="AJ1329" s="364" t="s">
        <v>710</v>
      </c>
      <c r="AK1329" s="364" t="s">
        <v>647</v>
      </c>
      <c r="AL1329" s="364" t="s">
        <v>88</v>
      </c>
      <c r="AM1329" s="364" t="s">
        <v>668</v>
      </c>
      <c r="AN1329" s="364" t="s">
        <v>644</v>
      </c>
    </row>
    <row r="1330" spans="1:40" x14ac:dyDescent="0.3">
      <c r="A1330" s="364" t="s">
        <v>1291</v>
      </c>
      <c r="B1330" s="364" t="s">
        <v>661</v>
      </c>
      <c r="C1330" s="364" t="s">
        <v>677</v>
      </c>
      <c r="D1330" s="364" t="s">
        <v>90</v>
      </c>
      <c r="E1330" s="364" t="s">
        <v>1290</v>
      </c>
      <c r="F1330" s="364" t="s">
        <v>1290</v>
      </c>
      <c r="G1330" s="364" t="s">
        <v>658</v>
      </c>
      <c r="H1330" s="364" t="s">
        <v>1287</v>
      </c>
      <c r="I1330" s="364" t="s">
        <v>1286</v>
      </c>
      <c r="J1330" s="364" t="s">
        <v>673</v>
      </c>
      <c r="K1330" s="364" t="s">
        <v>668</v>
      </c>
      <c r="L1330" s="364" t="s">
        <v>190</v>
      </c>
      <c r="M1330" s="364" t="s">
        <v>240</v>
      </c>
      <c r="N1330" s="364" t="s">
        <v>654</v>
      </c>
      <c r="O1330" s="364" t="s">
        <v>653</v>
      </c>
      <c r="P1330" s="364" t="s">
        <v>198</v>
      </c>
      <c r="Q1330" s="364" t="s">
        <v>652</v>
      </c>
      <c r="R1330" s="364" t="s">
        <v>88</v>
      </c>
      <c r="S1330" s="364" t="s">
        <v>88</v>
      </c>
      <c r="T1330" s="364" t="s">
        <v>88</v>
      </c>
      <c r="U1330" s="364" t="s">
        <v>88</v>
      </c>
      <c r="V1330" s="364" t="s">
        <v>88</v>
      </c>
      <c r="W1330" s="364" t="s">
        <v>88</v>
      </c>
      <c r="X1330" s="364" t="s">
        <v>88</v>
      </c>
      <c r="Y1330" s="364" t="s">
        <v>88</v>
      </c>
      <c r="Z1330" s="364" t="s">
        <v>1163</v>
      </c>
      <c r="AA1330" s="364" t="s">
        <v>1162</v>
      </c>
      <c r="AB1330" s="364" t="s">
        <v>649</v>
      </c>
      <c r="AC1330" s="364" t="s">
        <v>649</v>
      </c>
      <c r="AD1330" s="364" t="s">
        <v>88</v>
      </c>
      <c r="AE1330" s="364" t="s">
        <v>88</v>
      </c>
      <c r="AF1330" s="364" t="s">
        <v>88</v>
      </c>
      <c r="AG1330" s="364" t="s">
        <v>88</v>
      </c>
      <c r="AH1330" s="364" t="s">
        <v>88</v>
      </c>
      <c r="AI1330" s="364" t="s">
        <v>1155</v>
      </c>
      <c r="AJ1330" s="364" t="s">
        <v>710</v>
      </c>
      <c r="AK1330" s="364" t="s">
        <v>647</v>
      </c>
      <c r="AL1330" s="364" t="s">
        <v>88</v>
      </c>
      <c r="AM1330" s="364" t="s">
        <v>668</v>
      </c>
      <c r="AN1330" s="364" t="s">
        <v>644</v>
      </c>
    </row>
    <row r="1331" spans="1:40" x14ac:dyDescent="0.3">
      <c r="A1331" s="364" t="s">
        <v>1291</v>
      </c>
      <c r="B1331" s="364" t="s">
        <v>661</v>
      </c>
      <c r="C1331" s="364" t="s">
        <v>677</v>
      </c>
      <c r="D1331" s="364" t="s">
        <v>90</v>
      </c>
      <c r="E1331" s="364" t="s">
        <v>1290</v>
      </c>
      <c r="F1331" s="364" t="s">
        <v>1290</v>
      </c>
      <c r="G1331" s="364" t="s">
        <v>658</v>
      </c>
      <c r="H1331" s="364" t="s">
        <v>1287</v>
      </c>
      <c r="I1331" s="364" t="s">
        <v>1286</v>
      </c>
      <c r="J1331" s="364" t="s">
        <v>673</v>
      </c>
      <c r="K1331" s="364" t="s">
        <v>668</v>
      </c>
      <c r="L1331" s="364" t="s">
        <v>190</v>
      </c>
      <c r="M1331" s="364" t="s">
        <v>417</v>
      </c>
      <c r="N1331" s="364" t="s">
        <v>654</v>
      </c>
      <c r="O1331" s="364" t="s">
        <v>653</v>
      </c>
      <c r="P1331" s="364" t="s">
        <v>198</v>
      </c>
      <c r="Q1331" s="364" t="s">
        <v>652</v>
      </c>
      <c r="R1331" s="364" t="s">
        <v>88</v>
      </c>
      <c r="S1331" s="364" t="s">
        <v>88</v>
      </c>
      <c r="T1331" s="364" t="s">
        <v>88</v>
      </c>
      <c r="U1331" s="364" t="s">
        <v>88</v>
      </c>
      <c r="V1331" s="364" t="s">
        <v>88</v>
      </c>
      <c r="W1331" s="364" t="s">
        <v>88</v>
      </c>
      <c r="X1331" s="364" t="s">
        <v>88</v>
      </c>
      <c r="Y1331" s="364" t="s">
        <v>88</v>
      </c>
      <c r="Z1331" s="364" t="s">
        <v>1261</v>
      </c>
      <c r="AA1331" s="364" t="s">
        <v>649</v>
      </c>
      <c r="AB1331" s="364" t="s">
        <v>649</v>
      </c>
      <c r="AC1331" s="364" t="s">
        <v>649</v>
      </c>
      <c r="AD1331" s="364" t="s">
        <v>88</v>
      </c>
      <c r="AE1331" s="364" t="s">
        <v>88</v>
      </c>
      <c r="AF1331" s="364" t="s">
        <v>88</v>
      </c>
      <c r="AG1331" s="364" t="s">
        <v>88</v>
      </c>
      <c r="AH1331" s="364" t="s">
        <v>88</v>
      </c>
      <c r="AI1331" s="364" t="s">
        <v>1155</v>
      </c>
      <c r="AJ1331" s="364" t="s">
        <v>710</v>
      </c>
      <c r="AK1331" s="364" t="s">
        <v>647</v>
      </c>
      <c r="AL1331" s="364" t="s">
        <v>88</v>
      </c>
      <c r="AM1331" s="364" t="s">
        <v>668</v>
      </c>
      <c r="AN1331" s="364" t="s">
        <v>644</v>
      </c>
    </row>
    <row r="1332" spans="1:40" x14ac:dyDescent="0.3">
      <c r="A1332" s="364" t="s">
        <v>1289</v>
      </c>
      <c r="B1332" s="364" t="s">
        <v>661</v>
      </c>
      <c r="C1332" s="364" t="s">
        <v>677</v>
      </c>
      <c r="D1332" s="364" t="s">
        <v>90</v>
      </c>
      <c r="E1332" s="364" t="s">
        <v>1288</v>
      </c>
      <c r="F1332" s="364" t="s">
        <v>1288</v>
      </c>
      <c r="G1332" s="364" t="s">
        <v>658</v>
      </c>
      <c r="H1332" s="364" t="s">
        <v>1287</v>
      </c>
      <c r="I1332" s="364" t="s">
        <v>1286</v>
      </c>
      <c r="J1332" s="364" t="s">
        <v>673</v>
      </c>
      <c r="K1332" s="364" t="s">
        <v>668</v>
      </c>
      <c r="L1332" s="364" t="s">
        <v>190</v>
      </c>
      <c r="M1332" s="364" t="s">
        <v>61</v>
      </c>
      <c r="N1332" s="364" t="s">
        <v>654</v>
      </c>
      <c r="O1332" s="364" t="s">
        <v>653</v>
      </c>
      <c r="P1332" s="364" t="s">
        <v>198</v>
      </c>
      <c r="Q1332" s="364" t="s">
        <v>652</v>
      </c>
      <c r="R1332" s="364" t="s">
        <v>88</v>
      </c>
      <c r="S1332" s="364" t="s">
        <v>88</v>
      </c>
      <c r="T1332" s="364" t="s">
        <v>88</v>
      </c>
      <c r="U1332" s="364" t="s">
        <v>88</v>
      </c>
      <c r="V1332" s="364" t="s">
        <v>88</v>
      </c>
      <c r="W1332" s="364" t="s">
        <v>88</v>
      </c>
      <c r="X1332" s="364" t="s">
        <v>88</v>
      </c>
      <c r="Y1332" s="364" t="s">
        <v>88</v>
      </c>
      <c r="Z1332" s="364" t="s">
        <v>1021</v>
      </c>
      <c r="AA1332" s="364" t="s">
        <v>671</v>
      </c>
      <c r="AB1332" s="364" t="s">
        <v>649</v>
      </c>
      <c r="AC1332" s="364" t="s">
        <v>649</v>
      </c>
      <c r="AD1332" s="364" t="s">
        <v>88</v>
      </c>
      <c r="AE1332" s="364" t="s">
        <v>88</v>
      </c>
      <c r="AF1332" s="364" t="s">
        <v>88</v>
      </c>
      <c r="AG1332" s="364" t="s">
        <v>88</v>
      </c>
      <c r="AH1332" s="364" t="s">
        <v>88</v>
      </c>
      <c r="AI1332" s="364" t="s">
        <v>1155</v>
      </c>
      <c r="AJ1332" s="364" t="s">
        <v>710</v>
      </c>
      <c r="AK1332" s="364" t="s">
        <v>647</v>
      </c>
      <c r="AL1332" s="364" t="s">
        <v>88</v>
      </c>
      <c r="AM1332" s="364" t="s">
        <v>668</v>
      </c>
      <c r="AN1332" s="364" t="s">
        <v>644</v>
      </c>
    </row>
    <row r="1333" spans="1:40" x14ac:dyDescent="0.3">
      <c r="A1333" s="364" t="s">
        <v>1289</v>
      </c>
      <c r="B1333" s="364" t="s">
        <v>661</v>
      </c>
      <c r="C1333" s="364" t="s">
        <v>677</v>
      </c>
      <c r="D1333" s="364" t="s">
        <v>90</v>
      </c>
      <c r="E1333" s="364" t="s">
        <v>1288</v>
      </c>
      <c r="F1333" s="364" t="s">
        <v>1288</v>
      </c>
      <c r="G1333" s="364" t="s">
        <v>658</v>
      </c>
      <c r="H1333" s="364" t="s">
        <v>1287</v>
      </c>
      <c r="I1333" s="364" t="s">
        <v>1286</v>
      </c>
      <c r="J1333" s="364" t="s">
        <v>673</v>
      </c>
      <c r="K1333" s="364" t="s">
        <v>668</v>
      </c>
      <c r="L1333" s="364" t="s">
        <v>190</v>
      </c>
      <c r="M1333" s="364" t="s">
        <v>242</v>
      </c>
      <c r="N1333" s="364" t="s">
        <v>654</v>
      </c>
      <c r="O1333" s="364" t="s">
        <v>653</v>
      </c>
      <c r="P1333" s="364" t="s">
        <v>198</v>
      </c>
      <c r="Q1333" s="364" t="s">
        <v>652</v>
      </c>
      <c r="R1333" s="364" t="s">
        <v>88</v>
      </c>
      <c r="S1333" s="364" t="s">
        <v>88</v>
      </c>
      <c r="T1333" s="364" t="s">
        <v>88</v>
      </c>
      <c r="U1333" s="364" t="s">
        <v>88</v>
      </c>
      <c r="V1333" s="364" t="s">
        <v>88</v>
      </c>
      <c r="W1333" s="364" t="s">
        <v>88</v>
      </c>
      <c r="X1333" s="364" t="s">
        <v>88</v>
      </c>
      <c r="Y1333" s="364" t="s">
        <v>88</v>
      </c>
      <c r="Z1333" s="364" t="s">
        <v>1157</v>
      </c>
      <c r="AA1333" s="364" t="s">
        <v>1156</v>
      </c>
      <c r="AB1333" s="364" t="s">
        <v>649</v>
      </c>
      <c r="AC1333" s="364" t="s">
        <v>649</v>
      </c>
      <c r="AD1333" s="364" t="s">
        <v>88</v>
      </c>
      <c r="AE1333" s="364" t="s">
        <v>88</v>
      </c>
      <c r="AF1333" s="364" t="s">
        <v>88</v>
      </c>
      <c r="AG1333" s="364" t="s">
        <v>88</v>
      </c>
      <c r="AH1333" s="364" t="s">
        <v>88</v>
      </c>
      <c r="AI1333" s="364" t="s">
        <v>1155</v>
      </c>
      <c r="AJ1333" s="364" t="s">
        <v>710</v>
      </c>
      <c r="AK1333" s="364" t="s">
        <v>647</v>
      </c>
      <c r="AL1333" s="364" t="s">
        <v>88</v>
      </c>
      <c r="AM1333" s="364" t="s">
        <v>668</v>
      </c>
      <c r="AN1333" s="364" t="s">
        <v>644</v>
      </c>
    </row>
    <row r="1334" spans="1:40" x14ac:dyDescent="0.3">
      <c r="A1334" s="364" t="s">
        <v>1289</v>
      </c>
      <c r="B1334" s="364" t="s">
        <v>661</v>
      </c>
      <c r="C1334" s="364" t="s">
        <v>677</v>
      </c>
      <c r="D1334" s="364" t="s">
        <v>90</v>
      </c>
      <c r="E1334" s="364" t="s">
        <v>1288</v>
      </c>
      <c r="F1334" s="364" t="s">
        <v>1288</v>
      </c>
      <c r="G1334" s="364" t="s">
        <v>658</v>
      </c>
      <c r="H1334" s="364" t="s">
        <v>1287</v>
      </c>
      <c r="I1334" s="364" t="s">
        <v>1286</v>
      </c>
      <c r="J1334" s="364" t="s">
        <v>673</v>
      </c>
      <c r="K1334" s="364" t="s">
        <v>668</v>
      </c>
      <c r="L1334" s="364" t="s">
        <v>190</v>
      </c>
      <c r="M1334" s="364" t="s">
        <v>1168</v>
      </c>
      <c r="N1334" s="364" t="s">
        <v>654</v>
      </c>
      <c r="O1334" s="364" t="s">
        <v>653</v>
      </c>
      <c r="P1334" s="364" t="s">
        <v>198</v>
      </c>
      <c r="Q1334" s="364" t="s">
        <v>652</v>
      </c>
      <c r="R1334" s="364" t="s">
        <v>88</v>
      </c>
      <c r="S1334" s="364" t="s">
        <v>88</v>
      </c>
      <c r="T1334" s="364" t="s">
        <v>88</v>
      </c>
      <c r="U1334" s="364" t="s">
        <v>88</v>
      </c>
      <c r="V1334" s="364" t="s">
        <v>88</v>
      </c>
      <c r="W1334" s="364" t="s">
        <v>88</v>
      </c>
      <c r="X1334" s="364" t="s">
        <v>88</v>
      </c>
      <c r="Y1334" s="364" t="s">
        <v>88</v>
      </c>
      <c r="Z1334" s="364" t="s">
        <v>1167</v>
      </c>
      <c r="AA1334" s="364" t="s">
        <v>1166</v>
      </c>
      <c r="AB1334" s="364" t="s">
        <v>649</v>
      </c>
      <c r="AC1334" s="364" t="s">
        <v>649</v>
      </c>
      <c r="AD1334" s="364" t="s">
        <v>88</v>
      </c>
      <c r="AE1334" s="364" t="s">
        <v>88</v>
      </c>
      <c r="AF1334" s="364" t="s">
        <v>88</v>
      </c>
      <c r="AG1334" s="364" t="s">
        <v>88</v>
      </c>
      <c r="AH1334" s="364" t="s">
        <v>88</v>
      </c>
      <c r="AI1334" s="364" t="s">
        <v>1155</v>
      </c>
      <c r="AJ1334" s="364" t="s">
        <v>710</v>
      </c>
      <c r="AK1334" s="364" t="s">
        <v>647</v>
      </c>
      <c r="AL1334" s="364" t="s">
        <v>88</v>
      </c>
      <c r="AM1334" s="364" t="s">
        <v>668</v>
      </c>
      <c r="AN1334" s="364" t="s">
        <v>644</v>
      </c>
    </row>
    <row r="1335" spans="1:40" x14ac:dyDescent="0.3">
      <c r="A1335" s="364" t="s">
        <v>1289</v>
      </c>
      <c r="B1335" s="364" t="s">
        <v>661</v>
      </c>
      <c r="C1335" s="364" t="s">
        <v>677</v>
      </c>
      <c r="D1335" s="364" t="s">
        <v>90</v>
      </c>
      <c r="E1335" s="364" t="s">
        <v>1288</v>
      </c>
      <c r="F1335" s="364" t="s">
        <v>1288</v>
      </c>
      <c r="G1335" s="364" t="s">
        <v>658</v>
      </c>
      <c r="H1335" s="364" t="s">
        <v>1287</v>
      </c>
      <c r="I1335" s="364" t="s">
        <v>1286</v>
      </c>
      <c r="J1335" s="364" t="s">
        <v>673</v>
      </c>
      <c r="K1335" s="364" t="s">
        <v>668</v>
      </c>
      <c r="L1335" s="364" t="s">
        <v>190</v>
      </c>
      <c r="M1335" s="364" t="s">
        <v>713</v>
      </c>
      <c r="N1335" s="364" t="s">
        <v>654</v>
      </c>
      <c r="O1335" s="364" t="s">
        <v>653</v>
      </c>
      <c r="P1335" s="364" t="s">
        <v>198</v>
      </c>
      <c r="Q1335" s="364" t="s">
        <v>652</v>
      </c>
      <c r="R1335" s="364" t="s">
        <v>88</v>
      </c>
      <c r="S1335" s="364" t="s">
        <v>88</v>
      </c>
      <c r="T1335" s="364" t="s">
        <v>88</v>
      </c>
      <c r="U1335" s="364" t="s">
        <v>88</v>
      </c>
      <c r="V1335" s="364" t="s">
        <v>88</v>
      </c>
      <c r="W1335" s="364" t="s">
        <v>88</v>
      </c>
      <c r="X1335" s="364" t="s">
        <v>88</v>
      </c>
      <c r="Y1335" s="364" t="s">
        <v>88</v>
      </c>
      <c r="Z1335" s="364" t="s">
        <v>712</v>
      </c>
      <c r="AA1335" s="364" t="s">
        <v>711</v>
      </c>
      <c r="AB1335" s="364" t="s">
        <v>649</v>
      </c>
      <c r="AC1335" s="364" t="s">
        <v>649</v>
      </c>
      <c r="AD1335" s="364" t="s">
        <v>88</v>
      </c>
      <c r="AE1335" s="364" t="s">
        <v>88</v>
      </c>
      <c r="AF1335" s="364" t="s">
        <v>88</v>
      </c>
      <c r="AG1335" s="364" t="s">
        <v>88</v>
      </c>
      <c r="AH1335" s="364" t="s">
        <v>88</v>
      </c>
      <c r="AI1335" s="364" t="s">
        <v>1155</v>
      </c>
      <c r="AJ1335" s="364" t="s">
        <v>710</v>
      </c>
      <c r="AK1335" s="364" t="s">
        <v>647</v>
      </c>
      <c r="AL1335" s="364" t="s">
        <v>88</v>
      </c>
      <c r="AM1335" s="364" t="s">
        <v>668</v>
      </c>
      <c r="AN1335" s="364" t="s">
        <v>644</v>
      </c>
    </row>
    <row r="1336" spans="1:40" x14ac:dyDescent="0.3">
      <c r="A1336" s="364" t="s">
        <v>1289</v>
      </c>
      <c r="B1336" s="364" t="s">
        <v>661</v>
      </c>
      <c r="C1336" s="364" t="s">
        <v>677</v>
      </c>
      <c r="D1336" s="364" t="s">
        <v>90</v>
      </c>
      <c r="E1336" s="364" t="s">
        <v>1288</v>
      </c>
      <c r="F1336" s="364" t="s">
        <v>1288</v>
      </c>
      <c r="G1336" s="364" t="s">
        <v>658</v>
      </c>
      <c r="H1336" s="364" t="s">
        <v>1287</v>
      </c>
      <c r="I1336" s="364" t="s">
        <v>1286</v>
      </c>
      <c r="J1336" s="364" t="s">
        <v>673</v>
      </c>
      <c r="K1336" s="364" t="s">
        <v>668</v>
      </c>
      <c r="L1336" s="364" t="s">
        <v>190</v>
      </c>
      <c r="M1336" s="364" t="s">
        <v>56</v>
      </c>
      <c r="N1336" s="364" t="s">
        <v>654</v>
      </c>
      <c r="O1336" s="364" t="s">
        <v>653</v>
      </c>
      <c r="P1336" s="364" t="s">
        <v>198</v>
      </c>
      <c r="Q1336" s="364" t="s">
        <v>652</v>
      </c>
      <c r="R1336" s="364" t="s">
        <v>88</v>
      </c>
      <c r="S1336" s="364" t="s">
        <v>88</v>
      </c>
      <c r="T1336" s="364" t="s">
        <v>88</v>
      </c>
      <c r="U1336" s="364" t="s">
        <v>88</v>
      </c>
      <c r="V1336" s="364" t="s">
        <v>88</v>
      </c>
      <c r="W1336" s="364" t="s">
        <v>88</v>
      </c>
      <c r="X1336" s="364" t="s">
        <v>88</v>
      </c>
      <c r="Y1336" s="364" t="s">
        <v>88</v>
      </c>
      <c r="Z1336" s="364" t="s">
        <v>1165</v>
      </c>
      <c r="AA1336" s="364" t="s">
        <v>1164</v>
      </c>
      <c r="AB1336" s="364" t="s">
        <v>649</v>
      </c>
      <c r="AC1336" s="364" t="s">
        <v>649</v>
      </c>
      <c r="AD1336" s="364" t="s">
        <v>88</v>
      </c>
      <c r="AE1336" s="364" t="s">
        <v>88</v>
      </c>
      <c r="AF1336" s="364" t="s">
        <v>88</v>
      </c>
      <c r="AG1336" s="364" t="s">
        <v>88</v>
      </c>
      <c r="AH1336" s="364" t="s">
        <v>88</v>
      </c>
      <c r="AI1336" s="364" t="s">
        <v>1155</v>
      </c>
      <c r="AJ1336" s="364" t="s">
        <v>710</v>
      </c>
      <c r="AK1336" s="364" t="s">
        <v>647</v>
      </c>
      <c r="AL1336" s="364" t="s">
        <v>88</v>
      </c>
      <c r="AM1336" s="364" t="s">
        <v>668</v>
      </c>
      <c r="AN1336" s="364" t="s">
        <v>644</v>
      </c>
    </row>
    <row r="1337" spans="1:40" x14ac:dyDescent="0.3">
      <c r="A1337" s="364" t="s">
        <v>1289</v>
      </c>
      <c r="B1337" s="364" t="s">
        <v>661</v>
      </c>
      <c r="C1337" s="364" t="s">
        <v>677</v>
      </c>
      <c r="D1337" s="364" t="s">
        <v>90</v>
      </c>
      <c r="E1337" s="364" t="s">
        <v>1288</v>
      </c>
      <c r="F1337" s="364" t="s">
        <v>1288</v>
      </c>
      <c r="G1337" s="364" t="s">
        <v>658</v>
      </c>
      <c r="H1337" s="364" t="s">
        <v>1287</v>
      </c>
      <c r="I1337" s="364" t="s">
        <v>1286</v>
      </c>
      <c r="J1337" s="364" t="s">
        <v>673</v>
      </c>
      <c r="K1337" s="364" t="s">
        <v>668</v>
      </c>
      <c r="L1337" s="364" t="s">
        <v>190</v>
      </c>
      <c r="M1337" s="364" t="s">
        <v>241</v>
      </c>
      <c r="N1337" s="364" t="s">
        <v>654</v>
      </c>
      <c r="O1337" s="364" t="s">
        <v>653</v>
      </c>
      <c r="P1337" s="364" t="s">
        <v>198</v>
      </c>
      <c r="Q1337" s="364" t="s">
        <v>652</v>
      </c>
      <c r="R1337" s="364" t="s">
        <v>88</v>
      </c>
      <c r="S1337" s="364" t="s">
        <v>88</v>
      </c>
      <c r="T1337" s="364" t="s">
        <v>88</v>
      </c>
      <c r="U1337" s="364" t="s">
        <v>88</v>
      </c>
      <c r="V1337" s="364" t="s">
        <v>88</v>
      </c>
      <c r="W1337" s="364" t="s">
        <v>88</v>
      </c>
      <c r="X1337" s="364" t="s">
        <v>88</v>
      </c>
      <c r="Y1337" s="364" t="s">
        <v>88</v>
      </c>
      <c r="Z1337" s="364" t="s">
        <v>1170</v>
      </c>
      <c r="AA1337" s="364" t="s">
        <v>1169</v>
      </c>
      <c r="AB1337" s="364" t="s">
        <v>649</v>
      </c>
      <c r="AC1337" s="364" t="s">
        <v>649</v>
      </c>
      <c r="AD1337" s="364" t="s">
        <v>88</v>
      </c>
      <c r="AE1337" s="364" t="s">
        <v>88</v>
      </c>
      <c r="AF1337" s="364" t="s">
        <v>88</v>
      </c>
      <c r="AG1337" s="364" t="s">
        <v>88</v>
      </c>
      <c r="AH1337" s="364" t="s">
        <v>88</v>
      </c>
      <c r="AI1337" s="364" t="s">
        <v>1155</v>
      </c>
      <c r="AJ1337" s="364" t="s">
        <v>710</v>
      </c>
      <c r="AK1337" s="364" t="s">
        <v>647</v>
      </c>
      <c r="AL1337" s="364" t="s">
        <v>88</v>
      </c>
      <c r="AM1337" s="364" t="s">
        <v>668</v>
      </c>
      <c r="AN1337" s="364" t="s">
        <v>644</v>
      </c>
    </row>
    <row r="1338" spans="1:40" x14ac:dyDescent="0.3">
      <c r="A1338" s="364" t="s">
        <v>1289</v>
      </c>
      <c r="B1338" s="364" t="s">
        <v>661</v>
      </c>
      <c r="C1338" s="364" t="s">
        <v>677</v>
      </c>
      <c r="D1338" s="364" t="s">
        <v>90</v>
      </c>
      <c r="E1338" s="364" t="s">
        <v>1288</v>
      </c>
      <c r="F1338" s="364" t="s">
        <v>1288</v>
      </c>
      <c r="G1338" s="364" t="s">
        <v>658</v>
      </c>
      <c r="H1338" s="364" t="s">
        <v>1287</v>
      </c>
      <c r="I1338" s="364" t="s">
        <v>1286</v>
      </c>
      <c r="J1338" s="364" t="s">
        <v>673</v>
      </c>
      <c r="K1338" s="364" t="s">
        <v>668</v>
      </c>
      <c r="L1338" s="364" t="s">
        <v>190</v>
      </c>
      <c r="M1338" s="364" t="s">
        <v>240</v>
      </c>
      <c r="N1338" s="364" t="s">
        <v>654</v>
      </c>
      <c r="O1338" s="364" t="s">
        <v>653</v>
      </c>
      <c r="P1338" s="364" t="s">
        <v>198</v>
      </c>
      <c r="Q1338" s="364" t="s">
        <v>652</v>
      </c>
      <c r="R1338" s="364" t="s">
        <v>88</v>
      </c>
      <c r="S1338" s="364" t="s">
        <v>88</v>
      </c>
      <c r="T1338" s="364" t="s">
        <v>88</v>
      </c>
      <c r="U1338" s="364" t="s">
        <v>88</v>
      </c>
      <c r="V1338" s="364" t="s">
        <v>88</v>
      </c>
      <c r="W1338" s="364" t="s">
        <v>88</v>
      </c>
      <c r="X1338" s="364" t="s">
        <v>88</v>
      </c>
      <c r="Y1338" s="364" t="s">
        <v>88</v>
      </c>
      <c r="Z1338" s="364" t="s">
        <v>1163</v>
      </c>
      <c r="AA1338" s="364" t="s">
        <v>1162</v>
      </c>
      <c r="AB1338" s="364" t="s">
        <v>649</v>
      </c>
      <c r="AC1338" s="364" t="s">
        <v>649</v>
      </c>
      <c r="AD1338" s="364" t="s">
        <v>88</v>
      </c>
      <c r="AE1338" s="364" t="s">
        <v>88</v>
      </c>
      <c r="AF1338" s="364" t="s">
        <v>88</v>
      </c>
      <c r="AG1338" s="364" t="s">
        <v>88</v>
      </c>
      <c r="AH1338" s="364" t="s">
        <v>88</v>
      </c>
      <c r="AI1338" s="364" t="s">
        <v>1155</v>
      </c>
      <c r="AJ1338" s="364" t="s">
        <v>710</v>
      </c>
      <c r="AK1338" s="364" t="s">
        <v>647</v>
      </c>
      <c r="AL1338" s="364" t="s">
        <v>88</v>
      </c>
      <c r="AM1338" s="364" t="s">
        <v>668</v>
      </c>
      <c r="AN1338" s="364" t="s">
        <v>644</v>
      </c>
    </row>
    <row r="1339" spans="1:40" x14ac:dyDescent="0.3">
      <c r="A1339" s="364" t="s">
        <v>1289</v>
      </c>
      <c r="B1339" s="364" t="s">
        <v>661</v>
      </c>
      <c r="C1339" s="364" t="s">
        <v>677</v>
      </c>
      <c r="D1339" s="364" t="s">
        <v>90</v>
      </c>
      <c r="E1339" s="364" t="s">
        <v>1288</v>
      </c>
      <c r="F1339" s="364" t="s">
        <v>1288</v>
      </c>
      <c r="G1339" s="364" t="s">
        <v>658</v>
      </c>
      <c r="H1339" s="364" t="s">
        <v>1287</v>
      </c>
      <c r="I1339" s="364" t="s">
        <v>1286</v>
      </c>
      <c r="J1339" s="364" t="s">
        <v>673</v>
      </c>
      <c r="K1339" s="364" t="s">
        <v>668</v>
      </c>
      <c r="L1339" s="364" t="s">
        <v>190</v>
      </c>
      <c r="M1339" s="364" t="s">
        <v>417</v>
      </c>
      <c r="N1339" s="364" t="s">
        <v>654</v>
      </c>
      <c r="O1339" s="364" t="s">
        <v>653</v>
      </c>
      <c r="P1339" s="364" t="s">
        <v>198</v>
      </c>
      <c r="Q1339" s="364" t="s">
        <v>652</v>
      </c>
      <c r="R1339" s="364" t="s">
        <v>88</v>
      </c>
      <c r="S1339" s="364" t="s">
        <v>88</v>
      </c>
      <c r="T1339" s="364" t="s">
        <v>88</v>
      </c>
      <c r="U1339" s="364" t="s">
        <v>88</v>
      </c>
      <c r="V1339" s="364" t="s">
        <v>88</v>
      </c>
      <c r="W1339" s="364" t="s">
        <v>88</v>
      </c>
      <c r="X1339" s="364" t="s">
        <v>88</v>
      </c>
      <c r="Y1339" s="364" t="s">
        <v>88</v>
      </c>
      <c r="Z1339" s="364" t="s">
        <v>1261</v>
      </c>
      <c r="AA1339" s="364" t="s">
        <v>649</v>
      </c>
      <c r="AB1339" s="364" t="s">
        <v>649</v>
      </c>
      <c r="AC1339" s="364" t="s">
        <v>649</v>
      </c>
      <c r="AD1339" s="364" t="s">
        <v>88</v>
      </c>
      <c r="AE1339" s="364" t="s">
        <v>88</v>
      </c>
      <c r="AF1339" s="364" t="s">
        <v>88</v>
      </c>
      <c r="AG1339" s="364" t="s">
        <v>88</v>
      </c>
      <c r="AH1339" s="364" t="s">
        <v>88</v>
      </c>
      <c r="AI1339" s="364" t="s">
        <v>1155</v>
      </c>
      <c r="AJ1339" s="364" t="s">
        <v>710</v>
      </c>
      <c r="AK1339" s="364" t="s">
        <v>647</v>
      </c>
      <c r="AL1339" s="364" t="s">
        <v>88</v>
      </c>
      <c r="AM1339" s="364" t="s">
        <v>668</v>
      </c>
      <c r="AN1339" s="364" t="s">
        <v>644</v>
      </c>
    </row>
    <row r="1340" spans="1:40" x14ac:dyDescent="0.3">
      <c r="A1340" s="364" t="s">
        <v>1285</v>
      </c>
      <c r="B1340" s="364" t="s">
        <v>661</v>
      </c>
      <c r="C1340" s="364" t="s">
        <v>796</v>
      </c>
      <c r="D1340" s="364" t="s">
        <v>90</v>
      </c>
      <c r="E1340" s="364" t="s">
        <v>1284</v>
      </c>
      <c r="F1340" s="364" t="s">
        <v>1284</v>
      </c>
      <c r="G1340" s="364" t="s">
        <v>658</v>
      </c>
      <c r="H1340" s="364" t="s">
        <v>1283</v>
      </c>
      <c r="I1340" s="364" t="s">
        <v>88</v>
      </c>
      <c r="J1340" s="364" t="s">
        <v>673</v>
      </c>
      <c r="K1340" s="364" t="s">
        <v>668</v>
      </c>
      <c r="L1340" s="364" t="s">
        <v>190</v>
      </c>
      <c r="M1340" s="364" t="s">
        <v>61</v>
      </c>
      <c r="N1340" s="364" t="s">
        <v>654</v>
      </c>
      <c r="O1340" s="364" t="s">
        <v>653</v>
      </c>
      <c r="P1340" s="364" t="s">
        <v>198</v>
      </c>
      <c r="Q1340" s="364" t="s">
        <v>652</v>
      </c>
      <c r="R1340" s="364" t="s">
        <v>88</v>
      </c>
      <c r="S1340" s="364" t="s">
        <v>88</v>
      </c>
      <c r="T1340" s="364" t="s">
        <v>88</v>
      </c>
      <c r="U1340" s="364" t="s">
        <v>88</v>
      </c>
      <c r="V1340" s="364" t="s">
        <v>88</v>
      </c>
      <c r="W1340" s="364" t="s">
        <v>88</v>
      </c>
      <c r="X1340" s="364" t="s">
        <v>88</v>
      </c>
      <c r="Y1340" s="364" t="s">
        <v>88</v>
      </c>
      <c r="Z1340" s="364" t="s">
        <v>1021</v>
      </c>
      <c r="AA1340" s="364" t="s">
        <v>671</v>
      </c>
      <c r="AB1340" s="364" t="s">
        <v>649</v>
      </c>
      <c r="AC1340" s="364" t="s">
        <v>88</v>
      </c>
      <c r="AD1340" s="364" t="s">
        <v>88</v>
      </c>
      <c r="AE1340" s="364" t="s">
        <v>88</v>
      </c>
      <c r="AF1340" s="364" t="s">
        <v>88</v>
      </c>
      <c r="AG1340" s="364" t="s">
        <v>88</v>
      </c>
      <c r="AH1340" s="364" t="s">
        <v>88</v>
      </c>
      <c r="AI1340" s="364" t="s">
        <v>1155</v>
      </c>
      <c r="AJ1340" s="364" t="s">
        <v>710</v>
      </c>
      <c r="AK1340" s="364" t="s">
        <v>88</v>
      </c>
      <c r="AL1340" s="364" t="s">
        <v>88</v>
      </c>
      <c r="AM1340" s="364" t="s">
        <v>668</v>
      </c>
      <c r="AN1340" s="364" t="s">
        <v>644</v>
      </c>
    </row>
    <row r="1341" spans="1:40" x14ac:dyDescent="0.3">
      <c r="A1341" s="364" t="s">
        <v>1285</v>
      </c>
      <c r="B1341" s="364" t="s">
        <v>661</v>
      </c>
      <c r="C1341" s="364" t="s">
        <v>796</v>
      </c>
      <c r="D1341" s="364" t="s">
        <v>90</v>
      </c>
      <c r="E1341" s="364" t="s">
        <v>1284</v>
      </c>
      <c r="F1341" s="364" t="s">
        <v>1284</v>
      </c>
      <c r="G1341" s="364" t="s">
        <v>658</v>
      </c>
      <c r="H1341" s="364" t="s">
        <v>1283</v>
      </c>
      <c r="I1341" s="364" t="s">
        <v>88</v>
      </c>
      <c r="J1341" s="364" t="s">
        <v>673</v>
      </c>
      <c r="K1341" s="364" t="s">
        <v>668</v>
      </c>
      <c r="L1341" s="364" t="s">
        <v>190</v>
      </c>
      <c r="M1341" s="364" t="s">
        <v>242</v>
      </c>
      <c r="N1341" s="364" t="s">
        <v>654</v>
      </c>
      <c r="O1341" s="364" t="s">
        <v>653</v>
      </c>
      <c r="P1341" s="364" t="s">
        <v>198</v>
      </c>
      <c r="Q1341" s="364" t="s">
        <v>652</v>
      </c>
      <c r="R1341" s="364" t="s">
        <v>88</v>
      </c>
      <c r="S1341" s="364" t="s">
        <v>88</v>
      </c>
      <c r="T1341" s="364" t="s">
        <v>88</v>
      </c>
      <c r="U1341" s="364" t="s">
        <v>88</v>
      </c>
      <c r="V1341" s="364" t="s">
        <v>88</v>
      </c>
      <c r="W1341" s="364" t="s">
        <v>88</v>
      </c>
      <c r="X1341" s="364" t="s">
        <v>88</v>
      </c>
      <c r="Y1341" s="364" t="s">
        <v>88</v>
      </c>
      <c r="Z1341" s="364" t="s">
        <v>1157</v>
      </c>
      <c r="AA1341" s="364" t="s">
        <v>1156</v>
      </c>
      <c r="AB1341" s="364" t="s">
        <v>649</v>
      </c>
      <c r="AC1341" s="364" t="s">
        <v>88</v>
      </c>
      <c r="AD1341" s="364" t="s">
        <v>88</v>
      </c>
      <c r="AE1341" s="364" t="s">
        <v>88</v>
      </c>
      <c r="AF1341" s="364" t="s">
        <v>88</v>
      </c>
      <c r="AG1341" s="364" t="s">
        <v>88</v>
      </c>
      <c r="AH1341" s="364" t="s">
        <v>88</v>
      </c>
      <c r="AI1341" s="364" t="s">
        <v>1155</v>
      </c>
      <c r="AJ1341" s="364" t="s">
        <v>710</v>
      </c>
      <c r="AK1341" s="364" t="s">
        <v>88</v>
      </c>
      <c r="AL1341" s="364" t="s">
        <v>88</v>
      </c>
      <c r="AM1341" s="364" t="s">
        <v>668</v>
      </c>
      <c r="AN1341" s="364" t="s">
        <v>644</v>
      </c>
    </row>
    <row r="1342" spans="1:40" x14ac:dyDescent="0.3">
      <c r="A1342" s="364" t="s">
        <v>1285</v>
      </c>
      <c r="B1342" s="364" t="s">
        <v>661</v>
      </c>
      <c r="C1342" s="364" t="s">
        <v>796</v>
      </c>
      <c r="D1342" s="364" t="s">
        <v>90</v>
      </c>
      <c r="E1342" s="364" t="s">
        <v>1284</v>
      </c>
      <c r="F1342" s="364" t="s">
        <v>1284</v>
      </c>
      <c r="G1342" s="364" t="s">
        <v>658</v>
      </c>
      <c r="H1342" s="364" t="s">
        <v>1283</v>
      </c>
      <c r="I1342" s="364" t="s">
        <v>88</v>
      </c>
      <c r="J1342" s="364" t="s">
        <v>673</v>
      </c>
      <c r="K1342" s="364" t="s">
        <v>668</v>
      </c>
      <c r="L1342" s="364" t="s">
        <v>190</v>
      </c>
      <c r="M1342" s="364" t="s">
        <v>54</v>
      </c>
      <c r="N1342" s="364" t="s">
        <v>654</v>
      </c>
      <c r="O1342" s="364" t="s">
        <v>653</v>
      </c>
      <c r="P1342" s="364" t="s">
        <v>198</v>
      </c>
      <c r="Q1342" s="364" t="s">
        <v>652</v>
      </c>
      <c r="R1342" s="364" t="s">
        <v>88</v>
      </c>
      <c r="S1342" s="364" t="s">
        <v>88</v>
      </c>
      <c r="T1342" s="364" t="s">
        <v>88</v>
      </c>
      <c r="U1342" s="364" t="s">
        <v>88</v>
      </c>
      <c r="V1342" s="364" t="s">
        <v>88</v>
      </c>
      <c r="W1342" s="364" t="s">
        <v>88</v>
      </c>
      <c r="X1342" s="364" t="s">
        <v>88</v>
      </c>
      <c r="Y1342" s="364" t="s">
        <v>88</v>
      </c>
      <c r="Z1342" s="364" t="s">
        <v>1265</v>
      </c>
      <c r="AA1342" s="364" t="s">
        <v>649</v>
      </c>
      <c r="AB1342" s="364" t="s">
        <v>649</v>
      </c>
      <c r="AC1342" s="364" t="s">
        <v>88</v>
      </c>
      <c r="AD1342" s="364" t="s">
        <v>88</v>
      </c>
      <c r="AE1342" s="364" t="s">
        <v>88</v>
      </c>
      <c r="AF1342" s="364" t="s">
        <v>88</v>
      </c>
      <c r="AG1342" s="364" t="s">
        <v>88</v>
      </c>
      <c r="AH1342" s="364" t="s">
        <v>88</v>
      </c>
      <c r="AI1342" s="364" t="s">
        <v>1155</v>
      </c>
      <c r="AJ1342" s="364" t="s">
        <v>710</v>
      </c>
      <c r="AK1342" s="364" t="s">
        <v>88</v>
      </c>
      <c r="AL1342" s="364" t="s">
        <v>88</v>
      </c>
      <c r="AM1342" s="364" t="s">
        <v>668</v>
      </c>
      <c r="AN1342" s="364" t="s">
        <v>644</v>
      </c>
    </row>
    <row r="1343" spans="1:40" x14ac:dyDescent="0.3">
      <c r="A1343" s="364" t="s">
        <v>1285</v>
      </c>
      <c r="B1343" s="364" t="s">
        <v>661</v>
      </c>
      <c r="C1343" s="364" t="s">
        <v>796</v>
      </c>
      <c r="D1343" s="364" t="s">
        <v>90</v>
      </c>
      <c r="E1343" s="364" t="s">
        <v>1284</v>
      </c>
      <c r="F1343" s="364" t="s">
        <v>1284</v>
      </c>
      <c r="G1343" s="364" t="s">
        <v>658</v>
      </c>
      <c r="H1343" s="364" t="s">
        <v>1283</v>
      </c>
      <c r="I1343" s="364" t="s">
        <v>88</v>
      </c>
      <c r="J1343" s="364" t="s">
        <v>673</v>
      </c>
      <c r="K1343" s="364" t="s">
        <v>668</v>
      </c>
      <c r="L1343" s="364" t="s">
        <v>190</v>
      </c>
      <c r="M1343" s="364" t="s">
        <v>1168</v>
      </c>
      <c r="N1343" s="364" t="s">
        <v>654</v>
      </c>
      <c r="O1343" s="364" t="s">
        <v>653</v>
      </c>
      <c r="P1343" s="364" t="s">
        <v>198</v>
      </c>
      <c r="Q1343" s="364" t="s">
        <v>652</v>
      </c>
      <c r="R1343" s="364" t="s">
        <v>88</v>
      </c>
      <c r="S1343" s="364" t="s">
        <v>88</v>
      </c>
      <c r="T1343" s="364" t="s">
        <v>88</v>
      </c>
      <c r="U1343" s="364" t="s">
        <v>88</v>
      </c>
      <c r="V1343" s="364" t="s">
        <v>88</v>
      </c>
      <c r="W1343" s="364" t="s">
        <v>88</v>
      </c>
      <c r="X1343" s="364" t="s">
        <v>88</v>
      </c>
      <c r="Y1343" s="364" t="s">
        <v>88</v>
      </c>
      <c r="Z1343" s="364" t="s">
        <v>1167</v>
      </c>
      <c r="AA1343" s="364" t="s">
        <v>1166</v>
      </c>
      <c r="AB1343" s="364" t="s">
        <v>649</v>
      </c>
      <c r="AC1343" s="364" t="s">
        <v>88</v>
      </c>
      <c r="AD1343" s="364" t="s">
        <v>88</v>
      </c>
      <c r="AE1343" s="364" t="s">
        <v>88</v>
      </c>
      <c r="AF1343" s="364" t="s">
        <v>88</v>
      </c>
      <c r="AG1343" s="364" t="s">
        <v>88</v>
      </c>
      <c r="AH1343" s="364" t="s">
        <v>88</v>
      </c>
      <c r="AI1343" s="364" t="s">
        <v>1155</v>
      </c>
      <c r="AJ1343" s="364" t="s">
        <v>710</v>
      </c>
      <c r="AK1343" s="364" t="s">
        <v>88</v>
      </c>
      <c r="AL1343" s="364" t="s">
        <v>88</v>
      </c>
      <c r="AM1343" s="364" t="s">
        <v>668</v>
      </c>
      <c r="AN1343" s="364" t="s">
        <v>644</v>
      </c>
    </row>
    <row r="1344" spans="1:40" x14ac:dyDescent="0.3">
      <c r="A1344" s="364" t="s">
        <v>1285</v>
      </c>
      <c r="B1344" s="364" t="s">
        <v>661</v>
      </c>
      <c r="C1344" s="364" t="s">
        <v>796</v>
      </c>
      <c r="D1344" s="364" t="s">
        <v>90</v>
      </c>
      <c r="E1344" s="364" t="s">
        <v>1284</v>
      </c>
      <c r="F1344" s="364" t="s">
        <v>1284</v>
      </c>
      <c r="G1344" s="364" t="s">
        <v>658</v>
      </c>
      <c r="H1344" s="364" t="s">
        <v>1283</v>
      </c>
      <c r="I1344" s="364" t="s">
        <v>88</v>
      </c>
      <c r="J1344" s="364" t="s">
        <v>673</v>
      </c>
      <c r="K1344" s="364" t="s">
        <v>668</v>
      </c>
      <c r="L1344" s="364" t="s">
        <v>190</v>
      </c>
      <c r="M1344" s="364" t="s">
        <v>713</v>
      </c>
      <c r="N1344" s="364" t="s">
        <v>654</v>
      </c>
      <c r="O1344" s="364" t="s">
        <v>653</v>
      </c>
      <c r="P1344" s="364" t="s">
        <v>198</v>
      </c>
      <c r="Q1344" s="364" t="s">
        <v>652</v>
      </c>
      <c r="R1344" s="364" t="s">
        <v>88</v>
      </c>
      <c r="S1344" s="364" t="s">
        <v>88</v>
      </c>
      <c r="T1344" s="364" t="s">
        <v>88</v>
      </c>
      <c r="U1344" s="364" t="s">
        <v>88</v>
      </c>
      <c r="V1344" s="364" t="s">
        <v>88</v>
      </c>
      <c r="W1344" s="364" t="s">
        <v>88</v>
      </c>
      <c r="X1344" s="364" t="s">
        <v>88</v>
      </c>
      <c r="Y1344" s="364" t="s">
        <v>88</v>
      </c>
      <c r="Z1344" s="364" t="s">
        <v>712</v>
      </c>
      <c r="AA1344" s="364" t="s">
        <v>711</v>
      </c>
      <c r="AB1344" s="364" t="s">
        <v>649</v>
      </c>
      <c r="AC1344" s="364" t="s">
        <v>88</v>
      </c>
      <c r="AD1344" s="364" t="s">
        <v>88</v>
      </c>
      <c r="AE1344" s="364" t="s">
        <v>88</v>
      </c>
      <c r="AF1344" s="364" t="s">
        <v>88</v>
      </c>
      <c r="AG1344" s="364" t="s">
        <v>88</v>
      </c>
      <c r="AH1344" s="364" t="s">
        <v>88</v>
      </c>
      <c r="AI1344" s="364" t="s">
        <v>1155</v>
      </c>
      <c r="AJ1344" s="364" t="s">
        <v>710</v>
      </c>
      <c r="AK1344" s="364" t="s">
        <v>88</v>
      </c>
      <c r="AL1344" s="364" t="s">
        <v>88</v>
      </c>
      <c r="AM1344" s="364" t="s">
        <v>668</v>
      </c>
      <c r="AN1344" s="364" t="s">
        <v>644</v>
      </c>
    </row>
    <row r="1345" spans="1:40" x14ac:dyDescent="0.3">
      <c r="A1345" s="364" t="s">
        <v>1285</v>
      </c>
      <c r="B1345" s="364" t="s">
        <v>661</v>
      </c>
      <c r="C1345" s="364" t="s">
        <v>796</v>
      </c>
      <c r="D1345" s="364" t="s">
        <v>90</v>
      </c>
      <c r="E1345" s="364" t="s">
        <v>1284</v>
      </c>
      <c r="F1345" s="364" t="s">
        <v>1284</v>
      </c>
      <c r="G1345" s="364" t="s">
        <v>658</v>
      </c>
      <c r="H1345" s="364" t="s">
        <v>1283</v>
      </c>
      <c r="I1345" s="364" t="s">
        <v>88</v>
      </c>
      <c r="J1345" s="364" t="s">
        <v>673</v>
      </c>
      <c r="K1345" s="364" t="s">
        <v>668</v>
      </c>
      <c r="L1345" s="364" t="s">
        <v>190</v>
      </c>
      <c r="M1345" s="364" t="s">
        <v>56</v>
      </c>
      <c r="N1345" s="364" t="s">
        <v>654</v>
      </c>
      <c r="O1345" s="364" t="s">
        <v>653</v>
      </c>
      <c r="P1345" s="364" t="s">
        <v>198</v>
      </c>
      <c r="Q1345" s="364" t="s">
        <v>652</v>
      </c>
      <c r="R1345" s="364" t="s">
        <v>88</v>
      </c>
      <c r="S1345" s="364" t="s">
        <v>88</v>
      </c>
      <c r="T1345" s="364" t="s">
        <v>88</v>
      </c>
      <c r="U1345" s="364" t="s">
        <v>88</v>
      </c>
      <c r="V1345" s="364" t="s">
        <v>88</v>
      </c>
      <c r="W1345" s="364" t="s">
        <v>88</v>
      </c>
      <c r="X1345" s="364" t="s">
        <v>88</v>
      </c>
      <c r="Y1345" s="364" t="s">
        <v>88</v>
      </c>
      <c r="Z1345" s="364" t="s">
        <v>1165</v>
      </c>
      <c r="AA1345" s="364" t="s">
        <v>1164</v>
      </c>
      <c r="AB1345" s="364" t="s">
        <v>649</v>
      </c>
      <c r="AC1345" s="364" t="s">
        <v>88</v>
      </c>
      <c r="AD1345" s="364" t="s">
        <v>88</v>
      </c>
      <c r="AE1345" s="364" t="s">
        <v>88</v>
      </c>
      <c r="AF1345" s="364" t="s">
        <v>88</v>
      </c>
      <c r="AG1345" s="364" t="s">
        <v>88</v>
      </c>
      <c r="AH1345" s="364" t="s">
        <v>88</v>
      </c>
      <c r="AI1345" s="364" t="s">
        <v>1155</v>
      </c>
      <c r="AJ1345" s="364" t="s">
        <v>710</v>
      </c>
      <c r="AK1345" s="364" t="s">
        <v>88</v>
      </c>
      <c r="AL1345" s="364" t="s">
        <v>88</v>
      </c>
      <c r="AM1345" s="364" t="s">
        <v>668</v>
      </c>
      <c r="AN1345" s="364" t="s">
        <v>644</v>
      </c>
    </row>
    <row r="1346" spans="1:40" x14ac:dyDescent="0.3">
      <c r="A1346" s="364" t="s">
        <v>1285</v>
      </c>
      <c r="B1346" s="364" t="s">
        <v>661</v>
      </c>
      <c r="C1346" s="364" t="s">
        <v>796</v>
      </c>
      <c r="D1346" s="364" t="s">
        <v>90</v>
      </c>
      <c r="E1346" s="364" t="s">
        <v>1284</v>
      </c>
      <c r="F1346" s="364" t="s">
        <v>1284</v>
      </c>
      <c r="G1346" s="364" t="s">
        <v>658</v>
      </c>
      <c r="H1346" s="364" t="s">
        <v>1283</v>
      </c>
      <c r="I1346" s="364" t="s">
        <v>88</v>
      </c>
      <c r="J1346" s="364" t="s">
        <v>673</v>
      </c>
      <c r="K1346" s="364" t="s">
        <v>668</v>
      </c>
      <c r="L1346" s="364" t="s">
        <v>190</v>
      </c>
      <c r="M1346" s="364" t="s">
        <v>241</v>
      </c>
      <c r="N1346" s="364" t="s">
        <v>654</v>
      </c>
      <c r="O1346" s="364" t="s">
        <v>653</v>
      </c>
      <c r="P1346" s="364" t="s">
        <v>198</v>
      </c>
      <c r="Q1346" s="364" t="s">
        <v>652</v>
      </c>
      <c r="R1346" s="364" t="s">
        <v>88</v>
      </c>
      <c r="S1346" s="364" t="s">
        <v>88</v>
      </c>
      <c r="T1346" s="364" t="s">
        <v>88</v>
      </c>
      <c r="U1346" s="364" t="s">
        <v>88</v>
      </c>
      <c r="V1346" s="364" t="s">
        <v>88</v>
      </c>
      <c r="W1346" s="364" t="s">
        <v>88</v>
      </c>
      <c r="X1346" s="364" t="s">
        <v>88</v>
      </c>
      <c r="Y1346" s="364" t="s">
        <v>88</v>
      </c>
      <c r="Z1346" s="364" t="s">
        <v>1170</v>
      </c>
      <c r="AA1346" s="364" t="s">
        <v>1169</v>
      </c>
      <c r="AB1346" s="364" t="s">
        <v>649</v>
      </c>
      <c r="AC1346" s="364" t="s">
        <v>88</v>
      </c>
      <c r="AD1346" s="364" t="s">
        <v>88</v>
      </c>
      <c r="AE1346" s="364" t="s">
        <v>88</v>
      </c>
      <c r="AF1346" s="364" t="s">
        <v>88</v>
      </c>
      <c r="AG1346" s="364" t="s">
        <v>88</v>
      </c>
      <c r="AH1346" s="364" t="s">
        <v>88</v>
      </c>
      <c r="AI1346" s="364" t="s">
        <v>1155</v>
      </c>
      <c r="AJ1346" s="364" t="s">
        <v>710</v>
      </c>
      <c r="AK1346" s="364" t="s">
        <v>88</v>
      </c>
      <c r="AL1346" s="364" t="s">
        <v>88</v>
      </c>
      <c r="AM1346" s="364" t="s">
        <v>668</v>
      </c>
      <c r="AN1346" s="364" t="s">
        <v>644</v>
      </c>
    </row>
    <row r="1347" spans="1:40" x14ac:dyDescent="0.3">
      <c r="A1347" s="364" t="s">
        <v>1285</v>
      </c>
      <c r="B1347" s="364" t="s">
        <v>661</v>
      </c>
      <c r="C1347" s="364" t="s">
        <v>796</v>
      </c>
      <c r="D1347" s="364" t="s">
        <v>90</v>
      </c>
      <c r="E1347" s="364" t="s">
        <v>1284</v>
      </c>
      <c r="F1347" s="364" t="s">
        <v>1284</v>
      </c>
      <c r="G1347" s="364" t="s">
        <v>658</v>
      </c>
      <c r="H1347" s="364" t="s">
        <v>1283</v>
      </c>
      <c r="I1347" s="364" t="s">
        <v>88</v>
      </c>
      <c r="J1347" s="364" t="s">
        <v>673</v>
      </c>
      <c r="K1347" s="364" t="s">
        <v>668</v>
      </c>
      <c r="L1347" s="364" t="s">
        <v>190</v>
      </c>
      <c r="M1347" s="364" t="s">
        <v>240</v>
      </c>
      <c r="N1347" s="364" t="s">
        <v>654</v>
      </c>
      <c r="O1347" s="364" t="s">
        <v>653</v>
      </c>
      <c r="P1347" s="364" t="s">
        <v>198</v>
      </c>
      <c r="Q1347" s="364" t="s">
        <v>652</v>
      </c>
      <c r="R1347" s="364" t="s">
        <v>88</v>
      </c>
      <c r="S1347" s="364" t="s">
        <v>88</v>
      </c>
      <c r="T1347" s="364" t="s">
        <v>88</v>
      </c>
      <c r="U1347" s="364" t="s">
        <v>88</v>
      </c>
      <c r="V1347" s="364" t="s">
        <v>88</v>
      </c>
      <c r="W1347" s="364" t="s">
        <v>88</v>
      </c>
      <c r="X1347" s="364" t="s">
        <v>88</v>
      </c>
      <c r="Y1347" s="364" t="s">
        <v>88</v>
      </c>
      <c r="Z1347" s="364" t="s">
        <v>1163</v>
      </c>
      <c r="AA1347" s="364" t="s">
        <v>1162</v>
      </c>
      <c r="AB1347" s="364" t="s">
        <v>649</v>
      </c>
      <c r="AC1347" s="364" t="s">
        <v>88</v>
      </c>
      <c r="AD1347" s="364" t="s">
        <v>88</v>
      </c>
      <c r="AE1347" s="364" t="s">
        <v>88</v>
      </c>
      <c r="AF1347" s="364" t="s">
        <v>88</v>
      </c>
      <c r="AG1347" s="364" t="s">
        <v>88</v>
      </c>
      <c r="AH1347" s="364" t="s">
        <v>88</v>
      </c>
      <c r="AI1347" s="364" t="s">
        <v>1155</v>
      </c>
      <c r="AJ1347" s="364" t="s">
        <v>710</v>
      </c>
      <c r="AK1347" s="364" t="s">
        <v>88</v>
      </c>
      <c r="AL1347" s="364" t="s">
        <v>88</v>
      </c>
      <c r="AM1347" s="364" t="s">
        <v>668</v>
      </c>
      <c r="AN1347" s="364" t="s">
        <v>644</v>
      </c>
    </row>
    <row r="1348" spans="1:40" x14ac:dyDescent="0.3">
      <c r="A1348" s="364" t="s">
        <v>1285</v>
      </c>
      <c r="B1348" s="364" t="s">
        <v>661</v>
      </c>
      <c r="C1348" s="364" t="s">
        <v>796</v>
      </c>
      <c r="D1348" s="364" t="s">
        <v>90</v>
      </c>
      <c r="E1348" s="364" t="s">
        <v>1284</v>
      </c>
      <c r="F1348" s="364" t="s">
        <v>1284</v>
      </c>
      <c r="G1348" s="364" t="s">
        <v>658</v>
      </c>
      <c r="H1348" s="364" t="s">
        <v>1283</v>
      </c>
      <c r="I1348" s="364" t="s">
        <v>88</v>
      </c>
      <c r="J1348" s="364" t="s">
        <v>673</v>
      </c>
      <c r="K1348" s="364" t="s">
        <v>668</v>
      </c>
      <c r="L1348" s="364" t="s">
        <v>190</v>
      </c>
      <c r="M1348" s="364" t="s">
        <v>417</v>
      </c>
      <c r="N1348" s="364" t="s">
        <v>654</v>
      </c>
      <c r="O1348" s="364" t="s">
        <v>653</v>
      </c>
      <c r="P1348" s="364" t="s">
        <v>198</v>
      </c>
      <c r="Q1348" s="364" t="s">
        <v>652</v>
      </c>
      <c r="R1348" s="364" t="s">
        <v>88</v>
      </c>
      <c r="S1348" s="364" t="s">
        <v>88</v>
      </c>
      <c r="T1348" s="364" t="s">
        <v>88</v>
      </c>
      <c r="U1348" s="364" t="s">
        <v>88</v>
      </c>
      <c r="V1348" s="364" t="s">
        <v>88</v>
      </c>
      <c r="W1348" s="364" t="s">
        <v>88</v>
      </c>
      <c r="X1348" s="364" t="s">
        <v>88</v>
      </c>
      <c r="Y1348" s="364" t="s">
        <v>88</v>
      </c>
      <c r="Z1348" s="364" t="s">
        <v>1261</v>
      </c>
      <c r="AA1348" s="364" t="s">
        <v>649</v>
      </c>
      <c r="AB1348" s="364" t="s">
        <v>649</v>
      </c>
      <c r="AC1348" s="364" t="s">
        <v>88</v>
      </c>
      <c r="AD1348" s="364" t="s">
        <v>88</v>
      </c>
      <c r="AE1348" s="364" t="s">
        <v>88</v>
      </c>
      <c r="AF1348" s="364" t="s">
        <v>88</v>
      </c>
      <c r="AG1348" s="364" t="s">
        <v>88</v>
      </c>
      <c r="AH1348" s="364" t="s">
        <v>88</v>
      </c>
      <c r="AI1348" s="364" t="s">
        <v>1155</v>
      </c>
      <c r="AJ1348" s="364" t="s">
        <v>710</v>
      </c>
      <c r="AK1348" s="364" t="s">
        <v>88</v>
      </c>
      <c r="AL1348" s="364" t="s">
        <v>88</v>
      </c>
      <c r="AM1348" s="364" t="s">
        <v>668</v>
      </c>
      <c r="AN1348" s="364" t="s">
        <v>644</v>
      </c>
    </row>
    <row r="1349" spans="1:40" x14ac:dyDescent="0.3">
      <c r="A1349" s="364" t="s">
        <v>1282</v>
      </c>
      <c r="B1349" s="364" t="s">
        <v>661</v>
      </c>
      <c r="C1349" s="364" t="s">
        <v>796</v>
      </c>
      <c r="D1349" s="364" t="s">
        <v>90</v>
      </c>
      <c r="E1349" s="364" t="s">
        <v>1281</v>
      </c>
      <c r="F1349" s="364" t="s">
        <v>1281</v>
      </c>
      <c r="G1349" s="364" t="s">
        <v>658</v>
      </c>
      <c r="H1349" s="364" t="s">
        <v>1280</v>
      </c>
      <c r="I1349" s="364" t="s">
        <v>88</v>
      </c>
      <c r="J1349" s="364" t="s">
        <v>673</v>
      </c>
      <c r="K1349" s="364" t="s">
        <v>668</v>
      </c>
      <c r="L1349" s="364" t="s">
        <v>190</v>
      </c>
      <c r="M1349" s="364" t="s">
        <v>1168</v>
      </c>
      <c r="N1349" s="364" t="s">
        <v>654</v>
      </c>
      <c r="O1349" s="364" t="s">
        <v>653</v>
      </c>
      <c r="P1349" s="364" t="s">
        <v>198</v>
      </c>
      <c r="Q1349" s="364" t="s">
        <v>652</v>
      </c>
      <c r="R1349" s="364" t="s">
        <v>88</v>
      </c>
      <c r="S1349" s="364" t="s">
        <v>88</v>
      </c>
      <c r="T1349" s="364" t="s">
        <v>88</v>
      </c>
      <c r="U1349" s="364" t="s">
        <v>88</v>
      </c>
      <c r="V1349" s="364" t="s">
        <v>88</v>
      </c>
      <c r="W1349" s="364" t="s">
        <v>88</v>
      </c>
      <c r="X1349" s="364" t="s">
        <v>88</v>
      </c>
      <c r="Y1349" s="364" t="s">
        <v>88</v>
      </c>
      <c r="Z1349" s="364" t="s">
        <v>1167</v>
      </c>
      <c r="AA1349" s="364" t="s">
        <v>1166</v>
      </c>
      <c r="AB1349" s="364" t="s">
        <v>649</v>
      </c>
      <c r="AC1349" s="364" t="s">
        <v>88</v>
      </c>
      <c r="AD1349" s="364" t="s">
        <v>88</v>
      </c>
      <c r="AE1349" s="364" t="s">
        <v>88</v>
      </c>
      <c r="AF1349" s="364" t="s">
        <v>88</v>
      </c>
      <c r="AG1349" s="364" t="s">
        <v>88</v>
      </c>
      <c r="AH1349" s="364" t="s">
        <v>88</v>
      </c>
      <c r="AI1349" s="364" t="s">
        <v>1155</v>
      </c>
      <c r="AJ1349" s="364" t="s">
        <v>710</v>
      </c>
      <c r="AK1349" s="364" t="s">
        <v>88</v>
      </c>
      <c r="AL1349" s="364" t="s">
        <v>88</v>
      </c>
      <c r="AM1349" s="364" t="s">
        <v>668</v>
      </c>
      <c r="AN1349" s="364" t="s">
        <v>644</v>
      </c>
    </row>
    <row r="1350" spans="1:40" x14ac:dyDescent="0.3">
      <c r="A1350" s="364" t="s">
        <v>1282</v>
      </c>
      <c r="B1350" s="364" t="s">
        <v>661</v>
      </c>
      <c r="C1350" s="364" t="s">
        <v>796</v>
      </c>
      <c r="D1350" s="364" t="s">
        <v>90</v>
      </c>
      <c r="E1350" s="364" t="s">
        <v>1281</v>
      </c>
      <c r="F1350" s="364" t="s">
        <v>1281</v>
      </c>
      <c r="G1350" s="364" t="s">
        <v>658</v>
      </c>
      <c r="H1350" s="364" t="s">
        <v>1280</v>
      </c>
      <c r="I1350" s="364" t="s">
        <v>88</v>
      </c>
      <c r="J1350" s="364" t="s">
        <v>673</v>
      </c>
      <c r="K1350" s="364" t="s">
        <v>668</v>
      </c>
      <c r="L1350" s="364" t="s">
        <v>190</v>
      </c>
      <c r="M1350" s="364" t="s">
        <v>713</v>
      </c>
      <c r="N1350" s="364" t="s">
        <v>654</v>
      </c>
      <c r="O1350" s="364" t="s">
        <v>653</v>
      </c>
      <c r="P1350" s="364" t="s">
        <v>198</v>
      </c>
      <c r="Q1350" s="364" t="s">
        <v>652</v>
      </c>
      <c r="R1350" s="364" t="s">
        <v>88</v>
      </c>
      <c r="S1350" s="364" t="s">
        <v>88</v>
      </c>
      <c r="T1350" s="364" t="s">
        <v>88</v>
      </c>
      <c r="U1350" s="364" t="s">
        <v>88</v>
      </c>
      <c r="V1350" s="364" t="s">
        <v>88</v>
      </c>
      <c r="W1350" s="364" t="s">
        <v>88</v>
      </c>
      <c r="X1350" s="364" t="s">
        <v>88</v>
      </c>
      <c r="Y1350" s="364" t="s">
        <v>88</v>
      </c>
      <c r="Z1350" s="364" t="s">
        <v>712</v>
      </c>
      <c r="AA1350" s="364" t="s">
        <v>711</v>
      </c>
      <c r="AB1350" s="364" t="s">
        <v>649</v>
      </c>
      <c r="AC1350" s="364" t="s">
        <v>88</v>
      </c>
      <c r="AD1350" s="364" t="s">
        <v>88</v>
      </c>
      <c r="AE1350" s="364" t="s">
        <v>88</v>
      </c>
      <c r="AF1350" s="364" t="s">
        <v>88</v>
      </c>
      <c r="AG1350" s="364" t="s">
        <v>88</v>
      </c>
      <c r="AH1350" s="364" t="s">
        <v>88</v>
      </c>
      <c r="AI1350" s="364" t="s">
        <v>1155</v>
      </c>
      <c r="AJ1350" s="364" t="s">
        <v>710</v>
      </c>
      <c r="AK1350" s="364" t="s">
        <v>88</v>
      </c>
      <c r="AL1350" s="364" t="s">
        <v>88</v>
      </c>
      <c r="AM1350" s="364" t="s">
        <v>668</v>
      </c>
      <c r="AN1350" s="364" t="s">
        <v>644</v>
      </c>
    </row>
    <row r="1351" spans="1:40" x14ac:dyDescent="0.3">
      <c r="A1351" s="364" t="s">
        <v>1282</v>
      </c>
      <c r="B1351" s="364" t="s">
        <v>661</v>
      </c>
      <c r="C1351" s="364" t="s">
        <v>796</v>
      </c>
      <c r="D1351" s="364" t="s">
        <v>90</v>
      </c>
      <c r="E1351" s="364" t="s">
        <v>1281</v>
      </c>
      <c r="F1351" s="364" t="s">
        <v>1281</v>
      </c>
      <c r="G1351" s="364" t="s">
        <v>658</v>
      </c>
      <c r="H1351" s="364" t="s">
        <v>1280</v>
      </c>
      <c r="I1351" s="364" t="s">
        <v>88</v>
      </c>
      <c r="J1351" s="364" t="s">
        <v>673</v>
      </c>
      <c r="K1351" s="364" t="s">
        <v>668</v>
      </c>
      <c r="L1351" s="364" t="s">
        <v>190</v>
      </c>
      <c r="M1351" s="364" t="s">
        <v>56</v>
      </c>
      <c r="N1351" s="364" t="s">
        <v>654</v>
      </c>
      <c r="O1351" s="364" t="s">
        <v>653</v>
      </c>
      <c r="P1351" s="364" t="s">
        <v>198</v>
      </c>
      <c r="Q1351" s="364" t="s">
        <v>652</v>
      </c>
      <c r="R1351" s="364" t="s">
        <v>88</v>
      </c>
      <c r="S1351" s="364" t="s">
        <v>88</v>
      </c>
      <c r="T1351" s="364" t="s">
        <v>88</v>
      </c>
      <c r="U1351" s="364" t="s">
        <v>88</v>
      </c>
      <c r="V1351" s="364" t="s">
        <v>88</v>
      </c>
      <c r="W1351" s="364" t="s">
        <v>88</v>
      </c>
      <c r="X1351" s="364" t="s">
        <v>88</v>
      </c>
      <c r="Y1351" s="364" t="s">
        <v>88</v>
      </c>
      <c r="Z1351" s="364" t="s">
        <v>1165</v>
      </c>
      <c r="AA1351" s="364" t="s">
        <v>1164</v>
      </c>
      <c r="AB1351" s="364" t="s">
        <v>649</v>
      </c>
      <c r="AC1351" s="364" t="s">
        <v>88</v>
      </c>
      <c r="AD1351" s="364" t="s">
        <v>88</v>
      </c>
      <c r="AE1351" s="364" t="s">
        <v>88</v>
      </c>
      <c r="AF1351" s="364" t="s">
        <v>88</v>
      </c>
      <c r="AG1351" s="364" t="s">
        <v>88</v>
      </c>
      <c r="AH1351" s="364" t="s">
        <v>88</v>
      </c>
      <c r="AI1351" s="364" t="s">
        <v>1155</v>
      </c>
      <c r="AJ1351" s="364" t="s">
        <v>710</v>
      </c>
      <c r="AK1351" s="364" t="s">
        <v>88</v>
      </c>
      <c r="AL1351" s="364" t="s">
        <v>88</v>
      </c>
      <c r="AM1351" s="364" t="s">
        <v>668</v>
      </c>
      <c r="AN1351" s="364" t="s">
        <v>644</v>
      </c>
    </row>
    <row r="1352" spans="1:40" x14ac:dyDescent="0.3">
      <c r="A1352" s="364" t="s">
        <v>1282</v>
      </c>
      <c r="B1352" s="364" t="s">
        <v>661</v>
      </c>
      <c r="C1352" s="364" t="s">
        <v>796</v>
      </c>
      <c r="D1352" s="364" t="s">
        <v>90</v>
      </c>
      <c r="E1352" s="364" t="s">
        <v>1281</v>
      </c>
      <c r="F1352" s="364" t="s">
        <v>1281</v>
      </c>
      <c r="G1352" s="364" t="s">
        <v>658</v>
      </c>
      <c r="H1352" s="364" t="s">
        <v>1280</v>
      </c>
      <c r="I1352" s="364" t="s">
        <v>88</v>
      </c>
      <c r="J1352" s="364" t="s">
        <v>673</v>
      </c>
      <c r="K1352" s="364" t="s">
        <v>668</v>
      </c>
      <c r="L1352" s="364" t="s">
        <v>190</v>
      </c>
      <c r="M1352" s="364" t="s">
        <v>241</v>
      </c>
      <c r="N1352" s="364" t="s">
        <v>654</v>
      </c>
      <c r="O1352" s="364" t="s">
        <v>653</v>
      </c>
      <c r="P1352" s="364" t="s">
        <v>198</v>
      </c>
      <c r="Q1352" s="364" t="s">
        <v>652</v>
      </c>
      <c r="R1352" s="364" t="s">
        <v>88</v>
      </c>
      <c r="S1352" s="364" t="s">
        <v>88</v>
      </c>
      <c r="T1352" s="364" t="s">
        <v>88</v>
      </c>
      <c r="U1352" s="364" t="s">
        <v>88</v>
      </c>
      <c r="V1352" s="364" t="s">
        <v>88</v>
      </c>
      <c r="W1352" s="364" t="s">
        <v>88</v>
      </c>
      <c r="X1352" s="364" t="s">
        <v>88</v>
      </c>
      <c r="Y1352" s="364" t="s">
        <v>88</v>
      </c>
      <c r="Z1352" s="364" t="s">
        <v>1170</v>
      </c>
      <c r="AA1352" s="364" t="s">
        <v>1169</v>
      </c>
      <c r="AB1352" s="364" t="s">
        <v>649</v>
      </c>
      <c r="AC1352" s="364" t="s">
        <v>88</v>
      </c>
      <c r="AD1352" s="364" t="s">
        <v>88</v>
      </c>
      <c r="AE1352" s="364" t="s">
        <v>88</v>
      </c>
      <c r="AF1352" s="364" t="s">
        <v>88</v>
      </c>
      <c r="AG1352" s="364" t="s">
        <v>88</v>
      </c>
      <c r="AH1352" s="364" t="s">
        <v>88</v>
      </c>
      <c r="AI1352" s="364" t="s">
        <v>1155</v>
      </c>
      <c r="AJ1352" s="364" t="s">
        <v>710</v>
      </c>
      <c r="AK1352" s="364" t="s">
        <v>88</v>
      </c>
      <c r="AL1352" s="364" t="s">
        <v>88</v>
      </c>
      <c r="AM1352" s="364" t="s">
        <v>668</v>
      </c>
      <c r="AN1352" s="364" t="s">
        <v>644</v>
      </c>
    </row>
    <row r="1353" spans="1:40" x14ac:dyDescent="0.3">
      <c r="A1353" s="364" t="s">
        <v>1282</v>
      </c>
      <c r="B1353" s="364" t="s">
        <v>661</v>
      </c>
      <c r="C1353" s="364" t="s">
        <v>796</v>
      </c>
      <c r="D1353" s="364" t="s">
        <v>90</v>
      </c>
      <c r="E1353" s="364" t="s">
        <v>1281</v>
      </c>
      <c r="F1353" s="364" t="s">
        <v>1281</v>
      </c>
      <c r="G1353" s="364" t="s">
        <v>658</v>
      </c>
      <c r="H1353" s="364" t="s">
        <v>1280</v>
      </c>
      <c r="I1353" s="364" t="s">
        <v>88</v>
      </c>
      <c r="J1353" s="364" t="s">
        <v>673</v>
      </c>
      <c r="K1353" s="364" t="s">
        <v>668</v>
      </c>
      <c r="L1353" s="364" t="s">
        <v>190</v>
      </c>
      <c r="M1353" s="364" t="s">
        <v>240</v>
      </c>
      <c r="N1353" s="364" t="s">
        <v>654</v>
      </c>
      <c r="O1353" s="364" t="s">
        <v>653</v>
      </c>
      <c r="P1353" s="364" t="s">
        <v>198</v>
      </c>
      <c r="Q1353" s="364" t="s">
        <v>652</v>
      </c>
      <c r="R1353" s="364" t="s">
        <v>88</v>
      </c>
      <c r="S1353" s="364" t="s">
        <v>88</v>
      </c>
      <c r="T1353" s="364" t="s">
        <v>88</v>
      </c>
      <c r="U1353" s="364" t="s">
        <v>88</v>
      </c>
      <c r="V1353" s="364" t="s">
        <v>88</v>
      </c>
      <c r="W1353" s="364" t="s">
        <v>88</v>
      </c>
      <c r="X1353" s="364" t="s">
        <v>88</v>
      </c>
      <c r="Y1353" s="364" t="s">
        <v>88</v>
      </c>
      <c r="Z1353" s="364" t="s">
        <v>1163</v>
      </c>
      <c r="AA1353" s="364" t="s">
        <v>1162</v>
      </c>
      <c r="AB1353" s="364" t="s">
        <v>649</v>
      </c>
      <c r="AC1353" s="364" t="s">
        <v>88</v>
      </c>
      <c r="AD1353" s="364" t="s">
        <v>88</v>
      </c>
      <c r="AE1353" s="364" t="s">
        <v>88</v>
      </c>
      <c r="AF1353" s="364" t="s">
        <v>88</v>
      </c>
      <c r="AG1353" s="364" t="s">
        <v>88</v>
      </c>
      <c r="AH1353" s="364" t="s">
        <v>88</v>
      </c>
      <c r="AI1353" s="364" t="s">
        <v>1155</v>
      </c>
      <c r="AJ1353" s="364" t="s">
        <v>710</v>
      </c>
      <c r="AK1353" s="364" t="s">
        <v>88</v>
      </c>
      <c r="AL1353" s="364" t="s">
        <v>88</v>
      </c>
      <c r="AM1353" s="364" t="s">
        <v>668</v>
      </c>
      <c r="AN1353" s="364" t="s">
        <v>644</v>
      </c>
    </row>
    <row r="1354" spans="1:40" x14ac:dyDescent="0.3">
      <c r="A1354" s="364" t="s">
        <v>1282</v>
      </c>
      <c r="B1354" s="364" t="s">
        <v>661</v>
      </c>
      <c r="C1354" s="364" t="s">
        <v>796</v>
      </c>
      <c r="D1354" s="364" t="s">
        <v>90</v>
      </c>
      <c r="E1354" s="364" t="s">
        <v>1281</v>
      </c>
      <c r="F1354" s="364" t="s">
        <v>1281</v>
      </c>
      <c r="G1354" s="364" t="s">
        <v>658</v>
      </c>
      <c r="H1354" s="364" t="s">
        <v>1280</v>
      </c>
      <c r="I1354" s="364" t="s">
        <v>88</v>
      </c>
      <c r="J1354" s="364" t="s">
        <v>673</v>
      </c>
      <c r="K1354" s="364" t="s">
        <v>668</v>
      </c>
      <c r="L1354" s="364" t="s">
        <v>190</v>
      </c>
      <c r="M1354" s="364" t="s">
        <v>417</v>
      </c>
      <c r="N1354" s="364" t="s">
        <v>654</v>
      </c>
      <c r="O1354" s="364" t="s">
        <v>653</v>
      </c>
      <c r="P1354" s="364" t="s">
        <v>198</v>
      </c>
      <c r="Q1354" s="364" t="s">
        <v>652</v>
      </c>
      <c r="R1354" s="364" t="s">
        <v>88</v>
      </c>
      <c r="S1354" s="364" t="s">
        <v>88</v>
      </c>
      <c r="T1354" s="364" t="s">
        <v>88</v>
      </c>
      <c r="U1354" s="364" t="s">
        <v>88</v>
      </c>
      <c r="V1354" s="364" t="s">
        <v>88</v>
      </c>
      <c r="W1354" s="364" t="s">
        <v>88</v>
      </c>
      <c r="X1354" s="364" t="s">
        <v>88</v>
      </c>
      <c r="Y1354" s="364" t="s">
        <v>88</v>
      </c>
      <c r="Z1354" s="364" t="s">
        <v>1261</v>
      </c>
      <c r="AA1354" s="364" t="s">
        <v>649</v>
      </c>
      <c r="AB1354" s="364" t="s">
        <v>649</v>
      </c>
      <c r="AC1354" s="364" t="s">
        <v>88</v>
      </c>
      <c r="AD1354" s="364" t="s">
        <v>88</v>
      </c>
      <c r="AE1354" s="364" t="s">
        <v>88</v>
      </c>
      <c r="AF1354" s="364" t="s">
        <v>88</v>
      </c>
      <c r="AG1354" s="364" t="s">
        <v>88</v>
      </c>
      <c r="AH1354" s="364" t="s">
        <v>88</v>
      </c>
      <c r="AI1354" s="364" t="s">
        <v>1155</v>
      </c>
      <c r="AJ1354" s="364" t="s">
        <v>710</v>
      </c>
      <c r="AK1354" s="364" t="s">
        <v>88</v>
      </c>
      <c r="AL1354" s="364" t="s">
        <v>88</v>
      </c>
      <c r="AM1354" s="364" t="s">
        <v>668</v>
      </c>
      <c r="AN1354" s="364" t="s">
        <v>644</v>
      </c>
    </row>
    <row r="1355" spans="1:40" x14ac:dyDescent="0.3">
      <c r="A1355" s="364" t="s">
        <v>1282</v>
      </c>
      <c r="B1355" s="364" t="s">
        <v>661</v>
      </c>
      <c r="C1355" s="364" t="s">
        <v>796</v>
      </c>
      <c r="D1355" s="364" t="s">
        <v>90</v>
      </c>
      <c r="E1355" s="364" t="s">
        <v>1281</v>
      </c>
      <c r="F1355" s="364" t="s">
        <v>1281</v>
      </c>
      <c r="G1355" s="364" t="s">
        <v>658</v>
      </c>
      <c r="H1355" s="364" t="s">
        <v>1280</v>
      </c>
      <c r="I1355" s="364" t="s">
        <v>88</v>
      </c>
      <c r="J1355" s="364" t="s">
        <v>673</v>
      </c>
      <c r="K1355" s="364" t="s">
        <v>668</v>
      </c>
      <c r="L1355" s="364" t="s">
        <v>190</v>
      </c>
      <c r="M1355" s="364" t="s">
        <v>61</v>
      </c>
      <c r="N1355" s="364" t="s">
        <v>654</v>
      </c>
      <c r="O1355" s="364" t="s">
        <v>653</v>
      </c>
      <c r="P1355" s="364" t="s">
        <v>198</v>
      </c>
      <c r="Q1355" s="364" t="s">
        <v>652</v>
      </c>
      <c r="R1355" s="364" t="s">
        <v>88</v>
      </c>
      <c r="S1355" s="364" t="s">
        <v>88</v>
      </c>
      <c r="T1355" s="364" t="s">
        <v>88</v>
      </c>
      <c r="U1355" s="364" t="s">
        <v>88</v>
      </c>
      <c r="V1355" s="364" t="s">
        <v>88</v>
      </c>
      <c r="W1355" s="364" t="s">
        <v>88</v>
      </c>
      <c r="X1355" s="364" t="s">
        <v>88</v>
      </c>
      <c r="Y1355" s="364" t="s">
        <v>88</v>
      </c>
      <c r="Z1355" s="364" t="s">
        <v>1021</v>
      </c>
      <c r="AA1355" s="364" t="s">
        <v>671</v>
      </c>
      <c r="AB1355" s="364" t="s">
        <v>649</v>
      </c>
      <c r="AC1355" s="364" t="s">
        <v>88</v>
      </c>
      <c r="AD1355" s="364" t="s">
        <v>88</v>
      </c>
      <c r="AE1355" s="364" t="s">
        <v>88</v>
      </c>
      <c r="AF1355" s="364" t="s">
        <v>88</v>
      </c>
      <c r="AG1355" s="364" t="s">
        <v>88</v>
      </c>
      <c r="AH1355" s="364" t="s">
        <v>88</v>
      </c>
      <c r="AI1355" s="364" t="s">
        <v>1155</v>
      </c>
      <c r="AJ1355" s="364" t="s">
        <v>710</v>
      </c>
      <c r="AK1355" s="364" t="s">
        <v>88</v>
      </c>
      <c r="AL1355" s="364" t="s">
        <v>88</v>
      </c>
      <c r="AM1355" s="364" t="s">
        <v>668</v>
      </c>
      <c r="AN1355" s="364" t="s">
        <v>644</v>
      </c>
    </row>
    <row r="1356" spans="1:40" x14ac:dyDescent="0.3">
      <c r="A1356" s="364" t="s">
        <v>1282</v>
      </c>
      <c r="B1356" s="364" t="s">
        <v>661</v>
      </c>
      <c r="C1356" s="364" t="s">
        <v>796</v>
      </c>
      <c r="D1356" s="364" t="s">
        <v>90</v>
      </c>
      <c r="E1356" s="364" t="s">
        <v>1281</v>
      </c>
      <c r="F1356" s="364" t="s">
        <v>1281</v>
      </c>
      <c r="G1356" s="364" t="s">
        <v>658</v>
      </c>
      <c r="H1356" s="364" t="s">
        <v>1280</v>
      </c>
      <c r="I1356" s="364" t="s">
        <v>88</v>
      </c>
      <c r="J1356" s="364" t="s">
        <v>673</v>
      </c>
      <c r="K1356" s="364" t="s">
        <v>668</v>
      </c>
      <c r="L1356" s="364" t="s">
        <v>190</v>
      </c>
      <c r="M1356" s="364" t="s">
        <v>242</v>
      </c>
      <c r="N1356" s="364" t="s">
        <v>654</v>
      </c>
      <c r="O1356" s="364" t="s">
        <v>653</v>
      </c>
      <c r="P1356" s="364" t="s">
        <v>198</v>
      </c>
      <c r="Q1356" s="364" t="s">
        <v>652</v>
      </c>
      <c r="R1356" s="364" t="s">
        <v>88</v>
      </c>
      <c r="S1356" s="364" t="s">
        <v>88</v>
      </c>
      <c r="T1356" s="364" t="s">
        <v>88</v>
      </c>
      <c r="U1356" s="364" t="s">
        <v>88</v>
      </c>
      <c r="V1356" s="364" t="s">
        <v>88</v>
      </c>
      <c r="W1356" s="364" t="s">
        <v>88</v>
      </c>
      <c r="X1356" s="364" t="s">
        <v>88</v>
      </c>
      <c r="Y1356" s="364" t="s">
        <v>88</v>
      </c>
      <c r="Z1356" s="364" t="s">
        <v>1157</v>
      </c>
      <c r="AA1356" s="364" t="s">
        <v>1156</v>
      </c>
      <c r="AB1356" s="364" t="s">
        <v>649</v>
      </c>
      <c r="AC1356" s="364" t="s">
        <v>88</v>
      </c>
      <c r="AD1356" s="364" t="s">
        <v>88</v>
      </c>
      <c r="AE1356" s="364" t="s">
        <v>88</v>
      </c>
      <c r="AF1356" s="364" t="s">
        <v>88</v>
      </c>
      <c r="AG1356" s="364" t="s">
        <v>88</v>
      </c>
      <c r="AH1356" s="364" t="s">
        <v>88</v>
      </c>
      <c r="AI1356" s="364" t="s">
        <v>1155</v>
      </c>
      <c r="AJ1356" s="364" t="s">
        <v>710</v>
      </c>
      <c r="AK1356" s="364" t="s">
        <v>88</v>
      </c>
      <c r="AL1356" s="364" t="s">
        <v>88</v>
      </c>
      <c r="AM1356" s="364" t="s">
        <v>668</v>
      </c>
      <c r="AN1356" s="364" t="s">
        <v>644</v>
      </c>
    </row>
    <row r="1357" spans="1:40" x14ac:dyDescent="0.3">
      <c r="A1357" s="364" t="s">
        <v>1282</v>
      </c>
      <c r="B1357" s="364" t="s">
        <v>661</v>
      </c>
      <c r="C1357" s="364" t="s">
        <v>796</v>
      </c>
      <c r="D1357" s="364" t="s">
        <v>90</v>
      </c>
      <c r="E1357" s="364" t="s">
        <v>1281</v>
      </c>
      <c r="F1357" s="364" t="s">
        <v>1281</v>
      </c>
      <c r="G1357" s="364" t="s">
        <v>658</v>
      </c>
      <c r="H1357" s="364" t="s">
        <v>1280</v>
      </c>
      <c r="I1357" s="364" t="s">
        <v>88</v>
      </c>
      <c r="J1357" s="364" t="s">
        <v>673</v>
      </c>
      <c r="K1357" s="364" t="s">
        <v>668</v>
      </c>
      <c r="L1357" s="364" t="s">
        <v>190</v>
      </c>
      <c r="M1357" s="364" t="s">
        <v>54</v>
      </c>
      <c r="N1357" s="364" t="s">
        <v>654</v>
      </c>
      <c r="O1357" s="364" t="s">
        <v>653</v>
      </c>
      <c r="P1357" s="364" t="s">
        <v>198</v>
      </c>
      <c r="Q1357" s="364" t="s">
        <v>652</v>
      </c>
      <c r="R1357" s="364" t="s">
        <v>88</v>
      </c>
      <c r="S1357" s="364" t="s">
        <v>88</v>
      </c>
      <c r="T1357" s="364" t="s">
        <v>88</v>
      </c>
      <c r="U1357" s="364" t="s">
        <v>88</v>
      </c>
      <c r="V1357" s="364" t="s">
        <v>88</v>
      </c>
      <c r="W1357" s="364" t="s">
        <v>88</v>
      </c>
      <c r="X1357" s="364" t="s">
        <v>88</v>
      </c>
      <c r="Y1357" s="364" t="s">
        <v>88</v>
      </c>
      <c r="Z1357" s="364" t="s">
        <v>1265</v>
      </c>
      <c r="AA1357" s="364" t="s">
        <v>649</v>
      </c>
      <c r="AB1357" s="364" t="s">
        <v>649</v>
      </c>
      <c r="AC1357" s="364" t="s">
        <v>88</v>
      </c>
      <c r="AD1357" s="364" t="s">
        <v>88</v>
      </c>
      <c r="AE1357" s="364" t="s">
        <v>88</v>
      </c>
      <c r="AF1357" s="364" t="s">
        <v>88</v>
      </c>
      <c r="AG1357" s="364" t="s">
        <v>88</v>
      </c>
      <c r="AH1357" s="364" t="s">
        <v>88</v>
      </c>
      <c r="AI1357" s="364" t="s">
        <v>1155</v>
      </c>
      <c r="AJ1357" s="364" t="s">
        <v>710</v>
      </c>
      <c r="AK1357" s="364" t="s">
        <v>88</v>
      </c>
      <c r="AL1357" s="364" t="s">
        <v>88</v>
      </c>
      <c r="AM1357" s="364" t="s">
        <v>668</v>
      </c>
      <c r="AN1357" s="364" t="s">
        <v>644</v>
      </c>
    </row>
    <row r="1358" spans="1:40" x14ac:dyDescent="0.3">
      <c r="A1358" s="364" t="s">
        <v>1279</v>
      </c>
      <c r="B1358" s="364" t="s">
        <v>661</v>
      </c>
      <c r="C1358" s="364" t="s">
        <v>1160</v>
      </c>
      <c r="D1358" s="364" t="s">
        <v>90</v>
      </c>
      <c r="E1358" s="364" t="s">
        <v>1068</v>
      </c>
      <c r="F1358" s="364" t="s">
        <v>1068</v>
      </c>
      <c r="G1358" s="364" t="s">
        <v>658</v>
      </c>
      <c r="H1358" s="364" t="s">
        <v>1278</v>
      </c>
      <c r="I1358" s="364" t="s">
        <v>88</v>
      </c>
      <c r="J1358" s="364" t="s">
        <v>673</v>
      </c>
      <c r="K1358" s="364" t="s">
        <v>668</v>
      </c>
      <c r="L1358" s="364" t="s">
        <v>190</v>
      </c>
      <c r="M1358" s="364" t="s">
        <v>1168</v>
      </c>
      <c r="N1358" s="364" t="s">
        <v>654</v>
      </c>
      <c r="O1358" s="364" t="s">
        <v>653</v>
      </c>
      <c r="P1358" s="364" t="s">
        <v>198</v>
      </c>
      <c r="Q1358" s="364" t="s">
        <v>652</v>
      </c>
      <c r="R1358" s="364" t="s">
        <v>88</v>
      </c>
      <c r="S1358" s="364" t="s">
        <v>88</v>
      </c>
      <c r="T1358" s="364" t="s">
        <v>88</v>
      </c>
      <c r="U1358" s="364" t="s">
        <v>88</v>
      </c>
      <c r="V1358" s="364" t="s">
        <v>88</v>
      </c>
      <c r="W1358" s="364" t="s">
        <v>88</v>
      </c>
      <c r="X1358" s="364" t="s">
        <v>88</v>
      </c>
      <c r="Y1358" s="364" t="s">
        <v>88</v>
      </c>
      <c r="Z1358" s="364" t="s">
        <v>1167</v>
      </c>
      <c r="AA1358" s="364" t="s">
        <v>1166</v>
      </c>
      <c r="AB1358" s="364" t="s">
        <v>649</v>
      </c>
      <c r="AC1358" s="364" t="s">
        <v>88</v>
      </c>
      <c r="AD1358" s="364" t="s">
        <v>88</v>
      </c>
      <c r="AE1358" s="364" t="s">
        <v>88</v>
      </c>
      <c r="AF1358" s="364" t="s">
        <v>88</v>
      </c>
      <c r="AG1358" s="364" t="s">
        <v>88</v>
      </c>
      <c r="AH1358" s="364" t="s">
        <v>88</v>
      </c>
      <c r="AI1358" s="364" t="s">
        <v>1155</v>
      </c>
      <c r="AJ1358" s="364" t="s">
        <v>710</v>
      </c>
      <c r="AK1358" s="364" t="s">
        <v>88</v>
      </c>
      <c r="AL1358" s="364" t="s">
        <v>88</v>
      </c>
      <c r="AM1358" s="364" t="s">
        <v>668</v>
      </c>
      <c r="AN1358" s="364" t="s">
        <v>644</v>
      </c>
    </row>
    <row r="1359" spans="1:40" x14ac:dyDescent="0.3">
      <c r="A1359" s="364" t="s">
        <v>1279</v>
      </c>
      <c r="B1359" s="364" t="s">
        <v>661</v>
      </c>
      <c r="C1359" s="364" t="s">
        <v>1160</v>
      </c>
      <c r="D1359" s="364" t="s">
        <v>90</v>
      </c>
      <c r="E1359" s="364" t="s">
        <v>1068</v>
      </c>
      <c r="F1359" s="364" t="s">
        <v>1068</v>
      </c>
      <c r="G1359" s="364" t="s">
        <v>658</v>
      </c>
      <c r="H1359" s="364" t="s">
        <v>1278</v>
      </c>
      <c r="I1359" s="364" t="s">
        <v>88</v>
      </c>
      <c r="J1359" s="364" t="s">
        <v>673</v>
      </c>
      <c r="K1359" s="364" t="s">
        <v>668</v>
      </c>
      <c r="L1359" s="364" t="s">
        <v>190</v>
      </c>
      <c r="M1359" s="364" t="s">
        <v>713</v>
      </c>
      <c r="N1359" s="364" t="s">
        <v>654</v>
      </c>
      <c r="O1359" s="364" t="s">
        <v>653</v>
      </c>
      <c r="P1359" s="364" t="s">
        <v>198</v>
      </c>
      <c r="Q1359" s="364" t="s">
        <v>652</v>
      </c>
      <c r="R1359" s="364" t="s">
        <v>88</v>
      </c>
      <c r="S1359" s="364" t="s">
        <v>88</v>
      </c>
      <c r="T1359" s="364" t="s">
        <v>88</v>
      </c>
      <c r="U1359" s="364" t="s">
        <v>88</v>
      </c>
      <c r="V1359" s="364" t="s">
        <v>88</v>
      </c>
      <c r="W1359" s="364" t="s">
        <v>88</v>
      </c>
      <c r="X1359" s="364" t="s">
        <v>88</v>
      </c>
      <c r="Y1359" s="364" t="s">
        <v>88</v>
      </c>
      <c r="Z1359" s="364" t="s">
        <v>712</v>
      </c>
      <c r="AA1359" s="364" t="s">
        <v>711</v>
      </c>
      <c r="AB1359" s="364" t="s">
        <v>649</v>
      </c>
      <c r="AC1359" s="364" t="s">
        <v>88</v>
      </c>
      <c r="AD1359" s="364" t="s">
        <v>88</v>
      </c>
      <c r="AE1359" s="364" t="s">
        <v>88</v>
      </c>
      <c r="AF1359" s="364" t="s">
        <v>88</v>
      </c>
      <c r="AG1359" s="364" t="s">
        <v>88</v>
      </c>
      <c r="AH1359" s="364" t="s">
        <v>88</v>
      </c>
      <c r="AI1359" s="364" t="s">
        <v>1155</v>
      </c>
      <c r="AJ1359" s="364" t="s">
        <v>710</v>
      </c>
      <c r="AK1359" s="364" t="s">
        <v>88</v>
      </c>
      <c r="AL1359" s="364" t="s">
        <v>88</v>
      </c>
      <c r="AM1359" s="364" t="s">
        <v>668</v>
      </c>
      <c r="AN1359" s="364" t="s">
        <v>644</v>
      </c>
    </row>
    <row r="1360" spans="1:40" x14ac:dyDescent="0.3">
      <c r="A1360" s="364" t="s">
        <v>1279</v>
      </c>
      <c r="B1360" s="364" t="s">
        <v>661</v>
      </c>
      <c r="C1360" s="364" t="s">
        <v>1160</v>
      </c>
      <c r="D1360" s="364" t="s">
        <v>90</v>
      </c>
      <c r="E1360" s="364" t="s">
        <v>1068</v>
      </c>
      <c r="F1360" s="364" t="s">
        <v>1068</v>
      </c>
      <c r="G1360" s="364" t="s">
        <v>658</v>
      </c>
      <c r="H1360" s="364" t="s">
        <v>1278</v>
      </c>
      <c r="I1360" s="364" t="s">
        <v>88</v>
      </c>
      <c r="J1360" s="364" t="s">
        <v>673</v>
      </c>
      <c r="K1360" s="364" t="s">
        <v>668</v>
      </c>
      <c r="L1360" s="364" t="s">
        <v>190</v>
      </c>
      <c r="M1360" s="364" t="s">
        <v>56</v>
      </c>
      <c r="N1360" s="364" t="s">
        <v>654</v>
      </c>
      <c r="O1360" s="364" t="s">
        <v>653</v>
      </c>
      <c r="P1360" s="364" t="s">
        <v>198</v>
      </c>
      <c r="Q1360" s="364" t="s">
        <v>652</v>
      </c>
      <c r="R1360" s="364" t="s">
        <v>88</v>
      </c>
      <c r="S1360" s="364" t="s">
        <v>88</v>
      </c>
      <c r="T1360" s="364" t="s">
        <v>88</v>
      </c>
      <c r="U1360" s="364" t="s">
        <v>88</v>
      </c>
      <c r="V1360" s="364" t="s">
        <v>88</v>
      </c>
      <c r="W1360" s="364" t="s">
        <v>88</v>
      </c>
      <c r="X1360" s="364" t="s">
        <v>88</v>
      </c>
      <c r="Y1360" s="364" t="s">
        <v>88</v>
      </c>
      <c r="Z1360" s="364" t="s">
        <v>1165</v>
      </c>
      <c r="AA1360" s="364" t="s">
        <v>1164</v>
      </c>
      <c r="AB1360" s="364" t="s">
        <v>649</v>
      </c>
      <c r="AC1360" s="364" t="s">
        <v>88</v>
      </c>
      <c r="AD1360" s="364" t="s">
        <v>88</v>
      </c>
      <c r="AE1360" s="364" t="s">
        <v>88</v>
      </c>
      <c r="AF1360" s="364" t="s">
        <v>88</v>
      </c>
      <c r="AG1360" s="364" t="s">
        <v>88</v>
      </c>
      <c r="AH1360" s="364" t="s">
        <v>88</v>
      </c>
      <c r="AI1360" s="364" t="s">
        <v>1155</v>
      </c>
      <c r="AJ1360" s="364" t="s">
        <v>710</v>
      </c>
      <c r="AK1360" s="364" t="s">
        <v>88</v>
      </c>
      <c r="AL1360" s="364" t="s">
        <v>88</v>
      </c>
      <c r="AM1360" s="364" t="s">
        <v>668</v>
      </c>
      <c r="AN1360" s="364" t="s">
        <v>644</v>
      </c>
    </row>
    <row r="1361" spans="1:40" x14ac:dyDescent="0.3">
      <c r="A1361" s="364" t="s">
        <v>1279</v>
      </c>
      <c r="B1361" s="364" t="s">
        <v>661</v>
      </c>
      <c r="C1361" s="364" t="s">
        <v>1160</v>
      </c>
      <c r="D1361" s="364" t="s">
        <v>90</v>
      </c>
      <c r="E1361" s="364" t="s">
        <v>1068</v>
      </c>
      <c r="F1361" s="364" t="s">
        <v>1068</v>
      </c>
      <c r="G1361" s="364" t="s">
        <v>658</v>
      </c>
      <c r="H1361" s="364" t="s">
        <v>1278</v>
      </c>
      <c r="I1361" s="364" t="s">
        <v>88</v>
      </c>
      <c r="J1361" s="364" t="s">
        <v>673</v>
      </c>
      <c r="K1361" s="364" t="s">
        <v>668</v>
      </c>
      <c r="L1361" s="364" t="s">
        <v>190</v>
      </c>
      <c r="M1361" s="364" t="s">
        <v>241</v>
      </c>
      <c r="N1361" s="364" t="s">
        <v>654</v>
      </c>
      <c r="O1361" s="364" t="s">
        <v>653</v>
      </c>
      <c r="P1361" s="364" t="s">
        <v>198</v>
      </c>
      <c r="Q1361" s="364" t="s">
        <v>652</v>
      </c>
      <c r="R1361" s="364" t="s">
        <v>88</v>
      </c>
      <c r="S1361" s="364" t="s">
        <v>88</v>
      </c>
      <c r="T1361" s="364" t="s">
        <v>88</v>
      </c>
      <c r="U1361" s="364" t="s">
        <v>88</v>
      </c>
      <c r="V1361" s="364" t="s">
        <v>88</v>
      </c>
      <c r="W1361" s="364" t="s">
        <v>88</v>
      </c>
      <c r="X1361" s="364" t="s">
        <v>88</v>
      </c>
      <c r="Y1361" s="364" t="s">
        <v>88</v>
      </c>
      <c r="Z1361" s="364" t="s">
        <v>1170</v>
      </c>
      <c r="AA1361" s="364" t="s">
        <v>1169</v>
      </c>
      <c r="AB1361" s="364" t="s">
        <v>649</v>
      </c>
      <c r="AC1361" s="364" t="s">
        <v>88</v>
      </c>
      <c r="AD1361" s="364" t="s">
        <v>88</v>
      </c>
      <c r="AE1361" s="364" t="s">
        <v>88</v>
      </c>
      <c r="AF1361" s="364" t="s">
        <v>88</v>
      </c>
      <c r="AG1361" s="364" t="s">
        <v>88</v>
      </c>
      <c r="AH1361" s="364" t="s">
        <v>88</v>
      </c>
      <c r="AI1361" s="364" t="s">
        <v>1155</v>
      </c>
      <c r="AJ1361" s="364" t="s">
        <v>710</v>
      </c>
      <c r="AK1361" s="364" t="s">
        <v>88</v>
      </c>
      <c r="AL1361" s="364" t="s">
        <v>88</v>
      </c>
      <c r="AM1361" s="364" t="s">
        <v>668</v>
      </c>
      <c r="AN1361" s="364" t="s">
        <v>644</v>
      </c>
    </row>
    <row r="1362" spans="1:40" x14ac:dyDescent="0.3">
      <c r="A1362" s="364" t="s">
        <v>1279</v>
      </c>
      <c r="B1362" s="364" t="s">
        <v>661</v>
      </c>
      <c r="C1362" s="364" t="s">
        <v>1160</v>
      </c>
      <c r="D1362" s="364" t="s">
        <v>90</v>
      </c>
      <c r="E1362" s="364" t="s">
        <v>1068</v>
      </c>
      <c r="F1362" s="364" t="s">
        <v>1068</v>
      </c>
      <c r="G1362" s="364" t="s">
        <v>658</v>
      </c>
      <c r="H1362" s="364" t="s">
        <v>1278</v>
      </c>
      <c r="I1362" s="364" t="s">
        <v>88</v>
      </c>
      <c r="J1362" s="364" t="s">
        <v>673</v>
      </c>
      <c r="K1362" s="364" t="s">
        <v>668</v>
      </c>
      <c r="L1362" s="364" t="s">
        <v>190</v>
      </c>
      <c r="M1362" s="364" t="s">
        <v>240</v>
      </c>
      <c r="N1362" s="364" t="s">
        <v>654</v>
      </c>
      <c r="O1362" s="364" t="s">
        <v>653</v>
      </c>
      <c r="P1362" s="364" t="s">
        <v>198</v>
      </c>
      <c r="Q1362" s="364" t="s">
        <v>652</v>
      </c>
      <c r="R1362" s="364" t="s">
        <v>88</v>
      </c>
      <c r="S1362" s="364" t="s">
        <v>88</v>
      </c>
      <c r="T1362" s="364" t="s">
        <v>88</v>
      </c>
      <c r="U1362" s="364" t="s">
        <v>88</v>
      </c>
      <c r="V1362" s="364" t="s">
        <v>88</v>
      </c>
      <c r="W1362" s="364" t="s">
        <v>88</v>
      </c>
      <c r="X1362" s="364" t="s">
        <v>88</v>
      </c>
      <c r="Y1362" s="364" t="s">
        <v>88</v>
      </c>
      <c r="Z1362" s="364" t="s">
        <v>1163</v>
      </c>
      <c r="AA1362" s="364" t="s">
        <v>1162</v>
      </c>
      <c r="AB1362" s="364" t="s">
        <v>649</v>
      </c>
      <c r="AC1362" s="364" t="s">
        <v>88</v>
      </c>
      <c r="AD1362" s="364" t="s">
        <v>88</v>
      </c>
      <c r="AE1362" s="364" t="s">
        <v>88</v>
      </c>
      <c r="AF1362" s="364" t="s">
        <v>88</v>
      </c>
      <c r="AG1362" s="364" t="s">
        <v>88</v>
      </c>
      <c r="AH1362" s="364" t="s">
        <v>88</v>
      </c>
      <c r="AI1362" s="364" t="s">
        <v>1155</v>
      </c>
      <c r="AJ1362" s="364" t="s">
        <v>710</v>
      </c>
      <c r="AK1362" s="364" t="s">
        <v>88</v>
      </c>
      <c r="AL1362" s="364" t="s">
        <v>88</v>
      </c>
      <c r="AM1362" s="364" t="s">
        <v>668</v>
      </c>
      <c r="AN1362" s="364" t="s">
        <v>644</v>
      </c>
    </row>
    <row r="1363" spans="1:40" x14ac:dyDescent="0.3">
      <c r="A1363" s="364" t="s">
        <v>1279</v>
      </c>
      <c r="B1363" s="364" t="s">
        <v>661</v>
      </c>
      <c r="C1363" s="364" t="s">
        <v>1160</v>
      </c>
      <c r="D1363" s="364" t="s">
        <v>90</v>
      </c>
      <c r="E1363" s="364" t="s">
        <v>1068</v>
      </c>
      <c r="F1363" s="364" t="s">
        <v>1068</v>
      </c>
      <c r="G1363" s="364" t="s">
        <v>658</v>
      </c>
      <c r="H1363" s="364" t="s">
        <v>1278</v>
      </c>
      <c r="I1363" s="364" t="s">
        <v>88</v>
      </c>
      <c r="J1363" s="364" t="s">
        <v>673</v>
      </c>
      <c r="K1363" s="364" t="s">
        <v>668</v>
      </c>
      <c r="L1363" s="364" t="s">
        <v>190</v>
      </c>
      <c r="M1363" s="364" t="s">
        <v>417</v>
      </c>
      <c r="N1363" s="364" t="s">
        <v>654</v>
      </c>
      <c r="O1363" s="364" t="s">
        <v>653</v>
      </c>
      <c r="P1363" s="364" t="s">
        <v>198</v>
      </c>
      <c r="Q1363" s="364" t="s">
        <v>652</v>
      </c>
      <c r="R1363" s="364" t="s">
        <v>88</v>
      </c>
      <c r="S1363" s="364" t="s">
        <v>88</v>
      </c>
      <c r="T1363" s="364" t="s">
        <v>88</v>
      </c>
      <c r="U1363" s="364" t="s">
        <v>88</v>
      </c>
      <c r="V1363" s="364" t="s">
        <v>88</v>
      </c>
      <c r="W1363" s="364" t="s">
        <v>88</v>
      </c>
      <c r="X1363" s="364" t="s">
        <v>88</v>
      </c>
      <c r="Y1363" s="364" t="s">
        <v>88</v>
      </c>
      <c r="Z1363" s="364" t="s">
        <v>1261</v>
      </c>
      <c r="AA1363" s="364" t="s">
        <v>649</v>
      </c>
      <c r="AB1363" s="364" t="s">
        <v>649</v>
      </c>
      <c r="AC1363" s="364" t="s">
        <v>88</v>
      </c>
      <c r="AD1363" s="364" t="s">
        <v>88</v>
      </c>
      <c r="AE1363" s="364" t="s">
        <v>88</v>
      </c>
      <c r="AF1363" s="364" t="s">
        <v>88</v>
      </c>
      <c r="AG1363" s="364" t="s">
        <v>88</v>
      </c>
      <c r="AH1363" s="364" t="s">
        <v>88</v>
      </c>
      <c r="AI1363" s="364" t="s">
        <v>1155</v>
      </c>
      <c r="AJ1363" s="364" t="s">
        <v>710</v>
      </c>
      <c r="AK1363" s="364" t="s">
        <v>88</v>
      </c>
      <c r="AL1363" s="364" t="s">
        <v>88</v>
      </c>
      <c r="AM1363" s="364" t="s">
        <v>668</v>
      </c>
      <c r="AN1363" s="364" t="s">
        <v>644</v>
      </c>
    </row>
    <row r="1364" spans="1:40" x14ac:dyDescent="0.3">
      <c r="A1364" s="364" t="s">
        <v>1279</v>
      </c>
      <c r="B1364" s="364" t="s">
        <v>661</v>
      </c>
      <c r="C1364" s="364" t="s">
        <v>1160</v>
      </c>
      <c r="D1364" s="364" t="s">
        <v>90</v>
      </c>
      <c r="E1364" s="364" t="s">
        <v>1068</v>
      </c>
      <c r="F1364" s="364" t="s">
        <v>1068</v>
      </c>
      <c r="G1364" s="364" t="s">
        <v>658</v>
      </c>
      <c r="H1364" s="364" t="s">
        <v>1278</v>
      </c>
      <c r="I1364" s="364" t="s">
        <v>88</v>
      </c>
      <c r="J1364" s="364" t="s">
        <v>673</v>
      </c>
      <c r="K1364" s="364" t="s">
        <v>668</v>
      </c>
      <c r="L1364" s="364" t="s">
        <v>190</v>
      </c>
      <c r="M1364" s="364" t="s">
        <v>61</v>
      </c>
      <c r="N1364" s="364" t="s">
        <v>654</v>
      </c>
      <c r="O1364" s="364" t="s">
        <v>653</v>
      </c>
      <c r="P1364" s="364" t="s">
        <v>198</v>
      </c>
      <c r="Q1364" s="364" t="s">
        <v>652</v>
      </c>
      <c r="R1364" s="364" t="s">
        <v>88</v>
      </c>
      <c r="S1364" s="364" t="s">
        <v>88</v>
      </c>
      <c r="T1364" s="364" t="s">
        <v>88</v>
      </c>
      <c r="U1364" s="364" t="s">
        <v>88</v>
      </c>
      <c r="V1364" s="364" t="s">
        <v>88</v>
      </c>
      <c r="W1364" s="364" t="s">
        <v>88</v>
      </c>
      <c r="X1364" s="364" t="s">
        <v>88</v>
      </c>
      <c r="Y1364" s="364" t="s">
        <v>88</v>
      </c>
      <c r="Z1364" s="364" t="s">
        <v>1021</v>
      </c>
      <c r="AA1364" s="364" t="s">
        <v>671</v>
      </c>
      <c r="AB1364" s="364" t="s">
        <v>649</v>
      </c>
      <c r="AC1364" s="364" t="s">
        <v>88</v>
      </c>
      <c r="AD1364" s="364" t="s">
        <v>88</v>
      </c>
      <c r="AE1364" s="364" t="s">
        <v>88</v>
      </c>
      <c r="AF1364" s="364" t="s">
        <v>88</v>
      </c>
      <c r="AG1364" s="364" t="s">
        <v>88</v>
      </c>
      <c r="AH1364" s="364" t="s">
        <v>88</v>
      </c>
      <c r="AI1364" s="364" t="s">
        <v>1155</v>
      </c>
      <c r="AJ1364" s="364" t="s">
        <v>710</v>
      </c>
      <c r="AK1364" s="364" t="s">
        <v>88</v>
      </c>
      <c r="AL1364" s="364" t="s">
        <v>88</v>
      </c>
      <c r="AM1364" s="364" t="s">
        <v>668</v>
      </c>
      <c r="AN1364" s="364" t="s">
        <v>644</v>
      </c>
    </row>
    <row r="1365" spans="1:40" x14ac:dyDescent="0.3">
      <c r="A1365" s="364" t="s">
        <v>1279</v>
      </c>
      <c r="B1365" s="364" t="s">
        <v>661</v>
      </c>
      <c r="C1365" s="364" t="s">
        <v>1160</v>
      </c>
      <c r="D1365" s="364" t="s">
        <v>90</v>
      </c>
      <c r="E1365" s="364" t="s">
        <v>1068</v>
      </c>
      <c r="F1365" s="364" t="s">
        <v>1068</v>
      </c>
      <c r="G1365" s="364" t="s">
        <v>658</v>
      </c>
      <c r="H1365" s="364" t="s">
        <v>1278</v>
      </c>
      <c r="I1365" s="364" t="s">
        <v>88</v>
      </c>
      <c r="J1365" s="364" t="s">
        <v>673</v>
      </c>
      <c r="K1365" s="364" t="s">
        <v>668</v>
      </c>
      <c r="L1365" s="364" t="s">
        <v>190</v>
      </c>
      <c r="M1365" s="364" t="s">
        <v>242</v>
      </c>
      <c r="N1365" s="364" t="s">
        <v>654</v>
      </c>
      <c r="O1365" s="364" t="s">
        <v>653</v>
      </c>
      <c r="P1365" s="364" t="s">
        <v>198</v>
      </c>
      <c r="Q1365" s="364" t="s">
        <v>652</v>
      </c>
      <c r="R1365" s="364" t="s">
        <v>88</v>
      </c>
      <c r="S1365" s="364" t="s">
        <v>88</v>
      </c>
      <c r="T1365" s="364" t="s">
        <v>88</v>
      </c>
      <c r="U1365" s="364" t="s">
        <v>88</v>
      </c>
      <c r="V1365" s="364" t="s">
        <v>88</v>
      </c>
      <c r="W1365" s="364" t="s">
        <v>88</v>
      </c>
      <c r="X1365" s="364" t="s">
        <v>88</v>
      </c>
      <c r="Y1365" s="364" t="s">
        <v>88</v>
      </c>
      <c r="Z1365" s="364" t="s">
        <v>1157</v>
      </c>
      <c r="AA1365" s="364" t="s">
        <v>1156</v>
      </c>
      <c r="AB1365" s="364" t="s">
        <v>649</v>
      </c>
      <c r="AC1365" s="364" t="s">
        <v>88</v>
      </c>
      <c r="AD1365" s="364" t="s">
        <v>88</v>
      </c>
      <c r="AE1365" s="364" t="s">
        <v>88</v>
      </c>
      <c r="AF1365" s="364" t="s">
        <v>88</v>
      </c>
      <c r="AG1365" s="364" t="s">
        <v>88</v>
      </c>
      <c r="AH1365" s="364" t="s">
        <v>88</v>
      </c>
      <c r="AI1365" s="364" t="s">
        <v>1155</v>
      </c>
      <c r="AJ1365" s="364" t="s">
        <v>710</v>
      </c>
      <c r="AK1365" s="364" t="s">
        <v>88</v>
      </c>
      <c r="AL1365" s="364" t="s">
        <v>88</v>
      </c>
      <c r="AM1365" s="364" t="s">
        <v>668</v>
      </c>
      <c r="AN1365" s="364" t="s">
        <v>644</v>
      </c>
    </row>
    <row r="1366" spans="1:40" x14ac:dyDescent="0.3">
      <c r="A1366" s="364" t="s">
        <v>1279</v>
      </c>
      <c r="B1366" s="364" t="s">
        <v>661</v>
      </c>
      <c r="C1366" s="364" t="s">
        <v>1160</v>
      </c>
      <c r="D1366" s="364" t="s">
        <v>90</v>
      </c>
      <c r="E1366" s="364" t="s">
        <v>1068</v>
      </c>
      <c r="F1366" s="364" t="s">
        <v>1068</v>
      </c>
      <c r="G1366" s="364" t="s">
        <v>658</v>
      </c>
      <c r="H1366" s="364" t="s">
        <v>1278</v>
      </c>
      <c r="I1366" s="364" t="s">
        <v>88</v>
      </c>
      <c r="J1366" s="364" t="s">
        <v>673</v>
      </c>
      <c r="K1366" s="364" t="s">
        <v>668</v>
      </c>
      <c r="L1366" s="364" t="s">
        <v>190</v>
      </c>
      <c r="M1366" s="364" t="s">
        <v>243</v>
      </c>
      <c r="N1366" s="364" t="s">
        <v>654</v>
      </c>
      <c r="O1366" s="364" t="s">
        <v>653</v>
      </c>
      <c r="P1366" s="364" t="s">
        <v>198</v>
      </c>
      <c r="Q1366" s="364" t="s">
        <v>652</v>
      </c>
      <c r="R1366" s="364" t="s">
        <v>88</v>
      </c>
      <c r="S1366" s="364" t="s">
        <v>88</v>
      </c>
      <c r="T1366" s="364" t="s">
        <v>88</v>
      </c>
      <c r="U1366" s="364" t="s">
        <v>88</v>
      </c>
      <c r="V1366" s="364" t="s">
        <v>88</v>
      </c>
      <c r="W1366" s="364" t="s">
        <v>88</v>
      </c>
      <c r="X1366" s="364" t="s">
        <v>88</v>
      </c>
      <c r="Y1366" s="364" t="s">
        <v>88</v>
      </c>
      <c r="Z1366" s="364" t="s">
        <v>1175</v>
      </c>
      <c r="AA1366" s="364" t="s">
        <v>1174</v>
      </c>
      <c r="AB1366" s="364" t="s">
        <v>649</v>
      </c>
      <c r="AC1366" s="364" t="s">
        <v>88</v>
      </c>
      <c r="AD1366" s="364" t="s">
        <v>88</v>
      </c>
      <c r="AE1366" s="364" t="s">
        <v>88</v>
      </c>
      <c r="AF1366" s="364" t="s">
        <v>88</v>
      </c>
      <c r="AG1366" s="364" t="s">
        <v>88</v>
      </c>
      <c r="AH1366" s="364" t="s">
        <v>88</v>
      </c>
      <c r="AI1366" s="364" t="s">
        <v>1155</v>
      </c>
      <c r="AJ1366" s="364" t="s">
        <v>710</v>
      </c>
      <c r="AK1366" s="364" t="s">
        <v>88</v>
      </c>
      <c r="AL1366" s="364" t="s">
        <v>88</v>
      </c>
      <c r="AM1366" s="364" t="s">
        <v>668</v>
      </c>
      <c r="AN1366" s="364" t="s">
        <v>644</v>
      </c>
    </row>
    <row r="1367" spans="1:40" x14ac:dyDescent="0.3">
      <c r="A1367" s="364" t="s">
        <v>1279</v>
      </c>
      <c r="B1367" s="364" t="s">
        <v>661</v>
      </c>
      <c r="C1367" s="364" t="s">
        <v>1160</v>
      </c>
      <c r="D1367" s="364" t="s">
        <v>90</v>
      </c>
      <c r="E1367" s="364" t="s">
        <v>1068</v>
      </c>
      <c r="F1367" s="364" t="s">
        <v>1068</v>
      </c>
      <c r="G1367" s="364" t="s">
        <v>658</v>
      </c>
      <c r="H1367" s="364" t="s">
        <v>1278</v>
      </c>
      <c r="I1367" s="364" t="s">
        <v>88</v>
      </c>
      <c r="J1367" s="364" t="s">
        <v>673</v>
      </c>
      <c r="K1367" s="364" t="s">
        <v>668</v>
      </c>
      <c r="L1367" s="364" t="s">
        <v>190</v>
      </c>
      <c r="M1367" s="364" t="s">
        <v>1173</v>
      </c>
      <c r="N1367" s="364" t="s">
        <v>654</v>
      </c>
      <c r="O1367" s="364" t="s">
        <v>653</v>
      </c>
      <c r="P1367" s="364" t="s">
        <v>198</v>
      </c>
      <c r="Q1367" s="364" t="s">
        <v>652</v>
      </c>
      <c r="R1367" s="364" t="s">
        <v>88</v>
      </c>
      <c r="S1367" s="364" t="s">
        <v>88</v>
      </c>
      <c r="T1367" s="364" t="s">
        <v>88</v>
      </c>
      <c r="U1367" s="364" t="s">
        <v>88</v>
      </c>
      <c r="V1367" s="364" t="s">
        <v>88</v>
      </c>
      <c r="W1367" s="364" t="s">
        <v>88</v>
      </c>
      <c r="X1367" s="364" t="s">
        <v>88</v>
      </c>
      <c r="Y1367" s="364" t="s">
        <v>88</v>
      </c>
      <c r="Z1367" s="364" t="s">
        <v>1172</v>
      </c>
      <c r="AA1367" s="364" t="s">
        <v>1171</v>
      </c>
      <c r="AB1367" s="364" t="s">
        <v>649</v>
      </c>
      <c r="AC1367" s="364" t="s">
        <v>88</v>
      </c>
      <c r="AD1367" s="364" t="s">
        <v>88</v>
      </c>
      <c r="AE1367" s="364" t="s">
        <v>88</v>
      </c>
      <c r="AF1367" s="364" t="s">
        <v>88</v>
      </c>
      <c r="AG1367" s="364" t="s">
        <v>88</v>
      </c>
      <c r="AH1367" s="364" t="s">
        <v>88</v>
      </c>
      <c r="AI1367" s="364" t="s">
        <v>1155</v>
      </c>
      <c r="AJ1367" s="364" t="s">
        <v>710</v>
      </c>
      <c r="AK1367" s="364" t="s">
        <v>88</v>
      </c>
      <c r="AL1367" s="364" t="s">
        <v>88</v>
      </c>
      <c r="AM1367" s="364" t="s">
        <v>668</v>
      </c>
      <c r="AN1367" s="364" t="s">
        <v>644</v>
      </c>
    </row>
    <row r="1368" spans="1:40" x14ac:dyDescent="0.3">
      <c r="A1368" s="364" t="s">
        <v>1277</v>
      </c>
      <c r="B1368" s="364" t="s">
        <v>661</v>
      </c>
      <c r="C1368" s="364" t="s">
        <v>1160</v>
      </c>
      <c r="D1368" s="364" t="s">
        <v>90</v>
      </c>
      <c r="E1368" s="364" t="s">
        <v>1276</v>
      </c>
      <c r="F1368" s="364" t="s">
        <v>1276</v>
      </c>
      <c r="G1368" s="364" t="s">
        <v>658</v>
      </c>
      <c r="H1368" s="364" t="s">
        <v>1275</v>
      </c>
      <c r="I1368" s="364" t="s">
        <v>88</v>
      </c>
      <c r="J1368" s="364" t="s">
        <v>673</v>
      </c>
      <c r="K1368" s="364" t="s">
        <v>668</v>
      </c>
      <c r="L1368" s="364" t="s">
        <v>190</v>
      </c>
      <c r="M1368" s="364" t="s">
        <v>1173</v>
      </c>
      <c r="N1368" s="364" t="s">
        <v>654</v>
      </c>
      <c r="O1368" s="364" t="s">
        <v>653</v>
      </c>
      <c r="P1368" s="364" t="s">
        <v>198</v>
      </c>
      <c r="Q1368" s="364" t="s">
        <v>652</v>
      </c>
      <c r="R1368" s="364" t="s">
        <v>88</v>
      </c>
      <c r="S1368" s="364" t="s">
        <v>88</v>
      </c>
      <c r="T1368" s="364" t="s">
        <v>88</v>
      </c>
      <c r="U1368" s="364" t="s">
        <v>88</v>
      </c>
      <c r="V1368" s="364" t="s">
        <v>88</v>
      </c>
      <c r="W1368" s="364" t="s">
        <v>88</v>
      </c>
      <c r="X1368" s="364" t="s">
        <v>88</v>
      </c>
      <c r="Y1368" s="364" t="s">
        <v>88</v>
      </c>
      <c r="Z1368" s="364" t="s">
        <v>1172</v>
      </c>
      <c r="AA1368" s="364" t="s">
        <v>1171</v>
      </c>
      <c r="AB1368" s="364" t="s">
        <v>649</v>
      </c>
      <c r="AC1368" s="364" t="s">
        <v>88</v>
      </c>
      <c r="AD1368" s="364" t="s">
        <v>88</v>
      </c>
      <c r="AE1368" s="364" t="s">
        <v>88</v>
      </c>
      <c r="AF1368" s="364" t="s">
        <v>88</v>
      </c>
      <c r="AG1368" s="364" t="s">
        <v>88</v>
      </c>
      <c r="AH1368" s="364" t="s">
        <v>88</v>
      </c>
      <c r="AI1368" s="364" t="s">
        <v>1155</v>
      </c>
      <c r="AJ1368" s="364" t="s">
        <v>710</v>
      </c>
      <c r="AK1368" s="364" t="s">
        <v>88</v>
      </c>
      <c r="AL1368" s="364" t="s">
        <v>88</v>
      </c>
      <c r="AM1368" s="364" t="s">
        <v>668</v>
      </c>
      <c r="AN1368" s="364" t="s">
        <v>644</v>
      </c>
    </row>
    <row r="1369" spans="1:40" x14ac:dyDescent="0.3">
      <c r="A1369" s="364" t="s">
        <v>1277</v>
      </c>
      <c r="B1369" s="364" t="s">
        <v>661</v>
      </c>
      <c r="C1369" s="364" t="s">
        <v>1160</v>
      </c>
      <c r="D1369" s="364" t="s">
        <v>90</v>
      </c>
      <c r="E1369" s="364" t="s">
        <v>1276</v>
      </c>
      <c r="F1369" s="364" t="s">
        <v>1276</v>
      </c>
      <c r="G1369" s="364" t="s">
        <v>658</v>
      </c>
      <c r="H1369" s="364" t="s">
        <v>1275</v>
      </c>
      <c r="I1369" s="364" t="s">
        <v>88</v>
      </c>
      <c r="J1369" s="364" t="s">
        <v>673</v>
      </c>
      <c r="K1369" s="364" t="s">
        <v>668</v>
      </c>
      <c r="L1369" s="364" t="s">
        <v>190</v>
      </c>
      <c r="M1369" s="364" t="s">
        <v>1168</v>
      </c>
      <c r="N1369" s="364" t="s">
        <v>654</v>
      </c>
      <c r="O1369" s="364" t="s">
        <v>653</v>
      </c>
      <c r="P1369" s="364" t="s">
        <v>198</v>
      </c>
      <c r="Q1369" s="364" t="s">
        <v>652</v>
      </c>
      <c r="R1369" s="364" t="s">
        <v>88</v>
      </c>
      <c r="S1369" s="364" t="s">
        <v>88</v>
      </c>
      <c r="T1369" s="364" t="s">
        <v>88</v>
      </c>
      <c r="U1369" s="364" t="s">
        <v>88</v>
      </c>
      <c r="V1369" s="364" t="s">
        <v>88</v>
      </c>
      <c r="W1369" s="364" t="s">
        <v>88</v>
      </c>
      <c r="X1369" s="364" t="s">
        <v>88</v>
      </c>
      <c r="Y1369" s="364" t="s">
        <v>88</v>
      </c>
      <c r="Z1369" s="364" t="s">
        <v>1167</v>
      </c>
      <c r="AA1369" s="364" t="s">
        <v>1166</v>
      </c>
      <c r="AB1369" s="364" t="s">
        <v>649</v>
      </c>
      <c r="AC1369" s="364" t="s">
        <v>88</v>
      </c>
      <c r="AD1369" s="364" t="s">
        <v>88</v>
      </c>
      <c r="AE1369" s="364" t="s">
        <v>88</v>
      </c>
      <c r="AF1369" s="364" t="s">
        <v>88</v>
      </c>
      <c r="AG1369" s="364" t="s">
        <v>88</v>
      </c>
      <c r="AH1369" s="364" t="s">
        <v>88</v>
      </c>
      <c r="AI1369" s="364" t="s">
        <v>1155</v>
      </c>
      <c r="AJ1369" s="364" t="s">
        <v>710</v>
      </c>
      <c r="AK1369" s="364" t="s">
        <v>88</v>
      </c>
      <c r="AL1369" s="364" t="s">
        <v>88</v>
      </c>
      <c r="AM1369" s="364" t="s">
        <v>668</v>
      </c>
      <c r="AN1369" s="364" t="s">
        <v>644</v>
      </c>
    </row>
    <row r="1370" spans="1:40" x14ac:dyDescent="0.3">
      <c r="A1370" s="364" t="s">
        <v>1277</v>
      </c>
      <c r="B1370" s="364" t="s">
        <v>661</v>
      </c>
      <c r="C1370" s="364" t="s">
        <v>1160</v>
      </c>
      <c r="D1370" s="364" t="s">
        <v>90</v>
      </c>
      <c r="E1370" s="364" t="s">
        <v>1276</v>
      </c>
      <c r="F1370" s="364" t="s">
        <v>1276</v>
      </c>
      <c r="G1370" s="364" t="s">
        <v>658</v>
      </c>
      <c r="H1370" s="364" t="s">
        <v>1275</v>
      </c>
      <c r="I1370" s="364" t="s">
        <v>88</v>
      </c>
      <c r="J1370" s="364" t="s">
        <v>673</v>
      </c>
      <c r="K1370" s="364" t="s">
        <v>668</v>
      </c>
      <c r="L1370" s="364" t="s">
        <v>190</v>
      </c>
      <c r="M1370" s="364" t="s">
        <v>713</v>
      </c>
      <c r="N1370" s="364" t="s">
        <v>654</v>
      </c>
      <c r="O1370" s="364" t="s">
        <v>653</v>
      </c>
      <c r="P1370" s="364" t="s">
        <v>198</v>
      </c>
      <c r="Q1370" s="364" t="s">
        <v>652</v>
      </c>
      <c r="R1370" s="364" t="s">
        <v>88</v>
      </c>
      <c r="S1370" s="364" t="s">
        <v>88</v>
      </c>
      <c r="T1370" s="364" t="s">
        <v>88</v>
      </c>
      <c r="U1370" s="364" t="s">
        <v>88</v>
      </c>
      <c r="V1370" s="364" t="s">
        <v>88</v>
      </c>
      <c r="W1370" s="364" t="s">
        <v>88</v>
      </c>
      <c r="X1370" s="364" t="s">
        <v>88</v>
      </c>
      <c r="Y1370" s="364" t="s">
        <v>88</v>
      </c>
      <c r="Z1370" s="364" t="s">
        <v>712</v>
      </c>
      <c r="AA1370" s="364" t="s">
        <v>711</v>
      </c>
      <c r="AB1370" s="364" t="s">
        <v>649</v>
      </c>
      <c r="AC1370" s="364" t="s">
        <v>88</v>
      </c>
      <c r="AD1370" s="364" t="s">
        <v>88</v>
      </c>
      <c r="AE1370" s="364" t="s">
        <v>88</v>
      </c>
      <c r="AF1370" s="364" t="s">
        <v>88</v>
      </c>
      <c r="AG1370" s="364" t="s">
        <v>88</v>
      </c>
      <c r="AH1370" s="364" t="s">
        <v>88</v>
      </c>
      <c r="AI1370" s="364" t="s">
        <v>1155</v>
      </c>
      <c r="AJ1370" s="364" t="s">
        <v>710</v>
      </c>
      <c r="AK1370" s="364" t="s">
        <v>88</v>
      </c>
      <c r="AL1370" s="364" t="s">
        <v>88</v>
      </c>
      <c r="AM1370" s="364" t="s">
        <v>668</v>
      </c>
      <c r="AN1370" s="364" t="s">
        <v>644</v>
      </c>
    </row>
    <row r="1371" spans="1:40" x14ac:dyDescent="0.3">
      <c r="A1371" s="364" t="s">
        <v>1277</v>
      </c>
      <c r="B1371" s="364" t="s">
        <v>661</v>
      </c>
      <c r="C1371" s="364" t="s">
        <v>1160</v>
      </c>
      <c r="D1371" s="364" t="s">
        <v>90</v>
      </c>
      <c r="E1371" s="364" t="s">
        <v>1276</v>
      </c>
      <c r="F1371" s="364" t="s">
        <v>1276</v>
      </c>
      <c r="G1371" s="364" t="s">
        <v>658</v>
      </c>
      <c r="H1371" s="364" t="s">
        <v>1275</v>
      </c>
      <c r="I1371" s="364" t="s">
        <v>88</v>
      </c>
      <c r="J1371" s="364" t="s">
        <v>673</v>
      </c>
      <c r="K1371" s="364" t="s">
        <v>668</v>
      </c>
      <c r="L1371" s="364" t="s">
        <v>190</v>
      </c>
      <c r="M1371" s="364" t="s">
        <v>56</v>
      </c>
      <c r="N1371" s="364" t="s">
        <v>654</v>
      </c>
      <c r="O1371" s="364" t="s">
        <v>653</v>
      </c>
      <c r="P1371" s="364" t="s">
        <v>198</v>
      </c>
      <c r="Q1371" s="364" t="s">
        <v>652</v>
      </c>
      <c r="R1371" s="364" t="s">
        <v>88</v>
      </c>
      <c r="S1371" s="364" t="s">
        <v>88</v>
      </c>
      <c r="T1371" s="364" t="s">
        <v>88</v>
      </c>
      <c r="U1371" s="364" t="s">
        <v>88</v>
      </c>
      <c r="V1371" s="364" t="s">
        <v>88</v>
      </c>
      <c r="W1371" s="364" t="s">
        <v>88</v>
      </c>
      <c r="X1371" s="364" t="s">
        <v>88</v>
      </c>
      <c r="Y1371" s="364" t="s">
        <v>88</v>
      </c>
      <c r="Z1371" s="364" t="s">
        <v>1165</v>
      </c>
      <c r="AA1371" s="364" t="s">
        <v>1164</v>
      </c>
      <c r="AB1371" s="364" t="s">
        <v>649</v>
      </c>
      <c r="AC1371" s="364" t="s">
        <v>88</v>
      </c>
      <c r="AD1371" s="364" t="s">
        <v>88</v>
      </c>
      <c r="AE1371" s="364" t="s">
        <v>88</v>
      </c>
      <c r="AF1371" s="364" t="s">
        <v>88</v>
      </c>
      <c r="AG1371" s="364" t="s">
        <v>88</v>
      </c>
      <c r="AH1371" s="364" t="s">
        <v>88</v>
      </c>
      <c r="AI1371" s="364" t="s">
        <v>1155</v>
      </c>
      <c r="AJ1371" s="364" t="s">
        <v>710</v>
      </c>
      <c r="AK1371" s="364" t="s">
        <v>88</v>
      </c>
      <c r="AL1371" s="364" t="s">
        <v>88</v>
      </c>
      <c r="AM1371" s="364" t="s">
        <v>668</v>
      </c>
      <c r="AN1371" s="364" t="s">
        <v>644</v>
      </c>
    </row>
    <row r="1372" spans="1:40" x14ac:dyDescent="0.3">
      <c r="A1372" s="364" t="s">
        <v>1277</v>
      </c>
      <c r="B1372" s="364" t="s">
        <v>661</v>
      </c>
      <c r="C1372" s="364" t="s">
        <v>1160</v>
      </c>
      <c r="D1372" s="364" t="s">
        <v>90</v>
      </c>
      <c r="E1372" s="364" t="s">
        <v>1276</v>
      </c>
      <c r="F1372" s="364" t="s">
        <v>1276</v>
      </c>
      <c r="G1372" s="364" t="s">
        <v>658</v>
      </c>
      <c r="H1372" s="364" t="s">
        <v>1275</v>
      </c>
      <c r="I1372" s="364" t="s">
        <v>88</v>
      </c>
      <c r="J1372" s="364" t="s">
        <v>673</v>
      </c>
      <c r="K1372" s="364" t="s">
        <v>668</v>
      </c>
      <c r="L1372" s="364" t="s">
        <v>190</v>
      </c>
      <c r="M1372" s="364" t="s">
        <v>241</v>
      </c>
      <c r="N1372" s="364" t="s">
        <v>654</v>
      </c>
      <c r="O1372" s="364" t="s">
        <v>653</v>
      </c>
      <c r="P1372" s="364" t="s">
        <v>198</v>
      </c>
      <c r="Q1372" s="364" t="s">
        <v>652</v>
      </c>
      <c r="R1372" s="364" t="s">
        <v>88</v>
      </c>
      <c r="S1372" s="364" t="s">
        <v>88</v>
      </c>
      <c r="T1372" s="364" t="s">
        <v>88</v>
      </c>
      <c r="U1372" s="364" t="s">
        <v>88</v>
      </c>
      <c r="V1372" s="364" t="s">
        <v>88</v>
      </c>
      <c r="W1372" s="364" t="s">
        <v>88</v>
      </c>
      <c r="X1372" s="364" t="s">
        <v>88</v>
      </c>
      <c r="Y1372" s="364" t="s">
        <v>88</v>
      </c>
      <c r="Z1372" s="364" t="s">
        <v>1170</v>
      </c>
      <c r="AA1372" s="364" t="s">
        <v>1169</v>
      </c>
      <c r="AB1372" s="364" t="s">
        <v>649</v>
      </c>
      <c r="AC1372" s="364" t="s">
        <v>88</v>
      </c>
      <c r="AD1372" s="364" t="s">
        <v>88</v>
      </c>
      <c r="AE1372" s="364" t="s">
        <v>88</v>
      </c>
      <c r="AF1372" s="364" t="s">
        <v>88</v>
      </c>
      <c r="AG1372" s="364" t="s">
        <v>88</v>
      </c>
      <c r="AH1372" s="364" t="s">
        <v>88</v>
      </c>
      <c r="AI1372" s="364" t="s">
        <v>1155</v>
      </c>
      <c r="AJ1372" s="364" t="s">
        <v>710</v>
      </c>
      <c r="AK1372" s="364" t="s">
        <v>88</v>
      </c>
      <c r="AL1372" s="364" t="s">
        <v>88</v>
      </c>
      <c r="AM1372" s="364" t="s">
        <v>668</v>
      </c>
      <c r="AN1372" s="364" t="s">
        <v>644</v>
      </c>
    </row>
    <row r="1373" spans="1:40" x14ac:dyDescent="0.3">
      <c r="A1373" s="364" t="s">
        <v>1277</v>
      </c>
      <c r="B1373" s="364" t="s">
        <v>661</v>
      </c>
      <c r="C1373" s="364" t="s">
        <v>1160</v>
      </c>
      <c r="D1373" s="364" t="s">
        <v>90</v>
      </c>
      <c r="E1373" s="364" t="s">
        <v>1276</v>
      </c>
      <c r="F1373" s="364" t="s">
        <v>1276</v>
      </c>
      <c r="G1373" s="364" t="s">
        <v>658</v>
      </c>
      <c r="H1373" s="364" t="s">
        <v>1275</v>
      </c>
      <c r="I1373" s="364" t="s">
        <v>88</v>
      </c>
      <c r="J1373" s="364" t="s">
        <v>673</v>
      </c>
      <c r="K1373" s="364" t="s">
        <v>668</v>
      </c>
      <c r="L1373" s="364" t="s">
        <v>190</v>
      </c>
      <c r="M1373" s="364" t="s">
        <v>240</v>
      </c>
      <c r="N1373" s="364" t="s">
        <v>654</v>
      </c>
      <c r="O1373" s="364" t="s">
        <v>653</v>
      </c>
      <c r="P1373" s="364" t="s">
        <v>198</v>
      </c>
      <c r="Q1373" s="364" t="s">
        <v>652</v>
      </c>
      <c r="R1373" s="364" t="s">
        <v>88</v>
      </c>
      <c r="S1373" s="364" t="s">
        <v>88</v>
      </c>
      <c r="T1373" s="364" t="s">
        <v>88</v>
      </c>
      <c r="U1373" s="364" t="s">
        <v>88</v>
      </c>
      <c r="V1373" s="364" t="s">
        <v>88</v>
      </c>
      <c r="W1373" s="364" t="s">
        <v>88</v>
      </c>
      <c r="X1373" s="364" t="s">
        <v>88</v>
      </c>
      <c r="Y1373" s="364" t="s">
        <v>88</v>
      </c>
      <c r="Z1373" s="364" t="s">
        <v>1163</v>
      </c>
      <c r="AA1373" s="364" t="s">
        <v>1162</v>
      </c>
      <c r="AB1373" s="364" t="s">
        <v>649</v>
      </c>
      <c r="AC1373" s="364" t="s">
        <v>88</v>
      </c>
      <c r="AD1373" s="364" t="s">
        <v>88</v>
      </c>
      <c r="AE1373" s="364" t="s">
        <v>88</v>
      </c>
      <c r="AF1373" s="364" t="s">
        <v>88</v>
      </c>
      <c r="AG1373" s="364" t="s">
        <v>88</v>
      </c>
      <c r="AH1373" s="364" t="s">
        <v>88</v>
      </c>
      <c r="AI1373" s="364" t="s">
        <v>1155</v>
      </c>
      <c r="AJ1373" s="364" t="s">
        <v>710</v>
      </c>
      <c r="AK1373" s="364" t="s">
        <v>88</v>
      </c>
      <c r="AL1373" s="364" t="s">
        <v>88</v>
      </c>
      <c r="AM1373" s="364" t="s">
        <v>668</v>
      </c>
      <c r="AN1373" s="364" t="s">
        <v>644</v>
      </c>
    </row>
    <row r="1374" spans="1:40" x14ac:dyDescent="0.3">
      <c r="A1374" s="364" t="s">
        <v>1277</v>
      </c>
      <c r="B1374" s="364" t="s">
        <v>661</v>
      </c>
      <c r="C1374" s="364" t="s">
        <v>1160</v>
      </c>
      <c r="D1374" s="364" t="s">
        <v>90</v>
      </c>
      <c r="E1374" s="364" t="s">
        <v>1276</v>
      </c>
      <c r="F1374" s="364" t="s">
        <v>1276</v>
      </c>
      <c r="G1374" s="364" t="s">
        <v>658</v>
      </c>
      <c r="H1374" s="364" t="s">
        <v>1275</v>
      </c>
      <c r="I1374" s="364" t="s">
        <v>88</v>
      </c>
      <c r="J1374" s="364" t="s">
        <v>673</v>
      </c>
      <c r="K1374" s="364" t="s">
        <v>668</v>
      </c>
      <c r="L1374" s="364" t="s">
        <v>190</v>
      </c>
      <c r="M1374" s="364" t="s">
        <v>417</v>
      </c>
      <c r="N1374" s="364" t="s">
        <v>654</v>
      </c>
      <c r="O1374" s="364" t="s">
        <v>653</v>
      </c>
      <c r="P1374" s="364" t="s">
        <v>198</v>
      </c>
      <c r="Q1374" s="364" t="s">
        <v>652</v>
      </c>
      <c r="R1374" s="364" t="s">
        <v>88</v>
      </c>
      <c r="S1374" s="364" t="s">
        <v>88</v>
      </c>
      <c r="T1374" s="364" t="s">
        <v>88</v>
      </c>
      <c r="U1374" s="364" t="s">
        <v>88</v>
      </c>
      <c r="V1374" s="364" t="s">
        <v>88</v>
      </c>
      <c r="W1374" s="364" t="s">
        <v>88</v>
      </c>
      <c r="X1374" s="364" t="s">
        <v>88</v>
      </c>
      <c r="Y1374" s="364" t="s">
        <v>88</v>
      </c>
      <c r="Z1374" s="364" t="s">
        <v>1261</v>
      </c>
      <c r="AA1374" s="364" t="s">
        <v>649</v>
      </c>
      <c r="AB1374" s="364" t="s">
        <v>649</v>
      </c>
      <c r="AC1374" s="364" t="s">
        <v>88</v>
      </c>
      <c r="AD1374" s="364" t="s">
        <v>88</v>
      </c>
      <c r="AE1374" s="364" t="s">
        <v>88</v>
      </c>
      <c r="AF1374" s="364" t="s">
        <v>88</v>
      </c>
      <c r="AG1374" s="364" t="s">
        <v>88</v>
      </c>
      <c r="AH1374" s="364" t="s">
        <v>88</v>
      </c>
      <c r="AI1374" s="364" t="s">
        <v>1155</v>
      </c>
      <c r="AJ1374" s="364" t="s">
        <v>710</v>
      </c>
      <c r="AK1374" s="364" t="s">
        <v>88</v>
      </c>
      <c r="AL1374" s="364" t="s">
        <v>88</v>
      </c>
      <c r="AM1374" s="364" t="s">
        <v>668</v>
      </c>
      <c r="AN1374" s="364" t="s">
        <v>644</v>
      </c>
    </row>
    <row r="1375" spans="1:40" x14ac:dyDescent="0.3">
      <c r="A1375" s="364" t="s">
        <v>1277</v>
      </c>
      <c r="B1375" s="364" t="s">
        <v>661</v>
      </c>
      <c r="C1375" s="364" t="s">
        <v>1160</v>
      </c>
      <c r="D1375" s="364" t="s">
        <v>90</v>
      </c>
      <c r="E1375" s="364" t="s">
        <v>1276</v>
      </c>
      <c r="F1375" s="364" t="s">
        <v>1276</v>
      </c>
      <c r="G1375" s="364" t="s">
        <v>658</v>
      </c>
      <c r="H1375" s="364" t="s">
        <v>1275</v>
      </c>
      <c r="I1375" s="364" t="s">
        <v>88</v>
      </c>
      <c r="J1375" s="364" t="s">
        <v>673</v>
      </c>
      <c r="K1375" s="364" t="s">
        <v>668</v>
      </c>
      <c r="L1375" s="364" t="s">
        <v>190</v>
      </c>
      <c r="M1375" s="364" t="s">
        <v>61</v>
      </c>
      <c r="N1375" s="364" t="s">
        <v>654</v>
      </c>
      <c r="O1375" s="364" t="s">
        <v>653</v>
      </c>
      <c r="P1375" s="364" t="s">
        <v>198</v>
      </c>
      <c r="Q1375" s="364" t="s">
        <v>652</v>
      </c>
      <c r="R1375" s="364" t="s">
        <v>88</v>
      </c>
      <c r="S1375" s="364" t="s">
        <v>88</v>
      </c>
      <c r="T1375" s="364" t="s">
        <v>88</v>
      </c>
      <c r="U1375" s="364" t="s">
        <v>88</v>
      </c>
      <c r="V1375" s="364" t="s">
        <v>88</v>
      </c>
      <c r="W1375" s="364" t="s">
        <v>88</v>
      </c>
      <c r="X1375" s="364" t="s">
        <v>88</v>
      </c>
      <c r="Y1375" s="364" t="s">
        <v>88</v>
      </c>
      <c r="Z1375" s="364" t="s">
        <v>1021</v>
      </c>
      <c r="AA1375" s="364" t="s">
        <v>671</v>
      </c>
      <c r="AB1375" s="364" t="s">
        <v>649</v>
      </c>
      <c r="AC1375" s="364" t="s">
        <v>88</v>
      </c>
      <c r="AD1375" s="364" t="s">
        <v>88</v>
      </c>
      <c r="AE1375" s="364" t="s">
        <v>88</v>
      </c>
      <c r="AF1375" s="364" t="s">
        <v>88</v>
      </c>
      <c r="AG1375" s="364" t="s">
        <v>88</v>
      </c>
      <c r="AH1375" s="364" t="s">
        <v>88</v>
      </c>
      <c r="AI1375" s="364" t="s">
        <v>1155</v>
      </c>
      <c r="AJ1375" s="364" t="s">
        <v>710</v>
      </c>
      <c r="AK1375" s="364" t="s">
        <v>88</v>
      </c>
      <c r="AL1375" s="364" t="s">
        <v>88</v>
      </c>
      <c r="AM1375" s="364" t="s">
        <v>668</v>
      </c>
      <c r="AN1375" s="364" t="s">
        <v>644</v>
      </c>
    </row>
    <row r="1376" spans="1:40" x14ac:dyDescent="0.3">
      <c r="A1376" s="364" t="s">
        <v>1277</v>
      </c>
      <c r="B1376" s="364" t="s">
        <v>661</v>
      </c>
      <c r="C1376" s="364" t="s">
        <v>1160</v>
      </c>
      <c r="D1376" s="364" t="s">
        <v>90</v>
      </c>
      <c r="E1376" s="364" t="s">
        <v>1276</v>
      </c>
      <c r="F1376" s="364" t="s">
        <v>1276</v>
      </c>
      <c r="G1376" s="364" t="s">
        <v>658</v>
      </c>
      <c r="H1376" s="364" t="s">
        <v>1275</v>
      </c>
      <c r="I1376" s="364" t="s">
        <v>88</v>
      </c>
      <c r="J1376" s="364" t="s">
        <v>673</v>
      </c>
      <c r="K1376" s="364" t="s">
        <v>668</v>
      </c>
      <c r="L1376" s="364" t="s">
        <v>190</v>
      </c>
      <c r="M1376" s="364" t="s">
        <v>242</v>
      </c>
      <c r="N1376" s="364" t="s">
        <v>654</v>
      </c>
      <c r="O1376" s="364" t="s">
        <v>653</v>
      </c>
      <c r="P1376" s="364" t="s">
        <v>198</v>
      </c>
      <c r="Q1376" s="364" t="s">
        <v>652</v>
      </c>
      <c r="R1376" s="364" t="s">
        <v>88</v>
      </c>
      <c r="S1376" s="364" t="s">
        <v>88</v>
      </c>
      <c r="T1376" s="364" t="s">
        <v>88</v>
      </c>
      <c r="U1376" s="364" t="s">
        <v>88</v>
      </c>
      <c r="V1376" s="364" t="s">
        <v>88</v>
      </c>
      <c r="W1376" s="364" t="s">
        <v>88</v>
      </c>
      <c r="X1376" s="364" t="s">
        <v>88</v>
      </c>
      <c r="Y1376" s="364" t="s">
        <v>88</v>
      </c>
      <c r="Z1376" s="364" t="s">
        <v>1157</v>
      </c>
      <c r="AA1376" s="364" t="s">
        <v>1156</v>
      </c>
      <c r="AB1376" s="364" t="s">
        <v>649</v>
      </c>
      <c r="AC1376" s="364" t="s">
        <v>88</v>
      </c>
      <c r="AD1376" s="364" t="s">
        <v>88</v>
      </c>
      <c r="AE1376" s="364" t="s">
        <v>88</v>
      </c>
      <c r="AF1376" s="364" t="s">
        <v>88</v>
      </c>
      <c r="AG1376" s="364" t="s">
        <v>88</v>
      </c>
      <c r="AH1376" s="364" t="s">
        <v>88</v>
      </c>
      <c r="AI1376" s="364" t="s">
        <v>1155</v>
      </c>
      <c r="AJ1376" s="364" t="s">
        <v>710</v>
      </c>
      <c r="AK1376" s="364" t="s">
        <v>88</v>
      </c>
      <c r="AL1376" s="364" t="s">
        <v>88</v>
      </c>
      <c r="AM1376" s="364" t="s">
        <v>668</v>
      </c>
      <c r="AN1376" s="364" t="s">
        <v>644</v>
      </c>
    </row>
    <row r="1377" spans="1:40" x14ac:dyDescent="0.3">
      <c r="A1377" s="364" t="s">
        <v>1277</v>
      </c>
      <c r="B1377" s="364" t="s">
        <v>661</v>
      </c>
      <c r="C1377" s="364" t="s">
        <v>1160</v>
      </c>
      <c r="D1377" s="364" t="s">
        <v>90</v>
      </c>
      <c r="E1377" s="364" t="s">
        <v>1276</v>
      </c>
      <c r="F1377" s="364" t="s">
        <v>1276</v>
      </c>
      <c r="G1377" s="364" t="s">
        <v>658</v>
      </c>
      <c r="H1377" s="364" t="s">
        <v>1275</v>
      </c>
      <c r="I1377" s="364" t="s">
        <v>88</v>
      </c>
      <c r="J1377" s="364" t="s">
        <v>673</v>
      </c>
      <c r="K1377" s="364" t="s">
        <v>668</v>
      </c>
      <c r="L1377" s="364" t="s">
        <v>190</v>
      </c>
      <c r="M1377" s="364" t="s">
        <v>243</v>
      </c>
      <c r="N1377" s="364" t="s">
        <v>654</v>
      </c>
      <c r="O1377" s="364" t="s">
        <v>653</v>
      </c>
      <c r="P1377" s="364" t="s">
        <v>198</v>
      </c>
      <c r="Q1377" s="364" t="s">
        <v>652</v>
      </c>
      <c r="R1377" s="364" t="s">
        <v>88</v>
      </c>
      <c r="S1377" s="364" t="s">
        <v>88</v>
      </c>
      <c r="T1377" s="364" t="s">
        <v>88</v>
      </c>
      <c r="U1377" s="364" t="s">
        <v>88</v>
      </c>
      <c r="V1377" s="364" t="s">
        <v>88</v>
      </c>
      <c r="W1377" s="364" t="s">
        <v>88</v>
      </c>
      <c r="X1377" s="364" t="s">
        <v>88</v>
      </c>
      <c r="Y1377" s="364" t="s">
        <v>88</v>
      </c>
      <c r="Z1377" s="364" t="s">
        <v>1175</v>
      </c>
      <c r="AA1377" s="364" t="s">
        <v>1174</v>
      </c>
      <c r="AB1377" s="364" t="s">
        <v>649</v>
      </c>
      <c r="AC1377" s="364" t="s">
        <v>88</v>
      </c>
      <c r="AD1377" s="364" t="s">
        <v>88</v>
      </c>
      <c r="AE1377" s="364" t="s">
        <v>88</v>
      </c>
      <c r="AF1377" s="364" t="s">
        <v>88</v>
      </c>
      <c r="AG1377" s="364" t="s">
        <v>88</v>
      </c>
      <c r="AH1377" s="364" t="s">
        <v>88</v>
      </c>
      <c r="AI1377" s="364" t="s">
        <v>1155</v>
      </c>
      <c r="AJ1377" s="364" t="s">
        <v>710</v>
      </c>
      <c r="AK1377" s="364" t="s">
        <v>88</v>
      </c>
      <c r="AL1377" s="364" t="s">
        <v>88</v>
      </c>
      <c r="AM1377" s="364" t="s">
        <v>668</v>
      </c>
      <c r="AN1377" s="364" t="s">
        <v>644</v>
      </c>
    </row>
    <row r="1378" spans="1:40" x14ac:dyDescent="0.3">
      <c r="A1378" s="364" t="s">
        <v>1274</v>
      </c>
      <c r="B1378" s="364" t="s">
        <v>661</v>
      </c>
      <c r="C1378" s="364" t="s">
        <v>1160</v>
      </c>
      <c r="D1378" s="364" t="s">
        <v>90</v>
      </c>
      <c r="E1378" s="364" t="s">
        <v>1273</v>
      </c>
      <c r="F1378" s="364" t="s">
        <v>1273</v>
      </c>
      <c r="G1378" s="364" t="s">
        <v>658</v>
      </c>
      <c r="H1378" s="364" t="s">
        <v>1272</v>
      </c>
      <c r="I1378" s="364" t="s">
        <v>88</v>
      </c>
      <c r="J1378" s="364" t="s">
        <v>673</v>
      </c>
      <c r="K1378" s="364" t="s">
        <v>668</v>
      </c>
      <c r="L1378" s="364" t="s">
        <v>190</v>
      </c>
      <c r="M1378" s="364" t="s">
        <v>243</v>
      </c>
      <c r="N1378" s="364" t="s">
        <v>654</v>
      </c>
      <c r="O1378" s="364" t="s">
        <v>653</v>
      </c>
      <c r="P1378" s="364" t="s">
        <v>198</v>
      </c>
      <c r="Q1378" s="364" t="s">
        <v>652</v>
      </c>
      <c r="R1378" s="364" t="s">
        <v>88</v>
      </c>
      <c r="S1378" s="364" t="s">
        <v>88</v>
      </c>
      <c r="T1378" s="364" t="s">
        <v>88</v>
      </c>
      <c r="U1378" s="364" t="s">
        <v>88</v>
      </c>
      <c r="V1378" s="364" t="s">
        <v>88</v>
      </c>
      <c r="W1378" s="364" t="s">
        <v>88</v>
      </c>
      <c r="X1378" s="364" t="s">
        <v>88</v>
      </c>
      <c r="Y1378" s="364" t="s">
        <v>88</v>
      </c>
      <c r="Z1378" s="364" t="s">
        <v>1175</v>
      </c>
      <c r="AA1378" s="364" t="s">
        <v>1174</v>
      </c>
      <c r="AB1378" s="364" t="s">
        <v>649</v>
      </c>
      <c r="AC1378" s="364" t="s">
        <v>88</v>
      </c>
      <c r="AD1378" s="364" t="s">
        <v>88</v>
      </c>
      <c r="AE1378" s="364" t="s">
        <v>88</v>
      </c>
      <c r="AF1378" s="364" t="s">
        <v>88</v>
      </c>
      <c r="AG1378" s="364" t="s">
        <v>88</v>
      </c>
      <c r="AH1378" s="364" t="s">
        <v>88</v>
      </c>
      <c r="AI1378" s="364" t="s">
        <v>1155</v>
      </c>
      <c r="AJ1378" s="364" t="s">
        <v>710</v>
      </c>
      <c r="AK1378" s="364" t="s">
        <v>88</v>
      </c>
      <c r="AL1378" s="364" t="s">
        <v>88</v>
      </c>
      <c r="AM1378" s="364" t="s">
        <v>668</v>
      </c>
      <c r="AN1378" s="364" t="s">
        <v>644</v>
      </c>
    </row>
    <row r="1379" spans="1:40" x14ac:dyDescent="0.3">
      <c r="A1379" s="364" t="s">
        <v>1274</v>
      </c>
      <c r="B1379" s="364" t="s">
        <v>661</v>
      </c>
      <c r="C1379" s="364" t="s">
        <v>1160</v>
      </c>
      <c r="D1379" s="364" t="s">
        <v>90</v>
      </c>
      <c r="E1379" s="364" t="s">
        <v>1273</v>
      </c>
      <c r="F1379" s="364" t="s">
        <v>1273</v>
      </c>
      <c r="G1379" s="364" t="s">
        <v>658</v>
      </c>
      <c r="H1379" s="364" t="s">
        <v>1272</v>
      </c>
      <c r="I1379" s="364" t="s">
        <v>88</v>
      </c>
      <c r="J1379" s="364" t="s">
        <v>673</v>
      </c>
      <c r="K1379" s="364" t="s">
        <v>668</v>
      </c>
      <c r="L1379" s="364" t="s">
        <v>190</v>
      </c>
      <c r="M1379" s="364" t="s">
        <v>1168</v>
      </c>
      <c r="N1379" s="364" t="s">
        <v>654</v>
      </c>
      <c r="O1379" s="364" t="s">
        <v>653</v>
      </c>
      <c r="P1379" s="364" t="s">
        <v>198</v>
      </c>
      <c r="Q1379" s="364" t="s">
        <v>652</v>
      </c>
      <c r="R1379" s="364" t="s">
        <v>88</v>
      </c>
      <c r="S1379" s="364" t="s">
        <v>88</v>
      </c>
      <c r="T1379" s="364" t="s">
        <v>88</v>
      </c>
      <c r="U1379" s="364" t="s">
        <v>88</v>
      </c>
      <c r="V1379" s="364" t="s">
        <v>88</v>
      </c>
      <c r="W1379" s="364" t="s">
        <v>88</v>
      </c>
      <c r="X1379" s="364" t="s">
        <v>88</v>
      </c>
      <c r="Y1379" s="364" t="s">
        <v>88</v>
      </c>
      <c r="Z1379" s="364" t="s">
        <v>1167</v>
      </c>
      <c r="AA1379" s="364" t="s">
        <v>1166</v>
      </c>
      <c r="AB1379" s="364" t="s">
        <v>649</v>
      </c>
      <c r="AC1379" s="364" t="s">
        <v>88</v>
      </c>
      <c r="AD1379" s="364" t="s">
        <v>88</v>
      </c>
      <c r="AE1379" s="364" t="s">
        <v>88</v>
      </c>
      <c r="AF1379" s="364" t="s">
        <v>88</v>
      </c>
      <c r="AG1379" s="364" t="s">
        <v>88</v>
      </c>
      <c r="AH1379" s="364" t="s">
        <v>88</v>
      </c>
      <c r="AI1379" s="364" t="s">
        <v>1155</v>
      </c>
      <c r="AJ1379" s="364" t="s">
        <v>710</v>
      </c>
      <c r="AK1379" s="364" t="s">
        <v>88</v>
      </c>
      <c r="AL1379" s="364" t="s">
        <v>88</v>
      </c>
      <c r="AM1379" s="364" t="s">
        <v>668</v>
      </c>
      <c r="AN1379" s="364" t="s">
        <v>644</v>
      </c>
    </row>
    <row r="1380" spans="1:40" x14ac:dyDescent="0.3">
      <c r="A1380" s="364" t="s">
        <v>1274</v>
      </c>
      <c r="B1380" s="364" t="s">
        <v>661</v>
      </c>
      <c r="C1380" s="364" t="s">
        <v>1160</v>
      </c>
      <c r="D1380" s="364" t="s">
        <v>90</v>
      </c>
      <c r="E1380" s="364" t="s">
        <v>1273</v>
      </c>
      <c r="F1380" s="364" t="s">
        <v>1273</v>
      </c>
      <c r="G1380" s="364" t="s">
        <v>658</v>
      </c>
      <c r="H1380" s="364" t="s">
        <v>1272</v>
      </c>
      <c r="I1380" s="364" t="s">
        <v>88</v>
      </c>
      <c r="J1380" s="364" t="s">
        <v>673</v>
      </c>
      <c r="K1380" s="364" t="s">
        <v>668</v>
      </c>
      <c r="L1380" s="364" t="s">
        <v>190</v>
      </c>
      <c r="M1380" s="364" t="s">
        <v>713</v>
      </c>
      <c r="N1380" s="364" t="s">
        <v>654</v>
      </c>
      <c r="O1380" s="364" t="s">
        <v>653</v>
      </c>
      <c r="P1380" s="364" t="s">
        <v>198</v>
      </c>
      <c r="Q1380" s="364" t="s">
        <v>652</v>
      </c>
      <c r="R1380" s="364" t="s">
        <v>88</v>
      </c>
      <c r="S1380" s="364" t="s">
        <v>88</v>
      </c>
      <c r="T1380" s="364" t="s">
        <v>88</v>
      </c>
      <c r="U1380" s="364" t="s">
        <v>88</v>
      </c>
      <c r="V1380" s="364" t="s">
        <v>88</v>
      </c>
      <c r="W1380" s="364" t="s">
        <v>88</v>
      </c>
      <c r="X1380" s="364" t="s">
        <v>88</v>
      </c>
      <c r="Y1380" s="364" t="s">
        <v>88</v>
      </c>
      <c r="Z1380" s="364" t="s">
        <v>712</v>
      </c>
      <c r="AA1380" s="364" t="s">
        <v>711</v>
      </c>
      <c r="AB1380" s="364" t="s">
        <v>649</v>
      </c>
      <c r="AC1380" s="364" t="s">
        <v>88</v>
      </c>
      <c r="AD1380" s="364" t="s">
        <v>88</v>
      </c>
      <c r="AE1380" s="364" t="s">
        <v>88</v>
      </c>
      <c r="AF1380" s="364" t="s">
        <v>88</v>
      </c>
      <c r="AG1380" s="364" t="s">
        <v>88</v>
      </c>
      <c r="AH1380" s="364" t="s">
        <v>88</v>
      </c>
      <c r="AI1380" s="364" t="s">
        <v>1155</v>
      </c>
      <c r="AJ1380" s="364" t="s">
        <v>710</v>
      </c>
      <c r="AK1380" s="364" t="s">
        <v>88</v>
      </c>
      <c r="AL1380" s="364" t="s">
        <v>88</v>
      </c>
      <c r="AM1380" s="364" t="s">
        <v>668</v>
      </c>
      <c r="AN1380" s="364" t="s">
        <v>644</v>
      </c>
    </row>
    <row r="1381" spans="1:40" x14ac:dyDescent="0.3">
      <c r="A1381" s="364" t="s">
        <v>1274</v>
      </c>
      <c r="B1381" s="364" t="s">
        <v>661</v>
      </c>
      <c r="C1381" s="364" t="s">
        <v>1160</v>
      </c>
      <c r="D1381" s="364" t="s">
        <v>90</v>
      </c>
      <c r="E1381" s="364" t="s">
        <v>1273</v>
      </c>
      <c r="F1381" s="364" t="s">
        <v>1273</v>
      </c>
      <c r="G1381" s="364" t="s">
        <v>658</v>
      </c>
      <c r="H1381" s="364" t="s">
        <v>1272</v>
      </c>
      <c r="I1381" s="364" t="s">
        <v>88</v>
      </c>
      <c r="J1381" s="364" t="s">
        <v>673</v>
      </c>
      <c r="K1381" s="364" t="s">
        <v>668</v>
      </c>
      <c r="L1381" s="364" t="s">
        <v>190</v>
      </c>
      <c r="M1381" s="364" t="s">
        <v>56</v>
      </c>
      <c r="N1381" s="364" t="s">
        <v>654</v>
      </c>
      <c r="O1381" s="364" t="s">
        <v>653</v>
      </c>
      <c r="P1381" s="364" t="s">
        <v>198</v>
      </c>
      <c r="Q1381" s="364" t="s">
        <v>652</v>
      </c>
      <c r="R1381" s="364" t="s">
        <v>88</v>
      </c>
      <c r="S1381" s="364" t="s">
        <v>88</v>
      </c>
      <c r="T1381" s="364" t="s">
        <v>88</v>
      </c>
      <c r="U1381" s="364" t="s">
        <v>88</v>
      </c>
      <c r="V1381" s="364" t="s">
        <v>88</v>
      </c>
      <c r="W1381" s="364" t="s">
        <v>88</v>
      </c>
      <c r="X1381" s="364" t="s">
        <v>88</v>
      </c>
      <c r="Y1381" s="364" t="s">
        <v>88</v>
      </c>
      <c r="Z1381" s="364" t="s">
        <v>1165</v>
      </c>
      <c r="AA1381" s="364" t="s">
        <v>1164</v>
      </c>
      <c r="AB1381" s="364" t="s">
        <v>649</v>
      </c>
      <c r="AC1381" s="364" t="s">
        <v>88</v>
      </c>
      <c r="AD1381" s="364" t="s">
        <v>88</v>
      </c>
      <c r="AE1381" s="364" t="s">
        <v>88</v>
      </c>
      <c r="AF1381" s="364" t="s">
        <v>88</v>
      </c>
      <c r="AG1381" s="364" t="s">
        <v>88</v>
      </c>
      <c r="AH1381" s="364" t="s">
        <v>88</v>
      </c>
      <c r="AI1381" s="364" t="s">
        <v>1155</v>
      </c>
      <c r="AJ1381" s="364" t="s">
        <v>710</v>
      </c>
      <c r="AK1381" s="364" t="s">
        <v>88</v>
      </c>
      <c r="AL1381" s="364" t="s">
        <v>88</v>
      </c>
      <c r="AM1381" s="364" t="s">
        <v>668</v>
      </c>
      <c r="AN1381" s="364" t="s">
        <v>644</v>
      </c>
    </row>
    <row r="1382" spans="1:40" x14ac:dyDescent="0.3">
      <c r="A1382" s="364" t="s">
        <v>1274</v>
      </c>
      <c r="B1382" s="364" t="s">
        <v>661</v>
      </c>
      <c r="C1382" s="364" t="s">
        <v>1160</v>
      </c>
      <c r="D1382" s="364" t="s">
        <v>90</v>
      </c>
      <c r="E1382" s="364" t="s">
        <v>1273</v>
      </c>
      <c r="F1382" s="364" t="s">
        <v>1273</v>
      </c>
      <c r="G1382" s="364" t="s">
        <v>658</v>
      </c>
      <c r="H1382" s="364" t="s">
        <v>1272</v>
      </c>
      <c r="I1382" s="364" t="s">
        <v>88</v>
      </c>
      <c r="J1382" s="364" t="s">
        <v>673</v>
      </c>
      <c r="K1382" s="364" t="s">
        <v>668</v>
      </c>
      <c r="L1382" s="364" t="s">
        <v>190</v>
      </c>
      <c r="M1382" s="364" t="s">
        <v>241</v>
      </c>
      <c r="N1382" s="364" t="s">
        <v>654</v>
      </c>
      <c r="O1382" s="364" t="s">
        <v>653</v>
      </c>
      <c r="P1382" s="364" t="s">
        <v>198</v>
      </c>
      <c r="Q1382" s="364" t="s">
        <v>652</v>
      </c>
      <c r="R1382" s="364" t="s">
        <v>88</v>
      </c>
      <c r="S1382" s="364" t="s">
        <v>88</v>
      </c>
      <c r="T1382" s="364" t="s">
        <v>88</v>
      </c>
      <c r="U1382" s="364" t="s">
        <v>88</v>
      </c>
      <c r="V1382" s="364" t="s">
        <v>88</v>
      </c>
      <c r="W1382" s="364" t="s">
        <v>88</v>
      </c>
      <c r="X1382" s="364" t="s">
        <v>88</v>
      </c>
      <c r="Y1382" s="364" t="s">
        <v>88</v>
      </c>
      <c r="Z1382" s="364" t="s">
        <v>1170</v>
      </c>
      <c r="AA1382" s="364" t="s">
        <v>1169</v>
      </c>
      <c r="AB1382" s="364" t="s">
        <v>649</v>
      </c>
      <c r="AC1382" s="364" t="s">
        <v>88</v>
      </c>
      <c r="AD1382" s="364" t="s">
        <v>88</v>
      </c>
      <c r="AE1382" s="364" t="s">
        <v>88</v>
      </c>
      <c r="AF1382" s="364" t="s">
        <v>88</v>
      </c>
      <c r="AG1382" s="364" t="s">
        <v>88</v>
      </c>
      <c r="AH1382" s="364" t="s">
        <v>88</v>
      </c>
      <c r="AI1382" s="364" t="s">
        <v>1155</v>
      </c>
      <c r="AJ1382" s="364" t="s">
        <v>710</v>
      </c>
      <c r="AK1382" s="364" t="s">
        <v>88</v>
      </c>
      <c r="AL1382" s="364" t="s">
        <v>88</v>
      </c>
      <c r="AM1382" s="364" t="s">
        <v>668</v>
      </c>
      <c r="AN1382" s="364" t="s">
        <v>644</v>
      </c>
    </row>
    <row r="1383" spans="1:40" x14ac:dyDescent="0.3">
      <c r="A1383" s="364" t="s">
        <v>1274</v>
      </c>
      <c r="B1383" s="364" t="s">
        <v>661</v>
      </c>
      <c r="C1383" s="364" t="s">
        <v>1160</v>
      </c>
      <c r="D1383" s="364" t="s">
        <v>90</v>
      </c>
      <c r="E1383" s="364" t="s">
        <v>1273</v>
      </c>
      <c r="F1383" s="364" t="s">
        <v>1273</v>
      </c>
      <c r="G1383" s="364" t="s">
        <v>658</v>
      </c>
      <c r="H1383" s="364" t="s">
        <v>1272</v>
      </c>
      <c r="I1383" s="364" t="s">
        <v>88</v>
      </c>
      <c r="J1383" s="364" t="s">
        <v>673</v>
      </c>
      <c r="K1383" s="364" t="s">
        <v>668</v>
      </c>
      <c r="L1383" s="364" t="s">
        <v>190</v>
      </c>
      <c r="M1383" s="364" t="s">
        <v>240</v>
      </c>
      <c r="N1383" s="364" t="s">
        <v>654</v>
      </c>
      <c r="O1383" s="364" t="s">
        <v>653</v>
      </c>
      <c r="P1383" s="364" t="s">
        <v>198</v>
      </c>
      <c r="Q1383" s="364" t="s">
        <v>652</v>
      </c>
      <c r="R1383" s="364" t="s">
        <v>88</v>
      </c>
      <c r="S1383" s="364" t="s">
        <v>88</v>
      </c>
      <c r="T1383" s="364" t="s">
        <v>88</v>
      </c>
      <c r="U1383" s="364" t="s">
        <v>88</v>
      </c>
      <c r="V1383" s="364" t="s">
        <v>88</v>
      </c>
      <c r="W1383" s="364" t="s">
        <v>88</v>
      </c>
      <c r="X1383" s="364" t="s">
        <v>88</v>
      </c>
      <c r="Y1383" s="364" t="s">
        <v>88</v>
      </c>
      <c r="Z1383" s="364" t="s">
        <v>1163</v>
      </c>
      <c r="AA1383" s="364" t="s">
        <v>1162</v>
      </c>
      <c r="AB1383" s="364" t="s">
        <v>649</v>
      </c>
      <c r="AC1383" s="364" t="s">
        <v>88</v>
      </c>
      <c r="AD1383" s="364" t="s">
        <v>88</v>
      </c>
      <c r="AE1383" s="364" t="s">
        <v>88</v>
      </c>
      <c r="AF1383" s="364" t="s">
        <v>88</v>
      </c>
      <c r="AG1383" s="364" t="s">
        <v>88</v>
      </c>
      <c r="AH1383" s="364" t="s">
        <v>88</v>
      </c>
      <c r="AI1383" s="364" t="s">
        <v>1155</v>
      </c>
      <c r="AJ1383" s="364" t="s">
        <v>710</v>
      </c>
      <c r="AK1383" s="364" t="s">
        <v>88</v>
      </c>
      <c r="AL1383" s="364" t="s">
        <v>88</v>
      </c>
      <c r="AM1383" s="364" t="s">
        <v>668</v>
      </c>
      <c r="AN1383" s="364" t="s">
        <v>644</v>
      </c>
    </row>
    <row r="1384" spans="1:40" x14ac:dyDescent="0.3">
      <c r="A1384" s="364" t="s">
        <v>1274</v>
      </c>
      <c r="B1384" s="364" t="s">
        <v>661</v>
      </c>
      <c r="C1384" s="364" t="s">
        <v>1160</v>
      </c>
      <c r="D1384" s="364" t="s">
        <v>90</v>
      </c>
      <c r="E1384" s="364" t="s">
        <v>1273</v>
      </c>
      <c r="F1384" s="364" t="s">
        <v>1273</v>
      </c>
      <c r="G1384" s="364" t="s">
        <v>658</v>
      </c>
      <c r="H1384" s="364" t="s">
        <v>1272</v>
      </c>
      <c r="I1384" s="364" t="s">
        <v>88</v>
      </c>
      <c r="J1384" s="364" t="s">
        <v>673</v>
      </c>
      <c r="K1384" s="364" t="s">
        <v>668</v>
      </c>
      <c r="L1384" s="364" t="s">
        <v>190</v>
      </c>
      <c r="M1384" s="364" t="s">
        <v>417</v>
      </c>
      <c r="N1384" s="364" t="s">
        <v>654</v>
      </c>
      <c r="O1384" s="364" t="s">
        <v>653</v>
      </c>
      <c r="P1384" s="364" t="s">
        <v>198</v>
      </c>
      <c r="Q1384" s="364" t="s">
        <v>652</v>
      </c>
      <c r="R1384" s="364" t="s">
        <v>88</v>
      </c>
      <c r="S1384" s="364" t="s">
        <v>88</v>
      </c>
      <c r="T1384" s="364" t="s">
        <v>88</v>
      </c>
      <c r="U1384" s="364" t="s">
        <v>88</v>
      </c>
      <c r="V1384" s="364" t="s">
        <v>88</v>
      </c>
      <c r="W1384" s="364" t="s">
        <v>88</v>
      </c>
      <c r="X1384" s="364" t="s">
        <v>88</v>
      </c>
      <c r="Y1384" s="364" t="s">
        <v>88</v>
      </c>
      <c r="Z1384" s="364" t="s">
        <v>1261</v>
      </c>
      <c r="AA1384" s="364" t="s">
        <v>649</v>
      </c>
      <c r="AB1384" s="364" t="s">
        <v>649</v>
      </c>
      <c r="AC1384" s="364" t="s">
        <v>88</v>
      </c>
      <c r="AD1384" s="364" t="s">
        <v>88</v>
      </c>
      <c r="AE1384" s="364" t="s">
        <v>88</v>
      </c>
      <c r="AF1384" s="364" t="s">
        <v>88</v>
      </c>
      <c r="AG1384" s="364" t="s">
        <v>88</v>
      </c>
      <c r="AH1384" s="364" t="s">
        <v>88</v>
      </c>
      <c r="AI1384" s="364" t="s">
        <v>1155</v>
      </c>
      <c r="AJ1384" s="364" t="s">
        <v>710</v>
      </c>
      <c r="AK1384" s="364" t="s">
        <v>88</v>
      </c>
      <c r="AL1384" s="364" t="s">
        <v>88</v>
      </c>
      <c r="AM1384" s="364" t="s">
        <v>668</v>
      </c>
      <c r="AN1384" s="364" t="s">
        <v>644</v>
      </c>
    </row>
    <row r="1385" spans="1:40" x14ac:dyDescent="0.3">
      <c r="A1385" s="364" t="s">
        <v>1274</v>
      </c>
      <c r="B1385" s="364" t="s">
        <v>661</v>
      </c>
      <c r="C1385" s="364" t="s">
        <v>1160</v>
      </c>
      <c r="D1385" s="364" t="s">
        <v>90</v>
      </c>
      <c r="E1385" s="364" t="s">
        <v>1273</v>
      </c>
      <c r="F1385" s="364" t="s">
        <v>1273</v>
      </c>
      <c r="G1385" s="364" t="s">
        <v>658</v>
      </c>
      <c r="H1385" s="364" t="s">
        <v>1272</v>
      </c>
      <c r="I1385" s="364" t="s">
        <v>88</v>
      </c>
      <c r="J1385" s="364" t="s">
        <v>673</v>
      </c>
      <c r="K1385" s="364" t="s">
        <v>668</v>
      </c>
      <c r="L1385" s="364" t="s">
        <v>190</v>
      </c>
      <c r="M1385" s="364" t="s">
        <v>61</v>
      </c>
      <c r="N1385" s="364" t="s">
        <v>654</v>
      </c>
      <c r="O1385" s="364" t="s">
        <v>653</v>
      </c>
      <c r="P1385" s="364" t="s">
        <v>198</v>
      </c>
      <c r="Q1385" s="364" t="s">
        <v>652</v>
      </c>
      <c r="R1385" s="364" t="s">
        <v>88</v>
      </c>
      <c r="S1385" s="364" t="s">
        <v>88</v>
      </c>
      <c r="T1385" s="364" t="s">
        <v>88</v>
      </c>
      <c r="U1385" s="364" t="s">
        <v>88</v>
      </c>
      <c r="V1385" s="364" t="s">
        <v>88</v>
      </c>
      <c r="W1385" s="364" t="s">
        <v>88</v>
      </c>
      <c r="X1385" s="364" t="s">
        <v>88</v>
      </c>
      <c r="Y1385" s="364" t="s">
        <v>88</v>
      </c>
      <c r="Z1385" s="364" t="s">
        <v>1021</v>
      </c>
      <c r="AA1385" s="364" t="s">
        <v>671</v>
      </c>
      <c r="AB1385" s="364" t="s">
        <v>649</v>
      </c>
      <c r="AC1385" s="364" t="s">
        <v>88</v>
      </c>
      <c r="AD1385" s="364" t="s">
        <v>88</v>
      </c>
      <c r="AE1385" s="364" t="s">
        <v>88</v>
      </c>
      <c r="AF1385" s="364" t="s">
        <v>88</v>
      </c>
      <c r="AG1385" s="364" t="s">
        <v>88</v>
      </c>
      <c r="AH1385" s="364" t="s">
        <v>88</v>
      </c>
      <c r="AI1385" s="364" t="s">
        <v>1155</v>
      </c>
      <c r="AJ1385" s="364" t="s">
        <v>710</v>
      </c>
      <c r="AK1385" s="364" t="s">
        <v>88</v>
      </c>
      <c r="AL1385" s="364" t="s">
        <v>88</v>
      </c>
      <c r="AM1385" s="364" t="s">
        <v>668</v>
      </c>
      <c r="AN1385" s="364" t="s">
        <v>644</v>
      </c>
    </row>
    <row r="1386" spans="1:40" x14ac:dyDescent="0.3">
      <c r="A1386" s="364" t="s">
        <v>1274</v>
      </c>
      <c r="B1386" s="364" t="s">
        <v>661</v>
      </c>
      <c r="C1386" s="364" t="s">
        <v>1160</v>
      </c>
      <c r="D1386" s="364" t="s">
        <v>90</v>
      </c>
      <c r="E1386" s="364" t="s">
        <v>1273</v>
      </c>
      <c r="F1386" s="364" t="s">
        <v>1273</v>
      </c>
      <c r="G1386" s="364" t="s">
        <v>658</v>
      </c>
      <c r="H1386" s="364" t="s">
        <v>1272</v>
      </c>
      <c r="I1386" s="364" t="s">
        <v>88</v>
      </c>
      <c r="J1386" s="364" t="s">
        <v>673</v>
      </c>
      <c r="K1386" s="364" t="s">
        <v>668</v>
      </c>
      <c r="L1386" s="364" t="s">
        <v>190</v>
      </c>
      <c r="M1386" s="364" t="s">
        <v>242</v>
      </c>
      <c r="N1386" s="364" t="s">
        <v>654</v>
      </c>
      <c r="O1386" s="364" t="s">
        <v>653</v>
      </c>
      <c r="P1386" s="364" t="s">
        <v>198</v>
      </c>
      <c r="Q1386" s="364" t="s">
        <v>652</v>
      </c>
      <c r="R1386" s="364" t="s">
        <v>88</v>
      </c>
      <c r="S1386" s="364" t="s">
        <v>88</v>
      </c>
      <c r="T1386" s="364" t="s">
        <v>88</v>
      </c>
      <c r="U1386" s="364" t="s">
        <v>88</v>
      </c>
      <c r="V1386" s="364" t="s">
        <v>88</v>
      </c>
      <c r="W1386" s="364" t="s">
        <v>88</v>
      </c>
      <c r="X1386" s="364" t="s">
        <v>88</v>
      </c>
      <c r="Y1386" s="364" t="s">
        <v>88</v>
      </c>
      <c r="Z1386" s="364" t="s">
        <v>1157</v>
      </c>
      <c r="AA1386" s="364" t="s">
        <v>1156</v>
      </c>
      <c r="AB1386" s="364" t="s">
        <v>649</v>
      </c>
      <c r="AC1386" s="364" t="s">
        <v>88</v>
      </c>
      <c r="AD1386" s="364" t="s">
        <v>88</v>
      </c>
      <c r="AE1386" s="364" t="s">
        <v>88</v>
      </c>
      <c r="AF1386" s="364" t="s">
        <v>88</v>
      </c>
      <c r="AG1386" s="364" t="s">
        <v>88</v>
      </c>
      <c r="AH1386" s="364" t="s">
        <v>88</v>
      </c>
      <c r="AI1386" s="364" t="s">
        <v>1155</v>
      </c>
      <c r="AJ1386" s="364" t="s">
        <v>710</v>
      </c>
      <c r="AK1386" s="364" t="s">
        <v>88</v>
      </c>
      <c r="AL1386" s="364" t="s">
        <v>88</v>
      </c>
      <c r="AM1386" s="364" t="s">
        <v>668</v>
      </c>
      <c r="AN1386" s="364" t="s">
        <v>644</v>
      </c>
    </row>
    <row r="1387" spans="1:40" x14ac:dyDescent="0.3">
      <c r="A1387" s="364" t="s">
        <v>1274</v>
      </c>
      <c r="B1387" s="364" t="s">
        <v>661</v>
      </c>
      <c r="C1387" s="364" t="s">
        <v>1160</v>
      </c>
      <c r="D1387" s="364" t="s">
        <v>90</v>
      </c>
      <c r="E1387" s="364" t="s">
        <v>1273</v>
      </c>
      <c r="F1387" s="364" t="s">
        <v>1273</v>
      </c>
      <c r="G1387" s="364" t="s">
        <v>658</v>
      </c>
      <c r="H1387" s="364" t="s">
        <v>1272</v>
      </c>
      <c r="I1387" s="364" t="s">
        <v>88</v>
      </c>
      <c r="J1387" s="364" t="s">
        <v>673</v>
      </c>
      <c r="K1387" s="364" t="s">
        <v>668</v>
      </c>
      <c r="L1387" s="364" t="s">
        <v>190</v>
      </c>
      <c r="M1387" s="364" t="s">
        <v>1173</v>
      </c>
      <c r="N1387" s="364" t="s">
        <v>654</v>
      </c>
      <c r="O1387" s="364" t="s">
        <v>653</v>
      </c>
      <c r="P1387" s="364" t="s">
        <v>198</v>
      </c>
      <c r="Q1387" s="364" t="s">
        <v>652</v>
      </c>
      <c r="R1387" s="364" t="s">
        <v>88</v>
      </c>
      <c r="S1387" s="364" t="s">
        <v>88</v>
      </c>
      <c r="T1387" s="364" t="s">
        <v>88</v>
      </c>
      <c r="U1387" s="364" t="s">
        <v>88</v>
      </c>
      <c r="V1387" s="364" t="s">
        <v>88</v>
      </c>
      <c r="W1387" s="364" t="s">
        <v>88</v>
      </c>
      <c r="X1387" s="364" t="s">
        <v>88</v>
      </c>
      <c r="Y1387" s="364" t="s">
        <v>88</v>
      </c>
      <c r="Z1387" s="364" t="s">
        <v>1172</v>
      </c>
      <c r="AA1387" s="364" t="s">
        <v>1171</v>
      </c>
      <c r="AB1387" s="364" t="s">
        <v>649</v>
      </c>
      <c r="AC1387" s="364" t="s">
        <v>88</v>
      </c>
      <c r="AD1387" s="364" t="s">
        <v>88</v>
      </c>
      <c r="AE1387" s="364" t="s">
        <v>88</v>
      </c>
      <c r="AF1387" s="364" t="s">
        <v>88</v>
      </c>
      <c r="AG1387" s="364" t="s">
        <v>88</v>
      </c>
      <c r="AH1387" s="364" t="s">
        <v>88</v>
      </c>
      <c r="AI1387" s="364" t="s">
        <v>1155</v>
      </c>
      <c r="AJ1387" s="364" t="s">
        <v>710</v>
      </c>
      <c r="AK1387" s="364" t="s">
        <v>88</v>
      </c>
      <c r="AL1387" s="364" t="s">
        <v>88</v>
      </c>
      <c r="AM1387" s="364" t="s">
        <v>668</v>
      </c>
      <c r="AN1387" s="364" t="s">
        <v>644</v>
      </c>
    </row>
    <row r="1388" spans="1:40" x14ac:dyDescent="0.3">
      <c r="A1388" s="364" t="s">
        <v>1271</v>
      </c>
      <c r="B1388" s="364" t="s">
        <v>661</v>
      </c>
      <c r="C1388" s="364" t="s">
        <v>1160</v>
      </c>
      <c r="D1388" s="364" t="s">
        <v>90</v>
      </c>
      <c r="E1388" s="364" t="s">
        <v>1270</v>
      </c>
      <c r="F1388" s="364" t="s">
        <v>1270</v>
      </c>
      <c r="G1388" s="364" t="s">
        <v>658</v>
      </c>
      <c r="H1388" s="364" t="s">
        <v>1269</v>
      </c>
      <c r="I1388" s="364" t="s">
        <v>88</v>
      </c>
      <c r="J1388" s="364" t="s">
        <v>673</v>
      </c>
      <c r="K1388" s="364" t="s">
        <v>668</v>
      </c>
      <c r="L1388" s="364" t="s">
        <v>190</v>
      </c>
      <c r="M1388" s="364" t="s">
        <v>243</v>
      </c>
      <c r="N1388" s="364" t="s">
        <v>654</v>
      </c>
      <c r="O1388" s="364" t="s">
        <v>653</v>
      </c>
      <c r="P1388" s="364" t="s">
        <v>198</v>
      </c>
      <c r="Q1388" s="364" t="s">
        <v>652</v>
      </c>
      <c r="R1388" s="364" t="s">
        <v>88</v>
      </c>
      <c r="S1388" s="364" t="s">
        <v>88</v>
      </c>
      <c r="T1388" s="364" t="s">
        <v>88</v>
      </c>
      <c r="U1388" s="364" t="s">
        <v>88</v>
      </c>
      <c r="V1388" s="364" t="s">
        <v>88</v>
      </c>
      <c r="W1388" s="364" t="s">
        <v>88</v>
      </c>
      <c r="X1388" s="364" t="s">
        <v>88</v>
      </c>
      <c r="Y1388" s="364" t="s">
        <v>88</v>
      </c>
      <c r="Z1388" s="364" t="s">
        <v>1175</v>
      </c>
      <c r="AA1388" s="364" t="s">
        <v>1174</v>
      </c>
      <c r="AB1388" s="364" t="s">
        <v>649</v>
      </c>
      <c r="AC1388" s="364" t="s">
        <v>88</v>
      </c>
      <c r="AD1388" s="364" t="s">
        <v>88</v>
      </c>
      <c r="AE1388" s="364" t="s">
        <v>88</v>
      </c>
      <c r="AF1388" s="364" t="s">
        <v>88</v>
      </c>
      <c r="AG1388" s="364" t="s">
        <v>88</v>
      </c>
      <c r="AH1388" s="364" t="s">
        <v>88</v>
      </c>
      <c r="AI1388" s="364" t="s">
        <v>1155</v>
      </c>
      <c r="AJ1388" s="364" t="s">
        <v>710</v>
      </c>
      <c r="AK1388" s="364" t="s">
        <v>88</v>
      </c>
      <c r="AL1388" s="364" t="s">
        <v>88</v>
      </c>
      <c r="AM1388" s="364" t="s">
        <v>668</v>
      </c>
      <c r="AN1388" s="364" t="s">
        <v>644</v>
      </c>
    </row>
    <row r="1389" spans="1:40" x14ac:dyDescent="0.3">
      <c r="A1389" s="364" t="s">
        <v>1271</v>
      </c>
      <c r="B1389" s="364" t="s">
        <v>661</v>
      </c>
      <c r="C1389" s="364" t="s">
        <v>1160</v>
      </c>
      <c r="D1389" s="364" t="s">
        <v>90</v>
      </c>
      <c r="E1389" s="364" t="s">
        <v>1270</v>
      </c>
      <c r="F1389" s="364" t="s">
        <v>1270</v>
      </c>
      <c r="G1389" s="364" t="s">
        <v>658</v>
      </c>
      <c r="H1389" s="364" t="s">
        <v>1269</v>
      </c>
      <c r="I1389" s="364" t="s">
        <v>88</v>
      </c>
      <c r="J1389" s="364" t="s">
        <v>673</v>
      </c>
      <c r="K1389" s="364" t="s">
        <v>668</v>
      </c>
      <c r="L1389" s="364" t="s">
        <v>190</v>
      </c>
      <c r="M1389" s="364" t="s">
        <v>1168</v>
      </c>
      <c r="N1389" s="364" t="s">
        <v>654</v>
      </c>
      <c r="O1389" s="364" t="s">
        <v>653</v>
      </c>
      <c r="P1389" s="364" t="s">
        <v>198</v>
      </c>
      <c r="Q1389" s="364" t="s">
        <v>652</v>
      </c>
      <c r="R1389" s="364" t="s">
        <v>88</v>
      </c>
      <c r="S1389" s="364" t="s">
        <v>88</v>
      </c>
      <c r="T1389" s="364" t="s">
        <v>88</v>
      </c>
      <c r="U1389" s="364" t="s">
        <v>88</v>
      </c>
      <c r="V1389" s="364" t="s">
        <v>88</v>
      </c>
      <c r="W1389" s="364" t="s">
        <v>88</v>
      </c>
      <c r="X1389" s="364" t="s">
        <v>88</v>
      </c>
      <c r="Y1389" s="364" t="s">
        <v>88</v>
      </c>
      <c r="Z1389" s="364" t="s">
        <v>1167</v>
      </c>
      <c r="AA1389" s="364" t="s">
        <v>1166</v>
      </c>
      <c r="AB1389" s="364" t="s">
        <v>649</v>
      </c>
      <c r="AC1389" s="364" t="s">
        <v>88</v>
      </c>
      <c r="AD1389" s="364" t="s">
        <v>88</v>
      </c>
      <c r="AE1389" s="364" t="s">
        <v>88</v>
      </c>
      <c r="AF1389" s="364" t="s">
        <v>88</v>
      </c>
      <c r="AG1389" s="364" t="s">
        <v>88</v>
      </c>
      <c r="AH1389" s="364" t="s">
        <v>88</v>
      </c>
      <c r="AI1389" s="364" t="s">
        <v>1155</v>
      </c>
      <c r="AJ1389" s="364" t="s">
        <v>710</v>
      </c>
      <c r="AK1389" s="364" t="s">
        <v>88</v>
      </c>
      <c r="AL1389" s="364" t="s">
        <v>88</v>
      </c>
      <c r="AM1389" s="364" t="s">
        <v>668</v>
      </c>
      <c r="AN1389" s="364" t="s">
        <v>644</v>
      </c>
    </row>
    <row r="1390" spans="1:40" x14ac:dyDescent="0.3">
      <c r="A1390" s="364" t="s">
        <v>1271</v>
      </c>
      <c r="B1390" s="364" t="s">
        <v>661</v>
      </c>
      <c r="C1390" s="364" t="s">
        <v>1160</v>
      </c>
      <c r="D1390" s="364" t="s">
        <v>90</v>
      </c>
      <c r="E1390" s="364" t="s">
        <v>1270</v>
      </c>
      <c r="F1390" s="364" t="s">
        <v>1270</v>
      </c>
      <c r="G1390" s="364" t="s">
        <v>658</v>
      </c>
      <c r="H1390" s="364" t="s">
        <v>1269</v>
      </c>
      <c r="I1390" s="364" t="s">
        <v>88</v>
      </c>
      <c r="J1390" s="364" t="s">
        <v>673</v>
      </c>
      <c r="K1390" s="364" t="s">
        <v>668</v>
      </c>
      <c r="L1390" s="364" t="s">
        <v>190</v>
      </c>
      <c r="M1390" s="364" t="s">
        <v>713</v>
      </c>
      <c r="N1390" s="364" t="s">
        <v>654</v>
      </c>
      <c r="O1390" s="364" t="s">
        <v>653</v>
      </c>
      <c r="P1390" s="364" t="s">
        <v>198</v>
      </c>
      <c r="Q1390" s="364" t="s">
        <v>652</v>
      </c>
      <c r="R1390" s="364" t="s">
        <v>88</v>
      </c>
      <c r="S1390" s="364" t="s">
        <v>88</v>
      </c>
      <c r="T1390" s="364" t="s">
        <v>88</v>
      </c>
      <c r="U1390" s="364" t="s">
        <v>88</v>
      </c>
      <c r="V1390" s="364" t="s">
        <v>88</v>
      </c>
      <c r="W1390" s="364" t="s">
        <v>88</v>
      </c>
      <c r="X1390" s="364" t="s">
        <v>88</v>
      </c>
      <c r="Y1390" s="364" t="s">
        <v>88</v>
      </c>
      <c r="Z1390" s="364" t="s">
        <v>712</v>
      </c>
      <c r="AA1390" s="364" t="s">
        <v>711</v>
      </c>
      <c r="AB1390" s="364" t="s">
        <v>649</v>
      </c>
      <c r="AC1390" s="364" t="s">
        <v>88</v>
      </c>
      <c r="AD1390" s="364" t="s">
        <v>88</v>
      </c>
      <c r="AE1390" s="364" t="s">
        <v>88</v>
      </c>
      <c r="AF1390" s="364" t="s">
        <v>88</v>
      </c>
      <c r="AG1390" s="364" t="s">
        <v>88</v>
      </c>
      <c r="AH1390" s="364" t="s">
        <v>88</v>
      </c>
      <c r="AI1390" s="364" t="s">
        <v>1155</v>
      </c>
      <c r="AJ1390" s="364" t="s">
        <v>710</v>
      </c>
      <c r="AK1390" s="364" t="s">
        <v>88</v>
      </c>
      <c r="AL1390" s="364" t="s">
        <v>88</v>
      </c>
      <c r="AM1390" s="364" t="s">
        <v>668</v>
      </c>
      <c r="AN1390" s="364" t="s">
        <v>644</v>
      </c>
    </row>
    <row r="1391" spans="1:40" x14ac:dyDescent="0.3">
      <c r="A1391" s="364" t="s">
        <v>1271</v>
      </c>
      <c r="B1391" s="364" t="s">
        <v>661</v>
      </c>
      <c r="C1391" s="364" t="s">
        <v>1160</v>
      </c>
      <c r="D1391" s="364" t="s">
        <v>90</v>
      </c>
      <c r="E1391" s="364" t="s">
        <v>1270</v>
      </c>
      <c r="F1391" s="364" t="s">
        <v>1270</v>
      </c>
      <c r="G1391" s="364" t="s">
        <v>658</v>
      </c>
      <c r="H1391" s="364" t="s">
        <v>1269</v>
      </c>
      <c r="I1391" s="364" t="s">
        <v>88</v>
      </c>
      <c r="J1391" s="364" t="s">
        <v>673</v>
      </c>
      <c r="K1391" s="364" t="s">
        <v>668</v>
      </c>
      <c r="L1391" s="364" t="s">
        <v>190</v>
      </c>
      <c r="M1391" s="364" t="s">
        <v>56</v>
      </c>
      <c r="N1391" s="364" t="s">
        <v>654</v>
      </c>
      <c r="O1391" s="364" t="s">
        <v>653</v>
      </c>
      <c r="P1391" s="364" t="s">
        <v>198</v>
      </c>
      <c r="Q1391" s="364" t="s">
        <v>652</v>
      </c>
      <c r="R1391" s="364" t="s">
        <v>88</v>
      </c>
      <c r="S1391" s="364" t="s">
        <v>88</v>
      </c>
      <c r="T1391" s="364" t="s">
        <v>88</v>
      </c>
      <c r="U1391" s="364" t="s">
        <v>88</v>
      </c>
      <c r="V1391" s="364" t="s">
        <v>88</v>
      </c>
      <c r="W1391" s="364" t="s">
        <v>88</v>
      </c>
      <c r="X1391" s="364" t="s">
        <v>88</v>
      </c>
      <c r="Y1391" s="364" t="s">
        <v>88</v>
      </c>
      <c r="Z1391" s="364" t="s">
        <v>1165</v>
      </c>
      <c r="AA1391" s="364" t="s">
        <v>1164</v>
      </c>
      <c r="AB1391" s="364" t="s">
        <v>649</v>
      </c>
      <c r="AC1391" s="364" t="s">
        <v>88</v>
      </c>
      <c r="AD1391" s="364" t="s">
        <v>88</v>
      </c>
      <c r="AE1391" s="364" t="s">
        <v>88</v>
      </c>
      <c r="AF1391" s="364" t="s">
        <v>88</v>
      </c>
      <c r="AG1391" s="364" t="s">
        <v>88</v>
      </c>
      <c r="AH1391" s="364" t="s">
        <v>88</v>
      </c>
      <c r="AI1391" s="364" t="s">
        <v>1155</v>
      </c>
      <c r="AJ1391" s="364" t="s">
        <v>710</v>
      </c>
      <c r="AK1391" s="364" t="s">
        <v>88</v>
      </c>
      <c r="AL1391" s="364" t="s">
        <v>88</v>
      </c>
      <c r="AM1391" s="364" t="s">
        <v>668</v>
      </c>
      <c r="AN1391" s="364" t="s">
        <v>644</v>
      </c>
    </row>
    <row r="1392" spans="1:40" x14ac:dyDescent="0.3">
      <c r="A1392" s="364" t="s">
        <v>1271</v>
      </c>
      <c r="B1392" s="364" t="s">
        <v>661</v>
      </c>
      <c r="C1392" s="364" t="s">
        <v>1160</v>
      </c>
      <c r="D1392" s="364" t="s">
        <v>90</v>
      </c>
      <c r="E1392" s="364" t="s">
        <v>1270</v>
      </c>
      <c r="F1392" s="364" t="s">
        <v>1270</v>
      </c>
      <c r="G1392" s="364" t="s">
        <v>658</v>
      </c>
      <c r="H1392" s="364" t="s">
        <v>1269</v>
      </c>
      <c r="I1392" s="364" t="s">
        <v>88</v>
      </c>
      <c r="J1392" s="364" t="s">
        <v>673</v>
      </c>
      <c r="K1392" s="364" t="s">
        <v>668</v>
      </c>
      <c r="L1392" s="364" t="s">
        <v>190</v>
      </c>
      <c r="M1392" s="364" t="s">
        <v>241</v>
      </c>
      <c r="N1392" s="364" t="s">
        <v>654</v>
      </c>
      <c r="O1392" s="364" t="s">
        <v>653</v>
      </c>
      <c r="P1392" s="364" t="s">
        <v>198</v>
      </c>
      <c r="Q1392" s="364" t="s">
        <v>652</v>
      </c>
      <c r="R1392" s="364" t="s">
        <v>88</v>
      </c>
      <c r="S1392" s="364" t="s">
        <v>88</v>
      </c>
      <c r="T1392" s="364" t="s">
        <v>88</v>
      </c>
      <c r="U1392" s="364" t="s">
        <v>88</v>
      </c>
      <c r="V1392" s="364" t="s">
        <v>88</v>
      </c>
      <c r="W1392" s="364" t="s">
        <v>88</v>
      </c>
      <c r="X1392" s="364" t="s">
        <v>88</v>
      </c>
      <c r="Y1392" s="364" t="s">
        <v>88</v>
      </c>
      <c r="Z1392" s="364" t="s">
        <v>1170</v>
      </c>
      <c r="AA1392" s="364" t="s">
        <v>1169</v>
      </c>
      <c r="AB1392" s="364" t="s">
        <v>649</v>
      </c>
      <c r="AC1392" s="364" t="s">
        <v>88</v>
      </c>
      <c r="AD1392" s="364" t="s">
        <v>88</v>
      </c>
      <c r="AE1392" s="364" t="s">
        <v>88</v>
      </c>
      <c r="AF1392" s="364" t="s">
        <v>88</v>
      </c>
      <c r="AG1392" s="364" t="s">
        <v>88</v>
      </c>
      <c r="AH1392" s="364" t="s">
        <v>88</v>
      </c>
      <c r="AI1392" s="364" t="s">
        <v>1155</v>
      </c>
      <c r="AJ1392" s="364" t="s">
        <v>710</v>
      </c>
      <c r="AK1392" s="364" t="s">
        <v>88</v>
      </c>
      <c r="AL1392" s="364" t="s">
        <v>88</v>
      </c>
      <c r="AM1392" s="364" t="s">
        <v>668</v>
      </c>
      <c r="AN1392" s="364" t="s">
        <v>644</v>
      </c>
    </row>
    <row r="1393" spans="1:40" x14ac:dyDescent="0.3">
      <c r="A1393" s="364" t="s">
        <v>1271</v>
      </c>
      <c r="B1393" s="364" t="s">
        <v>661</v>
      </c>
      <c r="C1393" s="364" t="s">
        <v>1160</v>
      </c>
      <c r="D1393" s="364" t="s">
        <v>90</v>
      </c>
      <c r="E1393" s="364" t="s">
        <v>1270</v>
      </c>
      <c r="F1393" s="364" t="s">
        <v>1270</v>
      </c>
      <c r="G1393" s="364" t="s">
        <v>658</v>
      </c>
      <c r="H1393" s="364" t="s">
        <v>1269</v>
      </c>
      <c r="I1393" s="364" t="s">
        <v>88</v>
      </c>
      <c r="J1393" s="364" t="s">
        <v>673</v>
      </c>
      <c r="K1393" s="364" t="s">
        <v>668</v>
      </c>
      <c r="L1393" s="364" t="s">
        <v>190</v>
      </c>
      <c r="M1393" s="364" t="s">
        <v>240</v>
      </c>
      <c r="N1393" s="364" t="s">
        <v>654</v>
      </c>
      <c r="O1393" s="364" t="s">
        <v>653</v>
      </c>
      <c r="P1393" s="364" t="s">
        <v>198</v>
      </c>
      <c r="Q1393" s="364" t="s">
        <v>652</v>
      </c>
      <c r="R1393" s="364" t="s">
        <v>88</v>
      </c>
      <c r="S1393" s="364" t="s">
        <v>88</v>
      </c>
      <c r="T1393" s="364" t="s">
        <v>88</v>
      </c>
      <c r="U1393" s="364" t="s">
        <v>88</v>
      </c>
      <c r="V1393" s="364" t="s">
        <v>88</v>
      </c>
      <c r="W1393" s="364" t="s">
        <v>88</v>
      </c>
      <c r="X1393" s="364" t="s">
        <v>88</v>
      </c>
      <c r="Y1393" s="364" t="s">
        <v>88</v>
      </c>
      <c r="Z1393" s="364" t="s">
        <v>1163</v>
      </c>
      <c r="AA1393" s="364" t="s">
        <v>1162</v>
      </c>
      <c r="AB1393" s="364" t="s">
        <v>649</v>
      </c>
      <c r="AC1393" s="364" t="s">
        <v>88</v>
      </c>
      <c r="AD1393" s="364" t="s">
        <v>88</v>
      </c>
      <c r="AE1393" s="364" t="s">
        <v>88</v>
      </c>
      <c r="AF1393" s="364" t="s">
        <v>88</v>
      </c>
      <c r="AG1393" s="364" t="s">
        <v>88</v>
      </c>
      <c r="AH1393" s="364" t="s">
        <v>88</v>
      </c>
      <c r="AI1393" s="364" t="s">
        <v>1155</v>
      </c>
      <c r="AJ1393" s="364" t="s">
        <v>710</v>
      </c>
      <c r="AK1393" s="364" t="s">
        <v>88</v>
      </c>
      <c r="AL1393" s="364" t="s">
        <v>88</v>
      </c>
      <c r="AM1393" s="364" t="s">
        <v>668</v>
      </c>
      <c r="AN1393" s="364" t="s">
        <v>644</v>
      </c>
    </row>
    <row r="1394" spans="1:40" x14ac:dyDescent="0.3">
      <c r="A1394" s="364" t="s">
        <v>1271</v>
      </c>
      <c r="B1394" s="364" t="s">
        <v>661</v>
      </c>
      <c r="C1394" s="364" t="s">
        <v>1160</v>
      </c>
      <c r="D1394" s="364" t="s">
        <v>90</v>
      </c>
      <c r="E1394" s="364" t="s">
        <v>1270</v>
      </c>
      <c r="F1394" s="364" t="s">
        <v>1270</v>
      </c>
      <c r="G1394" s="364" t="s">
        <v>658</v>
      </c>
      <c r="H1394" s="364" t="s">
        <v>1269</v>
      </c>
      <c r="I1394" s="364" t="s">
        <v>88</v>
      </c>
      <c r="J1394" s="364" t="s">
        <v>673</v>
      </c>
      <c r="K1394" s="364" t="s">
        <v>668</v>
      </c>
      <c r="L1394" s="364" t="s">
        <v>190</v>
      </c>
      <c r="M1394" s="364" t="s">
        <v>417</v>
      </c>
      <c r="N1394" s="364" t="s">
        <v>654</v>
      </c>
      <c r="O1394" s="364" t="s">
        <v>653</v>
      </c>
      <c r="P1394" s="364" t="s">
        <v>198</v>
      </c>
      <c r="Q1394" s="364" t="s">
        <v>652</v>
      </c>
      <c r="R1394" s="364" t="s">
        <v>88</v>
      </c>
      <c r="S1394" s="364" t="s">
        <v>88</v>
      </c>
      <c r="T1394" s="364" t="s">
        <v>88</v>
      </c>
      <c r="U1394" s="364" t="s">
        <v>88</v>
      </c>
      <c r="V1394" s="364" t="s">
        <v>88</v>
      </c>
      <c r="W1394" s="364" t="s">
        <v>88</v>
      </c>
      <c r="X1394" s="364" t="s">
        <v>88</v>
      </c>
      <c r="Y1394" s="364" t="s">
        <v>88</v>
      </c>
      <c r="Z1394" s="364" t="s">
        <v>1261</v>
      </c>
      <c r="AA1394" s="364" t="s">
        <v>649</v>
      </c>
      <c r="AB1394" s="364" t="s">
        <v>649</v>
      </c>
      <c r="AC1394" s="364" t="s">
        <v>88</v>
      </c>
      <c r="AD1394" s="364" t="s">
        <v>88</v>
      </c>
      <c r="AE1394" s="364" t="s">
        <v>88</v>
      </c>
      <c r="AF1394" s="364" t="s">
        <v>88</v>
      </c>
      <c r="AG1394" s="364" t="s">
        <v>88</v>
      </c>
      <c r="AH1394" s="364" t="s">
        <v>88</v>
      </c>
      <c r="AI1394" s="364" t="s">
        <v>1155</v>
      </c>
      <c r="AJ1394" s="364" t="s">
        <v>710</v>
      </c>
      <c r="AK1394" s="364" t="s">
        <v>88</v>
      </c>
      <c r="AL1394" s="364" t="s">
        <v>88</v>
      </c>
      <c r="AM1394" s="364" t="s">
        <v>668</v>
      </c>
      <c r="AN1394" s="364" t="s">
        <v>644</v>
      </c>
    </row>
    <row r="1395" spans="1:40" x14ac:dyDescent="0.3">
      <c r="A1395" s="364" t="s">
        <v>1271</v>
      </c>
      <c r="B1395" s="364" t="s">
        <v>661</v>
      </c>
      <c r="C1395" s="364" t="s">
        <v>1160</v>
      </c>
      <c r="D1395" s="364" t="s">
        <v>90</v>
      </c>
      <c r="E1395" s="364" t="s">
        <v>1270</v>
      </c>
      <c r="F1395" s="364" t="s">
        <v>1270</v>
      </c>
      <c r="G1395" s="364" t="s">
        <v>658</v>
      </c>
      <c r="H1395" s="364" t="s">
        <v>1269</v>
      </c>
      <c r="I1395" s="364" t="s">
        <v>88</v>
      </c>
      <c r="J1395" s="364" t="s">
        <v>673</v>
      </c>
      <c r="K1395" s="364" t="s">
        <v>668</v>
      </c>
      <c r="L1395" s="364" t="s">
        <v>190</v>
      </c>
      <c r="M1395" s="364" t="s">
        <v>61</v>
      </c>
      <c r="N1395" s="364" t="s">
        <v>654</v>
      </c>
      <c r="O1395" s="364" t="s">
        <v>653</v>
      </c>
      <c r="P1395" s="364" t="s">
        <v>198</v>
      </c>
      <c r="Q1395" s="364" t="s">
        <v>652</v>
      </c>
      <c r="R1395" s="364" t="s">
        <v>88</v>
      </c>
      <c r="S1395" s="364" t="s">
        <v>88</v>
      </c>
      <c r="T1395" s="364" t="s">
        <v>88</v>
      </c>
      <c r="U1395" s="364" t="s">
        <v>88</v>
      </c>
      <c r="V1395" s="364" t="s">
        <v>88</v>
      </c>
      <c r="W1395" s="364" t="s">
        <v>88</v>
      </c>
      <c r="X1395" s="364" t="s">
        <v>88</v>
      </c>
      <c r="Y1395" s="364" t="s">
        <v>88</v>
      </c>
      <c r="Z1395" s="364" t="s">
        <v>1021</v>
      </c>
      <c r="AA1395" s="364" t="s">
        <v>671</v>
      </c>
      <c r="AB1395" s="364" t="s">
        <v>649</v>
      </c>
      <c r="AC1395" s="364" t="s">
        <v>88</v>
      </c>
      <c r="AD1395" s="364" t="s">
        <v>88</v>
      </c>
      <c r="AE1395" s="364" t="s">
        <v>88</v>
      </c>
      <c r="AF1395" s="364" t="s">
        <v>88</v>
      </c>
      <c r="AG1395" s="364" t="s">
        <v>88</v>
      </c>
      <c r="AH1395" s="364" t="s">
        <v>88</v>
      </c>
      <c r="AI1395" s="364" t="s">
        <v>1155</v>
      </c>
      <c r="AJ1395" s="364" t="s">
        <v>710</v>
      </c>
      <c r="AK1395" s="364" t="s">
        <v>88</v>
      </c>
      <c r="AL1395" s="364" t="s">
        <v>88</v>
      </c>
      <c r="AM1395" s="364" t="s">
        <v>668</v>
      </c>
      <c r="AN1395" s="364" t="s">
        <v>644</v>
      </c>
    </row>
    <row r="1396" spans="1:40" x14ac:dyDescent="0.3">
      <c r="A1396" s="364" t="s">
        <v>1271</v>
      </c>
      <c r="B1396" s="364" t="s">
        <v>661</v>
      </c>
      <c r="C1396" s="364" t="s">
        <v>1160</v>
      </c>
      <c r="D1396" s="364" t="s">
        <v>90</v>
      </c>
      <c r="E1396" s="364" t="s">
        <v>1270</v>
      </c>
      <c r="F1396" s="364" t="s">
        <v>1270</v>
      </c>
      <c r="G1396" s="364" t="s">
        <v>658</v>
      </c>
      <c r="H1396" s="364" t="s">
        <v>1269</v>
      </c>
      <c r="I1396" s="364" t="s">
        <v>88</v>
      </c>
      <c r="J1396" s="364" t="s">
        <v>673</v>
      </c>
      <c r="K1396" s="364" t="s">
        <v>668</v>
      </c>
      <c r="L1396" s="364" t="s">
        <v>190</v>
      </c>
      <c r="M1396" s="364" t="s">
        <v>242</v>
      </c>
      <c r="N1396" s="364" t="s">
        <v>654</v>
      </c>
      <c r="O1396" s="364" t="s">
        <v>653</v>
      </c>
      <c r="P1396" s="364" t="s">
        <v>198</v>
      </c>
      <c r="Q1396" s="364" t="s">
        <v>652</v>
      </c>
      <c r="R1396" s="364" t="s">
        <v>88</v>
      </c>
      <c r="S1396" s="364" t="s">
        <v>88</v>
      </c>
      <c r="T1396" s="364" t="s">
        <v>88</v>
      </c>
      <c r="U1396" s="364" t="s">
        <v>88</v>
      </c>
      <c r="V1396" s="364" t="s">
        <v>88</v>
      </c>
      <c r="W1396" s="364" t="s">
        <v>88</v>
      </c>
      <c r="X1396" s="364" t="s">
        <v>88</v>
      </c>
      <c r="Y1396" s="364" t="s">
        <v>88</v>
      </c>
      <c r="Z1396" s="364" t="s">
        <v>1157</v>
      </c>
      <c r="AA1396" s="364" t="s">
        <v>1156</v>
      </c>
      <c r="AB1396" s="364" t="s">
        <v>649</v>
      </c>
      <c r="AC1396" s="364" t="s">
        <v>88</v>
      </c>
      <c r="AD1396" s="364" t="s">
        <v>88</v>
      </c>
      <c r="AE1396" s="364" t="s">
        <v>88</v>
      </c>
      <c r="AF1396" s="364" t="s">
        <v>88</v>
      </c>
      <c r="AG1396" s="364" t="s">
        <v>88</v>
      </c>
      <c r="AH1396" s="364" t="s">
        <v>88</v>
      </c>
      <c r="AI1396" s="364" t="s">
        <v>1155</v>
      </c>
      <c r="AJ1396" s="364" t="s">
        <v>710</v>
      </c>
      <c r="AK1396" s="364" t="s">
        <v>88</v>
      </c>
      <c r="AL1396" s="364" t="s">
        <v>88</v>
      </c>
      <c r="AM1396" s="364" t="s">
        <v>668</v>
      </c>
      <c r="AN1396" s="364" t="s">
        <v>644</v>
      </c>
    </row>
    <row r="1397" spans="1:40" x14ac:dyDescent="0.3">
      <c r="A1397" s="364" t="s">
        <v>1271</v>
      </c>
      <c r="B1397" s="364" t="s">
        <v>661</v>
      </c>
      <c r="C1397" s="364" t="s">
        <v>1160</v>
      </c>
      <c r="D1397" s="364" t="s">
        <v>90</v>
      </c>
      <c r="E1397" s="364" t="s">
        <v>1270</v>
      </c>
      <c r="F1397" s="364" t="s">
        <v>1270</v>
      </c>
      <c r="G1397" s="364" t="s">
        <v>658</v>
      </c>
      <c r="H1397" s="364" t="s">
        <v>1269</v>
      </c>
      <c r="I1397" s="364" t="s">
        <v>88</v>
      </c>
      <c r="J1397" s="364" t="s">
        <v>673</v>
      </c>
      <c r="K1397" s="364" t="s">
        <v>668</v>
      </c>
      <c r="L1397" s="364" t="s">
        <v>190</v>
      </c>
      <c r="M1397" s="364" t="s">
        <v>1173</v>
      </c>
      <c r="N1397" s="364" t="s">
        <v>654</v>
      </c>
      <c r="O1397" s="364" t="s">
        <v>653</v>
      </c>
      <c r="P1397" s="364" t="s">
        <v>198</v>
      </c>
      <c r="Q1397" s="364" t="s">
        <v>652</v>
      </c>
      <c r="R1397" s="364" t="s">
        <v>88</v>
      </c>
      <c r="S1397" s="364" t="s">
        <v>88</v>
      </c>
      <c r="T1397" s="364" t="s">
        <v>88</v>
      </c>
      <c r="U1397" s="364" t="s">
        <v>88</v>
      </c>
      <c r="V1397" s="364" t="s">
        <v>88</v>
      </c>
      <c r="W1397" s="364" t="s">
        <v>88</v>
      </c>
      <c r="X1397" s="364" t="s">
        <v>88</v>
      </c>
      <c r="Y1397" s="364" t="s">
        <v>88</v>
      </c>
      <c r="Z1397" s="364" t="s">
        <v>1172</v>
      </c>
      <c r="AA1397" s="364" t="s">
        <v>1171</v>
      </c>
      <c r="AB1397" s="364" t="s">
        <v>649</v>
      </c>
      <c r="AC1397" s="364" t="s">
        <v>88</v>
      </c>
      <c r="AD1397" s="364" t="s">
        <v>88</v>
      </c>
      <c r="AE1397" s="364" t="s">
        <v>88</v>
      </c>
      <c r="AF1397" s="364" t="s">
        <v>88</v>
      </c>
      <c r="AG1397" s="364" t="s">
        <v>88</v>
      </c>
      <c r="AH1397" s="364" t="s">
        <v>88</v>
      </c>
      <c r="AI1397" s="364" t="s">
        <v>1155</v>
      </c>
      <c r="AJ1397" s="364" t="s">
        <v>710</v>
      </c>
      <c r="AK1397" s="364" t="s">
        <v>88</v>
      </c>
      <c r="AL1397" s="364" t="s">
        <v>88</v>
      </c>
      <c r="AM1397" s="364" t="s">
        <v>668</v>
      </c>
      <c r="AN1397" s="364" t="s">
        <v>644</v>
      </c>
    </row>
    <row r="1398" spans="1:40" x14ac:dyDescent="0.3">
      <c r="A1398" s="364" t="s">
        <v>1268</v>
      </c>
      <c r="B1398" s="364" t="s">
        <v>661</v>
      </c>
      <c r="C1398" s="364" t="s">
        <v>1160</v>
      </c>
      <c r="D1398" s="364" t="s">
        <v>90</v>
      </c>
      <c r="E1398" s="364" t="s">
        <v>1267</v>
      </c>
      <c r="F1398" s="364" t="s">
        <v>1267</v>
      </c>
      <c r="G1398" s="364" t="s">
        <v>658</v>
      </c>
      <c r="H1398" s="364" t="s">
        <v>1266</v>
      </c>
      <c r="I1398" s="364" t="s">
        <v>88</v>
      </c>
      <c r="J1398" s="364" t="s">
        <v>673</v>
      </c>
      <c r="K1398" s="364" t="s">
        <v>668</v>
      </c>
      <c r="L1398" s="364" t="s">
        <v>190</v>
      </c>
      <c r="M1398" s="364" t="s">
        <v>1173</v>
      </c>
      <c r="N1398" s="364" t="s">
        <v>654</v>
      </c>
      <c r="O1398" s="364" t="s">
        <v>653</v>
      </c>
      <c r="P1398" s="364" t="s">
        <v>198</v>
      </c>
      <c r="Q1398" s="364" t="s">
        <v>652</v>
      </c>
      <c r="R1398" s="364" t="s">
        <v>88</v>
      </c>
      <c r="S1398" s="364" t="s">
        <v>88</v>
      </c>
      <c r="T1398" s="364" t="s">
        <v>88</v>
      </c>
      <c r="U1398" s="364" t="s">
        <v>88</v>
      </c>
      <c r="V1398" s="364" t="s">
        <v>88</v>
      </c>
      <c r="W1398" s="364" t="s">
        <v>88</v>
      </c>
      <c r="X1398" s="364" t="s">
        <v>88</v>
      </c>
      <c r="Y1398" s="364" t="s">
        <v>88</v>
      </c>
      <c r="Z1398" s="364" t="s">
        <v>1172</v>
      </c>
      <c r="AA1398" s="364" t="s">
        <v>1171</v>
      </c>
      <c r="AB1398" s="364" t="s">
        <v>649</v>
      </c>
      <c r="AC1398" s="364" t="s">
        <v>88</v>
      </c>
      <c r="AD1398" s="364" t="s">
        <v>88</v>
      </c>
      <c r="AE1398" s="364" t="s">
        <v>88</v>
      </c>
      <c r="AF1398" s="364" t="s">
        <v>88</v>
      </c>
      <c r="AG1398" s="364" t="s">
        <v>88</v>
      </c>
      <c r="AH1398" s="364" t="s">
        <v>88</v>
      </c>
      <c r="AI1398" s="364" t="s">
        <v>1155</v>
      </c>
      <c r="AJ1398" s="364" t="s">
        <v>710</v>
      </c>
      <c r="AK1398" s="364" t="s">
        <v>88</v>
      </c>
      <c r="AL1398" s="364" t="s">
        <v>88</v>
      </c>
      <c r="AM1398" s="364" t="s">
        <v>668</v>
      </c>
      <c r="AN1398" s="364" t="s">
        <v>644</v>
      </c>
    </row>
    <row r="1399" spans="1:40" x14ac:dyDescent="0.3">
      <c r="A1399" s="364" t="s">
        <v>1268</v>
      </c>
      <c r="B1399" s="364" t="s">
        <v>661</v>
      </c>
      <c r="C1399" s="364" t="s">
        <v>1160</v>
      </c>
      <c r="D1399" s="364" t="s">
        <v>90</v>
      </c>
      <c r="E1399" s="364" t="s">
        <v>1267</v>
      </c>
      <c r="F1399" s="364" t="s">
        <v>1267</v>
      </c>
      <c r="G1399" s="364" t="s">
        <v>658</v>
      </c>
      <c r="H1399" s="364" t="s">
        <v>1266</v>
      </c>
      <c r="I1399" s="364" t="s">
        <v>88</v>
      </c>
      <c r="J1399" s="364" t="s">
        <v>673</v>
      </c>
      <c r="K1399" s="364" t="s">
        <v>668</v>
      </c>
      <c r="L1399" s="364" t="s">
        <v>190</v>
      </c>
      <c r="M1399" s="364" t="s">
        <v>243</v>
      </c>
      <c r="N1399" s="364" t="s">
        <v>654</v>
      </c>
      <c r="O1399" s="364" t="s">
        <v>653</v>
      </c>
      <c r="P1399" s="364" t="s">
        <v>198</v>
      </c>
      <c r="Q1399" s="364" t="s">
        <v>652</v>
      </c>
      <c r="R1399" s="364" t="s">
        <v>88</v>
      </c>
      <c r="S1399" s="364" t="s">
        <v>88</v>
      </c>
      <c r="T1399" s="364" t="s">
        <v>88</v>
      </c>
      <c r="U1399" s="364" t="s">
        <v>88</v>
      </c>
      <c r="V1399" s="364" t="s">
        <v>88</v>
      </c>
      <c r="W1399" s="364" t="s">
        <v>88</v>
      </c>
      <c r="X1399" s="364" t="s">
        <v>88</v>
      </c>
      <c r="Y1399" s="364" t="s">
        <v>88</v>
      </c>
      <c r="Z1399" s="364" t="s">
        <v>1175</v>
      </c>
      <c r="AA1399" s="364" t="s">
        <v>1174</v>
      </c>
      <c r="AB1399" s="364" t="s">
        <v>649</v>
      </c>
      <c r="AC1399" s="364" t="s">
        <v>88</v>
      </c>
      <c r="AD1399" s="364" t="s">
        <v>88</v>
      </c>
      <c r="AE1399" s="364" t="s">
        <v>88</v>
      </c>
      <c r="AF1399" s="364" t="s">
        <v>88</v>
      </c>
      <c r="AG1399" s="364" t="s">
        <v>88</v>
      </c>
      <c r="AH1399" s="364" t="s">
        <v>88</v>
      </c>
      <c r="AI1399" s="364" t="s">
        <v>1155</v>
      </c>
      <c r="AJ1399" s="364" t="s">
        <v>710</v>
      </c>
      <c r="AK1399" s="364" t="s">
        <v>88</v>
      </c>
      <c r="AL1399" s="364" t="s">
        <v>88</v>
      </c>
      <c r="AM1399" s="364" t="s">
        <v>668</v>
      </c>
      <c r="AN1399" s="364" t="s">
        <v>644</v>
      </c>
    </row>
    <row r="1400" spans="1:40" x14ac:dyDescent="0.3">
      <c r="A1400" s="364" t="s">
        <v>1268</v>
      </c>
      <c r="B1400" s="364" t="s">
        <v>661</v>
      </c>
      <c r="C1400" s="364" t="s">
        <v>1160</v>
      </c>
      <c r="D1400" s="364" t="s">
        <v>90</v>
      </c>
      <c r="E1400" s="364" t="s">
        <v>1267</v>
      </c>
      <c r="F1400" s="364" t="s">
        <v>1267</v>
      </c>
      <c r="G1400" s="364" t="s">
        <v>658</v>
      </c>
      <c r="H1400" s="364" t="s">
        <v>1266</v>
      </c>
      <c r="I1400" s="364" t="s">
        <v>88</v>
      </c>
      <c r="J1400" s="364" t="s">
        <v>673</v>
      </c>
      <c r="K1400" s="364" t="s">
        <v>668</v>
      </c>
      <c r="L1400" s="364" t="s">
        <v>190</v>
      </c>
      <c r="M1400" s="364" t="s">
        <v>1168</v>
      </c>
      <c r="N1400" s="364" t="s">
        <v>654</v>
      </c>
      <c r="O1400" s="364" t="s">
        <v>653</v>
      </c>
      <c r="P1400" s="364" t="s">
        <v>198</v>
      </c>
      <c r="Q1400" s="364" t="s">
        <v>652</v>
      </c>
      <c r="R1400" s="364" t="s">
        <v>88</v>
      </c>
      <c r="S1400" s="364" t="s">
        <v>88</v>
      </c>
      <c r="T1400" s="364" t="s">
        <v>88</v>
      </c>
      <c r="U1400" s="364" t="s">
        <v>88</v>
      </c>
      <c r="V1400" s="364" t="s">
        <v>88</v>
      </c>
      <c r="W1400" s="364" t="s">
        <v>88</v>
      </c>
      <c r="X1400" s="364" t="s">
        <v>88</v>
      </c>
      <c r="Y1400" s="364" t="s">
        <v>88</v>
      </c>
      <c r="Z1400" s="364" t="s">
        <v>1167</v>
      </c>
      <c r="AA1400" s="364" t="s">
        <v>1166</v>
      </c>
      <c r="AB1400" s="364" t="s">
        <v>649</v>
      </c>
      <c r="AC1400" s="364" t="s">
        <v>88</v>
      </c>
      <c r="AD1400" s="364" t="s">
        <v>88</v>
      </c>
      <c r="AE1400" s="364" t="s">
        <v>88</v>
      </c>
      <c r="AF1400" s="364" t="s">
        <v>88</v>
      </c>
      <c r="AG1400" s="364" t="s">
        <v>88</v>
      </c>
      <c r="AH1400" s="364" t="s">
        <v>88</v>
      </c>
      <c r="AI1400" s="364" t="s">
        <v>1155</v>
      </c>
      <c r="AJ1400" s="364" t="s">
        <v>710</v>
      </c>
      <c r="AK1400" s="364" t="s">
        <v>88</v>
      </c>
      <c r="AL1400" s="364" t="s">
        <v>88</v>
      </c>
      <c r="AM1400" s="364" t="s">
        <v>668</v>
      </c>
      <c r="AN1400" s="364" t="s">
        <v>644</v>
      </c>
    </row>
    <row r="1401" spans="1:40" x14ac:dyDescent="0.3">
      <c r="A1401" s="364" t="s">
        <v>1268</v>
      </c>
      <c r="B1401" s="364" t="s">
        <v>661</v>
      </c>
      <c r="C1401" s="364" t="s">
        <v>1160</v>
      </c>
      <c r="D1401" s="364" t="s">
        <v>90</v>
      </c>
      <c r="E1401" s="364" t="s">
        <v>1267</v>
      </c>
      <c r="F1401" s="364" t="s">
        <v>1267</v>
      </c>
      <c r="G1401" s="364" t="s">
        <v>658</v>
      </c>
      <c r="H1401" s="364" t="s">
        <v>1266</v>
      </c>
      <c r="I1401" s="364" t="s">
        <v>88</v>
      </c>
      <c r="J1401" s="364" t="s">
        <v>673</v>
      </c>
      <c r="K1401" s="364" t="s">
        <v>668</v>
      </c>
      <c r="L1401" s="364" t="s">
        <v>190</v>
      </c>
      <c r="M1401" s="364" t="s">
        <v>713</v>
      </c>
      <c r="N1401" s="364" t="s">
        <v>654</v>
      </c>
      <c r="O1401" s="364" t="s">
        <v>653</v>
      </c>
      <c r="P1401" s="364" t="s">
        <v>198</v>
      </c>
      <c r="Q1401" s="364" t="s">
        <v>652</v>
      </c>
      <c r="R1401" s="364" t="s">
        <v>88</v>
      </c>
      <c r="S1401" s="364" t="s">
        <v>88</v>
      </c>
      <c r="T1401" s="364" t="s">
        <v>88</v>
      </c>
      <c r="U1401" s="364" t="s">
        <v>88</v>
      </c>
      <c r="V1401" s="364" t="s">
        <v>88</v>
      </c>
      <c r="W1401" s="364" t="s">
        <v>88</v>
      </c>
      <c r="X1401" s="364" t="s">
        <v>88</v>
      </c>
      <c r="Y1401" s="364" t="s">
        <v>88</v>
      </c>
      <c r="Z1401" s="364" t="s">
        <v>712</v>
      </c>
      <c r="AA1401" s="364" t="s">
        <v>711</v>
      </c>
      <c r="AB1401" s="364" t="s">
        <v>649</v>
      </c>
      <c r="AC1401" s="364" t="s">
        <v>88</v>
      </c>
      <c r="AD1401" s="364" t="s">
        <v>88</v>
      </c>
      <c r="AE1401" s="364" t="s">
        <v>88</v>
      </c>
      <c r="AF1401" s="364" t="s">
        <v>88</v>
      </c>
      <c r="AG1401" s="364" t="s">
        <v>88</v>
      </c>
      <c r="AH1401" s="364" t="s">
        <v>88</v>
      </c>
      <c r="AI1401" s="364" t="s">
        <v>1155</v>
      </c>
      <c r="AJ1401" s="364" t="s">
        <v>710</v>
      </c>
      <c r="AK1401" s="364" t="s">
        <v>88</v>
      </c>
      <c r="AL1401" s="364" t="s">
        <v>88</v>
      </c>
      <c r="AM1401" s="364" t="s">
        <v>668</v>
      </c>
      <c r="AN1401" s="364" t="s">
        <v>644</v>
      </c>
    </row>
    <row r="1402" spans="1:40" x14ac:dyDescent="0.3">
      <c r="A1402" s="364" t="s">
        <v>1268</v>
      </c>
      <c r="B1402" s="364" t="s">
        <v>661</v>
      </c>
      <c r="C1402" s="364" t="s">
        <v>1160</v>
      </c>
      <c r="D1402" s="364" t="s">
        <v>90</v>
      </c>
      <c r="E1402" s="364" t="s">
        <v>1267</v>
      </c>
      <c r="F1402" s="364" t="s">
        <v>1267</v>
      </c>
      <c r="G1402" s="364" t="s">
        <v>658</v>
      </c>
      <c r="H1402" s="364" t="s">
        <v>1266</v>
      </c>
      <c r="I1402" s="364" t="s">
        <v>88</v>
      </c>
      <c r="J1402" s="364" t="s">
        <v>673</v>
      </c>
      <c r="K1402" s="364" t="s">
        <v>668</v>
      </c>
      <c r="L1402" s="364" t="s">
        <v>190</v>
      </c>
      <c r="M1402" s="364" t="s">
        <v>56</v>
      </c>
      <c r="N1402" s="364" t="s">
        <v>654</v>
      </c>
      <c r="O1402" s="364" t="s">
        <v>653</v>
      </c>
      <c r="P1402" s="364" t="s">
        <v>198</v>
      </c>
      <c r="Q1402" s="364" t="s">
        <v>652</v>
      </c>
      <c r="R1402" s="364" t="s">
        <v>88</v>
      </c>
      <c r="S1402" s="364" t="s">
        <v>88</v>
      </c>
      <c r="T1402" s="364" t="s">
        <v>88</v>
      </c>
      <c r="U1402" s="364" t="s">
        <v>88</v>
      </c>
      <c r="V1402" s="364" t="s">
        <v>88</v>
      </c>
      <c r="W1402" s="364" t="s">
        <v>88</v>
      </c>
      <c r="X1402" s="364" t="s">
        <v>88</v>
      </c>
      <c r="Y1402" s="364" t="s">
        <v>88</v>
      </c>
      <c r="Z1402" s="364" t="s">
        <v>1165</v>
      </c>
      <c r="AA1402" s="364" t="s">
        <v>1164</v>
      </c>
      <c r="AB1402" s="364" t="s">
        <v>649</v>
      </c>
      <c r="AC1402" s="364" t="s">
        <v>88</v>
      </c>
      <c r="AD1402" s="364" t="s">
        <v>88</v>
      </c>
      <c r="AE1402" s="364" t="s">
        <v>88</v>
      </c>
      <c r="AF1402" s="364" t="s">
        <v>88</v>
      </c>
      <c r="AG1402" s="364" t="s">
        <v>88</v>
      </c>
      <c r="AH1402" s="364" t="s">
        <v>88</v>
      </c>
      <c r="AI1402" s="364" t="s">
        <v>1155</v>
      </c>
      <c r="AJ1402" s="364" t="s">
        <v>710</v>
      </c>
      <c r="AK1402" s="364" t="s">
        <v>88</v>
      </c>
      <c r="AL1402" s="364" t="s">
        <v>88</v>
      </c>
      <c r="AM1402" s="364" t="s">
        <v>668</v>
      </c>
      <c r="AN1402" s="364" t="s">
        <v>644</v>
      </c>
    </row>
    <row r="1403" spans="1:40" x14ac:dyDescent="0.3">
      <c r="A1403" s="364" t="s">
        <v>1268</v>
      </c>
      <c r="B1403" s="364" t="s">
        <v>661</v>
      </c>
      <c r="C1403" s="364" t="s">
        <v>1160</v>
      </c>
      <c r="D1403" s="364" t="s">
        <v>90</v>
      </c>
      <c r="E1403" s="364" t="s">
        <v>1267</v>
      </c>
      <c r="F1403" s="364" t="s">
        <v>1267</v>
      </c>
      <c r="G1403" s="364" t="s">
        <v>658</v>
      </c>
      <c r="H1403" s="364" t="s">
        <v>1266</v>
      </c>
      <c r="I1403" s="364" t="s">
        <v>88</v>
      </c>
      <c r="J1403" s="364" t="s">
        <v>673</v>
      </c>
      <c r="K1403" s="364" t="s">
        <v>668</v>
      </c>
      <c r="L1403" s="364" t="s">
        <v>190</v>
      </c>
      <c r="M1403" s="364" t="s">
        <v>241</v>
      </c>
      <c r="N1403" s="364" t="s">
        <v>654</v>
      </c>
      <c r="O1403" s="364" t="s">
        <v>653</v>
      </c>
      <c r="P1403" s="364" t="s">
        <v>198</v>
      </c>
      <c r="Q1403" s="364" t="s">
        <v>652</v>
      </c>
      <c r="R1403" s="364" t="s">
        <v>88</v>
      </c>
      <c r="S1403" s="364" t="s">
        <v>88</v>
      </c>
      <c r="T1403" s="364" t="s">
        <v>88</v>
      </c>
      <c r="U1403" s="364" t="s">
        <v>88</v>
      </c>
      <c r="V1403" s="364" t="s">
        <v>88</v>
      </c>
      <c r="W1403" s="364" t="s">
        <v>88</v>
      </c>
      <c r="X1403" s="364" t="s">
        <v>88</v>
      </c>
      <c r="Y1403" s="364" t="s">
        <v>88</v>
      </c>
      <c r="Z1403" s="364" t="s">
        <v>1170</v>
      </c>
      <c r="AA1403" s="364" t="s">
        <v>1169</v>
      </c>
      <c r="AB1403" s="364" t="s">
        <v>649</v>
      </c>
      <c r="AC1403" s="364" t="s">
        <v>88</v>
      </c>
      <c r="AD1403" s="364" t="s">
        <v>88</v>
      </c>
      <c r="AE1403" s="364" t="s">
        <v>88</v>
      </c>
      <c r="AF1403" s="364" t="s">
        <v>88</v>
      </c>
      <c r="AG1403" s="364" t="s">
        <v>88</v>
      </c>
      <c r="AH1403" s="364" t="s">
        <v>88</v>
      </c>
      <c r="AI1403" s="364" t="s">
        <v>1155</v>
      </c>
      <c r="AJ1403" s="364" t="s">
        <v>710</v>
      </c>
      <c r="AK1403" s="364" t="s">
        <v>88</v>
      </c>
      <c r="AL1403" s="364" t="s">
        <v>88</v>
      </c>
      <c r="AM1403" s="364" t="s">
        <v>668</v>
      </c>
      <c r="AN1403" s="364" t="s">
        <v>644</v>
      </c>
    </row>
    <row r="1404" spans="1:40" x14ac:dyDescent="0.3">
      <c r="A1404" s="364" t="s">
        <v>1268</v>
      </c>
      <c r="B1404" s="364" t="s">
        <v>661</v>
      </c>
      <c r="C1404" s="364" t="s">
        <v>1160</v>
      </c>
      <c r="D1404" s="364" t="s">
        <v>90</v>
      </c>
      <c r="E1404" s="364" t="s">
        <v>1267</v>
      </c>
      <c r="F1404" s="364" t="s">
        <v>1267</v>
      </c>
      <c r="G1404" s="364" t="s">
        <v>658</v>
      </c>
      <c r="H1404" s="364" t="s">
        <v>1266</v>
      </c>
      <c r="I1404" s="364" t="s">
        <v>88</v>
      </c>
      <c r="J1404" s="364" t="s">
        <v>673</v>
      </c>
      <c r="K1404" s="364" t="s">
        <v>668</v>
      </c>
      <c r="L1404" s="364" t="s">
        <v>190</v>
      </c>
      <c r="M1404" s="364" t="s">
        <v>240</v>
      </c>
      <c r="N1404" s="364" t="s">
        <v>654</v>
      </c>
      <c r="O1404" s="364" t="s">
        <v>653</v>
      </c>
      <c r="P1404" s="364" t="s">
        <v>198</v>
      </c>
      <c r="Q1404" s="364" t="s">
        <v>652</v>
      </c>
      <c r="R1404" s="364" t="s">
        <v>88</v>
      </c>
      <c r="S1404" s="364" t="s">
        <v>88</v>
      </c>
      <c r="T1404" s="364" t="s">
        <v>88</v>
      </c>
      <c r="U1404" s="364" t="s">
        <v>88</v>
      </c>
      <c r="V1404" s="364" t="s">
        <v>88</v>
      </c>
      <c r="W1404" s="364" t="s">
        <v>88</v>
      </c>
      <c r="X1404" s="364" t="s">
        <v>88</v>
      </c>
      <c r="Y1404" s="364" t="s">
        <v>88</v>
      </c>
      <c r="Z1404" s="364" t="s">
        <v>1163</v>
      </c>
      <c r="AA1404" s="364" t="s">
        <v>1162</v>
      </c>
      <c r="AB1404" s="364" t="s">
        <v>649</v>
      </c>
      <c r="AC1404" s="364" t="s">
        <v>88</v>
      </c>
      <c r="AD1404" s="364" t="s">
        <v>88</v>
      </c>
      <c r="AE1404" s="364" t="s">
        <v>88</v>
      </c>
      <c r="AF1404" s="364" t="s">
        <v>88</v>
      </c>
      <c r="AG1404" s="364" t="s">
        <v>88</v>
      </c>
      <c r="AH1404" s="364" t="s">
        <v>88</v>
      </c>
      <c r="AI1404" s="364" t="s">
        <v>1155</v>
      </c>
      <c r="AJ1404" s="364" t="s">
        <v>710</v>
      </c>
      <c r="AK1404" s="364" t="s">
        <v>88</v>
      </c>
      <c r="AL1404" s="364" t="s">
        <v>88</v>
      </c>
      <c r="AM1404" s="364" t="s">
        <v>668</v>
      </c>
      <c r="AN1404" s="364" t="s">
        <v>644</v>
      </c>
    </row>
    <row r="1405" spans="1:40" x14ac:dyDescent="0.3">
      <c r="A1405" s="364" t="s">
        <v>1268</v>
      </c>
      <c r="B1405" s="364" t="s">
        <v>661</v>
      </c>
      <c r="C1405" s="364" t="s">
        <v>1160</v>
      </c>
      <c r="D1405" s="364" t="s">
        <v>90</v>
      </c>
      <c r="E1405" s="364" t="s">
        <v>1267</v>
      </c>
      <c r="F1405" s="364" t="s">
        <v>1267</v>
      </c>
      <c r="G1405" s="364" t="s">
        <v>658</v>
      </c>
      <c r="H1405" s="364" t="s">
        <v>1266</v>
      </c>
      <c r="I1405" s="364" t="s">
        <v>88</v>
      </c>
      <c r="J1405" s="364" t="s">
        <v>673</v>
      </c>
      <c r="K1405" s="364" t="s">
        <v>668</v>
      </c>
      <c r="L1405" s="364" t="s">
        <v>190</v>
      </c>
      <c r="M1405" s="364" t="s">
        <v>417</v>
      </c>
      <c r="N1405" s="364" t="s">
        <v>654</v>
      </c>
      <c r="O1405" s="364" t="s">
        <v>653</v>
      </c>
      <c r="P1405" s="364" t="s">
        <v>198</v>
      </c>
      <c r="Q1405" s="364" t="s">
        <v>652</v>
      </c>
      <c r="R1405" s="364" t="s">
        <v>88</v>
      </c>
      <c r="S1405" s="364" t="s">
        <v>88</v>
      </c>
      <c r="T1405" s="364" t="s">
        <v>88</v>
      </c>
      <c r="U1405" s="364" t="s">
        <v>88</v>
      </c>
      <c r="V1405" s="364" t="s">
        <v>88</v>
      </c>
      <c r="W1405" s="364" t="s">
        <v>88</v>
      </c>
      <c r="X1405" s="364" t="s">
        <v>88</v>
      </c>
      <c r="Y1405" s="364" t="s">
        <v>88</v>
      </c>
      <c r="Z1405" s="364" t="s">
        <v>1261</v>
      </c>
      <c r="AA1405" s="364" t="s">
        <v>649</v>
      </c>
      <c r="AB1405" s="364" t="s">
        <v>649</v>
      </c>
      <c r="AC1405" s="364" t="s">
        <v>88</v>
      </c>
      <c r="AD1405" s="364" t="s">
        <v>88</v>
      </c>
      <c r="AE1405" s="364" t="s">
        <v>88</v>
      </c>
      <c r="AF1405" s="364" t="s">
        <v>88</v>
      </c>
      <c r="AG1405" s="364" t="s">
        <v>88</v>
      </c>
      <c r="AH1405" s="364" t="s">
        <v>88</v>
      </c>
      <c r="AI1405" s="364" t="s">
        <v>1155</v>
      </c>
      <c r="AJ1405" s="364" t="s">
        <v>710</v>
      </c>
      <c r="AK1405" s="364" t="s">
        <v>88</v>
      </c>
      <c r="AL1405" s="364" t="s">
        <v>88</v>
      </c>
      <c r="AM1405" s="364" t="s">
        <v>668</v>
      </c>
      <c r="AN1405" s="364" t="s">
        <v>644</v>
      </c>
    </row>
    <row r="1406" spans="1:40" x14ac:dyDescent="0.3">
      <c r="A1406" s="364" t="s">
        <v>1268</v>
      </c>
      <c r="B1406" s="364" t="s">
        <v>661</v>
      </c>
      <c r="C1406" s="364" t="s">
        <v>1160</v>
      </c>
      <c r="D1406" s="364" t="s">
        <v>90</v>
      </c>
      <c r="E1406" s="364" t="s">
        <v>1267</v>
      </c>
      <c r="F1406" s="364" t="s">
        <v>1267</v>
      </c>
      <c r="G1406" s="364" t="s">
        <v>658</v>
      </c>
      <c r="H1406" s="364" t="s">
        <v>1266</v>
      </c>
      <c r="I1406" s="364" t="s">
        <v>88</v>
      </c>
      <c r="J1406" s="364" t="s">
        <v>673</v>
      </c>
      <c r="K1406" s="364" t="s">
        <v>668</v>
      </c>
      <c r="L1406" s="364" t="s">
        <v>190</v>
      </c>
      <c r="M1406" s="364" t="s">
        <v>61</v>
      </c>
      <c r="N1406" s="364" t="s">
        <v>654</v>
      </c>
      <c r="O1406" s="364" t="s">
        <v>653</v>
      </c>
      <c r="P1406" s="364" t="s">
        <v>198</v>
      </c>
      <c r="Q1406" s="364" t="s">
        <v>652</v>
      </c>
      <c r="R1406" s="364" t="s">
        <v>88</v>
      </c>
      <c r="S1406" s="364" t="s">
        <v>88</v>
      </c>
      <c r="T1406" s="364" t="s">
        <v>88</v>
      </c>
      <c r="U1406" s="364" t="s">
        <v>88</v>
      </c>
      <c r="V1406" s="364" t="s">
        <v>88</v>
      </c>
      <c r="W1406" s="364" t="s">
        <v>88</v>
      </c>
      <c r="X1406" s="364" t="s">
        <v>88</v>
      </c>
      <c r="Y1406" s="364" t="s">
        <v>88</v>
      </c>
      <c r="Z1406" s="364" t="s">
        <v>1021</v>
      </c>
      <c r="AA1406" s="364" t="s">
        <v>671</v>
      </c>
      <c r="AB1406" s="364" t="s">
        <v>649</v>
      </c>
      <c r="AC1406" s="364" t="s">
        <v>88</v>
      </c>
      <c r="AD1406" s="364" t="s">
        <v>88</v>
      </c>
      <c r="AE1406" s="364" t="s">
        <v>88</v>
      </c>
      <c r="AF1406" s="364" t="s">
        <v>88</v>
      </c>
      <c r="AG1406" s="364" t="s">
        <v>88</v>
      </c>
      <c r="AH1406" s="364" t="s">
        <v>88</v>
      </c>
      <c r="AI1406" s="364" t="s">
        <v>1155</v>
      </c>
      <c r="AJ1406" s="364" t="s">
        <v>710</v>
      </c>
      <c r="AK1406" s="364" t="s">
        <v>88</v>
      </c>
      <c r="AL1406" s="364" t="s">
        <v>88</v>
      </c>
      <c r="AM1406" s="364" t="s">
        <v>668</v>
      </c>
      <c r="AN1406" s="364" t="s">
        <v>644</v>
      </c>
    </row>
    <row r="1407" spans="1:40" x14ac:dyDescent="0.3">
      <c r="A1407" s="364" t="s">
        <v>1268</v>
      </c>
      <c r="B1407" s="364" t="s">
        <v>661</v>
      </c>
      <c r="C1407" s="364" t="s">
        <v>1160</v>
      </c>
      <c r="D1407" s="364" t="s">
        <v>90</v>
      </c>
      <c r="E1407" s="364" t="s">
        <v>1267</v>
      </c>
      <c r="F1407" s="364" t="s">
        <v>1267</v>
      </c>
      <c r="G1407" s="364" t="s">
        <v>658</v>
      </c>
      <c r="H1407" s="364" t="s">
        <v>1266</v>
      </c>
      <c r="I1407" s="364" t="s">
        <v>88</v>
      </c>
      <c r="J1407" s="364" t="s">
        <v>673</v>
      </c>
      <c r="K1407" s="364" t="s">
        <v>668</v>
      </c>
      <c r="L1407" s="364" t="s">
        <v>190</v>
      </c>
      <c r="M1407" s="364" t="s">
        <v>242</v>
      </c>
      <c r="N1407" s="364" t="s">
        <v>654</v>
      </c>
      <c r="O1407" s="364" t="s">
        <v>653</v>
      </c>
      <c r="P1407" s="364" t="s">
        <v>198</v>
      </c>
      <c r="Q1407" s="364" t="s">
        <v>652</v>
      </c>
      <c r="R1407" s="364" t="s">
        <v>88</v>
      </c>
      <c r="S1407" s="364" t="s">
        <v>88</v>
      </c>
      <c r="T1407" s="364" t="s">
        <v>88</v>
      </c>
      <c r="U1407" s="364" t="s">
        <v>88</v>
      </c>
      <c r="V1407" s="364" t="s">
        <v>88</v>
      </c>
      <c r="W1407" s="364" t="s">
        <v>88</v>
      </c>
      <c r="X1407" s="364" t="s">
        <v>88</v>
      </c>
      <c r="Y1407" s="364" t="s">
        <v>88</v>
      </c>
      <c r="Z1407" s="364" t="s">
        <v>1157</v>
      </c>
      <c r="AA1407" s="364" t="s">
        <v>1156</v>
      </c>
      <c r="AB1407" s="364" t="s">
        <v>649</v>
      </c>
      <c r="AC1407" s="364" t="s">
        <v>88</v>
      </c>
      <c r="AD1407" s="364" t="s">
        <v>88</v>
      </c>
      <c r="AE1407" s="364" t="s">
        <v>88</v>
      </c>
      <c r="AF1407" s="364" t="s">
        <v>88</v>
      </c>
      <c r="AG1407" s="364" t="s">
        <v>88</v>
      </c>
      <c r="AH1407" s="364" t="s">
        <v>88</v>
      </c>
      <c r="AI1407" s="364" t="s">
        <v>1155</v>
      </c>
      <c r="AJ1407" s="364" t="s">
        <v>710</v>
      </c>
      <c r="AK1407" s="364" t="s">
        <v>88</v>
      </c>
      <c r="AL1407" s="364" t="s">
        <v>88</v>
      </c>
      <c r="AM1407" s="364" t="s">
        <v>668</v>
      </c>
      <c r="AN1407" s="364" t="s">
        <v>644</v>
      </c>
    </row>
    <row r="1408" spans="1:40" x14ac:dyDescent="0.3">
      <c r="A1408" s="364" t="s">
        <v>1264</v>
      </c>
      <c r="B1408" s="364" t="s">
        <v>661</v>
      </c>
      <c r="C1408" s="364" t="s">
        <v>1160</v>
      </c>
      <c r="D1408" s="364" t="s">
        <v>90</v>
      </c>
      <c r="E1408" s="364" t="s">
        <v>1263</v>
      </c>
      <c r="F1408" s="364" t="s">
        <v>1263</v>
      </c>
      <c r="G1408" s="364" t="s">
        <v>658</v>
      </c>
      <c r="H1408" s="364" t="s">
        <v>1262</v>
      </c>
      <c r="I1408" s="364" t="s">
        <v>88</v>
      </c>
      <c r="J1408" s="364" t="s">
        <v>673</v>
      </c>
      <c r="K1408" s="364" t="s">
        <v>668</v>
      </c>
      <c r="L1408" s="364" t="s">
        <v>190</v>
      </c>
      <c r="M1408" s="364" t="s">
        <v>1168</v>
      </c>
      <c r="N1408" s="364" t="s">
        <v>654</v>
      </c>
      <c r="O1408" s="364" t="s">
        <v>653</v>
      </c>
      <c r="P1408" s="364" t="s">
        <v>198</v>
      </c>
      <c r="Q1408" s="364" t="s">
        <v>652</v>
      </c>
      <c r="R1408" s="364" t="s">
        <v>88</v>
      </c>
      <c r="S1408" s="364" t="s">
        <v>88</v>
      </c>
      <c r="T1408" s="364" t="s">
        <v>88</v>
      </c>
      <c r="U1408" s="364" t="s">
        <v>88</v>
      </c>
      <c r="V1408" s="364" t="s">
        <v>88</v>
      </c>
      <c r="W1408" s="364" t="s">
        <v>88</v>
      </c>
      <c r="X1408" s="364" t="s">
        <v>88</v>
      </c>
      <c r="Y1408" s="364" t="s">
        <v>88</v>
      </c>
      <c r="Z1408" s="364" t="s">
        <v>1167</v>
      </c>
      <c r="AA1408" s="364" t="s">
        <v>1166</v>
      </c>
      <c r="AB1408" s="364" t="s">
        <v>649</v>
      </c>
      <c r="AC1408" s="364" t="s">
        <v>88</v>
      </c>
      <c r="AD1408" s="364" t="s">
        <v>88</v>
      </c>
      <c r="AE1408" s="364" t="s">
        <v>88</v>
      </c>
      <c r="AF1408" s="364" t="s">
        <v>88</v>
      </c>
      <c r="AG1408" s="364" t="s">
        <v>88</v>
      </c>
      <c r="AH1408" s="364" t="s">
        <v>88</v>
      </c>
      <c r="AI1408" s="364" t="s">
        <v>1155</v>
      </c>
      <c r="AJ1408" s="364" t="s">
        <v>710</v>
      </c>
      <c r="AK1408" s="364" t="s">
        <v>88</v>
      </c>
      <c r="AL1408" s="364" t="s">
        <v>88</v>
      </c>
      <c r="AM1408" s="364" t="s">
        <v>668</v>
      </c>
      <c r="AN1408" s="364" t="s">
        <v>644</v>
      </c>
    </row>
    <row r="1409" spans="1:40" x14ac:dyDescent="0.3">
      <c r="A1409" s="364" t="s">
        <v>1264</v>
      </c>
      <c r="B1409" s="364" t="s">
        <v>661</v>
      </c>
      <c r="C1409" s="364" t="s">
        <v>1160</v>
      </c>
      <c r="D1409" s="364" t="s">
        <v>90</v>
      </c>
      <c r="E1409" s="364" t="s">
        <v>1263</v>
      </c>
      <c r="F1409" s="364" t="s">
        <v>1263</v>
      </c>
      <c r="G1409" s="364" t="s">
        <v>658</v>
      </c>
      <c r="H1409" s="364" t="s">
        <v>1262</v>
      </c>
      <c r="I1409" s="364" t="s">
        <v>88</v>
      </c>
      <c r="J1409" s="364" t="s">
        <v>673</v>
      </c>
      <c r="K1409" s="364" t="s">
        <v>668</v>
      </c>
      <c r="L1409" s="364" t="s">
        <v>190</v>
      </c>
      <c r="M1409" s="364" t="s">
        <v>713</v>
      </c>
      <c r="N1409" s="364" t="s">
        <v>654</v>
      </c>
      <c r="O1409" s="364" t="s">
        <v>653</v>
      </c>
      <c r="P1409" s="364" t="s">
        <v>198</v>
      </c>
      <c r="Q1409" s="364" t="s">
        <v>652</v>
      </c>
      <c r="R1409" s="364" t="s">
        <v>88</v>
      </c>
      <c r="S1409" s="364" t="s">
        <v>88</v>
      </c>
      <c r="T1409" s="364" t="s">
        <v>88</v>
      </c>
      <c r="U1409" s="364" t="s">
        <v>88</v>
      </c>
      <c r="V1409" s="364" t="s">
        <v>88</v>
      </c>
      <c r="W1409" s="364" t="s">
        <v>88</v>
      </c>
      <c r="X1409" s="364" t="s">
        <v>88</v>
      </c>
      <c r="Y1409" s="364" t="s">
        <v>88</v>
      </c>
      <c r="Z1409" s="364" t="s">
        <v>712</v>
      </c>
      <c r="AA1409" s="364" t="s">
        <v>711</v>
      </c>
      <c r="AB1409" s="364" t="s">
        <v>649</v>
      </c>
      <c r="AC1409" s="364" t="s">
        <v>88</v>
      </c>
      <c r="AD1409" s="364" t="s">
        <v>88</v>
      </c>
      <c r="AE1409" s="364" t="s">
        <v>88</v>
      </c>
      <c r="AF1409" s="364" t="s">
        <v>88</v>
      </c>
      <c r="AG1409" s="364" t="s">
        <v>88</v>
      </c>
      <c r="AH1409" s="364" t="s">
        <v>88</v>
      </c>
      <c r="AI1409" s="364" t="s">
        <v>1155</v>
      </c>
      <c r="AJ1409" s="364" t="s">
        <v>710</v>
      </c>
      <c r="AK1409" s="364" t="s">
        <v>88</v>
      </c>
      <c r="AL1409" s="364" t="s">
        <v>88</v>
      </c>
      <c r="AM1409" s="364" t="s">
        <v>668</v>
      </c>
      <c r="AN1409" s="364" t="s">
        <v>644</v>
      </c>
    </row>
    <row r="1410" spans="1:40" x14ac:dyDescent="0.3">
      <c r="A1410" s="364" t="s">
        <v>1264</v>
      </c>
      <c r="B1410" s="364" t="s">
        <v>661</v>
      </c>
      <c r="C1410" s="364" t="s">
        <v>1160</v>
      </c>
      <c r="D1410" s="364" t="s">
        <v>90</v>
      </c>
      <c r="E1410" s="364" t="s">
        <v>1263</v>
      </c>
      <c r="F1410" s="364" t="s">
        <v>1263</v>
      </c>
      <c r="G1410" s="364" t="s">
        <v>658</v>
      </c>
      <c r="H1410" s="364" t="s">
        <v>1262</v>
      </c>
      <c r="I1410" s="364" t="s">
        <v>88</v>
      </c>
      <c r="J1410" s="364" t="s">
        <v>673</v>
      </c>
      <c r="K1410" s="364" t="s">
        <v>668</v>
      </c>
      <c r="L1410" s="364" t="s">
        <v>190</v>
      </c>
      <c r="M1410" s="364" t="s">
        <v>56</v>
      </c>
      <c r="N1410" s="364" t="s">
        <v>654</v>
      </c>
      <c r="O1410" s="364" t="s">
        <v>653</v>
      </c>
      <c r="P1410" s="364" t="s">
        <v>198</v>
      </c>
      <c r="Q1410" s="364" t="s">
        <v>652</v>
      </c>
      <c r="R1410" s="364" t="s">
        <v>88</v>
      </c>
      <c r="S1410" s="364" t="s">
        <v>88</v>
      </c>
      <c r="T1410" s="364" t="s">
        <v>88</v>
      </c>
      <c r="U1410" s="364" t="s">
        <v>88</v>
      </c>
      <c r="V1410" s="364" t="s">
        <v>88</v>
      </c>
      <c r="W1410" s="364" t="s">
        <v>88</v>
      </c>
      <c r="X1410" s="364" t="s">
        <v>88</v>
      </c>
      <c r="Y1410" s="364" t="s">
        <v>88</v>
      </c>
      <c r="Z1410" s="364" t="s">
        <v>1165</v>
      </c>
      <c r="AA1410" s="364" t="s">
        <v>1164</v>
      </c>
      <c r="AB1410" s="364" t="s">
        <v>649</v>
      </c>
      <c r="AC1410" s="364" t="s">
        <v>88</v>
      </c>
      <c r="AD1410" s="364" t="s">
        <v>88</v>
      </c>
      <c r="AE1410" s="364" t="s">
        <v>88</v>
      </c>
      <c r="AF1410" s="364" t="s">
        <v>88</v>
      </c>
      <c r="AG1410" s="364" t="s">
        <v>88</v>
      </c>
      <c r="AH1410" s="364" t="s">
        <v>88</v>
      </c>
      <c r="AI1410" s="364" t="s">
        <v>1155</v>
      </c>
      <c r="AJ1410" s="364" t="s">
        <v>710</v>
      </c>
      <c r="AK1410" s="364" t="s">
        <v>88</v>
      </c>
      <c r="AL1410" s="364" t="s">
        <v>88</v>
      </c>
      <c r="AM1410" s="364" t="s">
        <v>668</v>
      </c>
      <c r="AN1410" s="364" t="s">
        <v>644</v>
      </c>
    </row>
    <row r="1411" spans="1:40" x14ac:dyDescent="0.3">
      <c r="A1411" s="364" t="s">
        <v>1264</v>
      </c>
      <c r="B1411" s="364" t="s">
        <v>661</v>
      </c>
      <c r="C1411" s="364" t="s">
        <v>1160</v>
      </c>
      <c r="D1411" s="364" t="s">
        <v>90</v>
      </c>
      <c r="E1411" s="364" t="s">
        <v>1263</v>
      </c>
      <c r="F1411" s="364" t="s">
        <v>1263</v>
      </c>
      <c r="G1411" s="364" t="s">
        <v>658</v>
      </c>
      <c r="H1411" s="364" t="s">
        <v>1262</v>
      </c>
      <c r="I1411" s="364" t="s">
        <v>88</v>
      </c>
      <c r="J1411" s="364" t="s">
        <v>673</v>
      </c>
      <c r="K1411" s="364" t="s">
        <v>668</v>
      </c>
      <c r="L1411" s="364" t="s">
        <v>190</v>
      </c>
      <c r="M1411" s="364" t="s">
        <v>241</v>
      </c>
      <c r="N1411" s="364" t="s">
        <v>654</v>
      </c>
      <c r="O1411" s="364" t="s">
        <v>653</v>
      </c>
      <c r="P1411" s="364" t="s">
        <v>198</v>
      </c>
      <c r="Q1411" s="364" t="s">
        <v>652</v>
      </c>
      <c r="R1411" s="364" t="s">
        <v>88</v>
      </c>
      <c r="S1411" s="364" t="s">
        <v>88</v>
      </c>
      <c r="T1411" s="364" t="s">
        <v>88</v>
      </c>
      <c r="U1411" s="364" t="s">
        <v>88</v>
      </c>
      <c r="V1411" s="364" t="s">
        <v>88</v>
      </c>
      <c r="W1411" s="364" t="s">
        <v>88</v>
      </c>
      <c r="X1411" s="364" t="s">
        <v>88</v>
      </c>
      <c r="Y1411" s="364" t="s">
        <v>88</v>
      </c>
      <c r="Z1411" s="364" t="s">
        <v>1170</v>
      </c>
      <c r="AA1411" s="364" t="s">
        <v>1169</v>
      </c>
      <c r="AB1411" s="364" t="s">
        <v>649</v>
      </c>
      <c r="AC1411" s="364" t="s">
        <v>88</v>
      </c>
      <c r="AD1411" s="364" t="s">
        <v>88</v>
      </c>
      <c r="AE1411" s="364" t="s">
        <v>88</v>
      </c>
      <c r="AF1411" s="364" t="s">
        <v>88</v>
      </c>
      <c r="AG1411" s="364" t="s">
        <v>88</v>
      </c>
      <c r="AH1411" s="364" t="s">
        <v>88</v>
      </c>
      <c r="AI1411" s="364" t="s">
        <v>1155</v>
      </c>
      <c r="AJ1411" s="364" t="s">
        <v>710</v>
      </c>
      <c r="AK1411" s="364" t="s">
        <v>88</v>
      </c>
      <c r="AL1411" s="364" t="s">
        <v>88</v>
      </c>
      <c r="AM1411" s="364" t="s">
        <v>668</v>
      </c>
      <c r="AN1411" s="364" t="s">
        <v>644</v>
      </c>
    </row>
    <row r="1412" spans="1:40" x14ac:dyDescent="0.3">
      <c r="A1412" s="364" t="s">
        <v>1264</v>
      </c>
      <c r="B1412" s="364" t="s">
        <v>661</v>
      </c>
      <c r="C1412" s="364" t="s">
        <v>1160</v>
      </c>
      <c r="D1412" s="364" t="s">
        <v>90</v>
      </c>
      <c r="E1412" s="364" t="s">
        <v>1263</v>
      </c>
      <c r="F1412" s="364" t="s">
        <v>1263</v>
      </c>
      <c r="G1412" s="364" t="s">
        <v>658</v>
      </c>
      <c r="H1412" s="364" t="s">
        <v>1262</v>
      </c>
      <c r="I1412" s="364" t="s">
        <v>88</v>
      </c>
      <c r="J1412" s="364" t="s">
        <v>673</v>
      </c>
      <c r="K1412" s="364" t="s">
        <v>668</v>
      </c>
      <c r="L1412" s="364" t="s">
        <v>190</v>
      </c>
      <c r="M1412" s="364" t="s">
        <v>240</v>
      </c>
      <c r="N1412" s="364" t="s">
        <v>654</v>
      </c>
      <c r="O1412" s="364" t="s">
        <v>653</v>
      </c>
      <c r="P1412" s="364" t="s">
        <v>198</v>
      </c>
      <c r="Q1412" s="364" t="s">
        <v>652</v>
      </c>
      <c r="R1412" s="364" t="s">
        <v>88</v>
      </c>
      <c r="S1412" s="364" t="s">
        <v>88</v>
      </c>
      <c r="T1412" s="364" t="s">
        <v>88</v>
      </c>
      <c r="U1412" s="364" t="s">
        <v>88</v>
      </c>
      <c r="V1412" s="364" t="s">
        <v>88</v>
      </c>
      <c r="W1412" s="364" t="s">
        <v>88</v>
      </c>
      <c r="X1412" s="364" t="s">
        <v>88</v>
      </c>
      <c r="Y1412" s="364" t="s">
        <v>88</v>
      </c>
      <c r="Z1412" s="364" t="s">
        <v>1163</v>
      </c>
      <c r="AA1412" s="364" t="s">
        <v>1162</v>
      </c>
      <c r="AB1412" s="364" t="s">
        <v>649</v>
      </c>
      <c r="AC1412" s="364" t="s">
        <v>88</v>
      </c>
      <c r="AD1412" s="364" t="s">
        <v>88</v>
      </c>
      <c r="AE1412" s="364" t="s">
        <v>88</v>
      </c>
      <c r="AF1412" s="364" t="s">
        <v>88</v>
      </c>
      <c r="AG1412" s="364" t="s">
        <v>88</v>
      </c>
      <c r="AH1412" s="364" t="s">
        <v>88</v>
      </c>
      <c r="AI1412" s="364" t="s">
        <v>1155</v>
      </c>
      <c r="AJ1412" s="364" t="s">
        <v>710</v>
      </c>
      <c r="AK1412" s="364" t="s">
        <v>88</v>
      </c>
      <c r="AL1412" s="364" t="s">
        <v>88</v>
      </c>
      <c r="AM1412" s="364" t="s">
        <v>668</v>
      </c>
      <c r="AN1412" s="364" t="s">
        <v>644</v>
      </c>
    </row>
    <row r="1413" spans="1:40" x14ac:dyDescent="0.3">
      <c r="A1413" s="364" t="s">
        <v>1264</v>
      </c>
      <c r="B1413" s="364" t="s">
        <v>661</v>
      </c>
      <c r="C1413" s="364" t="s">
        <v>1160</v>
      </c>
      <c r="D1413" s="364" t="s">
        <v>90</v>
      </c>
      <c r="E1413" s="364" t="s">
        <v>1263</v>
      </c>
      <c r="F1413" s="364" t="s">
        <v>1263</v>
      </c>
      <c r="G1413" s="364" t="s">
        <v>658</v>
      </c>
      <c r="H1413" s="364" t="s">
        <v>1262</v>
      </c>
      <c r="I1413" s="364" t="s">
        <v>88</v>
      </c>
      <c r="J1413" s="364" t="s">
        <v>673</v>
      </c>
      <c r="K1413" s="364" t="s">
        <v>668</v>
      </c>
      <c r="L1413" s="364" t="s">
        <v>190</v>
      </c>
      <c r="M1413" s="364" t="s">
        <v>417</v>
      </c>
      <c r="N1413" s="364" t="s">
        <v>654</v>
      </c>
      <c r="O1413" s="364" t="s">
        <v>653</v>
      </c>
      <c r="P1413" s="364" t="s">
        <v>198</v>
      </c>
      <c r="Q1413" s="364" t="s">
        <v>652</v>
      </c>
      <c r="R1413" s="364" t="s">
        <v>88</v>
      </c>
      <c r="S1413" s="364" t="s">
        <v>88</v>
      </c>
      <c r="T1413" s="364" t="s">
        <v>88</v>
      </c>
      <c r="U1413" s="364" t="s">
        <v>88</v>
      </c>
      <c r="V1413" s="364" t="s">
        <v>88</v>
      </c>
      <c r="W1413" s="364" t="s">
        <v>88</v>
      </c>
      <c r="X1413" s="364" t="s">
        <v>88</v>
      </c>
      <c r="Y1413" s="364" t="s">
        <v>88</v>
      </c>
      <c r="Z1413" s="364" t="s">
        <v>1261</v>
      </c>
      <c r="AA1413" s="364" t="s">
        <v>649</v>
      </c>
      <c r="AB1413" s="364" t="s">
        <v>649</v>
      </c>
      <c r="AC1413" s="364" t="s">
        <v>88</v>
      </c>
      <c r="AD1413" s="364" t="s">
        <v>88</v>
      </c>
      <c r="AE1413" s="364" t="s">
        <v>88</v>
      </c>
      <c r="AF1413" s="364" t="s">
        <v>88</v>
      </c>
      <c r="AG1413" s="364" t="s">
        <v>88</v>
      </c>
      <c r="AH1413" s="364" t="s">
        <v>88</v>
      </c>
      <c r="AI1413" s="364" t="s">
        <v>1155</v>
      </c>
      <c r="AJ1413" s="364" t="s">
        <v>710</v>
      </c>
      <c r="AK1413" s="364" t="s">
        <v>88</v>
      </c>
      <c r="AL1413" s="364" t="s">
        <v>88</v>
      </c>
      <c r="AM1413" s="364" t="s">
        <v>668</v>
      </c>
      <c r="AN1413" s="364" t="s">
        <v>644</v>
      </c>
    </row>
    <row r="1414" spans="1:40" x14ac:dyDescent="0.3">
      <c r="A1414" s="364" t="s">
        <v>1264</v>
      </c>
      <c r="B1414" s="364" t="s">
        <v>661</v>
      </c>
      <c r="C1414" s="364" t="s">
        <v>1160</v>
      </c>
      <c r="D1414" s="364" t="s">
        <v>90</v>
      </c>
      <c r="E1414" s="364" t="s">
        <v>1263</v>
      </c>
      <c r="F1414" s="364" t="s">
        <v>1263</v>
      </c>
      <c r="G1414" s="364" t="s">
        <v>658</v>
      </c>
      <c r="H1414" s="364" t="s">
        <v>1262</v>
      </c>
      <c r="I1414" s="364" t="s">
        <v>88</v>
      </c>
      <c r="J1414" s="364" t="s">
        <v>673</v>
      </c>
      <c r="K1414" s="364" t="s">
        <v>668</v>
      </c>
      <c r="L1414" s="364" t="s">
        <v>190</v>
      </c>
      <c r="M1414" s="364" t="s">
        <v>61</v>
      </c>
      <c r="N1414" s="364" t="s">
        <v>654</v>
      </c>
      <c r="O1414" s="364" t="s">
        <v>653</v>
      </c>
      <c r="P1414" s="364" t="s">
        <v>198</v>
      </c>
      <c r="Q1414" s="364" t="s">
        <v>652</v>
      </c>
      <c r="R1414" s="364" t="s">
        <v>88</v>
      </c>
      <c r="S1414" s="364" t="s">
        <v>88</v>
      </c>
      <c r="T1414" s="364" t="s">
        <v>88</v>
      </c>
      <c r="U1414" s="364" t="s">
        <v>88</v>
      </c>
      <c r="V1414" s="364" t="s">
        <v>88</v>
      </c>
      <c r="W1414" s="364" t="s">
        <v>88</v>
      </c>
      <c r="X1414" s="364" t="s">
        <v>88</v>
      </c>
      <c r="Y1414" s="364" t="s">
        <v>88</v>
      </c>
      <c r="Z1414" s="364" t="s">
        <v>1021</v>
      </c>
      <c r="AA1414" s="364" t="s">
        <v>671</v>
      </c>
      <c r="AB1414" s="364" t="s">
        <v>649</v>
      </c>
      <c r="AC1414" s="364" t="s">
        <v>88</v>
      </c>
      <c r="AD1414" s="364" t="s">
        <v>88</v>
      </c>
      <c r="AE1414" s="364" t="s">
        <v>88</v>
      </c>
      <c r="AF1414" s="364" t="s">
        <v>88</v>
      </c>
      <c r="AG1414" s="364" t="s">
        <v>88</v>
      </c>
      <c r="AH1414" s="364" t="s">
        <v>88</v>
      </c>
      <c r="AI1414" s="364" t="s">
        <v>1155</v>
      </c>
      <c r="AJ1414" s="364" t="s">
        <v>710</v>
      </c>
      <c r="AK1414" s="364" t="s">
        <v>88</v>
      </c>
      <c r="AL1414" s="364" t="s">
        <v>88</v>
      </c>
      <c r="AM1414" s="364" t="s">
        <v>668</v>
      </c>
      <c r="AN1414" s="364" t="s">
        <v>644</v>
      </c>
    </row>
    <row r="1415" spans="1:40" x14ac:dyDescent="0.3">
      <c r="A1415" s="364" t="s">
        <v>1264</v>
      </c>
      <c r="B1415" s="364" t="s">
        <v>661</v>
      </c>
      <c r="C1415" s="364" t="s">
        <v>1160</v>
      </c>
      <c r="D1415" s="364" t="s">
        <v>90</v>
      </c>
      <c r="E1415" s="364" t="s">
        <v>1263</v>
      </c>
      <c r="F1415" s="364" t="s">
        <v>1263</v>
      </c>
      <c r="G1415" s="364" t="s">
        <v>658</v>
      </c>
      <c r="H1415" s="364" t="s">
        <v>1262</v>
      </c>
      <c r="I1415" s="364" t="s">
        <v>88</v>
      </c>
      <c r="J1415" s="364" t="s">
        <v>673</v>
      </c>
      <c r="K1415" s="364" t="s">
        <v>668</v>
      </c>
      <c r="L1415" s="364" t="s">
        <v>190</v>
      </c>
      <c r="M1415" s="364" t="s">
        <v>242</v>
      </c>
      <c r="N1415" s="364" t="s">
        <v>654</v>
      </c>
      <c r="O1415" s="364" t="s">
        <v>653</v>
      </c>
      <c r="P1415" s="364" t="s">
        <v>198</v>
      </c>
      <c r="Q1415" s="364" t="s">
        <v>652</v>
      </c>
      <c r="R1415" s="364" t="s">
        <v>88</v>
      </c>
      <c r="S1415" s="364" t="s">
        <v>88</v>
      </c>
      <c r="T1415" s="364" t="s">
        <v>88</v>
      </c>
      <c r="U1415" s="364" t="s">
        <v>88</v>
      </c>
      <c r="V1415" s="364" t="s">
        <v>88</v>
      </c>
      <c r="W1415" s="364" t="s">
        <v>88</v>
      </c>
      <c r="X1415" s="364" t="s">
        <v>88</v>
      </c>
      <c r="Y1415" s="364" t="s">
        <v>88</v>
      </c>
      <c r="Z1415" s="364" t="s">
        <v>1157</v>
      </c>
      <c r="AA1415" s="364" t="s">
        <v>1156</v>
      </c>
      <c r="AB1415" s="364" t="s">
        <v>649</v>
      </c>
      <c r="AC1415" s="364" t="s">
        <v>88</v>
      </c>
      <c r="AD1415" s="364" t="s">
        <v>88</v>
      </c>
      <c r="AE1415" s="364" t="s">
        <v>88</v>
      </c>
      <c r="AF1415" s="364" t="s">
        <v>88</v>
      </c>
      <c r="AG1415" s="364" t="s">
        <v>88</v>
      </c>
      <c r="AH1415" s="364" t="s">
        <v>88</v>
      </c>
      <c r="AI1415" s="364" t="s">
        <v>1155</v>
      </c>
      <c r="AJ1415" s="364" t="s">
        <v>710</v>
      </c>
      <c r="AK1415" s="364" t="s">
        <v>88</v>
      </c>
      <c r="AL1415" s="364" t="s">
        <v>88</v>
      </c>
      <c r="AM1415" s="364" t="s">
        <v>668</v>
      </c>
      <c r="AN1415" s="364" t="s">
        <v>644</v>
      </c>
    </row>
    <row r="1416" spans="1:40" x14ac:dyDescent="0.3">
      <c r="A1416" s="364" t="s">
        <v>1264</v>
      </c>
      <c r="B1416" s="364" t="s">
        <v>661</v>
      </c>
      <c r="C1416" s="364" t="s">
        <v>1160</v>
      </c>
      <c r="D1416" s="364" t="s">
        <v>90</v>
      </c>
      <c r="E1416" s="364" t="s">
        <v>1263</v>
      </c>
      <c r="F1416" s="364" t="s">
        <v>1263</v>
      </c>
      <c r="G1416" s="364" t="s">
        <v>658</v>
      </c>
      <c r="H1416" s="364" t="s">
        <v>1262</v>
      </c>
      <c r="I1416" s="364" t="s">
        <v>88</v>
      </c>
      <c r="J1416" s="364" t="s">
        <v>673</v>
      </c>
      <c r="K1416" s="364" t="s">
        <v>668</v>
      </c>
      <c r="L1416" s="364" t="s">
        <v>190</v>
      </c>
      <c r="M1416" s="364" t="s">
        <v>54</v>
      </c>
      <c r="N1416" s="364" t="s">
        <v>654</v>
      </c>
      <c r="O1416" s="364" t="s">
        <v>653</v>
      </c>
      <c r="P1416" s="364" t="s">
        <v>198</v>
      </c>
      <c r="Q1416" s="364" t="s">
        <v>652</v>
      </c>
      <c r="R1416" s="364" t="s">
        <v>88</v>
      </c>
      <c r="S1416" s="364" t="s">
        <v>88</v>
      </c>
      <c r="T1416" s="364" t="s">
        <v>88</v>
      </c>
      <c r="U1416" s="364" t="s">
        <v>88</v>
      </c>
      <c r="V1416" s="364" t="s">
        <v>88</v>
      </c>
      <c r="W1416" s="364" t="s">
        <v>88</v>
      </c>
      <c r="X1416" s="364" t="s">
        <v>88</v>
      </c>
      <c r="Y1416" s="364" t="s">
        <v>88</v>
      </c>
      <c r="Z1416" s="364" t="s">
        <v>1265</v>
      </c>
      <c r="AA1416" s="364" t="s">
        <v>649</v>
      </c>
      <c r="AB1416" s="364" t="s">
        <v>649</v>
      </c>
      <c r="AC1416" s="364" t="s">
        <v>88</v>
      </c>
      <c r="AD1416" s="364" t="s">
        <v>88</v>
      </c>
      <c r="AE1416" s="364" t="s">
        <v>88</v>
      </c>
      <c r="AF1416" s="364" t="s">
        <v>88</v>
      </c>
      <c r="AG1416" s="364" t="s">
        <v>88</v>
      </c>
      <c r="AH1416" s="364" t="s">
        <v>88</v>
      </c>
      <c r="AI1416" s="364" t="s">
        <v>1155</v>
      </c>
      <c r="AJ1416" s="364" t="s">
        <v>710</v>
      </c>
      <c r="AK1416" s="364" t="s">
        <v>88</v>
      </c>
      <c r="AL1416" s="364" t="s">
        <v>88</v>
      </c>
      <c r="AM1416" s="364" t="s">
        <v>668</v>
      </c>
      <c r="AN1416" s="364" t="s">
        <v>644</v>
      </c>
    </row>
    <row r="1417" spans="1:40" x14ac:dyDescent="0.3">
      <c r="A1417" s="364" t="s">
        <v>1264</v>
      </c>
      <c r="B1417" s="364" t="s">
        <v>661</v>
      </c>
      <c r="C1417" s="364" t="s">
        <v>1160</v>
      </c>
      <c r="D1417" s="364" t="s">
        <v>90</v>
      </c>
      <c r="E1417" s="364" t="s">
        <v>1263</v>
      </c>
      <c r="F1417" s="364" t="s">
        <v>1263</v>
      </c>
      <c r="G1417" s="364" t="s">
        <v>658</v>
      </c>
      <c r="H1417" s="364" t="s">
        <v>1262</v>
      </c>
      <c r="I1417" s="364" t="s">
        <v>88</v>
      </c>
      <c r="J1417" s="364" t="s">
        <v>673</v>
      </c>
      <c r="K1417" s="364" t="s">
        <v>668</v>
      </c>
      <c r="L1417" s="364" t="s">
        <v>190</v>
      </c>
      <c r="M1417" s="364" t="s">
        <v>1173</v>
      </c>
      <c r="N1417" s="364" t="s">
        <v>654</v>
      </c>
      <c r="O1417" s="364" t="s">
        <v>653</v>
      </c>
      <c r="P1417" s="364" t="s">
        <v>198</v>
      </c>
      <c r="Q1417" s="364" t="s">
        <v>652</v>
      </c>
      <c r="R1417" s="364" t="s">
        <v>88</v>
      </c>
      <c r="S1417" s="364" t="s">
        <v>88</v>
      </c>
      <c r="T1417" s="364" t="s">
        <v>88</v>
      </c>
      <c r="U1417" s="364" t="s">
        <v>88</v>
      </c>
      <c r="V1417" s="364" t="s">
        <v>88</v>
      </c>
      <c r="W1417" s="364" t="s">
        <v>88</v>
      </c>
      <c r="X1417" s="364" t="s">
        <v>88</v>
      </c>
      <c r="Y1417" s="364" t="s">
        <v>88</v>
      </c>
      <c r="Z1417" s="364" t="s">
        <v>1172</v>
      </c>
      <c r="AA1417" s="364" t="s">
        <v>1171</v>
      </c>
      <c r="AB1417" s="364" t="s">
        <v>649</v>
      </c>
      <c r="AC1417" s="364" t="s">
        <v>88</v>
      </c>
      <c r="AD1417" s="364" t="s">
        <v>88</v>
      </c>
      <c r="AE1417" s="364" t="s">
        <v>88</v>
      </c>
      <c r="AF1417" s="364" t="s">
        <v>88</v>
      </c>
      <c r="AG1417" s="364" t="s">
        <v>88</v>
      </c>
      <c r="AH1417" s="364" t="s">
        <v>88</v>
      </c>
      <c r="AI1417" s="364" t="s">
        <v>1155</v>
      </c>
      <c r="AJ1417" s="364" t="s">
        <v>710</v>
      </c>
      <c r="AK1417" s="364" t="s">
        <v>88</v>
      </c>
      <c r="AL1417" s="364" t="s">
        <v>88</v>
      </c>
      <c r="AM1417" s="364" t="s">
        <v>668</v>
      </c>
      <c r="AN1417" s="364" t="s">
        <v>644</v>
      </c>
    </row>
    <row r="1418" spans="1:40" x14ac:dyDescent="0.3">
      <c r="A1418" s="364" t="s">
        <v>1264</v>
      </c>
      <c r="B1418" s="364" t="s">
        <v>661</v>
      </c>
      <c r="C1418" s="364" t="s">
        <v>1160</v>
      </c>
      <c r="D1418" s="364" t="s">
        <v>90</v>
      </c>
      <c r="E1418" s="364" t="s">
        <v>1263</v>
      </c>
      <c r="F1418" s="364" t="s">
        <v>1263</v>
      </c>
      <c r="G1418" s="364" t="s">
        <v>658</v>
      </c>
      <c r="H1418" s="364" t="s">
        <v>1262</v>
      </c>
      <c r="I1418" s="364" t="s">
        <v>88</v>
      </c>
      <c r="J1418" s="364" t="s">
        <v>673</v>
      </c>
      <c r="K1418" s="364" t="s">
        <v>668</v>
      </c>
      <c r="L1418" s="364" t="s">
        <v>190</v>
      </c>
      <c r="M1418" s="364" t="s">
        <v>243</v>
      </c>
      <c r="N1418" s="364" t="s">
        <v>654</v>
      </c>
      <c r="O1418" s="364" t="s">
        <v>653</v>
      </c>
      <c r="P1418" s="364" t="s">
        <v>198</v>
      </c>
      <c r="Q1418" s="364" t="s">
        <v>652</v>
      </c>
      <c r="R1418" s="364" t="s">
        <v>88</v>
      </c>
      <c r="S1418" s="364" t="s">
        <v>88</v>
      </c>
      <c r="T1418" s="364" t="s">
        <v>88</v>
      </c>
      <c r="U1418" s="364" t="s">
        <v>88</v>
      </c>
      <c r="V1418" s="364" t="s">
        <v>88</v>
      </c>
      <c r="W1418" s="364" t="s">
        <v>88</v>
      </c>
      <c r="X1418" s="364" t="s">
        <v>88</v>
      </c>
      <c r="Y1418" s="364" t="s">
        <v>88</v>
      </c>
      <c r="Z1418" s="364" t="s">
        <v>1175</v>
      </c>
      <c r="AA1418" s="364" t="s">
        <v>1174</v>
      </c>
      <c r="AB1418" s="364" t="s">
        <v>649</v>
      </c>
      <c r="AC1418" s="364" t="s">
        <v>88</v>
      </c>
      <c r="AD1418" s="364" t="s">
        <v>88</v>
      </c>
      <c r="AE1418" s="364" t="s">
        <v>88</v>
      </c>
      <c r="AF1418" s="364" t="s">
        <v>88</v>
      </c>
      <c r="AG1418" s="364" t="s">
        <v>88</v>
      </c>
      <c r="AH1418" s="364" t="s">
        <v>88</v>
      </c>
      <c r="AI1418" s="364" t="s">
        <v>1155</v>
      </c>
      <c r="AJ1418" s="364" t="s">
        <v>710</v>
      </c>
      <c r="AK1418" s="364" t="s">
        <v>88</v>
      </c>
      <c r="AL1418" s="364" t="s">
        <v>88</v>
      </c>
      <c r="AM1418" s="364" t="s">
        <v>668</v>
      </c>
      <c r="AN1418" s="364" t="s">
        <v>644</v>
      </c>
    </row>
    <row r="1419" spans="1:40" x14ac:dyDescent="0.3">
      <c r="A1419" s="364" t="s">
        <v>1260</v>
      </c>
      <c r="B1419" s="364" t="s">
        <v>661</v>
      </c>
      <c r="C1419" s="364" t="s">
        <v>1160</v>
      </c>
      <c r="D1419" s="364" t="s">
        <v>90</v>
      </c>
      <c r="E1419" s="364" t="s">
        <v>1259</v>
      </c>
      <c r="F1419" s="364" t="s">
        <v>1259</v>
      </c>
      <c r="G1419" s="364" t="s">
        <v>658</v>
      </c>
      <c r="H1419" s="364" t="s">
        <v>1258</v>
      </c>
      <c r="I1419" s="364" t="s">
        <v>88</v>
      </c>
      <c r="J1419" s="364" t="s">
        <v>673</v>
      </c>
      <c r="K1419" s="364" t="s">
        <v>668</v>
      </c>
      <c r="L1419" s="364" t="s">
        <v>190</v>
      </c>
      <c r="M1419" s="364" t="s">
        <v>1173</v>
      </c>
      <c r="N1419" s="364" t="s">
        <v>654</v>
      </c>
      <c r="O1419" s="364" t="s">
        <v>653</v>
      </c>
      <c r="P1419" s="364" t="s">
        <v>198</v>
      </c>
      <c r="Q1419" s="364" t="s">
        <v>652</v>
      </c>
      <c r="R1419" s="364" t="s">
        <v>88</v>
      </c>
      <c r="S1419" s="364" t="s">
        <v>88</v>
      </c>
      <c r="T1419" s="364" t="s">
        <v>88</v>
      </c>
      <c r="U1419" s="364" t="s">
        <v>88</v>
      </c>
      <c r="V1419" s="364" t="s">
        <v>88</v>
      </c>
      <c r="W1419" s="364" t="s">
        <v>88</v>
      </c>
      <c r="X1419" s="364" t="s">
        <v>88</v>
      </c>
      <c r="Y1419" s="364" t="s">
        <v>88</v>
      </c>
      <c r="Z1419" s="364" t="s">
        <v>1172</v>
      </c>
      <c r="AA1419" s="364" t="s">
        <v>1171</v>
      </c>
      <c r="AB1419" s="364" t="s">
        <v>649</v>
      </c>
      <c r="AC1419" s="364" t="s">
        <v>88</v>
      </c>
      <c r="AD1419" s="364" t="s">
        <v>88</v>
      </c>
      <c r="AE1419" s="364" t="s">
        <v>88</v>
      </c>
      <c r="AF1419" s="364" t="s">
        <v>88</v>
      </c>
      <c r="AG1419" s="364" t="s">
        <v>88</v>
      </c>
      <c r="AH1419" s="364" t="s">
        <v>88</v>
      </c>
      <c r="AI1419" s="364" t="s">
        <v>1155</v>
      </c>
      <c r="AJ1419" s="364" t="s">
        <v>710</v>
      </c>
      <c r="AK1419" s="364" t="s">
        <v>88</v>
      </c>
      <c r="AL1419" s="364" t="s">
        <v>88</v>
      </c>
      <c r="AM1419" s="364" t="s">
        <v>668</v>
      </c>
      <c r="AN1419" s="364" t="s">
        <v>644</v>
      </c>
    </row>
    <row r="1420" spans="1:40" x14ac:dyDescent="0.3">
      <c r="A1420" s="364" t="s">
        <v>1260</v>
      </c>
      <c r="B1420" s="364" t="s">
        <v>661</v>
      </c>
      <c r="C1420" s="364" t="s">
        <v>1160</v>
      </c>
      <c r="D1420" s="364" t="s">
        <v>90</v>
      </c>
      <c r="E1420" s="364" t="s">
        <v>1259</v>
      </c>
      <c r="F1420" s="364" t="s">
        <v>1259</v>
      </c>
      <c r="G1420" s="364" t="s">
        <v>658</v>
      </c>
      <c r="H1420" s="364" t="s">
        <v>1258</v>
      </c>
      <c r="I1420" s="364" t="s">
        <v>88</v>
      </c>
      <c r="J1420" s="364" t="s">
        <v>673</v>
      </c>
      <c r="K1420" s="364" t="s">
        <v>668</v>
      </c>
      <c r="L1420" s="364" t="s">
        <v>190</v>
      </c>
      <c r="M1420" s="364" t="s">
        <v>243</v>
      </c>
      <c r="N1420" s="364" t="s">
        <v>654</v>
      </c>
      <c r="O1420" s="364" t="s">
        <v>653</v>
      </c>
      <c r="P1420" s="364" t="s">
        <v>198</v>
      </c>
      <c r="Q1420" s="364" t="s">
        <v>652</v>
      </c>
      <c r="R1420" s="364" t="s">
        <v>88</v>
      </c>
      <c r="S1420" s="364" t="s">
        <v>88</v>
      </c>
      <c r="T1420" s="364" t="s">
        <v>88</v>
      </c>
      <c r="U1420" s="364" t="s">
        <v>88</v>
      </c>
      <c r="V1420" s="364" t="s">
        <v>88</v>
      </c>
      <c r="W1420" s="364" t="s">
        <v>88</v>
      </c>
      <c r="X1420" s="364" t="s">
        <v>88</v>
      </c>
      <c r="Y1420" s="364" t="s">
        <v>88</v>
      </c>
      <c r="Z1420" s="364" t="s">
        <v>1175</v>
      </c>
      <c r="AA1420" s="364" t="s">
        <v>1174</v>
      </c>
      <c r="AB1420" s="364" t="s">
        <v>649</v>
      </c>
      <c r="AC1420" s="364" t="s">
        <v>88</v>
      </c>
      <c r="AD1420" s="364" t="s">
        <v>88</v>
      </c>
      <c r="AE1420" s="364" t="s">
        <v>88</v>
      </c>
      <c r="AF1420" s="364" t="s">
        <v>88</v>
      </c>
      <c r="AG1420" s="364" t="s">
        <v>88</v>
      </c>
      <c r="AH1420" s="364" t="s">
        <v>88</v>
      </c>
      <c r="AI1420" s="364" t="s">
        <v>1155</v>
      </c>
      <c r="AJ1420" s="364" t="s">
        <v>710</v>
      </c>
      <c r="AK1420" s="364" t="s">
        <v>88</v>
      </c>
      <c r="AL1420" s="364" t="s">
        <v>88</v>
      </c>
      <c r="AM1420" s="364" t="s">
        <v>668</v>
      </c>
      <c r="AN1420" s="364" t="s">
        <v>644</v>
      </c>
    </row>
    <row r="1421" spans="1:40" x14ac:dyDescent="0.3">
      <c r="A1421" s="364" t="s">
        <v>1260</v>
      </c>
      <c r="B1421" s="364" t="s">
        <v>661</v>
      </c>
      <c r="C1421" s="364" t="s">
        <v>1160</v>
      </c>
      <c r="D1421" s="364" t="s">
        <v>90</v>
      </c>
      <c r="E1421" s="364" t="s">
        <v>1259</v>
      </c>
      <c r="F1421" s="364" t="s">
        <v>1259</v>
      </c>
      <c r="G1421" s="364" t="s">
        <v>658</v>
      </c>
      <c r="H1421" s="364" t="s">
        <v>1258</v>
      </c>
      <c r="I1421" s="364" t="s">
        <v>88</v>
      </c>
      <c r="J1421" s="364" t="s">
        <v>673</v>
      </c>
      <c r="K1421" s="364" t="s">
        <v>668</v>
      </c>
      <c r="L1421" s="364" t="s">
        <v>190</v>
      </c>
      <c r="M1421" s="364" t="s">
        <v>1168</v>
      </c>
      <c r="N1421" s="364" t="s">
        <v>654</v>
      </c>
      <c r="O1421" s="364" t="s">
        <v>653</v>
      </c>
      <c r="P1421" s="364" t="s">
        <v>198</v>
      </c>
      <c r="Q1421" s="364" t="s">
        <v>652</v>
      </c>
      <c r="R1421" s="364" t="s">
        <v>88</v>
      </c>
      <c r="S1421" s="364" t="s">
        <v>88</v>
      </c>
      <c r="T1421" s="364" t="s">
        <v>88</v>
      </c>
      <c r="U1421" s="364" t="s">
        <v>88</v>
      </c>
      <c r="V1421" s="364" t="s">
        <v>88</v>
      </c>
      <c r="W1421" s="364" t="s">
        <v>88</v>
      </c>
      <c r="X1421" s="364" t="s">
        <v>88</v>
      </c>
      <c r="Y1421" s="364" t="s">
        <v>88</v>
      </c>
      <c r="Z1421" s="364" t="s">
        <v>1167</v>
      </c>
      <c r="AA1421" s="364" t="s">
        <v>1166</v>
      </c>
      <c r="AB1421" s="364" t="s">
        <v>649</v>
      </c>
      <c r="AC1421" s="364" t="s">
        <v>88</v>
      </c>
      <c r="AD1421" s="364" t="s">
        <v>88</v>
      </c>
      <c r="AE1421" s="364" t="s">
        <v>88</v>
      </c>
      <c r="AF1421" s="364" t="s">
        <v>88</v>
      </c>
      <c r="AG1421" s="364" t="s">
        <v>88</v>
      </c>
      <c r="AH1421" s="364" t="s">
        <v>88</v>
      </c>
      <c r="AI1421" s="364" t="s">
        <v>1155</v>
      </c>
      <c r="AJ1421" s="364" t="s">
        <v>710</v>
      </c>
      <c r="AK1421" s="364" t="s">
        <v>88</v>
      </c>
      <c r="AL1421" s="364" t="s">
        <v>88</v>
      </c>
      <c r="AM1421" s="364" t="s">
        <v>668</v>
      </c>
      <c r="AN1421" s="364" t="s">
        <v>644</v>
      </c>
    </row>
    <row r="1422" spans="1:40" x14ac:dyDescent="0.3">
      <c r="A1422" s="364" t="s">
        <v>1260</v>
      </c>
      <c r="B1422" s="364" t="s">
        <v>661</v>
      </c>
      <c r="C1422" s="364" t="s">
        <v>1160</v>
      </c>
      <c r="D1422" s="364" t="s">
        <v>90</v>
      </c>
      <c r="E1422" s="364" t="s">
        <v>1259</v>
      </c>
      <c r="F1422" s="364" t="s">
        <v>1259</v>
      </c>
      <c r="G1422" s="364" t="s">
        <v>658</v>
      </c>
      <c r="H1422" s="364" t="s">
        <v>1258</v>
      </c>
      <c r="I1422" s="364" t="s">
        <v>88</v>
      </c>
      <c r="J1422" s="364" t="s">
        <v>673</v>
      </c>
      <c r="K1422" s="364" t="s">
        <v>668</v>
      </c>
      <c r="L1422" s="364" t="s">
        <v>190</v>
      </c>
      <c r="M1422" s="364" t="s">
        <v>713</v>
      </c>
      <c r="N1422" s="364" t="s">
        <v>654</v>
      </c>
      <c r="O1422" s="364" t="s">
        <v>653</v>
      </c>
      <c r="P1422" s="364" t="s">
        <v>198</v>
      </c>
      <c r="Q1422" s="364" t="s">
        <v>652</v>
      </c>
      <c r="R1422" s="364" t="s">
        <v>88</v>
      </c>
      <c r="S1422" s="364" t="s">
        <v>88</v>
      </c>
      <c r="T1422" s="364" t="s">
        <v>88</v>
      </c>
      <c r="U1422" s="364" t="s">
        <v>88</v>
      </c>
      <c r="V1422" s="364" t="s">
        <v>88</v>
      </c>
      <c r="W1422" s="364" t="s">
        <v>88</v>
      </c>
      <c r="X1422" s="364" t="s">
        <v>88</v>
      </c>
      <c r="Y1422" s="364" t="s">
        <v>88</v>
      </c>
      <c r="Z1422" s="364" t="s">
        <v>712</v>
      </c>
      <c r="AA1422" s="364" t="s">
        <v>711</v>
      </c>
      <c r="AB1422" s="364" t="s">
        <v>649</v>
      </c>
      <c r="AC1422" s="364" t="s">
        <v>88</v>
      </c>
      <c r="AD1422" s="364" t="s">
        <v>88</v>
      </c>
      <c r="AE1422" s="364" t="s">
        <v>88</v>
      </c>
      <c r="AF1422" s="364" t="s">
        <v>88</v>
      </c>
      <c r="AG1422" s="364" t="s">
        <v>88</v>
      </c>
      <c r="AH1422" s="364" t="s">
        <v>88</v>
      </c>
      <c r="AI1422" s="364" t="s">
        <v>1155</v>
      </c>
      <c r="AJ1422" s="364" t="s">
        <v>710</v>
      </c>
      <c r="AK1422" s="364" t="s">
        <v>88</v>
      </c>
      <c r="AL1422" s="364" t="s">
        <v>88</v>
      </c>
      <c r="AM1422" s="364" t="s">
        <v>668</v>
      </c>
      <c r="AN1422" s="364" t="s">
        <v>644</v>
      </c>
    </row>
    <row r="1423" spans="1:40" x14ac:dyDescent="0.3">
      <c r="A1423" s="364" t="s">
        <v>1260</v>
      </c>
      <c r="B1423" s="364" t="s">
        <v>661</v>
      </c>
      <c r="C1423" s="364" t="s">
        <v>1160</v>
      </c>
      <c r="D1423" s="364" t="s">
        <v>90</v>
      </c>
      <c r="E1423" s="364" t="s">
        <v>1259</v>
      </c>
      <c r="F1423" s="364" t="s">
        <v>1259</v>
      </c>
      <c r="G1423" s="364" t="s">
        <v>658</v>
      </c>
      <c r="H1423" s="364" t="s">
        <v>1258</v>
      </c>
      <c r="I1423" s="364" t="s">
        <v>88</v>
      </c>
      <c r="J1423" s="364" t="s">
        <v>673</v>
      </c>
      <c r="K1423" s="364" t="s">
        <v>668</v>
      </c>
      <c r="L1423" s="364" t="s">
        <v>190</v>
      </c>
      <c r="M1423" s="364" t="s">
        <v>56</v>
      </c>
      <c r="N1423" s="364" t="s">
        <v>654</v>
      </c>
      <c r="O1423" s="364" t="s">
        <v>653</v>
      </c>
      <c r="P1423" s="364" t="s">
        <v>198</v>
      </c>
      <c r="Q1423" s="364" t="s">
        <v>652</v>
      </c>
      <c r="R1423" s="364" t="s">
        <v>88</v>
      </c>
      <c r="S1423" s="364" t="s">
        <v>88</v>
      </c>
      <c r="T1423" s="364" t="s">
        <v>88</v>
      </c>
      <c r="U1423" s="364" t="s">
        <v>88</v>
      </c>
      <c r="V1423" s="364" t="s">
        <v>88</v>
      </c>
      <c r="W1423" s="364" t="s">
        <v>88</v>
      </c>
      <c r="X1423" s="364" t="s">
        <v>88</v>
      </c>
      <c r="Y1423" s="364" t="s">
        <v>88</v>
      </c>
      <c r="Z1423" s="364" t="s">
        <v>1165</v>
      </c>
      <c r="AA1423" s="364" t="s">
        <v>1164</v>
      </c>
      <c r="AB1423" s="364" t="s">
        <v>649</v>
      </c>
      <c r="AC1423" s="364" t="s">
        <v>88</v>
      </c>
      <c r="AD1423" s="364" t="s">
        <v>88</v>
      </c>
      <c r="AE1423" s="364" t="s">
        <v>88</v>
      </c>
      <c r="AF1423" s="364" t="s">
        <v>88</v>
      </c>
      <c r="AG1423" s="364" t="s">
        <v>88</v>
      </c>
      <c r="AH1423" s="364" t="s">
        <v>88</v>
      </c>
      <c r="AI1423" s="364" t="s">
        <v>1155</v>
      </c>
      <c r="AJ1423" s="364" t="s">
        <v>710</v>
      </c>
      <c r="AK1423" s="364" t="s">
        <v>88</v>
      </c>
      <c r="AL1423" s="364" t="s">
        <v>88</v>
      </c>
      <c r="AM1423" s="364" t="s">
        <v>668</v>
      </c>
      <c r="AN1423" s="364" t="s">
        <v>644</v>
      </c>
    </row>
    <row r="1424" spans="1:40" x14ac:dyDescent="0.3">
      <c r="A1424" s="364" t="s">
        <v>1260</v>
      </c>
      <c r="B1424" s="364" t="s">
        <v>661</v>
      </c>
      <c r="C1424" s="364" t="s">
        <v>1160</v>
      </c>
      <c r="D1424" s="364" t="s">
        <v>90</v>
      </c>
      <c r="E1424" s="364" t="s">
        <v>1259</v>
      </c>
      <c r="F1424" s="364" t="s">
        <v>1259</v>
      </c>
      <c r="G1424" s="364" t="s">
        <v>658</v>
      </c>
      <c r="H1424" s="364" t="s">
        <v>1258</v>
      </c>
      <c r="I1424" s="364" t="s">
        <v>88</v>
      </c>
      <c r="J1424" s="364" t="s">
        <v>673</v>
      </c>
      <c r="K1424" s="364" t="s">
        <v>668</v>
      </c>
      <c r="L1424" s="364" t="s">
        <v>190</v>
      </c>
      <c r="M1424" s="364" t="s">
        <v>241</v>
      </c>
      <c r="N1424" s="364" t="s">
        <v>654</v>
      </c>
      <c r="O1424" s="364" t="s">
        <v>653</v>
      </c>
      <c r="P1424" s="364" t="s">
        <v>198</v>
      </c>
      <c r="Q1424" s="364" t="s">
        <v>652</v>
      </c>
      <c r="R1424" s="364" t="s">
        <v>88</v>
      </c>
      <c r="S1424" s="364" t="s">
        <v>88</v>
      </c>
      <c r="T1424" s="364" t="s">
        <v>88</v>
      </c>
      <c r="U1424" s="364" t="s">
        <v>88</v>
      </c>
      <c r="V1424" s="364" t="s">
        <v>88</v>
      </c>
      <c r="W1424" s="364" t="s">
        <v>88</v>
      </c>
      <c r="X1424" s="364" t="s">
        <v>88</v>
      </c>
      <c r="Y1424" s="364" t="s">
        <v>88</v>
      </c>
      <c r="Z1424" s="364" t="s">
        <v>1170</v>
      </c>
      <c r="AA1424" s="364" t="s">
        <v>1169</v>
      </c>
      <c r="AB1424" s="364" t="s">
        <v>649</v>
      </c>
      <c r="AC1424" s="364" t="s">
        <v>88</v>
      </c>
      <c r="AD1424" s="364" t="s">
        <v>88</v>
      </c>
      <c r="AE1424" s="364" t="s">
        <v>88</v>
      </c>
      <c r="AF1424" s="364" t="s">
        <v>88</v>
      </c>
      <c r="AG1424" s="364" t="s">
        <v>88</v>
      </c>
      <c r="AH1424" s="364" t="s">
        <v>88</v>
      </c>
      <c r="AI1424" s="364" t="s">
        <v>1155</v>
      </c>
      <c r="AJ1424" s="364" t="s">
        <v>710</v>
      </c>
      <c r="AK1424" s="364" t="s">
        <v>88</v>
      </c>
      <c r="AL1424" s="364" t="s">
        <v>88</v>
      </c>
      <c r="AM1424" s="364" t="s">
        <v>668</v>
      </c>
      <c r="AN1424" s="364" t="s">
        <v>644</v>
      </c>
    </row>
    <row r="1425" spans="1:40" x14ac:dyDescent="0.3">
      <c r="A1425" s="364" t="s">
        <v>1260</v>
      </c>
      <c r="B1425" s="364" t="s">
        <v>661</v>
      </c>
      <c r="C1425" s="364" t="s">
        <v>1160</v>
      </c>
      <c r="D1425" s="364" t="s">
        <v>90</v>
      </c>
      <c r="E1425" s="364" t="s">
        <v>1259</v>
      </c>
      <c r="F1425" s="364" t="s">
        <v>1259</v>
      </c>
      <c r="G1425" s="364" t="s">
        <v>658</v>
      </c>
      <c r="H1425" s="364" t="s">
        <v>1258</v>
      </c>
      <c r="I1425" s="364" t="s">
        <v>88</v>
      </c>
      <c r="J1425" s="364" t="s">
        <v>673</v>
      </c>
      <c r="K1425" s="364" t="s">
        <v>668</v>
      </c>
      <c r="L1425" s="364" t="s">
        <v>190</v>
      </c>
      <c r="M1425" s="364" t="s">
        <v>240</v>
      </c>
      <c r="N1425" s="364" t="s">
        <v>654</v>
      </c>
      <c r="O1425" s="364" t="s">
        <v>653</v>
      </c>
      <c r="P1425" s="364" t="s">
        <v>198</v>
      </c>
      <c r="Q1425" s="364" t="s">
        <v>652</v>
      </c>
      <c r="R1425" s="364" t="s">
        <v>88</v>
      </c>
      <c r="S1425" s="364" t="s">
        <v>88</v>
      </c>
      <c r="T1425" s="364" t="s">
        <v>88</v>
      </c>
      <c r="U1425" s="364" t="s">
        <v>88</v>
      </c>
      <c r="V1425" s="364" t="s">
        <v>88</v>
      </c>
      <c r="W1425" s="364" t="s">
        <v>88</v>
      </c>
      <c r="X1425" s="364" t="s">
        <v>88</v>
      </c>
      <c r="Y1425" s="364" t="s">
        <v>88</v>
      </c>
      <c r="Z1425" s="364" t="s">
        <v>1163</v>
      </c>
      <c r="AA1425" s="364" t="s">
        <v>1162</v>
      </c>
      <c r="AB1425" s="364" t="s">
        <v>649</v>
      </c>
      <c r="AC1425" s="364" t="s">
        <v>88</v>
      </c>
      <c r="AD1425" s="364" t="s">
        <v>88</v>
      </c>
      <c r="AE1425" s="364" t="s">
        <v>88</v>
      </c>
      <c r="AF1425" s="364" t="s">
        <v>88</v>
      </c>
      <c r="AG1425" s="364" t="s">
        <v>88</v>
      </c>
      <c r="AH1425" s="364" t="s">
        <v>88</v>
      </c>
      <c r="AI1425" s="364" t="s">
        <v>1155</v>
      </c>
      <c r="AJ1425" s="364" t="s">
        <v>710</v>
      </c>
      <c r="AK1425" s="364" t="s">
        <v>88</v>
      </c>
      <c r="AL1425" s="364" t="s">
        <v>88</v>
      </c>
      <c r="AM1425" s="364" t="s">
        <v>668</v>
      </c>
      <c r="AN1425" s="364" t="s">
        <v>644</v>
      </c>
    </row>
    <row r="1426" spans="1:40" x14ac:dyDescent="0.3">
      <c r="A1426" s="364" t="s">
        <v>1260</v>
      </c>
      <c r="B1426" s="364" t="s">
        <v>661</v>
      </c>
      <c r="C1426" s="364" t="s">
        <v>1160</v>
      </c>
      <c r="D1426" s="364" t="s">
        <v>90</v>
      </c>
      <c r="E1426" s="364" t="s">
        <v>1259</v>
      </c>
      <c r="F1426" s="364" t="s">
        <v>1259</v>
      </c>
      <c r="G1426" s="364" t="s">
        <v>658</v>
      </c>
      <c r="H1426" s="364" t="s">
        <v>1258</v>
      </c>
      <c r="I1426" s="364" t="s">
        <v>88</v>
      </c>
      <c r="J1426" s="364" t="s">
        <v>673</v>
      </c>
      <c r="K1426" s="364" t="s">
        <v>668</v>
      </c>
      <c r="L1426" s="364" t="s">
        <v>190</v>
      </c>
      <c r="M1426" s="364" t="s">
        <v>417</v>
      </c>
      <c r="N1426" s="364" t="s">
        <v>654</v>
      </c>
      <c r="O1426" s="364" t="s">
        <v>653</v>
      </c>
      <c r="P1426" s="364" t="s">
        <v>198</v>
      </c>
      <c r="Q1426" s="364" t="s">
        <v>652</v>
      </c>
      <c r="R1426" s="364" t="s">
        <v>88</v>
      </c>
      <c r="S1426" s="364" t="s">
        <v>88</v>
      </c>
      <c r="T1426" s="364" t="s">
        <v>88</v>
      </c>
      <c r="U1426" s="364" t="s">
        <v>88</v>
      </c>
      <c r="V1426" s="364" t="s">
        <v>88</v>
      </c>
      <c r="W1426" s="364" t="s">
        <v>88</v>
      </c>
      <c r="X1426" s="364" t="s">
        <v>88</v>
      </c>
      <c r="Y1426" s="364" t="s">
        <v>88</v>
      </c>
      <c r="Z1426" s="364" t="s">
        <v>1261</v>
      </c>
      <c r="AA1426" s="364" t="s">
        <v>649</v>
      </c>
      <c r="AB1426" s="364" t="s">
        <v>649</v>
      </c>
      <c r="AC1426" s="364" t="s">
        <v>88</v>
      </c>
      <c r="AD1426" s="364" t="s">
        <v>88</v>
      </c>
      <c r="AE1426" s="364" t="s">
        <v>88</v>
      </c>
      <c r="AF1426" s="364" t="s">
        <v>88</v>
      </c>
      <c r="AG1426" s="364" t="s">
        <v>88</v>
      </c>
      <c r="AH1426" s="364" t="s">
        <v>88</v>
      </c>
      <c r="AI1426" s="364" t="s">
        <v>1155</v>
      </c>
      <c r="AJ1426" s="364" t="s">
        <v>710</v>
      </c>
      <c r="AK1426" s="364" t="s">
        <v>88</v>
      </c>
      <c r="AL1426" s="364" t="s">
        <v>88</v>
      </c>
      <c r="AM1426" s="364" t="s">
        <v>668</v>
      </c>
      <c r="AN1426" s="364" t="s">
        <v>644</v>
      </c>
    </row>
    <row r="1427" spans="1:40" x14ac:dyDescent="0.3">
      <c r="A1427" s="364" t="s">
        <v>1260</v>
      </c>
      <c r="B1427" s="364" t="s">
        <v>661</v>
      </c>
      <c r="C1427" s="364" t="s">
        <v>1160</v>
      </c>
      <c r="D1427" s="364" t="s">
        <v>90</v>
      </c>
      <c r="E1427" s="364" t="s">
        <v>1259</v>
      </c>
      <c r="F1427" s="364" t="s">
        <v>1259</v>
      </c>
      <c r="G1427" s="364" t="s">
        <v>658</v>
      </c>
      <c r="H1427" s="364" t="s">
        <v>1258</v>
      </c>
      <c r="I1427" s="364" t="s">
        <v>88</v>
      </c>
      <c r="J1427" s="364" t="s">
        <v>673</v>
      </c>
      <c r="K1427" s="364" t="s">
        <v>668</v>
      </c>
      <c r="L1427" s="364" t="s">
        <v>190</v>
      </c>
      <c r="M1427" s="364" t="s">
        <v>61</v>
      </c>
      <c r="N1427" s="364" t="s">
        <v>654</v>
      </c>
      <c r="O1427" s="364" t="s">
        <v>653</v>
      </c>
      <c r="P1427" s="364" t="s">
        <v>198</v>
      </c>
      <c r="Q1427" s="364" t="s">
        <v>652</v>
      </c>
      <c r="R1427" s="364" t="s">
        <v>88</v>
      </c>
      <c r="S1427" s="364" t="s">
        <v>88</v>
      </c>
      <c r="T1427" s="364" t="s">
        <v>88</v>
      </c>
      <c r="U1427" s="364" t="s">
        <v>88</v>
      </c>
      <c r="V1427" s="364" t="s">
        <v>88</v>
      </c>
      <c r="W1427" s="364" t="s">
        <v>88</v>
      </c>
      <c r="X1427" s="364" t="s">
        <v>88</v>
      </c>
      <c r="Y1427" s="364" t="s">
        <v>88</v>
      </c>
      <c r="Z1427" s="364" t="s">
        <v>1021</v>
      </c>
      <c r="AA1427" s="364" t="s">
        <v>671</v>
      </c>
      <c r="AB1427" s="364" t="s">
        <v>649</v>
      </c>
      <c r="AC1427" s="364" t="s">
        <v>88</v>
      </c>
      <c r="AD1427" s="364" t="s">
        <v>88</v>
      </c>
      <c r="AE1427" s="364" t="s">
        <v>88</v>
      </c>
      <c r="AF1427" s="364" t="s">
        <v>88</v>
      </c>
      <c r="AG1427" s="364" t="s">
        <v>88</v>
      </c>
      <c r="AH1427" s="364" t="s">
        <v>88</v>
      </c>
      <c r="AI1427" s="364" t="s">
        <v>1155</v>
      </c>
      <c r="AJ1427" s="364" t="s">
        <v>710</v>
      </c>
      <c r="AK1427" s="364" t="s">
        <v>88</v>
      </c>
      <c r="AL1427" s="364" t="s">
        <v>88</v>
      </c>
      <c r="AM1427" s="364" t="s">
        <v>668</v>
      </c>
      <c r="AN1427" s="364" t="s">
        <v>644</v>
      </c>
    </row>
    <row r="1428" spans="1:40" x14ac:dyDescent="0.3">
      <c r="A1428" s="364" t="s">
        <v>1260</v>
      </c>
      <c r="B1428" s="364" t="s">
        <v>661</v>
      </c>
      <c r="C1428" s="364" t="s">
        <v>1160</v>
      </c>
      <c r="D1428" s="364" t="s">
        <v>90</v>
      </c>
      <c r="E1428" s="364" t="s">
        <v>1259</v>
      </c>
      <c r="F1428" s="364" t="s">
        <v>1259</v>
      </c>
      <c r="G1428" s="364" t="s">
        <v>658</v>
      </c>
      <c r="H1428" s="364" t="s">
        <v>1258</v>
      </c>
      <c r="I1428" s="364" t="s">
        <v>88</v>
      </c>
      <c r="J1428" s="364" t="s">
        <v>673</v>
      </c>
      <c r="K1428" s="364" t="s">
        <v>668</v>
      </c>
      <c r="L1428" s="364" t="s">
        <v>190</v>
      </c>
      <c r="M1428" s="364" t="s">
        <v>242</v>
      </c>
      <c r="N1428" s="364" t="s">
        <v>654</v>
      </c>
      <c r="O1428" s="364" t="s">
        <v>653</v>
      </c>
      <c r="P1428" s="364" t="s">
        <v>198</v>
      </c>
      <c r="Q1428" s="364" t="s">
        <v>652</v>
      </c>
      <c r="R1428" s="364" t="s">
        <v>88</v>
      </c>
      <c r="S1428" s="364" t="s">
        <v>88</v>
      </c>
      <c r="T1428" s="364" t="s">
        <v>88</v>
      </c>
      <c r="U1428" s="364" t="s">
        <v>88</v>
      </c>
      <c r="V1428" s="364" t="s">
        <v>88</v>
      </c>
      <c r="W1428" s="364" t="s">
        <v>88</v>
      </c>
      <c r="X1428" s="364" t="s">
        <v>88</v>
      </c>
      <c r="Y1428" s="364" t="s">
        <v>88</v>
      </c>
      <c r="Z1428" s="364" t="s">
        <v>1157</v>
      </c>
      <c r="AA1428" s="364" t="s">
        <v>1156</v>
      </c>
      <c r="AB1428" s="364" t="s">
        <v>649</v>
      </c>
      <c r="AC1428" s="364" t="s">
        <v>88</v>
      </c>
      <c r="AD1428" s="364" t="s">
        <v>88</v>
      </c>
      <c r="AE1428" s="364" t="s">
        <v>88</v>
      </c>
      <c r="AF1428" s="364" t="s">
        <v>88</v>
      </c>
      <c r="AG1428" s="364" t="s">
        <v>88</v>
      </c>
      <c r="AH1428" s="364" t="s">
        <v>88</v>
      </c>
      <c r="AI1428" s="364" t="s">
        <v>1155</v>
      </c>
      <c r="AJ1428" s="364" t="s">
        <v>710</v>
      </c>
      <c r="AK1428" s="364" t="s">
        <v>88</v>
      </c>
      <c r="AL1428" s="364" t="s">
        <v>88</v>
      </c>
      <c r="AM1428" s="364" t="s">
        <v>668</v>
      </c>
      <c r="AN1428" s="364" t="s">
        <v>644</v>
      </c>
    </row>
    <row r="1429" spans="1:40" x14ac:dyDescent="0.3">
      <c r="A1429" s="364" t="s">
        <v>1257</v>
      </c>
      <c r="B1429" s="364" t="s">
        <v>661</v>
      </c>
      <c r="C1429" s="364" t="s">
        <v>1160</v>
      </c>
      <c r="D1429" s="364" t="s">
        <v>90</v>
      </c>
      <c r="E1429" s="364" t="s">
        <v>1256</v>
      </c>
      <c r="F1429" s="364" t="s">
        <v>1256</v>
      </c>
      <c r="G1429" s="364" t="s">
        <v>658</v>
      </c>
      <c r="H1429" s="364" t="s">
        <v>1255</v>
      </c>
      <c r="I1429" s="364" t="s">
        <v>88</v>
      </c>
      <c r="J1429" s="364" t="s">
        <v>673</v>
      </c>
      <c r="K1429" s="364" t="s">
        <v>668</v>
      </c>
      <c r="L1429" s="364" t="s">
        <v>190</v>
      </c>
      <c r="M1429" s="364" t="s">
        <v>243</v>
      </c>
      <c r="N1429" s="364" t="s">
        <v>654</v>
      </c>
      <c r="O1429" s="364" t="s">
        <v>653</v>
      </c>
      <c r="P1429" s="364" t="s">
        <v>198</v>
      </c>
      <c r="Q1429" s="364" t="s">
        <v>652</v>
      </c>
      <c r="R1429" s="364" t="s">
        <v>88</v>
      </c>
      <c r="S1429" s="364" t="s">
        <v>88</v>
      </c>
      <c r="T1429" s="364" t="s">
        <v>88</v>
      </c>
      <c r="U1429" s="364" t="s">
        <v>88</v>
      </c>
      <c r="V1429" s="364" t="s">
        <v>88</v>
      </c>
      <c r="W1429" s="364" t="s">
        <v>88</v>
      </c>
      <c r="X1429" s="364" t="s">
        <v>88</v>
      </c>
      <c r="Y1429" s="364" t="s">
        <v>88</v>
      </c>
      <c r="Z1429" s="364" t="s">
        <v>1175</v>
      </c>
      <c r="AA1429" s="364" t="s">
        <v>1174</v>
      </c>
      <c r="AB1429" s="364" t="s">
        <v>649</v>
      </c>
      <c r="AC1429" s="364" t="s">
        <v>88</v>
      </c>
      <c r="AD1429" s="364" t="s">
        <v>88</v>
      </c>
      <c r="AE1429" s="364" t="s">
        <v>88</v>
      </c>
      <c r="AF1429" s="364" t="s">
        <v>88</v>
      </c>
      <c r="AG1429" s="364" t="s">
        <v>88</v>
      </c>
      <c r="AH1429" s="364" t="s">
        <v>88</v>
      </c>
      <c r="AI1429" s="364" t="s">
        <v>1155</v>
      </c>
      <c r="AJ1429" s="364" t="s">
        <v>710</v>
      </c>
      <c r="AK1429" s="364" t="s">
        <v>88</v>
      </c>
      <c r="AL1429" s="364" t="s">
        <v>88</v>
      </c>
      <c r="AM1429" s="364" t="s">
        <v>668</v>
      </c>
      <c r="AN1429" s="364" t="s">
        <v>644</v>
      </c>
    </row>
    <row r="1430" spans="1:40" x14ac:dyDescent="0.3">
      <c r="A1430" s="364" t="s">
        <v>1257</v>
      </c>
      <c r="B1430" s="364" t="s">
        <v>661</v>
      </c>
      <c r="C1430" s="364" t="s">
        <v>1160</v>
      </c>
      <c r="D1430" s="364" t="s">
        <v>90</v>
      </c>
      <c r="E1430" s="364" t="s">
        <v>1256</v>
      </c>
      <c r="F1430" s="364" t="s">
        <v>1256</v>
      </c>
      <c r="G1430" s="364" t="s">
        <v>658</v>
      </c>
      <c r="H1430" s="364" t="s">
        <v>1255</v>
      </c>
      <c r="I1430" s="364" t="s">
        <v>88</v>
      </c>
      <c r="J1430" s="364" t="s">
        <v>673</v>
      </c>
      <c r="K1430" s="364" t="s">
        <v>668</v>
      </c>
      <c r="L1430" s="364" t="s">
        <v>190</v>
      </c>
      <c r="M1430" s="364" t="s">
        <v>1173</v>
      </c>
      <c r="N1430" s="364" t="s">
        <v>654</v>
      </c>
      <c r="O1430" s="364" t="s">
        <v>653</v>
      </c>
      <c r="P1430" s="364" t="s">
        <v>198</v>
      </c>
      <c r="Q1430" s="364" t="s">
        <v>652</v>
      </c>
      <c r="R1430" s="364" t="s">
        <v>88</v>
      </c>
      <c r="S1430" s="364" t="s">
        <v>88</v>
      </c>
      <c r="T1430" s="364" t="s">
        <v>88</v>
      </c>
      <c r="U1430" s="364" t="s">
        <v>88</v>
      </c>
      <c r="V1430" s="364" t="s">
        <v>88</v>
      </c>
      <c r="W1430" s="364" t="s">
        <v>88</v>
      </c>
      <c r="X1430" s="364" t="s">
        <v>88</v>
      </c>
      <c r="Y1430" s="364" t="s">
        <v>88</v>
      </c>
      <c r="Z1430" s="364" t="s">
        <v>1172</v>
      </c>
      <c r="AA1430" s="364" t="s">
        <v>1171</v>
      </c>
      <c r="AB1430" s="364" t="s">
        <v>649</v>
      </c>
      <c r="AC1430" s="364" t="s">
        <v>88</v>
      </c>
      <c r="AD1430" s="364" t="s">
        <v>88</v>
      </c>
      <c r="AE1430" s="364" t="s">
        <v>88</v>
      </c>
      <c r="AF1430" s="364" t="s">
        <v>88</v>
      </c>
      <c r="AG1430" s="364" t="s">
        <v>88</v>
      </c>
      <c r="AH1430" s="364" t="s">
        <v>88</v>
      </c>
      <c r="AI1430" s="364" t="s">
        <v>1155</v>
      </c>
      <c r="AJ1430" s="364" t="s">
        <v>710</v>
      </c>
      <c r="AK1430" s="364" t="s">
        <v>88</v>
      </c>
      <c r="AL1430" s="364" t="s">
        <v>88</v>
      </c>
      <c r="AM1430" s="364" t="s">
        <v>668</v>
      </c>
      <c r="AN1430" s="364" t="s">
        <v>644</v>
      </c>
    </row>
    <row r="1431" spans="1:40" x14ac:dyDescent="0.3">
      <c r="A1431" s="364" t="s">
        <v>1257</v>
      </c>
      <c r="B1431" s="364" t="s">
        <v>661</v>
      </c>
      <c r="C1431" s="364" t="s">
        <v>1160</v>
      </c>
      <c r="D1431" s="364" t="s">
        <v>90</v>
      </c>
      <c r="E1431" s="364" t="s">
        <v>1256</v>
      </c>
      <c r="F1431" s="364" t="s">
        <v>1256</v>
      </c>
      <c r="G1431" s="364" t="s">
        <v>658</v>
      </c>
      <c r="H1431" s="364" t="s">
        <v>1255</v>
      </c>
      <c r="I1431" s="364" t="s">
        <v>88</v>
      </c>
      <c r="J1431" s="364" t="s">
        <v>673</v>
      </c>
      <c r="K1431" s="364" t="s">
        <v>668</v>
      </c>
      <c r="L1431" s="364" t="s">
        <v>190</v>
      </c>
      <c r="M1431" s="364" t="s">
        <v>1168</v>
      </c>
      <c r="N1431" s="364" t="s">
        <v>654</v>
      </c>
      <c r="O1431" s="364" t="s">
        <v>653</v>
      </c>
      <c r="P1431" s="364" t="s">
        <v>198</v>
      </c>
      <c r="Q1431" s="364" t="s">
        <v>652</v>
      </c>
      <c r="R1431" s="364" t="s">
        <v>88</v>
      </c>
      <c r="S1431" s="364" t="s">
        <v>88</v>
      </c>
      <c r="T1431" s="364" t="s">
        <v>88</v>
      </c>
      <c r="U1431" s="364" t="s">
        <v>88</v>
      </c>
      <c r="V1431" s="364" t="s">
        <v>88</v>
      </c>
      <c r="W1431" s="364" t="s">
        <v>88</v>
      </c>
      <c r="X1431" s="364" t="s">
        <v>88</v>
      </c>
      <c r="Y1431" s="364" t="s">
        <v>88</v>
      </c>
      <c r="Z1431" s="364" t="s">
        <v>1167</v>
      </c>
      <c r="AA1431" s="364" t="s">
        <v>1166</v>
      </c>
      <c r="AB1431" s="364" t="s">
        <v>649</v>
      </c>
      <c r="AC1431" s="364" t="s">
        <v>88</v>
      </c>
      <c r="AD1431" s="364" t="s">
        <v>88</v>
      </c>
      <c r="AE1431" s="364" t="s">
        <v>88</v>
      </c>
      <c r="AF1431" s="364" t="s">
        <v>88</v>
      </c>
      <c r="AG1431" s="364" t="s">
        <v>88</v>
      </c>
      <c r="AH1431" s="364" t="s">
        <v>88</v>
      </c>
      <c r="AI1431" s="364" t="s">
        <v>1155</v>
      </c>
      <c r="AJ1431" s="364" t="s">
        <v>710</v>
      </c>
      <c r="AK1431" s="364" t="s">
        <v>88</v>
      </c>
      <c r="AL1431" s="364" t="s">
        <v>88</v>
      </c>
      <c r="AM1431" s="364" t="s">
        <v>668</v>
      </c>
      <c r="AN1431" s="364" t="s">
        <v>644</v>
      </c>
    </row>
    <row r="1432" spans="1:40" x14ac:dyDescent="0.3">
      <c r="A1432" s="364" t="s">
        <v>1257</v>
      </c>
      <c r="B1432" s="364" t="s">
        <v>661</v>
      </c>
      <c r="C1432" s="364" t="s">
        <v>1160</v>
      </c>
      <c r="D1432" s="364" t="s">
        <v>90</v>
      </c>
      <c r="E1432" s="364" t="s">
        <v>1256</v>
      </c>
      <c r="F1432" s="364" t="s">
        <v>1256</v>
      </c>
      <c r="G1432" s="364" t="s">
        <v>658</v>
      </c>
      <c r="H1432" s="364" t="s">
        <v>1255</v>
      </c>
      <c r="I1432" s="364" t="s">
        <v>88</v>
      </c>
      <c r="J1432" s="364" t="s">
        <v>673</v>
      </c>
      <c r="K1432" s="364" t="s">
        <v>668</v>
      </c>
      <c r="L1432" s="364" t="s">
        <v>190</v>
      </c>
      <c r="M1432" s="364" t="s">
        <v>713</v>
      </c>
      <c r="N1432" s="364" t="s">
        <v>654</v>
      </c>
      <c r="O1432" s="364" t="s">
        <v>653</v>
      </c>
      <c r="P1432" s="364" t="s">
        <v>198</v>
      </c>
      <c r="Q1432" s="364" t="s">
        <v>652</v>
      </c>
      <c r="R1432" s="364" t="s">
        <v>88</v>
      </c>
      <c r="S1432" s="364" t="s">
        <v>88</v>
      </c>
      <c r="T1432" s="364" t="s">
        <v>88</v>
      </c>
      <c r="U1432" s="364" t="s">
        <v>88</v>
      </c>
      <c r="V1432" s="364" t="s">
        <v>88</v>
      </c>
      <c r="W1432" s="364" t="s">
        <v>88</v>
      </c>
      <c r="X1432" s="364" t="s">
        <v>88</v>
      </c>
      <c r="Y1432" s="364" t="s">
        <v>88</v>
      </c>
      <c r="Z1432" s="364" t="s">
        <v>712</v>
      </c>
      <c r="AA1432" s="364" t="s">
        <v>711</v>
      </c>
      <c r="AB1432" s="364" t="s">
        <v>649</v>
      </c>
      <c r="AC1432" s="364" t="s">
        <v>88</v>
      </c>
      <c r="AD1432" s="364" t="s">
        <v>88</v>
      </c>
      <c r="AE1432" s="364" t="s">
        <v>88</v>
      </c>
      <c r="AF1432" s="364" t="s">
        <v>88</v>
      </c>
      <c r="AG1432" s="364" t="s">
        <v>88</v>
      </c>
      <c r="AH1432" s="364" t="s">
        <v>88</v>
      </c>
      <c r="AI1432" s="364" t="s">
        <v>1155</v>
      </c>
      <c r="AJ1432" s="364" t="s">
        <v>710</v>
      </c>
      <c r="AK1432" s="364" t="s">
        <v>88</v>
      </c>
      <c r="AL1432" s="364" t="s">
        <v>88</v>
      </c>
      <c r="AM1432" s="364" t="s">
        <v>668</v>
      </c>
      <c r="AN1432" s="364" t="s">
        <v>644</v>
      </c>
    </row>
    <row r="1433" spans="1:40" x14ac:dyDescent="0.3">
      <c r="A1433" s="364" t="s">
        <v>1257</v>
      </c>
      <c r="B1433" s="364" t="s">
        <v>661</v>
      </c>
      <c r="C1433" s="364" t="s">
        <v>1160</v>
      </c>
      <c r="D1433" s="364" t="s">
        <v>90</v>
      </c>
      <c r="E1433" s="364" t="s">
        <v>1256</v>
      </c>
      <c r="F1433" s="364" t="s">
        <v>1256</v>
      </c>
      <c r="G1433" s="364" t="s">
        <v>658</v>
      </c>
      <c r="H1433" s="364" t="s">
        <v>1255</v>
      </c>
      <c r="I1433" s="364" t="s">
        <v>88</v>
      </c>
      <c r="J1433" s="364" t="s">
        <v>673</v>
      </c>
      <c r="K1433" s="364" t="s">
        <v>668</v>
      </c>
      <c r="L1433" s="364" t="s">
        <v>190</v>
      </c>
      <c r="M1433" s="364" t="s">
        <v>56</v>
      </c>
      <c r="N1433" s="364" t="s">
        <v>654</v>
      </c>
      <c r="O1433" s="364" t="s">
        <v>653</v>
      </c>
      <c r="P1433" s="364" t="s">
        <v>198</v>
      </c>
      <c r="Q1433" s="364" t="s">
        <v>652</v>
      </c>
      <c r="R1433" s="364" t="s">
        <v>88</v>
      </c>
      <c r="S1433" s="364" t="s">
        <v>88</v>
      </c>
      <c r="T1433" s="364" t="s">
        <v>88</v>
      </c>
      <c r="U1433" s="364" t="s">
        <v>88</v>
      </c>
      <c r="V1433" s="364" t="s">
        <v>88</v>
      </c>
      <c r="W1433" s="364" t="s">
        <v>88</v>
      </c>
      <c r="X1433" s="364" t="s">
        <v>88</v>
      </c>
      <c r="Y1433" s="364" t="s">
        <v>88</v>
      </c>
      <c r="Z1433" s="364" t="s">
        <v>1165</v>
      </c>
      <c r="AA1433" s="364" t="s">
        <v>1164</v>
      </c>
      <c r="AB1433" s="364" t="s">
        <v>649</v>
      </c>
      <c r="AC1433" s="364" t="s">
        <v>88</v>
      </c>
      <c r="AD1433" s="364" t="s">
        <v>88</v>
      </c>
      <c r="AE1433" s="364" t="s">
        <v>88</v>
      </c>
      <c r="AF1433" s="364" t="s">
        <v>88</v>
      </c>
      <c r="AG1433" s="364" t="s">
        <v>88</v>
      </c>
      <c r="AH1433" s="364" t="s">
        <v>88</v>
      </c>
      <c r="AI1433" s="364" t="s">
        <v>1155</v>
      </c>
      <c r="AJ1433" s="364" t="s">
        <v>710</v>
      </c>
      <c r="AK1433" s="364" t="s">
        <v>88</v>
      </c>
      <c r="AL1433" s="364" t="s">
        <v>88</v>
      </c>
      <c r="AM1433" s="364" t="s">
        <v>668</v>
      </c>
      <c r="AN1433" s="364" t="s">
        <v>644</v>
      </c>
    </row>
    <row r="1434" spans="1:40" x14ac:dyDescent="0.3">
      <c r="A1434" s="364" t="s">
        <v>1257</v>
      </c>
      <c r="B1434" s="364" t="s">
        <v>661</v>
      </c>
      <c r="C1434" s="364" t="s">
        <v>1160</v>
      </c>
      <c r="D1434" s="364" t="s">
        <v>90</v>
      </c>
      <c r="E1434" s="364" t="s">
        <v>1256</v>
      </c>
      <c r="F1434" s="364" t="s">
        <v>1256</v>
      </c>
      <c r="G1434" s="364" t="s">
        <v>658</v>
      </c>
      <c r="H1434" s="364" t="s">
        <v>1255</v>
      </c>
      <c r="I1434" s="364" t="s">
        <v>88</v>
      </c>
      <c r="J1434" s="364" t="s">
        <v>673</v>
      </c>
      <c r="K1434" s="364" t="s">
        <v>668</v>
      </c>
      <c r="L1434" s="364" t="s">
        <v>190</v>
      </c>
      <c r="M1434" s="364" t="s">
        <v>241</v>
      </c>
      <c r="N1434" s="364" t="s">
        <v>654</v>
      </c>
      <c r="O1434" s="364" t="s">
        <v>653</v>
      </c>
      <c r="P1434" s="364" t="s">
        <v>198</v>
      </c>
      <c r="Q1434" s="364" t="s">
        <v>652</v>
      </c>
      <c r="R1434" s="364" t="s">
        <v>88</v>
      </c>
      <c r="S1434" s="364" t="s">
        <v>88</v>
      </c>
      <c r="T1434" s="364" t="s">
        <v>88</v>
      </c>
      <c r="U1434" s="364" t="s">
        <v>88</v>
      </c>
      <c r="V1434" s="364" t="s">
        <v>88</v>
      </c>
      <c r="W1434" s="364" t="s">
        <v>88</v>
      </c>
      <c r="X1434" s="364" t="s">
        <v>88</v>
      </c>
      <c r="Y1434" s="364" t="s">
        <v>88</v>
      </c>
      <c r="Z1434" s="364" t="s">
        <v>1170</v>
      </c>
      <c r="AA1434" s="364" t="s">
        <v>1169</v>
      </c>
      <c r="AB1434" s="364" t="s">
        <v>649</v>
      </c>
      <c r="AC1434" s="364" t="s">
        <v>88</v>
      </c>
      <c r="AD1434" s="364" t="s">
        <v>88</v>
      </c>
      <c r="AE1434" s="364" t="s">
        <v>88</v>
      </c>
      <c r="AF1434" s="364" t="s">
        <v>88</v>
      </c>
      <c r="AG1434" s="364" t="s">
        <v>88</v>
      </c>
      <c r="AH1434" s="364" t="s">
        <v>88</v>
      </c>
      <c r="AI1434" s="364" t="s">
        <v>1155</v>
      </c>
      <c r="AJ1434" s="364" t="s">
        <v>710</v>
      </c>
      <c r="AK1434" s="364" t="s">
        <v>88</v>
      </c>
      <c r="AL1434" s="364" t="s">
        <v>88</v>
      </c>
      <c r="AM1434" s="364" t="s">
        <v>668</v>
      </c>
      <c r="AN1434" s="364" t="s">
        <v>644</v>
      </c>
    </row>
    <row r="1435" spans="1:40" x14ac:dyDescent="0.3">
      <c r="A1435" s="364" t="s">
        <v>1257</v>
      </c>
      <c r="B1435" s="364" t="s">
        <v>661</v>
      </c>
      <c r="C1435" s="364" t="s">
        <v>1160</v>
      </c>
      <c r="D1435" s="364" t="s">
        <v>90</v>
      </c>
      <c r="E1435" s="364" t="s">
        <v>1256</v>
      </c>
      <c r="F1435" s="364" t="s">
        <v>1256</v>
      </c>
      <c r="G1435" s="364" t="s">
        <v>658</v>
      </c>
      <c r="H1435" s="364" t="s">
        <v>1255</v>
      </c>
      <c r="I1435" s="364" t="s">
        <v>88</v>
      </c>
      <c r="J1435" s="364" t="s">
        <v>673</v>
      </c>
      <c r="K1435" s="364" t="s">
        <v>668</v>
      </c>
      <c r="L1435" s="364" t="s">
        <v>190</v>
      </c>
      <c r="M1435" s="364" t="s">
        <v>240</v>
      </c>
      <c r="N1435" s="364" t="s">
        <v>654</v>
      </c>
      <c r="O1435" s="364" t="s">
        <v>653</v>
      </c>
      <c r="P1435" s="364" t="s">
        <v>198</v>
      </c>
      <c r="Q1435" s="364" t="s">
        <v>652</v>
      </c>
      <c r="R1435" s="364" t="s">
        <v>88</v>
      </c>
      <c r="S1435" s="364" t="s">
        <v>88</v>
      </c>
      <c r="T1435" s="364" t="s">
        <v>88</v>
      </c>
      <c r="U1435" s="364" t="s">
        <v>88</v>
      </c>
      <c r="V1435" s="364" t="s">
        <v>88</v>
      </c>
      <c r="W1435" s="364" t="s">
        <v>88</v>
      </c>
      <c r="X1435" s="364" t="s">
        <v>88</v>
      </c>
      <c r="Y1435" s="364" t="s">
        <v>88</v>
      </c>
      <c r="Z1435" s="364" t="s">
        <v>1163</v>
      </c>
      <c r="AA1435" s="364" t="s">
        <v>1162</v>
      </c>
      <c r="AB1435" s="364" t="s">
        <v>649</v>
      </c>
      <c r="AC1435" s="364" t="s">
        <v>88</v>
      </c>
      <c r="AD1435" s="364" t="s">
        <v>88</v>
      </c>
      <c r="AE1435" s="364" t="s">
        <v>88</v>
      </c>
      <c r="AF1435" s="364" t="s">
        <v>88</v>
      </c>
      <c r="AG1435" s="364" t="s">
        <v>88</v>
      </c>
      <c r="AH1435" s="364" t="s">
        <v>88</v>
      </c>
      <c r="AI1435" s="364" t="s">
        <v>1155</v>
      </c>
      <c r="AJ1435" s="364" t="s">
        <v>710</v>
      </c>
      <c r="AK1435" s="364" t="s">
        <v>88</v>
      </c>
      <c r="AL1435" s="364" t="s">
        <v>88</v>
      </c>
      <c r="AM1435" s="364" t="s">
        <v>668</v>
      </c>
      <c r="AN1435" s="364" t="s">
        <v>644</v>
      </c>
    </row>
    <row r="1436" spans="1:40" x14ac:dyDescent="0.3">
      <c r="A1436" s="364" t="s">
        <v>1257</v>
      </c>
      <c r="B1436" s="364" t="s">
        <v>661</v>
      </c>
      <c r="C1436" s="364" t="s">
        <v>1160</v>
      </c>
      <c r="D1436" s="364" t="s">
        <v>90</v>
      </c>
      <c r="E1436" s="364" t="s">
        <v>1256</v>
      </c>
      <c r="F1436" s="364" t="s">
        <v>1256</v>
      </c>
      <c r="G1436" s="364" t="s">
        <v>658</v>
      </c>
      <c r="H1436" s="364" t="s">
        <v>1255</v>
      </c>
      <c r="I1436" s="364" t="s">
        <v>88</v>
      </c>
      <c r="J1436" s="364" t="s">
        <v>673</v>
      </c>
      <c r="K1436" s="364" t="s">
        <v>668</v>
      </c>
      <c r="L1436" s="364" t="s">
        <v>190</v>
      </c>
      <c r="M1436" s="364" t="s">
        <v>61</v>
      </c>
      <c r="N1436" s="364" t="s">
        <v>654</v>
      </c>
      <c r="O1436" s="364" t="s">
        <v>653</v>
      </c>
      <c r="P1436" s="364" t="s">
        <v>198</v>
      </c>
      <c r="Q1436" s="364" t="s">
        <v>652</v>
      </c>
      <c r="R1436" s="364" t="s">
        <v>88</v>
      </c>
      <c r="S1436" s="364" t="s">
        <v>88</v>
      </c>
      <c r="T1436" s="364" t="s">
        <v>88</v>
      </c>
      <c r="U1436" s="364" t="s">
        <v>88</v>
      </c>
      <c r="V1436" s="364" t="s">
        <v>88</v>
      </c>
      <c r="W1436" s="364" t="s">
        <v>88</v>
      </c>
      <c r="X1436" s="364" t="s">
        <v>88</v>
      </c>
      <c r="Y1436" s="364" t="s">
        <v>88</v>
      </c>
      <c r="Z1436" s="364" t="s">
        <v>1021</v>
      </c>
      <c r="AA1436" s="364" t="s">
        <v>671</v>
      </c>
      <c r="AB1436" s="364" t="s">
        <v>649</v>
      </c>
      <c r="AC1436" s="364" t="s">
        <v>88</v>
      </c>
      <c r="AD1436" s="364" t="s">
        <v>88</v>
      </c>
      <c r="AE1436" s="364" t="s">
        <v>88</v>
      </c>
      <c r="AF1436" s="364" t="s">
        <v>88</v>
      </c>
      <c r="AG1436" s="364" t="s">
        <v>88</v>
      </c>
      <c r="AH1436" s="364" t="s">
        <v>88</v>
      </c>
      <c r="AI1436" s="364" t="s">
        <v>1155</v>
      </c>
      <c r="AJ1436" s="364" t="s">
        <v>710</v>
      </c>
      <c r="AK1436" s="364" t="s">
        <v>88</v>
      </c>
      <c r="AL1436" s="364" t="s">
        <v>88</v>
      </c>
      <c r="AM1436" s="364" t="s">
        <v>668</v>
      </c>
      <c r="AN1436" s="364" t="s">
        <v>644</v>
      </c>
    </row>
    <row r="1437" spans="1:40" x14ac:dyDescent="0.3">
      <c r="A1437" s="364" t="s">
        <v>1257</v>
      </c>
      <c r="B1437" s="364" t="s">
        <v>661</v>
      </c>
      <c r="C1437" s="364" t="s">
        <v>1160</v>
      </c>
      <c r="D1437" s="364" t="s">
        <v>90</v>
      </c>
      <c r="E1437" s="364" t="s">
        <v>1256</v>
      </c>
      <c r="F1437" s="364" t="s">
        <v>1256</v>
      </c>
      <c r="G1437" s="364" t="s">
        <v>658</v>
      </c>
      <c r="H1437" s="364" t="s">
        <v>1255</v>
      </c>
      <c r="I1437" s="364" t="s">
        <v>88</v>
      </c>
      <c r="J1437" s="364" t="s">
        <v>673</v>
      </c>
      <c r="K1437" s="364" t="s">
        <v>668</v>
      </c>
      <c r="L1437" s="364" t="s">
        <v>190</v>
      </c>
      <c r="M1437" s="364" t="s">
        <v>242</v>
      </c>
      <c r="N1437" s="364" t="s">
        <v>654</v>
      </c>
      <c r="O1437" s="364" t="s">
        <v>653</v>
      </c>
      <c r="P1437" s="364" t="s">
        <v>198</v>
      </c>
      <c r="Q1437" s="364" t="s">
        <v>652</v>
      </c>
      <c r="R1437" s="364" t="s">
        <v>88</v>
      </c>
      <c r="S1437" s="364" t="s">
        <v>88</v>
      </c>
      <c r="T1437" s="364" t="s">
        <v>88</v>
      </c>
      <c r="U1437" s="364" t="s">
        <v>88</v>
      </c>
      <c r="V1437" s="364" t="s">
        <v>88</v>
      </c>
      <c r="W1437" s="364" t="s">
        <v>88</v>
      </c>
      <c r="X1437" s="364" t="s">
        <v>88</v>
      </c>
      <c r="Y1437" s="364" t="s">
        <v>88</v>
      </c>
      <c r="Z1437" s="364" t="s">
        <v>1157</v>
      </c>
      <c r="AA1437" s="364" t="s">
        <v>1156</v>
      </c>
      <c r="AB1437" s="364" t="s">
        <v>649</v>
      </c>
      <c r="AC1437" s="364" t="s">
        <v>88</v>
      </c>
      <c r="AD1437" s="364" t="s">
        <v>88</v>
      </c>
      <c r="AE1437" s="364" t="s">
        <v>88</v>
      </c>
      <c r="AF1437" s="364" t="s">
        <v>88</v>
      </c>
      <c r="AG1437" s="364" t="s">
        <v>88</v>
      </c>
      <c r="AH1437" s="364" t="s">
        <v>88</v>
      </c>
      <c r="AI1437" s="364" t="s">
        <v>1155</v>
      </c>
      <c r="AJ1437" s="364" t="s">
        <v>710</v>
      </c>
      <c r="AK1437" s="364" t="s">
        <v>88</v>
      </c>
      <c r="AL1437" s="364" t="s">
        <v>88</v>
      </c>
      <c r="AM1437" s="364" t="s">
        <v>668</v>
      </c>
      <c r="AN1437" s="364" t="s">
        <v>644</v>
      </c>
    </row>
    <row r="1438" spans="1:40" x14ac:dyDescent="0.3">
      <c r="A1438" s="364" t="s">
        <v>1254</v>
      </c>
      <c r="B1438" s="364" t="s">
        <v>661</v>
      </c>
      <c r="C1438" s="364" t="s">
        <v>796</v>
      </c>
      <c r="D1438" s="364" t="s">
        <v>87</v>
      </c>
      <c r="E1438" s="364" t="s">
        <v>1189</v>
      </c>
      <c r="F1438" s="364" t="s">
        <v>1189</v>
      </c>
      <c r="G1438" s="364" t="s">
        <v>658</v>
      </c>
      <c r="H1438" s="364" t="s">
        <v>1253</v>
      </c>
      <c r="I1438" s="364" t="s">
        <v>88</v>
      </c>
      <c r="J1438" s="364" t="s">
        <v>88</v>
      </c>
      <c r="K1438" s="364" t="s">
        <v>88</v>
      </c>
      <c r="L1438" s="364" t="s">
        <v>88</v>
      </c>
      <c r="M1438" s="364" t="s">
        <v>88</v>
      </c>
      <c r="N1438" s="364" t="s">
        <v>654</v>
      </c>
      <c r="O1438" s="364" t="s">
        <v>88</v>
      </c>
      <c r="P1438" s="364" t="s">
        <v>88</v>
      </c>
      <c r="Q1438" s="364" t="s">
        <v>88</v>
      </c>
      <c r="R1438" s="364" t="s">
        <v>88</v>
      </c>
      <c r="S1438" s="364" t="s">
        <v>88</v>
      </c>
      <c r="T1438" s="364" t="s">
        <v>88</v>
      </c>
      <c r="U1438" s="364" t="s">
        <v>88</v>
      </c>
      <c r="V1438" s="364" t="s">
        <v>88</v>
      </c>
      <c r="W1438" s="364" t="s">
        <v>88</v>
      </c>
      <c r="X1438" s="364" t="s">
        <v>88</v>
      </c>
      <c r="Y1438" s="364" t="s">
        <v>88</v>
      </c>
      <c r="Z1438" s="364" t="s">
        <v>88</v>
      </c>
      <c r="AA1438" s="364" t="s">
        <v>649</v>
      </c>
      <c r="AB1438" s="364" t="s">
        <v>88</v>
      </c>
      <c r="AC1438" s="364" t="s">
        <v>88</v>
      </c>
      <c r="AD1438" s="364" t="s">
        <v>88</v>
      </c>
      <c r="AE1438" s="364" t="s">
        <v>88</v>
      </c>
      <c r="AF1438" s="364" t="s">
        <v>88</v>
      </c>
      <c r="AG1438" s="364" t="s">
        <v>88</v>
      </c>
      <c r="AH1438" s="364" t="s">
        <v>88</v>
      </c>
      <c r="AI1438" s="364" t="s">
        <v>1252</v>
      </c>
      <c r="AJ1438" s="364" t="s">
        <v>793</v>
      </c>
      <c r="AK1438" s="364" t="s">
        <v>88</v>
      </c>
      <c r="AL1438" s="364" t="s">
        <v>88</v>
      </c>
      <c r="AM1438" s="364" t="s">
        <v>88</v>
      </c>
      <c r="AN1438" s="364" t="s">
        <v>792</v>
      </c>
    </row>
    <row r="1439" spans="1:40" x14ac:dyDescent="0.3">
      <c r="A1439" s="364" t="s">
        <v>1251</v>
      </c>
      <c r="B1439" s="364" t="s">
        <v>661</v>
      </c>
      <c r="C1439" s="364" t="s">
        <v>1160</v>
      </c>
      <c r="D1439" s="364" t="s">
        <v>87</v>
      </c>
      <c r="E1439" s="364" t="s">
        <v>1189</v>
      </c>
      <c r="F1439" s="364" t="s">
        <v>1189</v>
      </c>
      <c r="G1439" s="364" t="s">
        <v>658</v>
      </c>
      <c r="H1439" s="364" t="s">
        <v>1250</v>
      </c>
      <c r="I1439" s="364" t="s">
        <v>88</v>
      </c>
      <c r="J1439" s="364" t="s">
        <v>88</v>
      </c>
      <c r="K1439" s="364" t="s">
        <v>88</v>
      </c>
      <c r="L1439" s="364" t="s">
        <v>88</v>
      </c>
      <c r="M1439" s="364" t="s">
        <v>138</v>
      </c>
      <c r="N1439" s="364" t="s">
        <v>654</v>
      </c>
      <c r="O1439" s="364" t="s">
        <v>653</v>
      </c>
      <c r="P1439" s="364" t="s">
        <v>88</v>
      </c>
      <c r="Q1439" s="364" t="s">
        <v>88</v>
      </c>
      <c r="R1439" s="364" t="s">
        <v>88</v>
      </c>
      <c r="S1439" s="364" t="s">
        <v>88</v>
      </c>
      <c r="T1439" s="364" t="s">
        <v>88</v>
      </c>
      <c r="U1439" s="364" t="s">
        <v>88</v>
      </c>
      <c r="V1439" s="364" t="s">
        <v>88</v>
      </c>
      <c r="W1439" s="364" t="s">
        <v>88</v>
      </c>
      <c r="X1439" s="364" t="s">
        <v>88</v>
      </c>
      <c r="Y1439" s="364" t="s">
        <v>88</v>
      </c>
      <c r="Z1439" s="364" t="s">
        <v>88</v>
      </c>
      <c r="AA1439" s="364" t="s">
        <v>649</v>
      </c>
      <c r="AB1439" s="364" t="s">
        <v>88</v>
      </c>
      <c r="AC1439" s="364" t="s">
        <v>88</v>
      </c>
      <c r="AD1439" s="364" t="s">
        <v>88</v>
      </c>
      <c r="AE1439" s="364" t="s">
        <v>88</v>
      </c>
      <c r="AF1439" s="364" t="s">
        <v>88</v>
      </c>
      <c r="AG1439" s="364" t="s">
        <v>88</v>
      </c>
      <c r="AH1439" s="364" t="s">
        <v>88</v>
      </c>
      <c r="AI1439" s="364" t="s">
        <v>1249</v>
      </c>
      <c r="AJ1439" s="364" t="s">
        <v>793</v>
      </c>
      <c r="AK1439" s="364" t="s">
        <v>88</v>
      </c>
      <c r="AL1439" s="364" t="s">
        <v>88</v>
      </c>
      <c r="AM1439" s="364" t="s">
        <v>88</v>
      </c>
      <c r="AN1439" s="364" t="s">
        <v>792</v>
      </c>
    </row>
    <row r="1440" spans="1:40" x14ac:dyDescent="0.3">
      <c r="A1440" s="364" t="s">
        <v>1248</v>
      </c>
      <c r="B1440" s="364" t="s">
        <v>661</v>
      </c>
      <c r="C1440" s="364" t="s">
        <v>1160</v>
      </c>
      <c r="D1440" s="364" t="s">
        <v>87</v>
      </c>
      <c r="E1440" s="364" t="s">
        <v>1189</v>
      </c>
      <c r="F1440" s="364" t="s">
        <v>1189</v>
      </c>
      <c r="G1440" s="364" t="s">
        <v>658</v>
      </c>
      <c r="H1440" s="364" t="s">
        <v>1247</v>
      </c>
      <c r="I1440" s="364" t="s">
        <v>88</v>
      </c>
      <c r="J1440" s="364" t="s">
        <v>88</v>
      </c>
      <c r="K1440" s="364" t="s">
        <v>88</v>
      </c>
      <c r="L1440" s="364" t="s">
        <v>88</v>
      </c>
      <c r="M1440" s="364" t="s">
        <v>138</v>
      </c>
      <c r="N1440" s="364" t="s">
        <v>654</v>
      </c>
      <c r="O1440" s="364" t="s">
        <v>653</v>
      </c>
      <c r="P1440" s="364" t="s">
        <v>88</v>
      </c>
      <c r="Q1440" s="364" t="s">
        <v>88</v>
      </c>
      <c r="R1440" s="364" t="s">
        <v>88</v>
      </c>
      <c r="S1440" s="364" t="s">
        <v>88</v>
      </c>
      <c r="T1440" s="364" t="s">
        <v>88</v>
      </c>
      <c r="U1440" s="364" t="s">
        <v>88</v>
      </c>
      <c r="V1440" s="364" t="s">
        <v>88</v>
      </c>
      <c r="W1440" s="364" t="s">
        <v>88</v>
      </c>
      <c r="X1440" s="364" t="s">
        <v>88</v>
      </c>
      <c r="Y1440" s="364" t="s">
        <v>88</v>
      </c>
      <c r="Z1440" s="364" t="s">
        <v>88</v>
      </c>
      <c r="AA1440" s="364" t="s">
        <v>649</v>
      </c>
      <c r="AB1440" s="364" t="s">
        <v>88</v>
      </c>
      <c r="AC1440" s="364" t="s">
        <v>88</v>
      </c>
      <c r="AD1440" s="364" t="s">
        <v>88</v>
      </c>
      <c r="AE1440" s="364" t="s">
        <v>88</v>
      </c>
      <c r="AF1440" s="364" t="s">
        <v>88</v>
      </c>
      <c r="AG1440" s="364" t="s">
        <v>88</v>
      </c>
      <c r="AH1440" s="364" t="s">
        <v>88</v>
      </c>
      <c r="AI1440" s="364" t="s">
        <v>1246</v>
      </c>
      <c r="AJ1440" s="364" t="s">
        <v>793</v>
      </c>
      <c r="AK1440" s="364" t="s">
        <v>88</v>
      </c>
      <c r="AL1440" s="364" t="s">
        <v>88</v>
      </c>
      <c r="AM1440" s="364" t="s">
        <v>88</v>
      </c>
      <c r="AN1440" s="364" t="s">
        <v>792</v>
      </c>
    </row>
    <row r="1441" spans="1:40" x14ac:dyDescent="0.3">
      <c r="A1441" s="364" t="s">
        <v>1245</v>
      </c>
      <c r="B1441" s="364" t="s">
        <v>661</v>
      </c>
      <c r="C1441" s="364" t="s">
        <v>1160</v>
      </c>
      <c r="D1441" s="364" t="s">
        <v>87</v>
      </c>
      <c r="E1441" s="364" t="s">
        <v>1189</v>
      </c>
      <c r="F1441" s="364" t="s">
        <v>1189</v>
      </c>
      <c r="G1441" s="364" t="s">
        <v>658</v>
      </c>
      <c r="H1441" s="364" t="s">
        <v>1244</v>
      </c>
      <c r="I1441" s="364" t="s">
        <v>88</v>
      </c>
      <c r="J1441" s="364" t="s">
        <v>88</v>
      </c>
      <c r="K1441" s="364" t="s">
        <v>88</v>
      </c>
      <c r="L1441" s="364" t="s">
        <v>88</v>
      </c>
      <c r="M1441" s="364" t="s">
        <v>138</v>
      </c>
      <c r="N1441" s="364" t="s">
        <v>654</v>
      </c>
      <c r="O1441" s="364" t="s">
        <v>653</v>
      </c>
      <c r="P1441" s="364" t="s">
        <v>88</v>
      </c>
      <c r="Q1441" s="364" t="s">
        <v>88</v>
      </c>
      <c r="R1441" s="364" t="s">
        <v>88</v>
      </c>
      <c r="S1441" s="364" t="s">
        <v>88</v>
      </c>
      <c r="T1441" s="364" t="s">
        <v>88</v>
      </c>
      <c r="U1441" s="364" t="s">
        <v>88</v>
      </c>
      <c r="V1441" s="364" t="s">
        <v>88</v>
      </c>
      <c r="W1441" s="364" t="s">
        <v>88</v>
      </c>
      <c r="X1441" s="364" t="s">
        <v>88</v>
      </c>
      <c r="Y1441" s="364" t="s">
        <v>88</v>
      </c>
      <c r="Z1441" s="364" t="s">
        <v>88</v>
      </c>
      <c r="AA1441" s="364" t="s">
        <v>649</v>
      </c>
      <c r="AB1441" s="364" t="s">
        <v>88</v>
      </c>
      <c r="AC1441" s="364" t="s">
        <v>88</v>
      </c>
      <c r="AD1441" s="364" t="s">
        <v>88</v>
      </c>
      <c r="AE1441" s="364" t="s">
        <v>88</v>
      </c>
      <c r="AF1441" s="364" t="s">
        <v>88</v>
      </c>
      <c r="AG1441" s="364" t="s">
        <v>88</v>
      </c>
      <c r="AH1441" s="364" t="s">
        <v>88</v>
      </c>
      <c r="AI1441" s="364" t="s">
        <v>1243</v>
      </c>
      <c r="AJ1441" s="364" t="s">
        <v>793</v>
      </c>
      <c r="AK1441" s="364" t="s">
        <v>88</v>
      </c>
      <c r="AL1441" s="364" t="s">
        <v>88</v>
      </c>
      <c r="AM1441" s="364" t="s">
        <v>88</v>
      </c>
      <c r="AN1441" s="364" t="s">
        <v>792</v>
      </c>
    </row>
    <row r="1442" spans="1:40" x14ac:dyDescent="0.3">
      <c r="A1442" s="364" t="s">
        <v>1242</v>
      </c>
      <c r="B1442" s="364" t="s">
        <v>661</v>
      </c>
      <c r="C1442" s="364" t="s">
        <v>1160</v>
      </c>
      <c r="D1442" s="364" t="s">
        <v>87</v>
      </c>
      <c r="E1442" s="364" t="s">
        <v>1189</v>
      </c>
      <c r="F1442" s="364" t="s">
        <v>1189</v>
      </c>
      <c r="G1442" s="364" t="s">
        <v>658</v>
      </c>
      <c r="H1442" s="364" t="s">
        <v>1241</v>
      </c>
      <c r="I1442" s="364" t="s">
        <v>88</v>
      </c>
      <c r="J1442" s="364" t="s">
        <v>88</v>
      </c>
      <c r="K1442" s="364" t="s">
        <v>88</v>
      </c>
      <c r="L1442" s="364" t="s">
        <v>88</v>
      </c>
      <c r="M1442" s="364" t="s">
        <v>138</v>
      </c>
      <c r="N1442" s="364" t="s">
        <v>654</v>
      </c>
      <c r="O1442" s="364" t="s">
        <v>653</v>
      </c>
      <c r="P1442" s="364" t="s">
        <v>88</v>
      </c>
      <c r="Q1442" s="364" t="s">
        <v>88</v>
      </c>
      <c r="R1442" s="364" t="s">
        <v>88</v>
      </c>
      <c r="S1442" s="364" t="s">
        <v>88</v>
      </c>
      <c r="T1442" s="364" t="s">
        <v>88</v>
      </c>
      <c r="U1442" s="364" t="s">
        <v>88</v>
      </c>
      <c r="V1442" s="364" t="s">
        <v>88</v>
      </c>
      <c r="W1442" s="364" t="s">
        <v>88</v>
      </c>
      <c r="X1442" s="364" t="s">
        <v>88</v>
      </c>
      <c r="Y1442" s="364" t="s">
        <v>88</v>
      </c>
      <c r="Z1442" s="364" t="s">
        <v>88</v>
      </c>
      <c r="AA1442" s="364" t="s">
        <v>649</v>
      </c>
      <c r="AB1442" s="364" t="s">
        <v>88</v>
      </c>
      <c r="AC1442" s="364" t="s">
        <v>88</v>
      </c>
      <c r="AD1442" s="364" t="s">
        <v>88</v>
      </c>
      <c r="AE1442" s="364" t="s">
        <v>88</v>
      </c>
      <c r="AF1442" s="364" t="s">
        <v>88</v>
      </c>
      <c r="AG1442" s="364" t="s">
        <v>88</v>
      </c>
      <c r="AH1442" s="364" t="s">
        <v>88</v>
      </c>
      <c r="AI1442" s="364" t="s">
        <v>1240</v>
      </c>
      <c r="AJ1442" s="364" t="s">
        <v>793</v>
      </c>
      <c r="AK1442" s="364" t="s">
        <v>88</v>
      </c>
      <c r="AL1442" s="364" t="s">
        <v>88</v>
      </c>
      <c r="AM1442" s="364" t="s">
        <v>88</v>
      </c>
      <c r="AN1442" s="364" t="s">
        <v>792</v>
      </c>
    </row>
    <row r="1443" spans="1:40" x14ac:dyDescent="0.3">
      <c r="A1443" s="364" t="s">
        <v>1239</v>
      </c>
      <c r="B1443" s="364" t="s">
        <v>661</v>
      </c>
      <c r="C1443" s="364" t="s">
        <v>796</v>
      </c>
      <c r="D1443" s="364" t="s">
        <v>87</v>
      </c>
      <c r="E1443" s="364" t="s">
        <v>1189</v>
      </c>
      <c r="F1443" s="364" t="s">
        <v>1189</v>
      </c>
      <c r="G1443" s="364" t="s">
        <v>658</v>
      </c>
      <c r="H1443" s="364" t="s">
        <v>1238</v>
      </c>
      <c r="I1443" s="364" t="s">
        <v>88</v>
      </c>
      <c r="J1443" s="364" t="s">
        <v>88</v>
      </c>
      <c r="K1443" s="364" t="s">
        <v>88</v>
      </c>
      <c r="L1443" s="364" t="s">
        <v>88</v>
      </c>
      <c r="M1443" s="364" t="s">
        <v>138</v>
      </c>
      <c r="N1443" s="364" t="s">
        <v>654</v>
      </c>
      <c r="O1443" s="364" t="s">
        <v>653</v>
      </c>
      <c r="P1443" s="364" t="s">
        <v>88</v>
      </c>
      <c r="Q1443" s="364" t="s">
        <v>88</v>
      </c>
      <c r="R1443" s="364" t="s">
        <v>88</v>
      </c>
      <c r="S1443" s="364" t="s">
        <v>88</v>
      </c>
      <c r="T1443" s="364" t="s">
        <v>88</v>
      </c>
      <c r="U1443" s="364" t="s">
        <v>88</v>
      </c>
      <c r="V1443" s="364" t="s">
        <v>88</v>
      </c>
      <c r="W1443" s="364" t="s">
        <v>88</v>
      </c>
      <c r="X1443" s="364" t="s">
        <v>88</v>
      </c>
      <c r="Y1443" s="364" t="s">
        <v>88</v>
      </c>
      <c r="Z1443" s="364" t="s">
        <v>88</v>
      </c>
      <c r="AA1443" s="364" t="s">
        <v>649</v>
      </c>
      <c r="AB1443" s="364" t="s">
        <v>88</v>
      </c>
      <c r="AC1443" s="364" t="s">
        <v>88</v>
      </c>
      <c r="AD1443" s="364" t="s">
        <v>88</v>
      </c>
      <c r="AE1443" s="364" t="s">
        <v>88</v>
      </c>
      <c r="AF1443" s="364" t="s">
        <v>88</v>
      </c>
      <c r="AG1443" s="364" t="s">
        <v>88</v>
      </c>
      <c r="AH1443" s="364" t="s">
        <v>88</v>
      </c>
      <c r="AI1443" s="364" t="s">
        <v>1237</v>
      </c>
      <c r="AJ1443" s="364" t="s">
        <v>793</v>
      </c>
      <c r="AK1443" s="364" t="s">
        <v>88</v>
      </c>
      <c r="AL1443" s="364" t="s">
        <v>88</v>
      </c>
      <c r="AM1443" s="364" t="s">
        <v>88</v>
      </c>
      <c r="AN1443" s="364" t="s">
        <v>792</v>
      </c>
    </row>
    <row r="1444" spans="1:40" x14ac:dyDescent="0.3">
      <c r="A1444" s="364" t="s">
        <v>1236</v>
      </c>
      <c r="B1444" s="364" t="s">
        <v>661</v>
      </c>
      <c r="C1444" s="364" t="s">
        <v>1160</v>
      </c>
      <c r="D1444" s="364" t="s">
        <v>87</v>
      </c>
      <c r="E1444" s="364" t="s">
        <v>1186</v>
      </c>
      <c r="F1444" s="364" t="s">
        <v>1186</v>
      </c>
      <c r="G1444" s="364" t="s">
        <v>658</v>
      </c>
      <c r="H1444" s="364" t="s">
        <v>1235</v>
      </c>
      <c r="I1444" s="364" t="s">
        <v>88</v>
      </c>
      <c r="J1444" s="364" t="s">
        <v>88</v>
      </c>
      <c r="K1444" s="364" t="s">
        <v>88</v>
      </c>
      <c r="L1444" s="364" t="s">
        <v>88</v>
      </c>
      <c r="M1444" s="364" t="s">
        <v>138</v>
      </c>
      <c r="N1444" s="364" t="s">
        <v>654</v>
      </c>
      <c r="O1444" s="364" t="s">
        <v>653</v>
      </c>
      <c r="P1444" s="364" t="s">
        <v>88</v>
      </c>
      <c r="Q1444" s="364" t="s">
        <v>88</v>
      </c>
      <c r="R1444" s="364" t="s">
        <v>88</v>
      </c>
      <c r="S1444" s="364" t="s">
        <v>88</v>
      </c>
      <c r="T1444" s="364" t="s">
        <v>88</v>
      </c>
      <c r="U1444" s="364" t="s">
        <v>88</v>
      </c>
      <c r="V1444" s="364" t="s">
        <v>88</v>
      </c>
      <c r="W1444" s="364" t="s">
        <v>88</v>
      </c>
      <c r="X1444" s="364" t="s">
        <v>88</v>
      </c>
      <c r="Y1444" s="364" t="s">
        <v>88</v>
      </c>
      <c r="Z1444" s="364" t="s">
        <v>88</v>
      </c>
      <c r="AA1444" s="364" t="s">
        <v>649</v>
      </c>
      <c r="AB1444" s="364" t="s">
        <v>88</v>
      </c>
      <c r="AC1444" s="364" t="s">
        <v>88</v>
      </c>
      <c r="AD1444" s="364" t="s">
        <v>88</v>
      </c>
      <c r="AE1444" s="364" t="s">
        <v>88</v>
      </c>
      <c r="AF1444" s="364" t="s">
        <v>88</v>
      </c>
      <c r="AG1444" s="364" t="s">
        <v>88</v>
      </c>
      <c r="AH1444" s="364" t="s">
        <v>88</v>
      </c>
      <c r="AI1444" s="364" t="s">
        <v>1234</v>
      </c>
      <c r="AJ1444" s="364" t="s">
        <v>793</v>
      </c>
      <c r="AK1444" s="364" t="s">
        <v>88</v>
      </c>
      <c r="AL1444" s="364" t="s">
        <v>88</v>
      </c>
      <c r="AM1444" s="364" t="s">
        <v>88</v>
      </c>
      <c r="AN1444" s="364" t="s">
        <v>792</v>
      </c>
    </row>
    <row r="1445" spans="1:40" x14ac:dyDescent="0.3">
      <c r="A1445" s="364" t="s">
        <v>1233</v>
      </c>
      <c r="B1445" s="364" t="s">
        <v>661</v>
      </c>
      <c r="C1445" s="364" t="s">
        <v>677</v>
      </c>
      <c r="D1445" s="364" t="s">
        <v>87</v>
      </c>
      <c r="E1445" s="364" t="s">
        <v>1186</v>
      </c>
      <c r="F1445" s="364" t="s">
        <v>1186</v>
      </c>
      <c r="G1445" s="364" t="s">
        <v>658</v>
      </c>
      <c r="H1445" s="364" t="s">
        <v>1232</v>
      </c>
      <c r="I1445" s="364" t="s">
        <v>1205</v>
      </c>
      <c r="J1445" s="364" t="s">
        <v>673</v>
      </c>
      <c r="K1445" s="364" t="s">
        <v>668</v>
      </c>
      <c r="L1445" s="364" t="s">
        <v>190</v>
      </c>
      <c r="M1445" s="364" t="s">
        <v>58</v>
      </c>
      <c r="N1445" s="364" t="s">
        <v>654</v>
      </c>
      <c r="O1445" s="364" t="s">
        <v>653</v>
      </c>
      <c r="P1445" s="364" t="s">
        <v>198</v>
      </c>
      <c r="Q1445" s="364" t="s">
        <v>652</v>
      </c>
      <c r="R1445" s="364" t="s">
        <v>88</v>
      </c>
      <c r="S1445" s="364" t="s">
        <v>88</v>
      </c>
      <c r="T1445" s="364" t="s">
        <v>88</v>
      </c>
      <c r="U1445" s="364" t="s">
        <v>88</v>
      </c>
      <c r="V1445" s="364" t="s">
        <v>88</v>
      </c>
      <c r="W1445" s="364" t="s">
        <v>88</v>
      </c>
      <c r="X1445" s="364" t="s">
        <v>88</v>
      </c>
      <c r="Y1445" s="364" t="s">
        <v>88</v>
      </c>
      <c r="Z1445" s="364" t="s">
        <v>702</v>
      </c>
      <c r="AA1445" s="364" t="s">
        <v>701</v>
      </c>
      <c r="AB1445" s="364" t="s">
        <v>649</v>
      </c>
      <c r="AC1445" s="364" t="s">
        <v>649</v>
      </c>
      <c r="AD1445" s="364" t="s">
        <v>88</v>
      </c>
      <c r="AE1445" s="364" t="s">
        <v>88</v>
      </c>
      <c r="AF1445" s="364" t="s">
        <v>88</v>
      </c>
      <c r="AG1445" s="364" t="s">
        <v>88</v>
      </c>
      <c r="AH1445" s="364" t="s">
        <v>88</v>
      </c>
      <c r="AI1445" s="364" t="s">
        <v>1199</v>
      </c>
      <c r="AJ1445" s="364" t="s">
        <v>670</v>
      </c>
      <c r="AK1445" s="364" t="s">
        <v>669</v>
      </c>
      <c r="AL1445" s="364" t="s">
        <v>88</v>
      </c>
      <c r="AM1445" s="364" t="s">
        <v>668</v>
      </c>
      <c r="AN1445" s="364" t="s">
        <v>644</v>
      </c>
    </row>
    <row r="1446" spans="1:40" x14ac:dyDescent="0.3">
      <c r="A1446" s="364" t="s">
        <v>1233</v>
      </c>
      <c r="B1446" s="364" t="s">
        <v>661</v>
      </c>
      <c r="C1446" s="364" t="s">
        <v>677</v>
      </c>
      <c r="D1446" s="364" t="s">
        <v>87</v>
      </c>
      <c r="E1446" s="364" t="s">
        <v>1186</v>
      </c>
      <c r="F1446" s="364" t="s">
        <v>1186</v>
      </c>
      <c r="G1446" s="364" t="s">
        <v>658</v>
      </c>
      <c r="H1446" s="364" t="s">
        <v>1232</v>
      </c>
      <c r="I1446" s="364" t="s">
        <v>1205</v>
      </c>
      <c r="J1446" s="364" t="s">
        <v>673</v>
      </c>
      <c r="K1446" s="364" t="s">
        <v>668</v>
      </c>
      <c r="L1446" s="364" t="s">
        <v>190</v>
      </c>
      <c r="M1446" s="364" t="s">
        <v>166</v>
      </c>
      <c r="N1446" s="364" t="s">
        <v>654</v>
      </c>
      <c r="O1446" s="364" t="s">
        <v>653</v>
      </c>
      <c r="P1446" s="364" t="s">
        <v>198</v>
      </c>
      <c r="Q1446" s="364" t="s">
        <v>652</v>
      </c>
      <c r="R1446" s="364" t="s">
        <v>88</v>
      </c>
      <c r="S1446" s="364" t="s">
        <v>88</v>
      </c>
      <c r="T1446" s="364" t="s">
        <v>88</v>
      </c>
      <c r="U1446" s="364" t="s">
        <v>88</v>
      </c>
      <c r="V1446" s="364" t="s">
        <v>88</v>
      </c>
      <c r="W1446" s="364" t="s">
        <v>88</v>
      </c>
      <c r="X1446" s="364" t="s">
        <v>88</v>
      </c>
      <c r="Y1446" s="364" t="s">
        <v>88</v>
      </c>
      <c r="Z1446" s="364" t="s">
        <v>877</v>
      </c>
      <c r="AA1446" s="364" t="s">
        <v>876</v>
      </c>
      <c r="AB1446" s="364" t="s">
        <v>649</v>
      </c>
      <c r="AC1446" s="364" t="s">
        <v>649</v>
      </c>
      <c r="AD1446" s="364" t="s">
        <v>88</v>
      </c>
      <c r="AE1446" s="364" t="s">
        <v>88</v>
      </c>
      <c r="AF1446" s="364" t="s">
        <v>88</v>
      </c>
      <c r="AG1446" s="364" t="s">
        <v>88</v>
      </c>
      <c r="AH1446" s="364" t="s">
        <v>88</v>
      </c>
      <c r="AI1446" s="364" t="s">
        <v>1199</v>
      </c>
      <c r="AJ1446" s="364" t="s">
        <v>670</v>
      </c>
      <c r="AK1446" s="364" t="s">
        <v>669</v>
      </c>
      <c r="AL1446" s="364" t="s">
        <v>88</v>
      </c>
      <c r="AM1446" s="364" t="s">
        <v>668</v>
      </c>
      <c r="AN1446" s="364" t="s">
        <v>644</v>
      </c>
    </row>
    <row r="1447" spans="1:40" x14ac:dyDescent="0.3">
      <c r="A1447" s="364" t="s">
        <v>1231</v>
      </c>
      <c r="B1447" s="364" t="s">
        <v>661</v>
      </c>
      <c r="C1447" s="364" t="s">
        <v>677</v>
      </c>
      <c r="D1447" s="364" t="s">
        <v>87</v>
      </c>
      <c r="E1447" s="364" t="s">
        <v>1186</v>
      </c>
      <c r="F1447" s="364" t="s">
        <v>1186</v>
      </c>
      <c r="G1447" s="364" t="s">
        <v>658</v>
      </c>
      <c r="H1447" s="364" t="s">
        <v>1230</v>
      </c>
      <c r="I1447" s="364" t="s">
        <v>1208</v>
      </c>
      <c r="J1447" s="364" t="s">
        <v>673</v>
      </c>
      <c r="K1447" s="364" t="s">
        <v>668</v>
      </c>
      <c r="L1447" s="364" t="s">
        <v>190</v>
      </c>
      <c r="M1447" s="364" t="s">
        <v>60</v>
      </c>
      <c r="N1447" s="364" t="s">
        <v>654</v>
      </c>
      <c r="O1447" s="364" t="s">
        <v>653</v>
      </c>
      <c r="P1447" s="364" t="s">
        <v>198</v>
      </c>
      <c r="Q1447" s="364" t="s">
        <v>652</v>
      </c>
      <c r="R1447" s="364" t="s">
        <v>88</v>
      </c>
      <c r="S1447" s="364" t="s">
        <v>88</v>
      </c>
      <c r="T1447" s="364" t="s">
        <v>88</v>
      </c>
      <c r="U1447" s="364" t="s">
        <v>88</v>
      </c>
      <c r="V1447" s="364" t="s">
        <v>88</v>
      </c>
      <c r="W1447" s="364" t="s">
        <v>88</v>
      </c>
      <c r="X1447" s="364" t="s">
        <v>88</v>
      </c>
      <c r="Y1447" s="364" t="s">
        <v>88</v>
      </c>
      <c r="Z1447" s="364" t="s">
        <v>709</v>
      </c>
      <c r="AA1447" s="364" t="s">
        <v>708</v>
      </c>
      <c r="AB1447" s="364" t="s">
        <v>649</v>
      </c>
      <c r="AC1447" s="364" t="s">
        <v>649</v>
      </c>
      <c r="AD1447" s="364" t="s">
        <v>88</v>
      </c>
      <c r="AE1447" s="364" t="s">
        <v>88</v>
      </c>
      <c r="AF1447" s="364" t="s">
        <v>88</v>
      </c>
      <c r="AG1447" s="364" t="s">
        <v>88</v>
      </c>
      <c r="AH1447" s="364" t="s">
        <v>88</v>
      </c>
      <c r="AI1447" s="364" t="s">
        <v>1199</v>
      </c>
      <c r="AJ1447" s="364" t="s">
        <v>670</v>
      </c>
      <c r="AK1447" s="364" t="s">
        <v>669</v>
      </c>
      <c r="AL1447" s="364" t="s">
        <v>88</v>
      </c>
      <c r="AM1447" s="364" t="s">
        <v>668</v>
      </c>
      <c r="AN1447" s="364" t="s">
        <v>644</v>
      </c>
    </row>
    <row r="1448" spans="1:40" x14ac:dyDescent="0.3">
      <c r="A1448" s="364" t="s">
        <v>1229</v>
      </c>
      <c r="B1448" s="364" t="s">
        <v>661</v>
      </c>
      <c r="C1448" s="364" t="s">
        <v>1160</v>
      </c>
      <c r="D1448" s="364" t="s">
        <v>87</v>
      </c>
      <c r="E1448" s="364" t="s">
        <v>1186</v>
      </c>
      <c r="F1448" s="364" t="s">
        <v>1186</v>
      </c>
      <c r="G1448" s="364" t="s">
        <v>658</v>
      </c>
      <c r="H1448" s="364" t="s">
        <v>1228</v>
      </c>
      <c r="I1448" s="364" t="s">
        <v>88</v>
      </c>
      <c r="J1448" s="364" t="s">
        <v>88</v>
      </c>
      <c r="K1448" s="364" t="s">
        <v>88</v>
      </c>
      <c r="L1448" s="364" t="s">
        <v>88</v>
      </c>
      <c r="M1448" s="364" t="s">
        <v>138</v>
      </c>
      <c r="N1448" s="364" t="s">
        <v>654</v>
      </c>
      <c r="O1448" s="364" t="s">
        <v>653</v>
      </c>
      <c r="P1448" s="364" t="s">
        <v>88</v>
      </c>
      <c r="Q1448" s="364" t="s">
        <v>88</v>
      </c>
      <c r="R1448" s="364" t="s">
        <v>88</v>
      </c>
      <c r="S1448" s="364" t="s">
        <v>88</v>
      </c>
      <c r="T1448" s="364" t="s">
        <v>88</v>
      </c>
      <c r="U1448" s="364" t="s">
        <v>88</v>
      </c>
      <c r="V1448" s="364" t="s">
        <v>88</v>
      </c>
      <c r="W1448" s="364" t="s">
        <v>88</v>
      </c>
      <c r="X1448" s="364" t="s">
        <v>88</v>
      </c>
      <c r="Y1448" s="364" t="s">
        <v>88</v>
      </c>
      <c r="Z1448" s="364" t="s">
        <v>88</v>
      </c>
      <c r="AA1448" s="364" t="s">
        <v>649</v>
      </c>
      <c r="AB1448" s="364" t="s">
        <v>88</v>
      </c>
      <c r="AC1448" s="364" t="s">
        <v>88</v>
      </c>
      <c r="AD1448" s="364" t="s">
        <v>88</v>
      </c>
      <c r="AE1448" s="364" t="s">
        <v>88</v>
      </c>
      <c r="AF1448" s="364" t="s">
        <v>88</v>
      </c>
      <c r="AG1448" s="364" t="s">
        <v>88</v>
      </c>
      <c r="AH1448" s="364" t="s">
        <v>88</v>
      </c>
      <c r="AI1448" s="364" t="s">
        <v>1227</v>
      </c>
      <c r="AJ1448" s="364" t="s">
        <v>793</v>
      </c>
      <c r="AK1448" s="364" t="s">
        <v>88</v>
      </c>
      <c r="AL1448" s="364" t="s">
        <v>88</v>
      </c>
      <c r="AM1448" s="364" t="s">
        <v>88</v>
      </c>
      <c r="AN1448" s="364" t="s">
        <v>792</v>
      </c>
    </row>
    <row r="1449" spans="1:40" x14ac:dyDescent="0.3">
      <c r="A1449" s="364" t="s">
        <v>1226</v>
      </c>
      <c r="B1449" s="364" t="s">
        <v>661</v>
      </c>
      <c r="C1449" s="364" t="s">
        <v>677</v>
      </c>
      <c r="D1449" s="364" t="s">
        <v>87</v>
      </c>
      <c r="E1449" s="364" t="s">
        <v>1183</v>
      </c>
      <c r="F1449" s="364" t="s">
        <v>1183</v>
      </c>
      <c r="G1449" s="364" t="s">
        <v>658</v>
      </c>
      <c r="H1449" s="364" t="s">
        <v>1225</v>
      </c>
      <c r="I1449" s="364" t="s">
        <v>1221</v>
      </c>
      <c r="J1449" s="364" t="s">
        <v>673</v>
      </c>
      <c r="K1449" s="364" t="s">
        <v>668</v>
      </c>
      <c r="L1449" s="364" t="s">
        <v>190</v>
      </c>
      <c r="M1449" s="364" t="s">
        <v>58</v>
      </c>
      <c r="N1449" s="364" t="s">
        <v>654</v>
      </c>
      <c r="O1449" s="364" t="s">
        <v>653</v>
      </c>
      <c r="P1449" s="364" t="s">
        <v>198</v>
      </c>
      <c r="Q1449" s="364" t="s">
        <v>652</v>
      </c>
      <c r="R1449" s="364" t="s">
        <v>88</v>
      </c>
      <c r="S1449" s="364" t="s">
        <v>88</v>
      </c>
      <c r="T1449" s="364" t="s">
        <v>88</v>
      </c>
      <c r="U1449" s="364" t="s">
        <v>88</v>
      </c>
      <c r="V1449" s="364" t="s">
        <v>88</v>
      </c>
      <c r="W1449" s="364" t="s">
        <v>88</v>
      </c>
      <c r="X1449" s="364" t="s">
        <v>88</v>
      </c>
      <c r="Y1449" s="364" t="s">
        <v>88</v>
      </c>
      <c r="Z1449" s="364" t="s">
        <v>702</v>
      </c>
      <c r="AA1449" s="364" t="s">
        <v>701</v>
      </c>
      <c r="AB1449" s="364" t="s">
        <v>649</v>
      </c>
      <c r="AC1449" s="364" t="s">
        <v>649</v>
      </c>
      <c r="AD1449" s="364" t="s">
        <v>88</v>
      </c>
      <c r="AE1449" s="364" t="s">
        <v>88</v>
      </c>
      <c r="AF1449" s="364" t="s">
        <v>88</v>
      </c>
      <c r="AG1449" s="364" t="s">
        <v>88</v>
      </c>
      <c r="AH1449" s="364" t="s">
        <v>88</v>
      </c>
      <c r="AI1449" s="364" t="s">
        <v>1199</v>
      </c>
      <c r="AJ1449" s="364" t="s">
        <v>670</v>
      </c>
      <c r="AK1449" s="364" t="s">
        <v>669</v>
      </c>
      <c r="AL1449" s="364" t="s">
        <v>88</v>
      </c>
      <c r="AM1449" s="364" t="s">
        <v>668</v>
      </c>
      <c r="AN1449" s="364" t="s">
        <v>644</v>
      </c>
    </row>
    <row r="1450" spans="1:40" x14ac:dyDescent="0.3">
      <c r="A1450" s="364" t="s">
        <v>1226</v>
      </c>
      <c r="B1450" s="364" t="s">
        <v>661</v>
      </c>
      <c r="C1450" s="364" t="s">
        <v>677</v>
      </c>
      <c r="D1450" s="364" t="s">
        <v>87</v>
      </c>
      <c r="E1450" s="364" t="s">
        <v>1183</v>
      </c>
      <c r="F1450" s="364" t="s">
        <v>1183</v>
      </c>
      <c r="G1450" s="364" t="s">
        <v>658</v>
      </c>
      <c r="H1450" s="364" t="s">
        <v>1225</v>
      </c>
      <c r="I1450" s="364" t="s">
        <v>1221</v>
      </c>
      <c r="J1450" s="364" t="s">
        <v>673</v>
      </c>
      <c r="K1450" s="364" t="s">
        <v>668</v>
      </c>
      <c r="L1450" s="364" t="s">
        <v>190</v>
      </c>
      <c r="M1450" s="364" t="s">
        <v>166</v>
      </c>
      <c r="N1450" s="364" t="s">
        <v>654</v>
      </c>
      <c r="O1450" s="364" t="s">
        <v>653</v>
      </c>
      <c r="P1450" s="364" t="s">
        <v>198</v>
      </c>
      <c r="Q1450" s="364" t="s">
        <v>652</v>
      </c>
      <c r="R1450" s="364" t="s">
        <v>88</v>
      </c>
      <c r="S1450" s="364" t="s">
        <v>88</v>
      </c>
      <c r="T1450" s="364" t="s">
        <v>88</v>
      </c>
      <c r="U1450" s="364" t="s">
        <v>88</v>
      </c>
      <c r="V1450" s="364" t="s">
        <v>88</v>
      </c>
      <c r="W1450" s="364" t="s">
        <v>88</v>
      </c>
      <c r="X1450" s="364" t="s">
        <v>88</v>
      </c>
      <c r="Y1450" s="364" t="s">
        <v>88</v>
      </c>
      <c r="Z1450" s="364" t="s">
        <v>877</v>
      </c>
      <c r="AA1450" s="364" t="s">
        <v>876</v>
      </c>
      <c r="AB1450" s="364" t="s">
        <v>649</v>
      </c>
      <c r="AC1450" s="364" t="s">
        <v>649</v>
      </c>
      <c r="AD1450" s="364" t="s">
        <v>88</v>
      </c>
      <c r="AE1450" s="364" t="s">
        <v>88</v>
      </c>
      <c r="AF1450" s="364" t="s">
        <v>88</v>
      </c>
      <c r="AG1450" s="364" t="s">
        <v>88</v>
      </c>
      <c r="AH1450" s="364" t="s">
        <v>88</v>
      </c>
      <c r="AI1450" s="364" t="s">
        <v>1199</v>
      </c>
      <c r="AJ1450" s="364" t="s">
        <v>670</v>
      </c>
      <c r="AK1450" s="364" t="s">
        <v>669</v>
      </c>
      <c r="AL1450" s="364" t="s">
        <v>88</v>
      </c>
      <c r="AM1450" s="364" t="s">
        <v>668</v>
      </c>
      <c r="AN1450" s="364" t="s">
        <v>644</v>
      </c>
    </row>
    <row r="1451" spans="1:40" x14ac:dyDescent="0.3">
      <c r="A1451" s="364" t="s">
        <v>1224</v>
      </c>
      <c r="B1451" s="364" t="s">
        <v>661</v>
      </c>
      <c r="C1451" s="364" t="s">
        <v>677</v>
      </c>
      <c r="D1451" s="364" t="s">
        <v>87</v>
      </c>
      <c r="E1451" s="364" t="s">
        <v>1180</v>
      </c>
      <c r="F1451" s="364" t="s">
        <v>1180</v>
      </c>
      <c r="G1451" s="364" t="s">
        <v>658</v>
      </c>
      <c r="H1451" s="364" t="s">
        <v>1223</v>
      </c>
      <c r="I1451" s="364" t="s">
        <v>1219</v>
      </c>
      <c r="J1451" s="364" t="s">
        <v>673</v>
      </c>
      <c r="K1451" s="364" t="s">
        <v>668</v>
      </c>
      <c r="L1451" s="364" t="s">
        <v>190</v>
      </c>
      <c r="M1451" s="364" t="s">
        <v>58</v>
      </c>
      <c r="N1451" s="364" t="s">
        <v>654</v>
      </c>
      <c r="O1451" s="364" t="s">
        <v>653</v>
      </c>
      <c r="P1451" s="364" t="s">
        <v>198</v>
      </c>
      <c r="Q1451" s="364" t="s">
        <v>652</v>
      </c>
      <c r="R1451" s="364" t="s">
        <v>88</v>
      </c>
      <c r="S1451" s="364" t="s">
        <v>88</v>
      </c>
      <c r="T1451" s="364" t="s">
        <v>88</v>
      </c>
      <c r="U1451" s="364" t="s">
        <v>88</v>
      </c>
      <c r="V1451" s="364" t="s">
        <v>88</v>
      </c>
      <c r="W1451" s="364" t="s">
        <v>88</v>
      </c>
      <c r="X1451" s="364" t="s">
        <v>88</v>
      </c>
      <c r="Y1451" s="364" t="s">
        <v>88</v>
      </c>
      <c r="Z1451" s="364" t="s">
        <v>702</v>
      </c>
      <c r="AA1451" s="364" t="s">
        <v>701</v>
      </c>
      <c r="AB1451" s="364" t="s">
        <v>649</v>
      </c>
      <c r="AC1451" s="364" t="s">
        <v>649</v>
      </c>
      <c r="AD1451" s="364" t="s">
        <v>88</v>
      </c>
      <c r="AE1451" s="364" t="s">
        <v>88</v>
      </c>
      <c r="AF1451" s="364" t="s">
        <v>88</v>
      </c>
      <c r="AG1451" s="364" t="s">
        <v>88</v>
      </c>
      <c r="AH1451" s="364" t="s">
        <v>88</v>
      </c>
      <c r="AI1451" s="364" t="s">
        <v>1199</v>
      </c>
      <c r="AJ1451" s="364" t="s">
        <v>670</v>
      </c>
      <c r="AK1451" s="364" t="s">
        <v>669</v>
      </c>
      <c r="AL1451" s="364" t="s">
        <v>88</v>
      </c>
      <c r="AM1451" s="364" t="s">
        <v>668</v>
      </c>
      <c r="AN1451" s="364" t="s">
        <v>644</v>
      </c>
    </row>
    <row r="1452" spans="1:40" x14ac:dyDescent="0.3">
      <c r="A1452" s="364" t="s">
        <v>1224</v>
      </c>
      <c r="B1452" s="364" t="s">
        <v>661</v>
      </c>
      <c r="C1452" s="364" t="s">
        <v>677</v>
      </c>
      <c r="D1452" s="364" t="s">
        <v>87</v>
      </c>
      <c r="E1452" s="364" t="s">
        <v>1180</v>
      </c>
      <c r="F1452" s="364" t="s">
        <v>1180</v>
      </c>
      <c r="G1452" s="364" t="s">
        <v>658</v>
      </c>
      <c r="H1452" s="364" t="s">
        <v>1223</v>
      </c>
      <c r="I1452" s="364" t="s">
        <v>1219</v>
      </c>
      <c r="J1452" s="364" t="s">
        <v>673</v>
      </c>
      <c r="K1452" s="364" t="s">
        <v>668</v>
      </c>
      <c r="L1452" s="364" t="s">
        <v>190</v>
      </c>
      <c r="M1452" s="364" t="s">
        <v>166</v>
      </c>
      <c r="N1452" s="364" t="s">
        <v>654</v>
      </c>
      <c r="O1452" s="364" t="s">
        <v>653</v>
      </c>
      <c r="P1452" s="364" t="s">
        <v>198</v>
      </c>
      <c r="Q1452" s="364" t="s">
        <v>652</v>
      </c>
      <c r="R1452" s="364" t="s">
        <v>88</v>
      </c>
      <c r="S1452" s="364" t="s">
        <v>88</v>
      </c>
      <c r="T1452" s="364" t="s">
        <v>88</v>
      </c>
      <c r="U1452" s="364" t="s">
        <v>88</v>
      </c>
      <c r="V1452" s="364" t="s">
        <v>88</v>
      </c>
      <c r="W1452" s="364" t="s">
        <v>88</v>
      </c>
      <c r="X1452" s="364" t="s">
        <v>88</v>
      </c>
      <c r="Y1452" s="364" t="s">
        <v>88</v>
      </c>
      <c r="Z1452" s="364" t="s">
        <v>877</v>
      </c>
      <c r="AA1452" s="364" t="s">
        <v>876</v>
      </c>
      <c r="AB1452" s="364" t="s">
        <v>649</v>
      </c>
      <c r="AC1452" s="364" t="s">
        <v>649</v>
      </c>
      <c r="AD1452" s="364" t="s">
        <v>88</v>
      </c>
      <c r="AE1452" s="364" t="s">
        <v>88</v>
      </c>
      <c r="AF1452" s="364" t="s">
        <v>88</v>
      </c>
      <c r="AG1452" s="364" t="s">
        <v>88</v>
      </c>
      <c r="AH1452" s="364" t="s">
        <v>88</v>
      </c>
      <c r="AI1452" s="364" t="s">
        <v>1199</v>
      </c>
      <c r="AJ1452" s="364" t="s">
        <v>670</v>
      </c>
      <c r="AK1452" s="364" t="s">
        <v>669</v>
      </c>
      <c r="AL1452" s="364" t="s">
        <v>88</v>
      </c>
      <c r="AM1452" s="364" t="s">
        <v>668</v>
      </c>
      <c r="AN1452" s="364" t="s">
        <v>644</v>
      </c>
    </row>
    <row r="1453" spans="1:40" x14ac:dyDescent="0.3">
      <c r="A1453" s="364" t="s">
        <v>1222</v>
      </c>
      <c r="B1453" s="364" t="s">
        <v>661</v>
      </c>
      <c r="C1453" s="364" t="s">
        <v>677</v>
      </c>
      <c r="D1453" s="364" t="s">
        <v>87</v>
      </c>
      <c r="E1453" s="364" t="s">
        <v>1183</v>
      </c>
      <c r="F1453" s="364" t="s">
        <v>1183</v>
      </c>
      <c r="G1453" s="364" t="s">
        <v>658</v>
      </c>
      <c r="H1453" s="364" t="s">
        <v>992</v>
      </c>
      <c r="I1453" s="364" t="s">
        <v>1221</v>
      </c>
      <c r="J1453" s="364" t="s">
        <v>673</v>
      </c>
      <c r="K1453" s="364" t="s">
        <v>668</v>
      </c>
      <c r="L1453" s="364" t="s">
        <v>190</v>
      </c>
      <c r="M1453" s="364" t="s">
        <v>60</v>
      </c>
      <c r="N1453" s="364" t="s">
        <v>654</v>
      </c>
      <c r="O1453" s="364" t="s">
        <v>653</v>
      </c>
      <c r="P1453" s="364" t="s">
        <v>198</v>
      </c>
      <c r="Q1453" s="364" t="s">
        <v>652</v>
      </c>
      <c r="R1453" s="364" t="s">
        <v>88</v>
      </c>
      <c r="S1453" s="364" t="s">
        <v>88</v>
      </c>
      <c r="T1453" s="364" t="s">
        <v>88</v>
      </c>
      <c r="U1453" s="364" t="s">
        <v>88</v>
      </c>
      <c r="V1453" s="364" t="s">
        <v>88</v>
      </c>
      <c r="W1453" s="364" t="s">
        <v>88</v>
      </c>
      <c r="X1453" s="364" t="s">
        <v>88</v>
      </c>
      <c r="Y1453" s="364" t="s">
        <v>88</v>
      </c>
      <c r="Z1453" s="364" t="s">
        <v>709</v>
      </c>
      <c r="AA1453" s="364" t="s">
        <v>708</v>
      </c>
      <c r="AB1453" s="364" t="s">
        <v>649</v>
      </c>
      <c r="AC1453" s="364" t="s">
        <v>649</v>
      </c>
      <c r="AD1453" s="364" t="s">
        <v>88</v>
      </c>
      <c r="AE1453" s="364" t="s">
        <v>88</v>
      </c>
      <c r="AF1453" s="364" t="s">
        <v>88</v>
      </c>
      <c r="AG1453" s="364" t="s">
        <v>88</v>
      </c>
      <c r="AH1453" s="364" t="s">
        <v>88</v>
      </c>
      <c r="AI1453" s="364" t="s">
        <v>1199</v>
      </c>
      <c r="AJ1453" s="364" t="s">
        <v>670</v>
      </c>
      <c r="AK1453" s="364" t="s">
        <v>669</v>
      </c>
      <c r="AL1453" s="364" t="s">
        <v>88</v>
      </c>
      <c r="AM1453" s="364" t="s">
        <v>668</v>
      </c>
      <c r="AN1453" s="364" t="s">
        <v>644</v>
      </c>
    </row>
    <row r="1454" spans="1:40" x14ac:dyDescent="0.3">
      <c r="A1454" s="364" t="s">
        <v>1220</v>
      </c>
      <c r="B1454" s="364" t="s">
        <v>661</v>
      </c>
      <c r="C1454" s="364" t="s">
        <v>677</v>
      </c>
      <c r="D1454" s="364" t="s">
        <v>87</v>
      </c>
      <c r="E1454" s="364" t="s">
        <v>1180</v>
      </c>
      <c r="F1454" s="364" t="s">
        <v>1180</v>
      </c>
      <c r="G1454" s="364" t="s">
        <v>658</v>
      </c>
      <c r="H1454" s="364" t="s">
        <v>684</v>
      </c>
      <c r="I1454" s="364" t="s">
        <v>1219</v>
      </c>
      <c r="J1454" s="364" t="s">
        <v>673</v>
      </c>
      <c r="K1454" s="364" t="s">
        <v>668</v>
      </c>
      <c r="L1454" s="364" t="s">
        <v>190</v>
      </c>
      <c r="M1454" s="364" t="s">
        <v>60</v>
      </c>
      <c r="N1454" s="364" t="s">
        <v>654</v>
      </c>
      <c r="O1454" s="364" t="s">
        <v>653</v>
      </c>
      <c r="P1454" s="364" t="s">
        <v>198</v>
      </c>
      <c r="Q1454" s="364" t="s">
        <v>652</v>
      </c>
      <c r="R1454" s="364" t="s">
        <v>88</v>
      </c>
      <c r="S1454" s="364" t="s">
        <v>88</v>
      </c>
      <c r="T1454" s="364" t="s">
        <v>88</v>
      </c>
      <c r="U1454" s="364" t="s">
        <v>88</v>
      </c>
      <c r="V1454" s="364" t="s">
        <v>88</v>
      </c>
      <c r="W1454" s="364" t="s">
        <v>88</v>
      </c>
      <c r="X1454" s="364" t="s">
        <v>88</v>
      </c>
      <c r="Y1454" s="364" t="s">
        <v>88</v>
      </c>
      <c r="Z1454" s="364" t="s">
        <v>709</v>
      </c>
      <c r="AA1454" s="364" t="s">
        <v>708</v>
      </c>
      <c r="AB1454" s="364" t="s">
        <v>649</v>
      </c>
      <c r="AC1454" s="364" t="s">
        <v>649</v>
      </c>
      <c r="AD1454" s="364" t="s">
        <v>88</v>
      </c>
      <c r="AE1454" s="364" t="s">
        <v>88</v>
      </c>
      <c r="AF1454" s="364" t="s">
        <v>88</v>
      </c>
      <c r="AG1454" s="364" t="s">
        <v>88</v>
      </c>
      <c r="AH1454" s="364" t="s">
        <v>88</v>
      </c>
      <c r="AI1454" s="364" t="s">
        <v>1199</v>
      </c>
      <c r="AJ1454" s="364" t="s">
        <v>670</v>
      </c>
      <c r="AK1454" s="364" t="s">
        <v>669</v>
      </c>
      <c r="AL1454" s="364" t="s">
        <v>88</v>
      </c>
      <c r="AM1454" s="364" t="s">
        <v>668</v>
      </c>
      <c r="AN1454" s="364" t="s">
        <v>644</v>
      </c>
    </row>
    <row r="1455" spans="1:40" x14ac:dyDescent="0.3">
      <c r="A1455" s="364" t="s">
        <v>1218</v>
      </c>
      <c r="B1455" s="364" t="s">
        <v>661</v>
      </c>
      <c r="C1455" s="364" t="s">
        <v>677</v>
      </c>
      <c r="D1455" s="364" t="s">
        <v>87</v>
      </c>
      <c r="E1455" s="364" t="s">
        <v>1177</v>
      </c>
      <c r="F1455" s="364" t="s">
        <v>1177</v>
      </c>
      <c r="G1455" s="364" t="s">
        <v>658</v>
      </c>
      <c r="H1455" s="364" t="s">
        <v>1217</v>
      </c>
      <c r="I1455" s="364" t="s">
        <v>1216</v>
      </c>
      <c r="J1455" s="364" t="s">
        <v>673</v>
      </c>
      <c r="K1455" s="364" t="s">
        <v>668</v>
      </c>
      <c r="L1455" s="364" t="s">
        <v>190</v>
      </c>
      <c r="M1455" s="364" t="s">
        <v>58</v>
      </c>
      <c r="N1455" s="364" t="s">
        <v>654</v>
      </c>
      <c r="O1455" s="364" t="s">
        <v>653</v>
      </c>
      <c r="P1455" s="364" t="s">
        <v>198</v>
      </c>
      <c r="Q1455" s="364" t="s">
        <v>652</v>
      </c>
      <c r="R1455" s="364" t="s">
        <v>88</v>
      </c>
      <c r="S1455" s="364" t="s">
        <v>88</v>
      </c>
      <c r="T1455" s="364" t="s">
        <v>88</v>
      </c>
      <c r="U1455" s="364" t="s">
        <v>88</v>
      </c>
      <c r="V1455" s="364" t="s">
        <v>88</v>
      </c>
      <c r="W1455" s="364" t="s">
        <v>88</v>
      </c>
      <c r="X1455" s="364" t="s">
        <v>88</v>
      </c>
      <c r="Y1455" s="364" t="s">
        <v>88</v>
      </c>
      <c r="Z1455" s="364" t="s">
        <v>702</v>
      </c>
      <c r="AA1455" s="364" t="s">
        <v>701</v>
      </c>
      <c r="AB1455" s="364" t="s">
        <v>649</v>
      </c>
      <c r="AC1455" s="364" t="s">
        <v>649</v>
      </c>
      <c r="AD1455" s="364" t="s">
        <v>88</v>
      </c>
      <c r="AE1455" s="364" t="s">
        <v>88</v>
      </c>
      <c r="AF1455" s="364" t="s">
        <v>88</v>
      </c>
      <c r="AG1455" s="364" t="s">
        <v>88</v>
      </c>
      <c r="AH1455" s="364" t="s">
        <v>88</v>
      </c>
      <c r="AI1455" s="364" t="s">
        <v>1199</v>
      </c>
      <c r="AJ1455" s="364" t="s">
        <v>670</v>
      </c>
      <c r="AK1455" s="364" t="s">
        <v>669</v>
      </c>
      <c r="AL1455" s="364" t="s">
        <v>88</v>
      </c>
      <c r="AM1455" s="364" t="s">
        <v>668</v>
      </c>
      <c r="AN1455" s="364" t="s">
        <v>644</v>
      </c>
    </row>
    <row r="1456" spans="1:40" x14ac:dyDescent="0.3">
      <c r="A1456" s="364" t="s">
        <v>1218</v>
      </c>
      <c r="B1456" s="364" t="s">
        <v>661</v>
      </c>
      <c r="C1456" s="364" t="s">
        <v>677</v>
      </c>
      <c r="D1456" s="364" t="s">
        <v>87</v>
      </c>
      <c r="E1456" s="364" t="s">
        <v>1177</v>
      </c>
      <c r="F1456" s="364" t="s">
        <v>1177</v>
      </c>
      <c r="G1456" s="364" t="s">
        <v>658</v>
      </c>
      <c r="H1456" s="364" t="s">
        <v>1217</v>
      </c>
      <c r="I1456" s="364" t="s">
        <v>1216</v>
      </c>
      <c r="J1456" s="364" t="s">
        <v>673</v>
      </c>
      <c r="K1456" s="364" t="s">
        <v>668</v>
      </c>
      <c r="L1456" s="364" t="s">
        <v>190</v>
      </c>
      <c r="M1456" s="364" t="s">
        <v>166</v>
      </c>
      <c r="N1456" s="364" t="s">
        <v>654</v>
      </c>
      <c r="O1456" s="364" t="s">
        <v>653</v>
      </c>
      <c r="P1456" s="364" t="s">
        <v>198</v>
      </c>
      <c r="Q1456" s="364" t="s">
        <v>652</v>
      </c>
      <c r="R1456" s="364" t="s">
        <v>88</v>
      </c>
      <c r="S1456" s="364" t="s">
        <v>88</v>
      </c>
      <c r="T1456" s="364" t="s">
        <v>88</v>
      </c>
      <c r="U1456" s="364" t="s">
        <v>88</v>
      </c>
      <c r="V1456" s="364" t="s">
        <v>88</v>
      </c>
      <c r="W1456" s="364" t="s">
        <v>88</v>
      </c>
      <c r="X1456" s="364" t="s">
        <v>88</v>
      </c>
      <c r="Y1456" s="364" t="s">
        <v>88</v>
      </c>
      <c r="Z1456" s="364" t="s">
        <v>877</v>
      </c>
      <c r="AA1456" s="364" t="s">
        <v>876</v>
      </c>
      <c r="AB1456" s="364" t="s">
        <v>649</v>
      </c>
      <c r="AC1456" s="364" t="s">
        <v>649</v>
      </c>
      <c r="AD1456" s="364" t="s">
        <v>88</v>
      </c>
      <c r="AE1456" s="364" t="s">
        <v>88</v>
      </c>
      <c r="AF1456" s="364" t="s">
        <v>88</v>
      </c>
      <c r="AG1456" s="364" t="s">
        <v>88</v>
      </c>
      <c r="AH1456" s="364" t="s">
        <v>88</v>
      </c>
      <c r="AI1456" s="364" t="s">
        <v>1199</v>
      </c>
      <c r="AJ1456" s="364" t="s">
        <v>670</v>
      </c>
      <c r="AK1456" s="364" t="s">
        <v>669</v>
      </c>
      <c r="AL1456" s="364" t="s">
        <v>88</v>
      </c>
      <c r="AM1456" s="364" t="s">
        <v>668</v>
      </c>
      <c r="AN1456" s="364" t="s">
        <v>644</v>
      </c>
    </row>
    <row r="1457" spans="1:40" x14ac:dyDescent="0.3">
      <c r="A1457" s="364" t="s">
        <v>1215</v>
      </c>
      <c r="B1457" s="364" t="s">
        <v>661</v>
      </c>
      <c r="C1457" s="364" t="s">
        <v>677</v>
      </c>
      <c r="D1457" s="364" t="s">
        <v>87</v>
      </c>
      <c r="E1457" s="364" t="s">
        <v>1177</v>
      </c>
      <c r="F1457" s="364" t="s">
        <v>1177</v>
      </c>
      <c r="G1457" s="364" t="s">
        <v>658</v>
      </c>
      <c r="H1457" s="364" t="s">
        <v>1214</v>
      </c>
      <c r="I1457" s="364" t="s">
        <v>1208</v>
      </c>
      <c r="J1457" s="364" t="s">
        <v>673</v>
      </c>
      <c r="K1457" s="364" t="s">
        <v>668</v>
      </c>
      <c r="L1457" s="364" t="s">
        <v>190</v>
      </c>
      <c r="M1457" s="364" t="s">
        <v>60</v>
      </c>
      <c r="N1457" s="364" t="s">
        <v>654</v>
      </c>
      <c r="O1457" s="364" t="s">
        <v>653</v>
      </c>
      <c r="P1457" s="364" t="s">
        <v>198</v>
      </c>
      <c r="Q1457" s="364" t="s">
        <v>652</v>
      </c>
      <c r="R1457" s="364" t="s">
        <v>88</v>
      </c>
      <c r="S1457" s="364" t="s">
        <v>88</v>
      </c>
      <c r="T1457" s="364" t="s">
        <v>88</v>
      </c>
      <c r="U1457" s="364" t="s">
        <v>88</v>
      </c>
      <c r="V1457" s="364" t="s">
        <v>88</v>
      </c>
      <c r="W1457" s="364" t="s">
        <v>88</v>
      </c>
      <c r="X1457" s="364" t="s">
        <v>88</v>
      </c>
      <c r="Y1457" s="364" t="s">
        <v>88</v>
      </c>
      <c r="Z1457" s="364" t="s">
        <v>709</v>
      </c>
      <c r="AA1457" s="364" t="s">
        <v>708</v>
      </c>
      <c r="AB1457" s="364" t="s">
        <v>649</v>
      </c>
      <c r="AC1457" s="364" t="s">
        <v>649</v>
      </c>
      <c r="AD1457" s="364" t="s">
        <v>88</v>
      </c>
      <c r="AE1457" s="364" t="s">
        <v>88</v>
      </c>
      <c r="AF1457" s="364" t="s">
        <v>88</v>
      </c>
      <c r="AG1457" s="364" t="s">
        <v>88</v>
      </c>
      <c r="AH1457" s="364" t="s">
        <v>88</v>
      </c>
      <c r="AI1457" s="364" t="s">
        <v>1199</v>
      </c>
      <c r="AJ1457" s="364" t="s">
        <v>670</v>
      </c>
      <c r="AK1457" s="364" t="s">
        <v>669</v>
      </c>
      <c r="AL1457" s="364" t="s">
        <v>88</v>
      </c>
      <c r="AM1457" s="364" t="s">
        <v>668</v>
      </c>
      <c r="AN1457" s="364" t="s">
        <v>644</v>
      </c>
    </row>
    <row r="1458" spans="1:40" x14ac:dyDescent="0.3">
      <c r="A1458" s="364" t="s">
        <v>1213</v>
      </c>
      <c r="B1458" s="364" t="s">
        <v>661</v>
      </c>
      <c r="C1458" s="364" t="s">
        <v>1160</v>
      </c>
      <c r="D1458" s="364" t="s">
        <v>87</v>
      </c>
      <c r="E1458" s="364" t="s">
        <v>1177</v>
      </c>
      <c r="F1458" s="364" t="s">
        <v>1177</v>
      </c>
      <c r="G1458" s="364" t="s">
        <v>658</v>
      </c>
      <c r="H1458" s="364" t="s">
        <v>1212</v>
      </c>
      <c r="I1458" s="364" t="s">
        <v>88</v>
      </c>
      <c r="J1458" s="364" t="s">
        <v>88</v>
      </c>
      <c r="K1458" s="364" t="s">
        <v>88</v>
      </c>
      <c r="L1458" s="364" t="s">
        <v>88</v>
      </c>
      <c r="M1458" s="364" t="s">
        <v>138</v>
      </c>
      <c r="N1458" s="364" t="s">
        <v>654</v>
      </c>
      <c r="O1458" s="364" t="s">
        <v>653</v>
      </c>
      <c r="P1458" s="364" t="s">
        <v>88</v>
      </c>
      <c r="Q1458" s="364" t="s">
        <v>88</v>
      </c>
      <c r="R1458" s="364" t="s">
        <v>88</v>
      </c>
      <c r="S1458" s="364" t="s">
        <v>88</v>
      </c>
      <c r="T1458" s="364" t="s">
        <v>88</v>
      </c>
      <c r="U1458" s="364" t="s">
        <v>88</v>
      </c>
      <c r="V1458" s="364" t="s">
        <v>88</v>
      </c>
      <c r="W1458" s="364" t="s">
        <v>88</v>
      </c>
      <c r="X1458" s="364" t="s">
        <v>88</v>
      </c>
      <c r="Y1458" s="364" t="s">
        <v>88</v>
      </c>
      <c r="Z1458" s="364" t="s">
        <v>88</v>
      </c>
      <c r="AA1458" s="364" t="s">
        <v>649</v>
      </c>
      <c r="AB1458" s="364" t="s">
        <v>88</v>
      </c>
      <c r="AC1458" s="364" t="s">
        <v>88</v>
      </c>
      <c r="AD1458" s="364" t="s">
        <v>88</v>
      </c>
      <c r="AE1458" s="364" t="s">
        <v>88</v>
      </c>
      <c r="AF1458" s="364" t="s">
        <v>88</v>
      </c>
      <c r="AG1458" s="364" t="s">
        <v>88</v>
      </c>
      <c r="AH1458" s="364" t="s">
        <v>88</v>
      </c>
      <c r="AI1458" s="364" t="s">
        <v>1211</v>
      </c>
      <c r="AJ1458" s="364" t="s">
        <v>793</v>
      </c>
      <c r="AK1458" s="364" t="s">
        <v>88</v>
      </c>
      <c r="AL1458" s="364" t="s">
        <v>88</v>
      </c>
      <c r="AM1458" s="364" t="s">
        <v>88</v>
      </c>
      <c r="AN1458" s="364" t="s">
        <v>792</v>
      </c>
    </row>
    <row r="1459" spans="1:40" x14ac:dyDescent="0.3">
      <c r="A1459" s="364" t="s">
        <v>1210</v>
      </c>
      <c r="B1459" s="364" t="s">
        <v>661</v>
      </c>
      <c r="C1459" s="364" t="s">
        <v>677</v>
      </c>
      <c r="D1459" s="364" t="s">
        <v>87</v>
      </c>
      <c r="E1459" s="364" t="s">
        <v>1159</v>
      </c>
      <c r="F1459" s="364" t="s">
        <v>1159</v>
      </c>
      <c r="G1459" s="364" t="s">
        <v>658</v>
      </c>
      <c r="H1459" s="364" t="s">
        <v>1209</v>
      </c>
      <c r="I1459" s="364" t="s">
        <v>1208</v>
      </c>
      <c r="J1459" s="364" t="s">
        <v>673</v>
      </c>
      <c r="K1459" s="364" t="s">
        <v>668</v>
      </c>
      <c r="L1459" s="364" t="s">
        <v>190</v>
      </c>
      <c r="M1459" s="364" t="s">
        <v>60</v>
      </c>
      <c r="N1459" s="364" t="s">
        <v>654</v>
      </c>
      <c r="O1459" s="364" t="s">
        <v>653</v>
      </c>
      <c r="P1459" s="364" t="s">
        <v>198</v>
      </c>
      <c r="Q1459" s="364" t="s">
        <v>652</v>
      </c>
      <c r="R1459" s="364" t="s">
        <v>88</v>
      </c>
      <c r="S1459" s="364" t="s">
        <v>88</v>
      </c>
      <c r="T1459" s="364" t="s">
        <v>88</v>
      </c>
      <c r="U1459" s="364" t="s">
        <v>88</v>
      </c>
      <c r="V1459" s="364" t="s">
        <v>88</v>
      </c>
      <c r="W1459" s="364" t="s">
        <v>88</v>
      </c>
      <c r="X1459" s="364" t="s">
        <v>88</v>
      </c>
      <c r="Y1459" s="364" t="s">
        <v>88</v>
      </c>
      <c r="Z1459" s="364" t="s">
        <v>709</v>
      </c>
      <c r="AA1459" s="364" t="s">
        <v>708</v>
      </c>
      <c r="AB1459" s="364" t="s">
        <v>649</v>
      </c>
      <c r="AC1459" s="364" t="s">
        <v>649</v>
      </c>
      <c r="AD1459" s="364" t="s">
        <v>88</v>
      </c>
      <c r="AE1459" s="364" t="s">
        <v>88</v>
      </c>
      <c r="AF1459" s="364" t="s">
        <v>88</v>
      </c>
      <c r="AG1459" s="364" t="s">
        <v>88</v>
      </c>
      <c r="AH1459" s="364" t="s">
        <v>88</v>
      </c>
      <c r="AI1459" s="364" t="s">
        <v>1199</v>
      </c>
      <c r="AJ1459" s="364" t="s">
        <v>670</v>
      </c>
      <c r="AK1459" s="364" t="s">
        <v>669</v>
      </c>
      <c r="AL1459" s="364" t="s">
        <v>88</v>
      </c>
      <c r="AM1459" s="364" t="s">
        <v>668</v>
      </c>
      <c r="AN1459" s="364" t="s">
        <v>644</v>
      </c>
    </row>
    <row r="1460" spans="1:40" x14ac:dyDescent="0.3">
      <c r="A1460" s="364" t="s">
        <v>1207</v>
      </c>
      <c r="B1460" s="364" t="s">
        <v>661</v>
      </c>
      <c r="C1460" s="364" t="s">
        <v>677</v>
      </c>
      <c r="D1460" s="364" t="s">
        <v>87</v>
      </c>
      <c r="E1460" s="364" t="s">
        <v>1159</v>
      </c>
      <c r="F1460" s="364" t="s">
        <v>1159</v>
      </c>
      <c r="G1460" s="364" t="s">
        <v>658</v>
      </c>
      <c r="H1460" s="364" t="s">
        <v>1206</v>
      </c>
      <c r="I1460" s="364" t="s">
        <v>1205</v>
      </c>
      <c r="J1460" s="364" t="s">
        <v>673</v>
      </c>
      <c r="K1460" s="364" t="s">
        <v>668</v>
      </c>
      <c r="L1460" s="364" t="s">
        <v>190</v>
      </c>
      <c r="M1460" s="364" t="s">
        <v>58</v>
      </c>
      <c r="N1460" s="364" t="s">
        <v>654</v>
      </c>
      <c r="O1460" s="364" t="s">
        <v>653</v>
      </c>
      <c r="P1460" s="364" t="s">
        <v>198</v>
      </c>
      <c r="Q1460" s="364" t="s">
        <v>652</v>
      </c>
      <c r="R1460" s="364" t="s">
        <v>88</v>
      </c>
      <c r="S1460" s="364" t="s">
        <v>88</v>
      </c>
      <c r="T1460" s="364" t="s">
        <v>88</v>
      </c>
      <c r="U1460" s="364" t="s">
        <v>88</v>
      </c>
      <c r="V1460" s="364" t="s">
        <v>88</v>
      </c>
      <c r="W1460" s="364" t="s">
        <v>88</v>
      </c>
      <c r="X1460" s="364" t="s">
        <v>88</v>
      </c>
      <c r="Y1460" s="364" t="s">
        <v>88</v>
      </c>
      <c r="Z1460" s="364" t="s">
        <v>702</v>
      </c>
      <c r="AA1460" s="364" t="s">
        <v>701</v>
      </c>
      <c r="AB1460" s="364" t="s">
        <v>649</v>
      </c>
      <c r="AC1460" s="364" t="s">
        <v>649</v>
      </c>
      <c r="AD1460" s="364" t="s">
        <v>88</v>
      </c>
      <c r="AE1460" s="364" t="s">
        <v>88</v>
      </c>
      <c r="AF1460" s="364" t="s">
        <v>88</v>
      </c>
      <c r="AG1460" s="364" t="s">
        <v>88</v>
      </c>
      <c r="AH1460" s="364" t="s">
        <v>88</v>
      </c>
      <c r="AI1460" s="364" t="s">
        <v>1199</v>
      </c>
      <c r="AJ1460" s="364" t="s">
        <v>670</v>
      </c>
      <c r="AK1460" s="364" t="s">
        <v>669</v>
      </c>
      <c r="AL1460" s="364" t="s">
        <v>88</v>
      </c>
      <c r="AM1460" s="364" t="s">
        <v>668</v>
      </c>
      <c r="AN1460" s="364" t="s">
        <v>644</v>
      </c>
    </row>
    <row r="1461" spans="1:40" x14ac:dyDescent="0.3">
      <c r="A1461" s="364" t="s">
        <v>1207</v>
      </c>
      <c r="B1461" s="364" t="s">
        <v>661</v>
      </c>
      <c r="C1461" s="364" t="s">
        <v>677</v>
      </c>
      <c r="D1461" s="364" t="s">
        <v>87</v>
      </c>
      <c r="E1461" s="364" t="s">
        <v>1159</v>
      </c>
      <c r="F1461" s="364" t="s">
        <v>1159</v>
      </c>
      <c r="G1461" s="364" t="s">
        <v>658</v>
      </c>
      <c r="H1461" s="364" t="s">
        <v>1206</v>
      </c>
      <c r="I1461" s="364" t="s">
        <v>1205</v>
      </c>
      <c r="J1461" s="364" t="s">
        <v>673</v>
      </c>
      <c r="K1461" s="364" t="s">
        <v>668</v>
      </c>
      <c r="L1461" s="364" t="s">
        <v>190</v>
      </c>
      <c r="M1461" s="364" t="s">
        <v>166</v>
      </c>
      <c r="N1461" s="364" t="s">
        <v>654</v>
      </c>
      <c r="O1461" s="364" t="s">
        <v>653</v>
      </c>
      <c r="P1461" s="364" t="s">
        <v>198</v>
      </c>
      <c r="Q1461" s="364" t="s">
        <v>652</v>
      </c>
      <c r="R1461" s="364" t="s">
        <v>88</v>
      </c>
      <c r="S1461" s="364" t="s">
        <v>88</v>
      </c>
      <c r="T1461" s="364" t="s">
        <v>88</v>
      </c>
      <c r="U1461" s="364" t="s">
        <v>88</v>
      </c>
      <c r="V1461" s="364" t="s">
        <v>88</v>
      </c>
      <c r="W1461" s="364" t="s">
        <v>88</v>
      </c>
      <c r="X1461" s="364" t="s">
        <v>88</v>
      </c>
      <c r="Y1461" s="364" t="s">
        <v>88</v>
      </c>
      <c r="Z1461" s="364" t="s">
        <v>877</v>
      </c>
      <c r="AA1461" s="364" t="s">
        <v>876</v>
      </c>
      <c r="AB1461" s="364" t="s">
        <v>649</v>
      </c>
      <c r="AC1461" s="364" t="s">
        <v>649</v>
      </c>
      <c r="AD1461" s="364" t="s">
        <v>88</v>
      </c>
      <c r="AE1461" s="364" t="s">
        <v>88</v>
      </c>
      <c r="AF1461" s="364" t="s">
        <v>88</v>
      </c>
      <c r="AG1461" s="364" t="s">
        <v>88</v>
      </c>
      <c r="AH1461" s="364" t="s">
        <v>88</v>
      </c>
      <c r="AI1461" s="364" t="s">
        <v>1199</v>
      </c>
      <c r="AJ1461" s="364" t="s">
        <v>670</v>
      </c>
      <c r="AK1461" s="364" t="s">
        <v>669</v>
      </c>
      <c r="AL1461" s="364" t="s">
        <v>88</v>
      </c>
      <c r="AM1461" s="364" t="s">
        <v>668</v>
      </c>
      <c r="AN1461" s="364" t="s">
        <v>644</v>
      </c>
    </row>
    <row r="1462" spans="1:40" x14ac:dyDescent="0.3">
      <c r="A1462" s="364" t="s">
        <v>1204</v>
      </c>
      <c r="B1462" s="364" t="s">
        <v>661</v>
      </c>
      <c r="C1462" s="364" t="s">
        <v>1160</v>
      </c>
      <c r="D1462" s="364" t="s">
        <v>87</v>
      </c>
      <c r="E1462" s="364" t="s">
        <v>1201</v>
      </c>
      <c r="F1462" s="364" t="s">
        <v>1201</v>
      </c>
      <c r="G1462" s="364" t="s">
        <v>658</v>
      </c>
      <c r="H1462" s="364" t="s">
        <v>1203</v>
      </c>
      <c r="I1462" s="364" t="s">
        <v>88</v>
      </c>
      <c r="J1462" s="364" t="s">
        <v>673</v>
      </c>
      <c r="K1462" s="364" t="s">
        <v>668</v>
      </c>
      <c r="L1462" s="364" t="s">
        <v>190</v>
      </c>
      <c r="M1462" s="364" t="s">
        <v>58</v>
      </c>
      <c r="N1462" s="364" t="s">
        <v>654</v>
      </c>
      <c r="O1462" s="364" t="s">
        <v>653</v>
      </c>
      <c r="P1462" s="364" t="s">
        <v>198</v>
      </c>
      <c r="Q1462" s="364" t="s">
        <v>652</v>
      </c>
      <c r="R1462" s="364" t="s">
        <v>88</v>
      </c>
      <c r="S1462" s="364" t="s">
        <v>88</v>
      </c>
      <c r="T1462" s="364" t="s">
        <v>88</v>
      </c>
      <c r="U1462" s="364" t="s">
        <v>88</v>
      </c>
      <c r="V1462" s="364" t="s">
        <v>88</v>
      </c>
      <c r="W1462" s="364" t="s">
        <v>88</v>
      </c>
      <c r="X1462" s="364" t="s">
        <v>88</v>
      </c>
      <c r="Y1462" s="364" t="s">
        <v>88</v>
      </c>
      <c r="Z1462" s="364" t="s">
        <v>702</v>
      </c>
      <c r="AA1462" s="364" t="s">
        <v>701</v>
      </c>
      <c r="AB1462" s="364" t="s">
        <v>649</v>
      </c>
      <c r="AC1462" s="364" t="s">
        <v>88</v>
      </c>
      <c r="AD1462" s="364" t="s">
        <v>88</v>
      </c>
      <c r="AE1462" s="364" t="s">
        <v>88</v>
      </c>
      <c r="AF1462" s="364" t="s">
        <v>88</v>
      </c>
      <c r="AG1462" s="364" t="s">
        <v>88</v>
      </c>
      <c r="AH1462" s="364" t="s">
        <v>88</v>
      </c>
      <c r="AI1462" s="364" t="s">
        <v>1199</v>
      </c>
      <c r="AJ1462" s="364" t="s">
        <v>670</v>
      </c>
      <c r="AK1462" s="364" t="s">
        <v>88</v>
      </c>
      <c r="AL1462" s="364" t="s">
        <v>88</v>
      </c>
      <c r="AM1462" s="364" t="s">
        <v>668</v>
      </c>
      <c r="AN1462" s="364" t="s">
        <v>644</v>
      </c>
    </row>
    <row r="1463" spans="1:40" x14ac:dyDescent="0.3">
      <c r="A1463" s="364" t="s">
        <v>1204</v>
      </c>
      <c r="B1463" s="364" t="s">
        <v>661</v>
      </c>
      <c r="C1463" s="364" t="s">
        <v>1160</v>
      </c>
      <c r="D1463" s="364" t="s">
        <v>87</v>
      </c>
      <c r="E1463" s="364" t="s">
        <v>1201</v>
      </c>
      <c r="F1463" s="364" t="s">
        <v>1201</v>
      </c>
      <c r="G1463" s="364" t="s">
        <v>658</v>
      </c>
      <c r="H1463" s="364" t="s">
        <v>1203</v>
      </c>
      <c r="I1463" s="364" t="s">
        <v>88</v>
      </c>
      <c r="J1463" s="364" t="s">
        <v>673</v>
      </c>
      <c r="K1463" s="364" t="s">
        <v>668</v>
      </c>
      <c r="L1463" s="364" t="s">
        <v>190</v>
      </c>
      <c r="M1463" s="364" t="s">
        <v>166</v>
      </c>
      <c r="N1463" s="364" t="s">
        <v>654</v>
      </c>
      <c r="O1463" s="364" t="s">
        <v>653</v>
      </c>
      <c r="P1463" s="364" t="s">
        <v>198</v>
      </c>
      <c r="Q1463" s="364" t="s">
        <v>652</v>
      </c>
      <c r="R1463" s="364" t="s">
        <v>88</v>
      </c>
      <c r="S1463" s="364" t="s">
        <v>88</v>
      </c>
      <c r="T1463" s="364" t="s">
        <v>88</v>
      </c>
      <c r="U1463" s="364" t="s">
        <v>88</v>
      </c>
      <c r="V1463" s="364" t="s">
        <v>88</v>
      </c>
      <c r="W1463" s="364" t="s">
        <v>88</v>
      </c>
      <c r="X1463" s="364" t="s">
        <v>88</v>
      </c>
      <c r="Y1463" s="364" t="s">
        <v>88</v>
      </c>
      <c r="Z1463" s="364" t="s">
        <v>877</v>
      </c>
      <c r="AA1463" s="364" t="s">
        <v>876</v>
      </c>
      <c r="AB1463" s="364" t="s">
        <v>649</v>
      </c>
      <c r="AC1463" s="364" t="s">
        <v>88</v>
      </c>
      <c r="AD1463" s="364" t="s">
        <v>88</v>
      </c>
      <c r="AE1463" s="364" t="s">
        <v>88</v>
      </c>
      <c r="AF1463" s="364" t="s">
        <v>88</v>
      </c>
      <c r="AG1463" s="364" t="s">
        <v>88</v>
      </c>
      <c r="AH1463" s="364" t="s">
        <v>88</v>
      </c>
      <c r="AI1463" s="364" t="s">
        <v>1199</v>
      </c>
      <c r="AJ1463" s="364" t="s">
        <v>670</v>
      </c>
      <c r="AK1463" s="364" t="s">
        <v>88</v>
      </c>
      <c r="AL1463" s="364" t="s">
        <v>88</v>
      </c>
      <c r="AM1463" s="364" t="s">
        <v>668</v>
      </c>
      <c r="AN1463" s="364" t="s">
        <v>644</v>
      </c>
    </row>
    <row r="1464" spans="1:40" x14ac:dyDescent="0.3">
      <c r="A1464" s="364" t="s">
        <v>1202</v>
      </c>
      <c r="B1464" s="364" t="s">
        <v>661</v>
      </c>
      <c r="C1464" s="364" t="s">
        <v>1160</v>
      </c>
      <c r="D1464" s="364" t="s">
        <v>87</v>
      </c>
      <c r="E1464" s="364" t="s">
        <v>1201</v>
      </c>
      <c r="F1464" s="364" t="s">
        <v>1201</v>
      </c>
      <c r="G1464" s="364" t="s">
        <v>658</v>
      </c>
      <c r="H1464" s="364" t="s">
        <v>1200</v>
      </c>
      <c r="I1464" s="364" t="s">
        <v>88</v>
      </c>
      <c r="J1464" s="364" t="s">
        <v>673</v>
      </c>
      <c r="K1464" s="364" t="s">
        <v>668</v>
      </c>
      <c r="L1464" s="364" t="s">
        <v>190</v>
      </c>
      <c r="M1464" s="364" t="s">
        <v>60</v>
      </c>
      <c r="N1464" s="364" t="s">
        <v>654</v>
      </c>
      <c r="O1464" s="364" t="s">
        <v>653</v>
      </c>
      <c r="P1464" s="364" t="s">
        <v>198</v>
      </c>
      <c r="Q1464" s="364" t="s">
        <v>652</v>
      </c>
      <c r="R1464" s="364" t="s">
        <v>88</v>
      </c>
      <c r="S1464" s="364" t="s">
        <v>88</v>
      </c>
      <c r="T1464" s="364" t="s">
        <v>88</v>
      </c>
      <c r="U1464" s="364" t="s">
        <v>88</v>
      </c>
      <c r="V1464" s="364" t="s">
        <v>88</v>
      </c>
      <c r="W1464" s="364" t="s">
        <v>88</v>
      </c>
      <c r="X1464" s="364" t="s">
        <v>88</v>
      </c>
      <c r="Y1464" s="364" t="s">
        <v>88</v>
      </c>
      <c r="Z1464" s="364" t="s">
        <v>709</v>
      </c>
      <c r="AA1464" s="364" t="s">
        <v>708</v>
      </c>
      <c r="AB1464" s="364" t="s">
        <v>649</v>
      </c>
      <c r="AC1464" s="364" t="s">
        <v>88</v>
      </c>
      <c r="AD1464" s="364" t="s">
        <v>88</v>
      </c>
      <c r="AE1464" s="364" t="s">
        <v>88</v>
      </c>
      <c r="AF1464" s="364" t="s">
        <v>88</v>
      </c>
      <c r="AG1464" s="364" t="s">
        <v>88</v>
      </c>
      <c r="AH1464" s="364" t="s">
        <v>88</v>
      </c>
      <c r="AI1464" s="364" t="s">
        <v>1199</v>
      </c>
      <c r="AJ1464" s="364" t="s">
        <v>670</v>
      </c>
      <c r="AK1464" s="364" t="s">
        <v>88</v>
      </c>
      <c r="AL1464" s="364" t="s">
        <v>88</v>
      </c>
      <c r="AM1464" s="364" t="s">
        <v>668</v>
      </c>
      <c r="AN1464" s="364" t="s">
        <v>644</v>
      </c>
    </row>
    <row r="1465" spans="1:40" x14ac:dyDescent="0.3">
      <c r="A1465" s="364" t="s">
        <v>1198</v>
      </c>
      <c r="B1465" s="364" t="s">
        <v>661</v>
      </c>
      <c r="C1465" s="364" t="s">
        <v>1160</v>
      </c>
      <c r="D1465" s="364" t="s">
        <v>90</v>
      </c>
      <c r="E1465" s="364" t="s">
        <v>800</v>
      </c>
      <c r="F1465" s="364" t="s">
        <v>800</v>
      </c>
      <c r="G1465" s="364" t="s">
        <v>658</v>
      </c>
      <c r="H1465" s="364" t="s">
        <v>1197</v>
      </c>
      <c r="I1465" s="364" t="s">
        <v>88</v>
      </c>
      <c r="J1465" s="364" t="s">
        <v>673</v>
      </c>
      <c r="K1465" s="364" t="s">
        <v>668</v>
      </c>
      <c r="L1465" s="364" t="s">
        <v>190</v>
      </c>
      <c r="M1465" s="364" t="s">
        <v>243</v>
      </c>
      <c r="N1465" s="364" t="s">
        <v>654</v>
      </c>
      <c r="O1465" s="364" t="s">
        <v>653</v>
      </c>
      <c r="P1465" s="364" t="s">
        <v>198</v>
      </c>
      <c r="Q1465" s="364" t="s">
        <v>652</v>
      </c>
      <c r="R1465" s="364" t="s">
        <v>88</v>
      </c>
      <c r="S1465" s="364" t="s">
        <v>88</v>
      </c>
      <c r="T1465" s="364" t="s">
        <v>88</v>
      </c>
      <c r="U1465" s="364" t="s">
        <v>88</v>
      </c>
      <c r="V1465" s="364" t="s">
        <v>88</v>
      </c>
      <c r="W1465" s="364" t="s">
        <v>88</v>
      </c>
      <c r="X1465" s="364" t="s">
        <v>88</v>
      </c>
      <c r="Y1465" s="364" t="s">
        <v>88</v>
      </c>
      <c r="Z1465" s="364" t="s">
        <v>1175</v>
      </c>
      <c r="AA1465" s="364" t="s">
        <v>1174</v>
      </c>
      <c r="AB1465" s="364" t="s">
        <v>649</v>
      </c>
      <c r="AC1465" s="364" t="s">
        <v>88</v>
      </c>
      <c r="AD1465" s="364" t="s">
        <v>88</v>
      </c>
      <c r="AE1465" s="364" t="s">
        <v>88</v>
      </c>
      <c r="AF1465" s="364" t="s">
        <v>88</v>
      </c>
      <c r="AG1465" s="364" t="s">
        <v>88</v>
      </c>
      <c r="AH1465" s="364" t="s">
        <v>88</v>
      </c>
      <c r="AI1465" s="364" t="s">
        <v>1155</v>
      </c>
      <c r="AJ1465" s="364" t="s">
        <v>710</v>
      </c>
      <c r="AK1465" s="364" t="s">
        <v>88</v>
      </c>
      <c r="AL1465" s="364" t="s">
        <v>88</v>
      </c>
      <c r="AM1465" s="364" t="s">
        <v>668</v>
      </c>
      <c r="AN1465" s="364" t="s">
        <v>644</v>
      </c>
    </row>
    <row r="1466" spans="1:40" x14ac:dyDescent="0.3">
      <c r="A1466" s="364" t="s">
        <v>1198</v>
      </c>
      <c r="B1466" s="364" t="s">
        <v>661</v>
      </c>
      <c r="C1466" s="364" t="s">
        <v>1160</v>
      </c>
      <c r="D1466" s="364" t="s">
        <v>90</v>
      </c>
      <c r="E1466" s="364" t="s">
        <v>800</v>
      </c>
      <c r="F1466" s="364" t="s">
        <v>800</v>
      </c>
      <c r="G1466" s="364" t="s">
        <v>658</v>
      </c>
      <c r="H1466" s="364" t="s">
        <v>1197</v>
      </c>
      <c r="I1466" s="364" t="s">
        <v>88</v>
      </c>
      <c r="J1466" s="364" t="s">
        <v>673</v>
      </c>
      <c r="K1466" s="364" t="s">
        <v>668</v>
      </c>
      <c r="L1466" s="364" t="s">
        <v>190</v>
      </c>
      <c r="M1466" s="364" t="s">
        <v>1173</v>
      </c>
      <c r="N1466" s="364" t="s">
        <v>654</v>
      </c>
      <c r="O1466" s="364" t="s">
        <v>653</v>
      </c>
      <c r="P1466" s="364" t="s">
        <v>198</v>
      </c>
      <c r="Q1466" s="364" t="s">
        <v>652</v>
      </c>
      <c r="R1466" s="364" t="s">
        <v>88</v>
      </c>
      <c r="S1466" s="364" t="s">
        <v>88</v>
      </c>
      <c r="T1466" s="364" t="s">
        <v>88</v>
      </c>
      <c r="U1466" s="364" t="s">
        <v>88</v>
      </c>
      <c r="V1466" s="364" t="s">
        <v>88</v>
      </c>
      <c r="W1466" s="364" t="s">
        <v>88</v>
      </c>
      <c r="X1466" s="364" t="s">
        <v>88</v>
      </c>
      <c r="Y1466" s="364" t="s">
        <v>88</v>
      </c>
      <c r="Z1466" s="364" t="s">
        <v>1172</v>
      </c>
      <c r="AA1466" s="364" t="s">
        <v>1171</v>
      </c>
      <c r="AB1466" s="364" t="s">
        <v>649</v>
      </c>
      <c r="AC1466" s="364" t="s">
        <v>88</v>
      </c>
      <c r="AD1466" s="364" t="s">
        <v>88</v>
      </c>
      <c r="AE1466" s="364" t="s">
        <v>88</v>
      </c>
      <c r="AF1466" s="364" t="s">
        <v>88</v>
      </c>
      <c r="AG1466" s="364" t="s">
        <v>88</v>
      </c>
      <c r="AH1466" s="364" t="s">
        <v>88</v>
      </c>
      <c r="AI1466" s="364" t="s">
        <v>1155</v>
      </c>
      <c r="AJ1466" s="364" t="s">
        <v>710</v>
      </c>
      <c r="AK1466" s="364" t="s">
        <v>88</v>
      </c>
      <c r="AL1466" s="364" t="s">
        <v>88</v>
      </c>
      <c r="AM1466" s="364" t="s">
        <v>668</v>
      </c>
      <c r="AN1466" s="364" t="s">
        <v>644</v>
      </c>
    </row>
    <row r="1467" spans="1:40" x14ac:dyDescent="0.3">
      <c r="A1467" s="364" t="s">
        <v>1198</v>
      </c>
      <c r="B1467" s="364" t="s">
        <v>661</v>
      </c>
      <c r="C1467" s="364" t="s">
        <v>1160</v>
      </c>
      <c r="D1467" s="364" t="s">
        <v>90</v>
      </c>
      <c r="E1467" s="364" t="s">
        <v>800</v>
      </c>
      <c r="F1467" s="364" t="s">
        <v>800</v>
      </c>
      <c r="G1467" s="364" t="s">
        <v>658</v>
      </c>
      <c r="H1467" s="364" t="s">
        <v>1197</v>
      </c>
      <c r="I1467" s="364" t="s">
        <v>88</v>
      </c>
      <c r="J1467" s="364" t="s">
        <v>673</v>
      </c>
      <c r="K1467" s="364" t="s">
        <v>668</v>
      </c>
      <c r="L1467" s="364" t="s">
        <v>190</v>
      </c>
      <c r="M1467" s="364" t="s">
        <v>241</v>
      </c>
      <c r="N1467" s="364" t="s">
        <v>654</v>
      </c>
      <c r="O1467" s="364" t="s">
        <v>653</v>
      </c>
      <c r="P1467" s="364" t="s">
        <v>198</v>
      </c>
      <c r="Q1467" s="364" t="s">
        <v>652</v>
      </c>
      <c r="R1467" s="364" t="s">
        <v>88</v>
      </c>
      <c r="S1467" s="364" t="s">
        <v>88</v>
      </c>
      <c r="T1467" s="364" t="s">
        <v>88</v>
      </c>
      <c r="U1467" s="364" t="s">
        <v>88</v>
      </c>
      <c r="V1467" s="364" t="s">
        <v>88</v>
      </c>
      <c r="W1467" s="364" t="s">
        <v>88</v>
      </c>
      <c r="X1467" s="364" t="s">
        <v>88</v>
      </c>
      <c r="Y1467" s="364" t="s">
        <v>88</v>
      </c>
      <c r="Z1467" s="364" t="s">
        <v>1170</v>
      </c>
      <c r="AA1467" s="364" t="s">
        <v>1169</v>
      </c>
      <c r="AB1467" s="364" t="s">
        <v>649</v>
      </c>
      <c r="AC1467" s="364" t="s">
        <v>88</v>
      </c>
      <c r="AD1467" s="364" t="s">
        <v>88</v>
      </c>
      <c r="AE1467" s="364" t="s">
        <v>88</v>
      </c>
      <c r="AF1467" s="364" t="s">
        <v>88</v>
      </c>
      <c r="AG1467" s="364" t="s">
        <v>88</v>
      </c>
      <c r="AH1467" s="364" t="s">
        <v>88</v>
      </c>
      <c r="AI1467" s="364" t="s">
        <v>1155</v>
      </c>
      <c r="AJ1467" s="364" t="s">
        <v>710</v>
      </c>
      <c r="AK1467" s="364" t="s">
        <v>88</v>
      </c>
      <c r="AL1467" s="364" t="s">
        <v>88</v>
      </c>
      <c r="AM1467" s="364" t="s">
        <v>668</v>
      </c>
      <c r="AN1467" s="364" t="s">
        <v>644</v>
      </c>
    </row>
    <row r="1468" spans="1:40" x14ac:dyDescent="0.3">
      <c r="A1468" s="364" t="s">
        <v>1198</v>
      </c>
      <c r="B1468" s="364" t="s">
        <v>661</v>
      </c>
      <c r="C1468" s="364" t="s">
        <v>1160</v>
      </c>
      <c r="D1468" s="364" t="s">
        <v>90</v>
      </c>
      <c r="E1468" s="364" t="s">
        <v>800</v>
      </c>
      <c r="F1468" s="364" t="s">
        <v>800</v>
      </c>
      <c r="G1468" s="364" t="s">
        <v>658</v>
      </c>
      <c r="H1468" s="364" t="s">
        <v>1197</v>
      </c>
      <c r="I1468" s="364" t="s">
        <v>88</v>
      </c>
      <c r="J1468" s="364" t="s">
        <v>673</v>
      </c>
      <c r="K1468" s="364" t="s">
        <v>668</v>
      </c>
      <c r="L1468" s="364" t="s">
        <v>190</v>
      </c>
      <c r="M1468" s="364" t="s">
        <v>1168</v>
      </c>
      <c r="N1468" s="364" t="s">
        <v>654</v>
      </c>
      <c r="O1468" s="364" t="s">
        <v>653</v>
      </c>
      <c r="P1468" s="364" t="s">
        <v>198</v>
      </c>
      <c r="Q1468" s="364" t="s">
        <v>652</v>
      </c>
      <c r="R1468" s="364" t="s">
        <v>88</v>
      </c>
      <c r="S1468" s="364" t="s">
        <v>88</v>
      </c>
      <c r="T1468" s="364" t="s">
        <v>88</v>
      </c>
      <c r="U1468" s="364" t="s">
        <v>88</v>
      </c>
      <c r="V1468" s="364" t="s">
        <v>88</v>
      </c>
      <c r="W1468" s="364" t="s">
        <v>88</v>
      </c>
      <c r="X1468" s="364" t="s">
        <v>88</v>
      </c>
      <c r="Y1468" s="364" t="s">
        <v>88</v>
      </c>
      <c r="Z1468" s="364" t="s">
        <v>1167</v>
      </c>
      <c r="AA1468" s="364" t="s">
        <v>1166</v>
      </c>
      <c r="AB1468" s="364" t="s">
        <v>649</v>
      </c>
      <c r="AC1468" s="364" t="s">
        <v>88</v>
      </c>
      <c r="AD1468" s="364" t="s">
        <v>88</v>
      </c>
      <c r="AE1468" s="364" t="s">
        <v>88</v>
      </c>
      <c r="AF1468" s="364" t="s">
        <v>88</v>
      </c>
      <c r="AG1468" s="364" t="s">
        <v>88</v>
      </c>
      <c r="AH1468" s="364" t="s">
        <v>88</v>
      </c>
      <c r="AI1468" s="364" t="s">
        <v>1155</v>
      </c>
      <c r="AJ1468" s="364" t="s">
        <v>710</v>
      </c>
      <c r="AK1468" s="364" t="s">
        <v>88</v>
      </c>
      <c r="AL1468" s="364" t="s">
        <v>88</v>
      </c>
      <c r="AM1468" s="364" t="s">
        <v>668</v>
      </c>
      <c r="AN1468" s="364" t="s">
        <v>644</v>
      </c>
    </row>
    <row r="1469" spans="1:40" x14ac:dyDescent="0.3">
      <c r="A1469" s="364" t="s">
        <v>1198</v>
      </c>
      <c r="B1469" s="364" t="s">
        <v>661</v>
      </c>
      <c r="C1469" s="364" t="s">
        <v>1160</v>
      </c>
      <c r="D1469" s="364" t="s">
        <v>90</v>
      </c>
      <c r="E1469" s="364" t="s">
        <v>800</v>
      </c>
      <c r="F1469" s="364" t="s">
        <v>800</v>
      </c>
      <c r="G1469" s="364" t="s">
        <v>658</v>
      </c>
      <c r="H1469" s="364" t="s">
        <v>1197</v>
      </c>
      <c r="I1469" s="364" t="s">
        <v>88</v>
      </c>
      <c r="J1469" s="364" t="s">
        <v>673</v>
      </c>
      <c r="K1469" s="364" t="s">
        <v>668</v>
      </c>
      <c r="L1469" s="364" t="s">
        <v>190</v>
      </c>
      <c r="M1469" s="364" t="s">
        <v>713</v>
      </c>
      <c r="N1469" s="364" t="s">
        <v>654</v>
      </c>
      <c r="O1469" s="364" t="s">
        <v>653</v>
      </c>
      <c r="P1469" s="364" t="s">
        <v>198</v>
      </c>
      <c r="Q1469" s="364" t="s">
        <v>652</v>
      </c>
      <c r="R1469" s="364" t="s">
        <v>88</v>
      </c>
      <c r="S1469" s="364" t="s">
        <v>88</v>
      </c>
      <c r="T1469" s="364" t="s">
        <v>88</v>
      </c>
      <c r="U1469" s="364" t="s">
        <v>88</v>
      </c>
      <c r="V1469" s="364" t="s">
        <v>88</v>
      </c>
      <c r="W1469" s="364" t="s">
        <v>88</v>
      </c>
      <c r="X1469" s="364" t="s">
        <v>88</v>
      </c>
      <c r="Y1469" s="364" t="s">
        <v>88</v>
      </c>
      <c r="Z1469" s="364" t="s">
        <v>712</v>
      </c>
      <c r="AA1469" s="364" t="s">
        <v>711</v>
      </c>
      <c r="AB1469" s="364" t="s">
        <v>649</v>
      </c>
      <c r="AC1469" s="364" t="s">
        <v>88</v>
      </c>
      <c r="AD1469" s="364" t="s">
        <v>88</v>
      </c>
      <c r="AE1469" s="364" t="s">
        <v>88</v>
      </c>
      <c r="AF1469" s="364" t="s">
        <v>88</v>
      </c>
      <c r="AG1469" s="364" t="s">
        <v>88</v>
      </c>
      <c r="AH1469" s="364" t="s">
        <v>88</v>
      </c>
      <c r="AI1469" s="364" t="s">
        <v>1155</v>
      </c>
      <c r="AJ1469" s="364" t="s">
        <v>710</v>
      </c>
      <c r="AK1469" s="364" t="s">
        <v>88</v>
      </c>
      <c r="AL1469" s="364" t="s">
        <v>88</v>
      </c>
      <c r="AM1469" s="364" t="s">
        <v>668</v>
      </c>
      <c r="AN1469" s="364" t="s">
        <v>644</v>
      </c>
    </row>
    <row r="1470" spans="1:40" x14ac:dyDescent="0.3">
      <c r="A1470" s="364" t="s">
        <v>1198</v>
      </c>
      <c r="B1470" s="364" t="s">
        <v>661</v>
      </c>
      <c r="C1470" s="364" t="s">
        <v>1160</v>
      </c>
      <c r="D1470" s="364" t="s">
        <v>90</v>
      </c>
      <c r="E1470" s="364" t="s">
        <v>800</v>
      </c>
      <c r="F1470" s="364" t="s">
        <v>800</v>
      </c>
      <c r="G1470" s="364" t="s">
        <v>658</v>
      </c>
      <c r="H1470" s="364" t="s">
        <v>1197</v>
      </c>
      <c r="I1470" s="364" t="s">
        <v>88</v>
      </c>
      <c r="J1470" s="364" t="s">
        <v>673</v>
      </c>
      <c r="K1470" s="364" t="s">
        <v>668</v>
      </c>
      <c r="L1470" s="364" t="s">
        <v>190</v>
      </c>
      <c r="M1470" s="364" t="s">
        <v>56</v>
      </c>
      <c r="N1470" s="364" t="s">
        <v>654</v>
      </c>
      <c r="O1470" s="364" t="s">
        <v>653</v>
      </c>
      <c r="P1470" s="364" t="s">
        <v>198</v>
      </c>
      <c r="Q1470" s="364" t="s">
        <v>652</v>
      </c>
      <c r="R1470" s="364" t="s">
        <v>88</v>
      </c>
      <c r="S1470" s="364" t="s">
        <v>88</v>
      </c>
      <c r="T1470" s="364" t="s">
        <v>88</v>
      </c>
      <c r="U1470" s="364" t="s">
        <v>88</v>
      </c>
      <c r="V1470" s="364" t="s">
        <v>88</v>
      </c>
      <c r="W1470" s="364" t="s">
        <v>88</v>
      </c>
      <c r="X1470" s="364" t="s">
        <v>88</v>
      </c>
      <c r="Y1470" s="364" t="s">
        <v>88</v>
      </c>
      <c r="Z1470" s="364" t="s">
        <v>1165</v>
      </c>
      <c r="AA1470" s="364" t="s">
        <v>1164</v>
      </c>
      <c r="AB1470" s="364" t="s">
        <v>649</v>
      </c>
      <c r="AC1470" s="364" t="s">
        <v>88</v>
      </c>
      <c r="AD1470" s="364" t="s">
        <v>88</v>
      </c>
      <c r="AE1470" s="364" t="s">
        <v>88</v>
      </c>
      <c r="AF1470" s="364" t="s">
        <v>88</v>
      </c>
      <c r="AG1470" s="364" t="s">
        <v>88</v>
      </c>
      <c r="AH1470" s="364" t="s">
        <v>88</v>
      </c>
      <c r="AI1470" s="364" t="s">
        <v>1155</v>
      </c>
      <c r="AJ1470" s="364" t="s">
        <v>710</v>
      </c>
      <c r="AK1470" s="364" t="s">
        <v>88</v>
      </c>
      <c r="AL1470" s="364" t="s">
        <v>88</v>
      </c>
      <c r="AM1470" s="364" t="s">
        <v>668</v>
      </c>
      <c r="AN1470" s="364" t="s">
        <v>644</v>
      </c>
    </row>
    <row r="1471" spans="1:40" x14ac:dyDescent="0.3">
      <c r="A1471" s="364" t="s">
        <v>1198</v>
      </c>
      <c r="B1471" s="364" t="s">
        <v>661</v>
      </c>
      <c r="C1471" s="364" t="s">
        <v>1160</v>
      </c>
      <c r="D1471" s="364" t="s">
        <v>90</v>
      </c>
      <c r="E1471" s="364" t="s">
        <v>800</v>
      </c>
      <c r="F1471" s="364" t="s">
        <v>800</v>
      </c>
      <c r="G1471" s="364" t="s">
        <v>658</v>
      </c>
      <c r="H1471" s="364" t="s">
        <v>1197</v>
      </c>
      <c r="I1471" s="364" t="s">
        <v>88</v>
      </c>
      <c r="J1471" s="364" t="s">
        <v>673</v>
      </c>
      <c r="K1471" s="364" t="s">
        <v>668</v>
      </c>
      <c r="L1471" s="364" t="s">
        <v>190</v>
      </c>
      <c r="M1471" s="364" t="s">
        <v>240</v>
      </c>
      <c r="N1471" s="364" t="s">
        <v>654</v>
      </c>
      <c r="O1471" s="364" t="s">
        <v>653</v>
      </c>
      <c r="P1471" s="364" t="s">
        <v>198</v>
      </c>
      <c r="Q1471" s="364" t="s">
        <v>652</v>
      </c>
      <c r="R1471" s="364" t="s">
        <v>88</v>
      </c>
      <c r="S1471" s="364" t="s">
        <v>88</v>
      </c>
      <c r="T1471" s="364" t="s">
        <v>88</v>
      </c>
      <c r="U1471" s="364" t="s">
        <v>88</v>
      </c>
      <c r="V1471" s="364" t="s">
        <v>88</v>
      </c>
      <c r="W1471" s="364" t="s">
        <v>88</v>
      </c>
      <c r="X1471" s="364" t="s">
        <v>88</v>
      </c>
      <c r="Y1471" s="364" t="s">
        <v>88</v>
      </c>
      <c r="Z1471" s="364" t="s">
        <v>1163</v>
      </c>
      <c r="AA1471" s="364" t="s">
        <v>1162</v>
      </c>
      <c r="AB1471" s="364" t="s">
        <v>649</v>
      </c>
      <c r="AC1471" s="364" t="s">
        <v>88</v>
      </c>
      <c r="AD1471" s="364" t="s">
        <v>88</v>
      </c>
      <c r="AE1471" s="364" t="s">
        <v>88</v>
      </c>
      <c r="AF1471" s="364" t="s">
        <v>88</v>
      </c>
      <c r="AG1471" s="364" t="s">
        <v>88</v>
      </c>
      <c r="AH1471" s="364" t="s">
        <v>88</v>
      </c>
      <c r="AI1471" s="364" t="s">
        <v>1155</v>
      </c>
      <c r="AJ1471" s="364" t="s">
        <v>710</v>
      </c>
      <c r="AK1471" s="364" t="s">
        <v>88</v>
      </c>
      <c r="AL1471" s="364" t="s">
        <v>88</v>
      </c>
      <c r="AM1471" s="364" t="s">
        <v>668</v>
      </c>
      <c r="AN1471" s="364" t="s">
        <v>644</v>
      </c>
    </row>
    <row r="1472" spans="1:40" x14ac:dyDescent="0.3">
      <c r="A1472" s="364" t="s">
        <v>1198</v>
      </c>
      <c r="B1472" s="364" t="s">
        <v>661</v>
      </c>
      <c r="C1472" s="364" t="s">
        <v>1160</v>
      </c>
      <c r="D1472" s="364" t="s">
        <v>90</v>
      </c>
      <c r="E1472" s="364" t="s">
        <v>800</v>
      </c>
      <c r="F1472" s="364" t="s">
        <v>800</v>
      </c>
      <c r="G1472" s="364" t="s">
        <v>658</v>
      </c>
      <c r="H1472" s="364" t="s">
        <v>1197</v>
      </c>
      <c r="I1472" s="364" t="s">
        <v>88</v>
      </c>
      <c r="J1472" s="364" t="s">
        <v>673</v>
      </c>
      <c r="K1472" s="364" t="s">
        <v>668</v>
      </c>
      <c r="L1472" s="364" t="s">
        <v>190</v>
      </c>
      <c r="M1472" s="364" t="s">
        <v>61</v>
      </c>
      <c r="N1472" s="364" t="s">
        <v>654</v>
      </c>
      <c r="O1472" s="364" t="s">
        <v>653</v>
      </c>
      <c r="P1472" s="364" t="s">
        <v>198</v>
      </c>
      <c r="Q1472" s="364" t="s">
        <v>652</v>
      </c>
      <c r="R1472" s="364" t="s">
        <v>88</v>
      </c>
      <c r="S1472" s="364" t="s">
        <v>88</v>
      </c>
      <c r="T1472" s="364" t="s">
        <v>88</v>
      </c>
      <c r="U1472" s="364" t="s">
        <v>88</v>
      </c>
      <c r="V1472" s="364" t="s">
        <v>88</v>
      </c>
      <c r="W1472" s="364" t="s">
        <v>88</v>
      </c>
      <c r="X1472" s="364" t="s">
        <v>88</v>
      </c>
      <c r="Y1472" s="364" t="s">
        <v>88</v>
      </c>
      <c r="Z1472" s="364" t="s">
        <v>1021</v>
      </c>
      <c r="AA1472" s="364" t="s">
        <v>671</v>
      </c>
      <c r="AB1472" s="364" t="s">
        <v>649</v>
      </c>
      <c r="AC1472" s="364" t="s">
        <v>88</v>
      </c>
      <c r="AD1472" s="364" t="s">
        <v>88</v>
      </c>
      <c r="AE1472" s="364" t="s">
        <v>88</v>
      </c>
      <c r="AF1472" s="364" t="s">
        <v>88</v>
      </c>
      <c r="AG1472" s="364" t="s">
        <v>88</v>
      </c>
      <c r="AH1472" s="364" t="s">
        <v>88</v>
      </c>
      <c r="AI1472" s="364" t="s">
        <v>1155</v>
      </c>
      <c r="AJ1472" s="364" t="s">
        <v>710</v>
      </c>
      <c r="AK1472" s="364" t="s">
        <v>88</v>
      </c>
      <c r="AL1472" s="364" t="s">
        <v>88</v>
      </c>
      <c r="AM1472" s="364" t="s">
        <v>668</v>
      </c>
      <c r="AN1472" s="364" t="s">
        <v>644</v>
      </c>
    </row>
    <row r="1473" spans="1:40" x14ac:dyDescent="0.3">
      <c r="A1473" s="364" t="s">
        <v>1198</v>
      </c>
      <c r="B1473" s="364" t="s">
        <v>661</v>
      </c>
      <c r="C1473" s="364" t="s">
        <v>1160</v>
      </c>
      <c r="D1473" s="364" t="s">
        <v>90</v>
      </c>
      <c r="E1473" s="364" t="s">
        <v>800</v>
      </c>
      <c r="F1473" s="364" t="s">
        <v>800</v>
      </c>
      <c r="G1473" s="364" t="s">
        <v>658</v>
      </c>
      <c r="H1473" s="364" t="s">
        <v>1197</v>
      </c>
      <c r="I1473" s="364" t="s">
        <v>88</v>
      </c>
      <c r="J1473" s="364" t="s">
        <v>673</v>
      </c>
      <c r="K1473" s="364" t="s">
        <v>668</v>
      </c>
      <c r="L1473" s="364" t="s">
        <v>190</v>
      </c>
      <c r="M1473" s="364" t="s">
        <v>242</v>
      </c>
      <c r="N1473" s="364" t="s">
        <v>654</v>
      </c>
      <c r="O1473" s="364" t="s">
        <v>653</v>
      </c>
      <c r="P1473" s="364" t="s">
        <v>198</v>
      </c>
      <c r="Q1473" s="364" t="s">
        <v>652</v>
      </c>
      <c r="R1473" s="364" t="s">
        <v>88</v>
      </c>
      <c r="S1473" s="364" t="s">
        <v>88</v>
      </c>
      <c r="T1473" s="364" t="s">
        <v>88</v>
      </c>
      <c r="U1473" s="364" t="s">
        <v>88</v>
      </c>
      <c r="V1473" s="364" t="s">
        <v>88</v>
      </c>
      <c r="W1473" s="364" t="s">
        <v>88</v>
      </c>
      <c r="X1473" s="364" t="s">
        <v>88</v>
      </c>
      <c r="Y1473" s="364" t="s">
        <v>88</v>
      </c>
      <c r="Z1473" s="364" t="s">
        <v>1157</v>
      </c>
      <c r="AA1473" s="364" t="s">
        <v>1156</v>
      </c>
      <c r="AB1473" s="364" t="s">
        <v>649</v>
      </c>
      <c r="AC1473" s="364" t="s">
        <v>88</v>
      </c>
      <c r="AD1473" s="364" t="s">
        <v>88</v>
      </c>
      <c r="AE1473" s="364" t="s">
        <v>88</v>
      </c>
      <c r="AF1473" s="364" t="s">
        <v>88</v>
      </c>
      <c r="AG1473" s="364" t="s">
        <v>88</v>
      </c>
      <c r="AH1473" s="364" t="s">
        <v>88</v>
      </c>
      <c r="AI1473" s="364" t="s">
        <v>1155</v>
      </c>
      <c r="AJ1473" s="364" t="s">
        <v>710</v>
      </c>
      <c r="AK1473" s="364" t="s">
        <v>88</v>
      </c>
      <c r="AL1473" s="364" t="s">
        <v>88</v>
      </c>
      <c r="AM1473" s="364" t="s">
        <v>668</v>
      </c>
      <c r="AN1473" s="364" t="s">
        <v>644</v>
      </c>
    </row>
    <row r="1474" spans="1:40" x14ac:dyDescent="0.3">
      <c r="A1474" s="364" t="s">
        <v>1196</v>
      </c>
      <c r="B1474" s="364" t="s">
        <v>661</v>
      </c>
      <c r="C1474" s="364" t="s">
        <v>1160</v>
      </c>
      <c r="D1474" s="364" t="s">
        <v>90</v>
      </c>
      <c r="E1474" s="364" t="s">
        <v>1195</v>
      </c>
      <c r="F1474" s="364" t="s">
        <v>1195</v>
      </c>
      <c r="G1474" s="364" t="s">
        <v>658</v>
      </c>
      <c r="H1474" s="364" t="s">
        <v>1194</v>
      </c>
      <c r="I1474" s="364" t="s">
        <v>88</v>
      </c>
      <c r="J1474" s="364" t="s">
        <v>673</v>
      </c>
      <c r="K1474" s="364" t="s">
        <v>668</v>
      </c>
      <c r="L1474" s="364" t="s">
        <v>190</v>
      </c>
      <c r="M1474" s="364" t="s">
        <v>243</v>
      </c>
      <c r="N1474" s="364" t="s">
        <v>654</v>
      </c>
      <c r="O1474" s="364" t="s">
        <v>653</v>
      </c>
      <c r="P1474" s="364" t="s">
        <v>198</v>
      </c>
      <c r="Q1474" s="364" t="s">
        <v>652</v>
      </c>
      <c r="R1474" s="364" t="s">
        <v>88</v>
      </c>
      <c r="S1474" s="364" t="s">
        <v>88</v>
      </c>
      <c r="T1474" s="364" t="s">
        <v>88</v>
      </c>
      <c r="U1474" s="364" t="s">
        <v>88</v>
      </c>
      <c r="V1474" s="364" t="s">
        <v>88</v>
      </c>
      <c r="W1474" s="364" t="s">
        <v>88</v>
      </c>
      <c r="X1474" s="364" t="s">
        <v>88</v>
      </c>
      <c r="Y1474" s="364" t="s">
        <v>88</v>
      </c>
      <c r="Z1474" s="364" t="s">
        <v>1175</v>
      </c>
      <c r="AA1474" s="364" t="s">
        <v>1174</v>
      </c>
      <c r="AB1474" s="364" t="s">
        <v>649</v>
      </c>
      <c r="AC1474" s="364" t="s">
        <v>88</v>
      </c>
      <c r="AD1474" s="364" t="s">
        <v>88</v>
      </c>
      <c r="AE1474" s="364" t="s">
        <v>88</v>
      </c>
      <c r="AF1474" s="364" t="s">
        <v>88</v>
      </c>
      <c r="AG1474" s="364" t="s">
        <v>88</v>
      </c>
      <c r="AH1474" s="364" t="s">
        <v>88</v>
      </c>
      <c r="AI1474" s="364" t="s">
        <v>1155</v>
      </c>
      <c r="AJ1474" s="364" t="s">
        <v>710</v>
      </c>
      <c r="AK1474" s="364" t="s">
        <v>88</v>
      </c>
      <c r="AL1474" s="364" t="s">
        <v>88</v>
      </c>
      <c r="AM1474" s="364" t="s">
        <v>668</v>
      </c>
      <c r="AN1474" s="364" t="s">
        <v>644</v>
      </c>
    </row>
    <row r="1475" spans="1:40" x14ac:dyDescent="0.3">
      <c r="A1475" s="364" t="s">
        <v>1196</v>
      </c>
      <c r="B1475" s="364" t="s">
        <v>661</v>
      </c>
      <c r="C1475" s="364" t="s">
        <v>1160</v>
      </c>
      <c r="D1475" s="364" t="s">
        <v>90</v>
      </c>
      <c r="E1475" s="364" t="s">
        <v>1195</v>
      </c>
      <c r="F1475" s="364" t="s">
        <v>1195</v>
      </c>
      <c r="G1475" s="364" t="s">
        <v>658</v>
      </c>
      <c r="H1475" s="364" t="s">
        <v>1194</v>
      </c>
      <c r="I1475" s="364" t="s">
        <v>88</v>
      </c>
      <c r="J1475" s="364" t="s">
        <v>673</v>
      </c>
      <c r="K1475" s="364" t="s">
        <v>668</v>
      </c>
      <c r="L1475" s="364" t="s">
        <v>190</v>
      </c>
      <c r="M1475" s="364" t="s">
        <v>1173</v>
      </c>
      <c r="N1475" s="364" t="s">
        <v>654</v>
      </c>
      <c r="O1475" s="364" t="s">
        <v>653</v>
      </c>
      <c r="P1475" s="364" t="s">
        <v>198</v>
      </c>
      <c r="Q1475" s="364" t="s">
        <v>652</v>
      </c>
      <c r="R1475" s="364" t="s">
        <v>88</v>
      </c>
      <c r="S1475" s="364" t="s">
        <v>88</v>
      </c>
      <c r="T1475" s="364" t="s">
        <v>88</v>
      </c>
      <c r="U1475" s="364" t="s">
        <v>88</v>
      </c>
      <c r="V1475" s="364" t="s">
        <v>88</v>
      </c>
      <c r="W1475" s="364" t="s">
        <v>88</v>
      </c>
      <c r="X1475" s="364" t="s">
        <v>88</v>
      </c>
      <c r="Y1475" s="364" t="s">
        <v>88</v>
      </c>
      <c r="Z1475" s="364" t="s">
        <v>1172</v>
      </c>
      <c r="AA1475" s="364" t="s">
        <v>1171</v>
      </c>
      <c r="AB1475" s="364" t="s">
        <v>649</v>
      </c>
      <c r="AC1475" s="364" t="s">
        <v>88</v>
      </c>
      <c r="AD1475" s="364" t="s">
        <v>88</v>
      </c>
      <c r="AE1475" s="364" t="s">
        <v>88</v>
      </c>
      <c r="AF1475" s="364" t="s">
        <v>88</v>
      </c>
      <c r="AG1475" s="364" t="s">
        <v>88</v>
      </c>
      <c r="AH1475" s="364" t="s">
        <v>88</v>
      </c>
      <c r="AI1475" s="364" t="s">
        <v>1155</v>
      </c>
      <c r="AJ1475" s="364" t="s">
        <v>710</v>
      </c>
      <c r="AK1475" s="364" t="s">
        <v>88</v>
      </c>
      <c r="AL1475" s="364" t="s">
        <v>88</v>
      </c>
      <c r="AM1475" s="364" t="s">
        <v>668</v>
      </c>
      <c r="AN1475" s="364" t="s">
        <v>644</v>
      </c>
    </row>
    <row r="1476" spans="1:40" x14ac:dyDescent="0.3">
      <c r="A1476" s="364" t="s">
        <v>1196</v>
      </c>
      <c r="B1476" s="364" t="s">
        <v>661</v>
      </c>
      <c r="C1476" s="364" t="s">
        <v>1160</v>
      </c>
      <c r="D1476" s="364" t="s">
        <v>90</v>
      </c>
      <c r="E1476" s="364" t="s">
        <v>1195</v>
      </c>
      <c r="F1476" s="364" t="s">
        <v>1195</v>
      </c>
      <c r="G1476" s="364" t="s">
        <v>658</v>
      </c>
      <c r="H1476" s="364" t="s">
        <v>1194</v>
      </c>
      <c r="I1476" s="364" t="s">
        <v>88</v>
      </c>
      <c r="J1476" s="364" t="s">
        <v>673</v>
      </c>
      <c r="K1476" s="364" t="s">
        <v>668</v>
      </c>
      <c r="L1476" s="364" t="s">
        <v>190</v>
      </c>
      <c r="M1476" s="364" t="s">
        <v>241</v>
      </c>
      <c r="N1476" s="364" t="s">
        <v>654</v>
      </c>
      <c r="O1476" s="364" t="s">
        <v>653</v>
      </c>
      <c r="P1476" s="364" t="s">
        <v>198</v>
      </c>
      <c r="Q1476" s="364" t="s">
        <v>652</v>
      </c>
      <c r="R1476" s="364" t="s">
        <v>88</v>
      </c>
      <c r="S1476" s="364" t="s">
        <v>88</v>
      </c>
      <c r="T1476" s="364" t="s">
        <v>88</v>
      </c>
      <c r="U1476" s="364" t="s">
        <v>88</v>
      </c>
      <c r="V1476" s="364" t="s">
        <v>88</v>
      </c>
      <c r="W1476" s="364" t="s">
        <v>88</v>
      </c>
      <c r="X1476" s="364" t="s">
        <v>88</v>
      </c>
      <c r="Y1476" s="364" t="s">
        <v>88</v>
      </c>
      <c r="Z1476" s="364" t="s">
        <v>1170</v>
      </c>
      <c r="AA1476" s="364" t="s">
        <v>1169</v>
      </c>
      <c r="AB1476" s="364" t="s">
        <v>649</v>
      </c>
      <c r="AC1476" s="364" t="s">
        <v>88</v>
      </c>
      <c r="AD1476" s="364" t="s">
        <v>88</v>
      </c>
      <c r="AE1476" s="364" t="s">
        <v>88</v>
      </c>
      <c r="AF1476" s="364" t="s">
        <v>88</v>
      </c>
      <c r="AG1476" s="364" t="s">
        <v>88</v>
      </c>
      <c r="AH1476" s="364" t="s">
        <v>88</v>
      </c>
      <c r="AI1476" s="364" t="s">
        <v>1155</v>
      </c>
      <c r="AJ1476" s="364" t="s">
        <v>710</v>
      </c>
      <c r="AK1476" s="364" t="s">
        <v>88</v>
      </c>
      <c r="AL1476" s="364" t="s">
        <v>88</v>
      </c>
      <c r="AM1476" s="364" t="s">
        <v>668</v>
      </c>
      <c r="AN1476" s="364" t="s">
        <v>644</v>
      </c>
    </row>
    <row r="1477" spans="1:40" x14ac:dyDescent="0.3">
      <c r="A1477" s="364" t="s">
        <v>1196</v>
      </c>
      <c r="B1477" s="364" t="s">
        <v>661</v>
      </c>
      <c r="C1477" s="364" t="s">
        <v>1160</v>
      </c>
      <c r="D1477" s="364" t="s">
        <v>90</v>
      </c>
      <c r="E1477" s="364" t="s">
        <v>1195</v>
      </c>
      <c r="F1477" s="364" t="s">
        <v>1195</v>
      </c>
      <c r="G1477" s="364" t="s">
        <v>658</v>
      </c>
      <c r="H1477" s="364" t="s">
        <v>1194</v>
      </c>
      <c r="I1477" s="364" t="s">
        <v>88</v>
      </c>
      <c r="J1477" s="364" t="s">
        <v>673</v>
      </c>
      <c r="K1477" s="364" t="s">
        <v>668</v>
      </c>
      <c r="L1477" s="364" t="s">
        <v>190</v>
      </c>
      <c r="M1477" s="364" t="s">
        <v>1168</v>
      </c>
      <c r="N1477" s="364" t="s">
        <v>654</v>
      </c>
      <c r="O1477" s="364" t="s">
        <v>653</v>
      </c>
      <c r="P1477" s="364" t="s">
        <v>198</v>
      </c>
      <c r="Q1477" s="364" t="s">
        <v>652</v>
      </c>
      <c r="R1477" s="364" t="s">
        <v>88</v>
      </c>
      <c r="S1477" s="364" t="s">
        <v>88</v>
      </c>
      <c r="T1477" s="364" t="s">
        <v>88</v>
      </c>
      <c r="U1477" s="364" t="s">
        <v>88</v>
      </c>
      <c r="V1477" s="364" t="s">
        <v>88</v>
      </c>
      <c r="W1477" s="364" t="s">
        <v>88</v>
      </c>
      <c r="X1477" s="364" t="s">
        <v>88</v>
      </c>
      <c r="Y1477" s="364" t="s">
        <v>88</v>
      </c>
      <c r="Z1477" s="364" t="s">
        <v>1167</v>
      </c>
      <c r="AA1477" s="364" t="s">
        <v>1166</v>
      </c>
      <c r="AB1477" s="364" t="s">
        <v>649</v>
      </c>
      <c r="AC1477" s="364" t="s">
        <v>88</v>
      </c>
      <c r="AD1477" s="364" t="s">
        <v>88</v>
      </c>
      <c r="AE1477" s="364" t="s">
        <v>88</v>
      </c>
      <c r="AF1477" s="364" t="s">
        <v>88</v>
      </c>
      <c r="AG1477" s="364" t="s">
        <v>88</v>
      </c>
      <c r="AH1477" s="364" t="s">
        <v>88</v>
      </c>
      <c r="AI1477" s="364" t="s">
        <v>1155</v>
      </c>
      <c r="AJ1477" s="364" t="s">
        <v>710</v>
      </c>
      <c r="AK1477" s="364" t="s">
        <v>88</v>
      </c>
      <c r="AL1477" s="364" t="s">
        <v>88</v>
      </c>
      <c r="AM1477" s="364" t="s">
        <v>668</v>
      </c>
      <c r="AN1477" s="364" t="s">
        <v>644</v>
      </c>
    </row>
    <row r="1478" spans="1:40" x14ac:dyDescent="0.3">
      <c r="A1478" s="364" t="s">
        <v>1196</v>
      </c>
      <c r="B1478" s="364" t="s">
        <v>661</v>
      </c>
      <c r="C1478" s="364" t="s">
        <v>1160</v>
      </c>
      <c r="D1478" s="364" t="s">
        <v>90</v>
      </c>
      <c r="E1478" s="364" t="s">
        <v>1195</v>
      </c>
      <c r="F1478" s="364" t="s">
        <v>1195</v>
      </c>
      <c r="G1478" s="364" t="s">
        <v>658</v>
      </c>
      <c r="H1478" s="364" t="s">
        <v>1194</v>
      </c>
      <c r="I1478" s="364" t="s">
        <v>88</v>
      </c>
      <c r="J1478" s="364" t="s">
        <v>673</v>
      </c>
      <c r="K1478" s="364" t="s">
        <v>668</v>
      </c>
      <c r="L1478" s="364" t="s">
        <v>190</v>
      </c>
      <c r="M1478" s="364" t="s">
        <v>713</v>
      </c>
      <c r="N1478" s="364" t="s">
        <v>654</v>
      </c>
      <c r="O1478" s="364" t="s">
        <v>653</v>
      </c>
      <c r="P1478" s="364" t="s">
        <v>198</v>
      </c>
      <c r="Q1478" s="364" t="s">
        <v>652</v>
      </c>
      <c r="R1478" s="364" t="s">
        <v>88</v>
      </c>
      <c r="S1478" s="364" t="s">
        <v>88</v>
      </c>
      <c r="T1478" s="364" t="s">
        <v>88</v>
      </c>
      <c r="U1478" s="364" t="s">
        <v>88</v>
      </c>
      <c r="V1478" s="364" t="s">
        <v>88</v>
      </c>
      <c r="W1478" s="364" t="s">
        <v>88</v>
      </c>
      <c r="X1478" s="364" t="s">
        <v>88</v>
      </c>
      <c r="Y1478" s="364" t="s">
        <v>88</v>
      </c>
      <c r="Z1478" s="364" t="s">
        <v>712</v>
      </c>
      <c r="AA1478" s="364" t="s">
        <v>711</v>
      </c>
      <c r="AB1478" s="364" t="s">
        <v>649</v>
      </c>
      <c r="AC1478" s="364" t="s">
        <v>88</v>
      </c>
      <c r="AD1478" s="364" t="s">
        <v>88</v>
      </c>
      <c r="AE1478" s="364" t="s">
        <v>88</v>
      </c>
      <c r="AF1478" s="364" t="s">
        <v>88</v>
      </c>
      <c r="AG1478" s="364" t="s">
        <v>88</v>
      </c>
      <c r="AH1478" s="364" t="s">
        <v>88</v>
      </c>
      <c r="AI1478" s="364" t="s">
        <v>1155</v>
      </c>
      <c r="AJ1478" s="364" t="s">
        <v>710</v>
      </c>
      <c r="AK1478" s="364" t="s">
        <v>88</v>
      </c>
      <c r="AL1478" s="364" t="s">
        <v>88</v>
      </c>
      <c r="AM1478" s="364" t="s">
        <v>668</v>
      </c>
      <c r="AN1478" s="364" t="s">
        <v>644</v>
      </c>
    </row>
    <row r="1479" spans="1:40" x14ac:dyDescent="0.3">
      <c r="A1479" s="364" t="s">
        <v>1196</v>
      </c>
      <c r="B1479" s="364" t="s">
        <v>661</v>
      </c>
      <c r="C1479" s="364" t="s">
        <v>1160</v>
      </c>
      <c r="D1479" s="364" t="s">
        <v>90</v>
      </c>
      <c r="E1479" s="364" t="s">
        <v>1195</v>
      </c>
      <c r="F1479" s="364" t="s">
        <v>1195</v>
      </c>
      <c r="G1479" s="364" t="s">
        <v>658</v>
      </c>
      <c r="H1479" s="364" t="s">
        <v>1194</v>
      </c>
      <c r="I1479" s="364" t="s">
        <v>88</v>
      </c>
      <c r="J1479" s="364" t="s">
        <v>673</v>
      </c>
      <c r="K1479" s="364" t="s">
        <v>668</v>
      </c>
      <c r="L1479" s="364" t="s">
        <v>190</v>
      </c>
      <c r="M1479" s="364" t="s">
        <v>56</v>
      </c>
      <c r="N1479" s="364" t="s">
        <v>654</v>
      </c>
      <c r="O1479" s="364" t="s">
        <v>653</v>
      </c>
      <c r="P1479" s="364" t="s">
        <v>198</v>
      </c>
      <c r="Q1479" s="364" t="s">
        <v>652</v>
      </c>
      <c r="R1479" s="364" t="s">
        <v>88</v>
      </c>
      <c r="S1479" s="364" t="s">
        <v>88</v>
      </c>
      <c r="T1479" s="364" t="s">
        <v>88</v>
      </c>
      <c r="U1479" s="364" t="s">
        <v>88</v>
      </c>
      <c r="V1479" s="364" t="s">
        <v>88</v>
      </c>
      <c r="W1479" s="364" t="s">
        <v>88</v>
      </c>
      <c r="X1479" s="364" t="s">
        <v>88</v>
      </c>
      <c r="Y1479" s="364" t="s">
        <v>88</v>
      </c>
      <c r="Z1479" s="364" t="s">
        <v>1165</v>
      </c>
      <c r="AA1479" s="364" t="s">
        <v>1164</v>
      </c>
      <c r="AB1479" s="364" t="s">
        <v>649</v>
      </c>
      <c r="AC1479" s="364" t="s">
        <v>88</v>
      </c>
      <c r="AD1479" s="364" t="s">
        <v>88</v>
      </c>
      <c r="AE1479" s="364" t="s">
        <v>88</v>
      </c>
      <c r="AF1479" s="364" t="s">
        <v>88</v>
      </c>
      <c r="AG1479" s="364" t="s">
        <v>88</v>
      </c>
      <c r="AH1479" s="364" t="s">
        <v>88</v>
      </c>
      <c r="AI1479" s="364" t="s">
        <v>1155</v>
      </c>
      <c r="AJ1479" s="364" t="s">
        <v>710</v>
      </c>
      <c r="AK1479" s="364" t="s">
        <v>88</v>
      </c>
      <c r="AL1479" s="364" t="s">
        <v>88</v>
      </c>
      <c r="AM1479" s="364" t="s">
        <v>668</v>
      </c>
      <c r="AN1479" s="364" t="s">
        <v>644</v>
      </c>
    </row>
    <row r="1480" spans="1:40" x14ac:dyDescent="0.3">
      <c r="A1480" s="364" t="s">
        <v>1196</v>
      </c>
      <c r="B1480" s="364" t="s">
        <v>661</v>
      </c>
      <c r="C1480" s="364" t="s">
        <v>1160</v>
      </c>
      <c r="D1480" s="364" t="s">
        <v>90</v>
      </c>
      <c r="E1480" s="364" t="s">
        <v>1195</v>
      </c>
      <c r="F1480" s="364" t="s">
        <v>1195</v>
      </c>
      <c r="G1480" s="364" t="s">
        <v>658</v>
      </c>
      <c r="H1480" s="364" t="s">
        <v>1194</v>
      </c>
      <c r="I1480" s="364" t="s">
        <v>88</v>
      </c>
      <c r="J1480" s="364" t="s">
        <v>673</v>
      </c>
      <c r="K1480" s="364" t="s">
        <v>668</v>
      </c>
      <c r="L1480" s="364" t="s">
        <v>190</v>
      </c>
      <c r="M1480" s="364" t="s">
        <v>240</v>
      </c>
      <c r="N1480" s="364" t="s">
        <v>654</v>
      </c>
      <c r="O1480" s="364" t="s">
        <v>653</v>
      </c>
      <c r="P1480" s="364" t="s">
        <v>198</v>
      </c>
      <c r="Q1480" s="364" t="s">
        <v>652</v>
      </c>
      <c r="R1480" s="364" t="s">
        <v>88</v>
      </c>
      <c r="S1480" s="364" t="s">
        <v>88</v>
      </c>
      <c r="T1480" s="364" t="s">
        <v>88</v>
      </c>
      <c r="U1480" s="364" t="s">
        <v>88</v>
      </c>
      <c r="V1480" s="364" t="s">
        <v>88</v>
      </c>
      <c r="W1480" s="364" t="s">
        <v>88</v>
      </c>
      <c r="X1480" s="364" t="s">
        <v>88</v>
      </c>
      <c r="Y1480" s="364" t="s">
        <v>88</v>
      </c>
      <c r="Z1480" s="364" t="s">
        <v>1163</v>
      </c>
      <c r="AA1480" s="364" t="s">
        <v>1162</v>
      </c>
      <c r="AB1480" s="364" t="s">
        <v>649</v>
      </c>
      <c r="AC1480" s="364" t="s">
        <v>88</v>
      </c>
      <c r="AD1480" s="364" t="s">
        <v>88</v>
      </c>
      <c r="AE1480" s="364" t="s">
        <v>88</v>
      </c>
      <c r="AF1480" s="364" t="s">
        <v>88</v>
      </c>
      <c r="AG1480" s="364" t="s">
        <v>88</v>
      </c>
      <c r="AH1480" s="364" t="s">
        <v>88</v>
      </c>
      <c r="AI1480" s="364" t="s">
        <v>1155</v>
      </c>
      <c r="AJ1480" s="364" t="s">
        <v>710</v>
      </c>
      <c r="AK1480" s="364" t="s">
        <v>88</v>
      </c>
      <c r="AL1480" s="364" t="s">
        <v>88</v>
      </c>
      <c r="AM1480" s="364" t="s">
        <v>668</v>
      </c>
      <c r="AN1480" s="364" t="s">
        <v>644</v>
      </c>
    </row>
    <row r="1481" spans="1:40" x14ac:dyDescent="0.3">
      <c r="A1481" s="364" t="s">
        <v>1196</v>
      </c>
      <c r="B1481" s="364" t="s">
        <v>661</v>
      </c>
      <c r="C1481" s="364" t="s">
        <v>1160</v>
      </c>
      <c r="D1481" s="364" t="s">
        <v>90</v>
      </c>
      <c r="E1481" s="364" t="s">
        <v>1195</v>
      </c>
      <c r="F1481" s="364" t="s">
        <v>1195</v>
      </c>
      <c r="G1481" s="364" t="s">
        <v>658</v>
      </c>
      <c r="H1481" s="364" t="s">
        <v>1194</v>
      </c>
      <c r="I1481" s="364" t="s">
        <v>88</v>
      </c>
      <c r="J1481" s="364" t="s">
        <v>673</v>
      </c>
      <c r="K1481" s="364" t="s">
        <v>668</v>
      </c>
      <c r="L1481" s="364" t="s">
        <v>190</v>
      </c>
      <c r="M1481" s="364" t="s">
        <v>61</v>
      </c>
      <c r="N1481" s="364" t="s">
        <v>654</v>
      </c>
      <c r="O1481" s="364" t="s">
        <v>653</v>
      </c>
      <c r="P1481" s="364" t="s">
        <v>198</v>
      </c>
      <c r="Q1481" s="364" t="s">
        <v>652</v>
      </c>
      <c r="R1481" s="364" t="s">
        <v>88</v>
      </c>
      <c r="S1481" s="364" t="s">
        <v>88</v>
      </c>
      <c r="T1481" s="364" t="s">
        <v>88</v>
      </c>
      <c r="U1481" s="364" t="s">
        <v>88</v>
      </c>
      <c r="V1481" s="364" t="s">
        <v>88</v>
      </c>
      <c r="W1481" s="364" t="s">
        <v>88</v>
      </c>
      <c r="X1481" s="364" t="s">
        <v>88</v>
      </c>
      <c r="Y1481" s="364" t="s">
        <v>88</v>
      </c>
      <c r="Z1481" s="364" t="s">
        <v>1021</v>
      </c>
      <c r="AA1481" s="364" t="s">
        <v>671</v>
      </c>
      <c r="AB1481" s="364" t="s">
        <v>649</v>
      </c>
      <c r="AC1481" s="364" t="s">
        <v>88</v>
      </c>
      <c r="AD1481" s="364" t="s">
        <v>88</v>
      </c>
      <c r="AE1481" s="364" t="s">
        <v>88</v>
      </c>
      <c r="AF1481" s="364" t="s">
        <v>88</v>
      </c>
      <c r="AG1481" s="364" t="s">
        <v>88</v>
      </c>
      <c r="AH1481" s="364" t="s">
        <v>88</v>
      </c>
      <c r="AI1481" s="364" t="s">
        <v>1155</v>
      </c>
      <c r="AJ1481" s="364" t="s">
        <v>710</v>
      </c>
      <c r="AK1481" s="364" t="s">
        <v>88</v>
      </c>
      <c r="AL1481" s="364" t="s">
        <v>88</v>
      </c>
      <c r="AM1481" s="364" t="s">
        <v>668</v>
      </c>
      <c r="AN1481" s="364" t="s">
        <v>644</v>
      </c>
    </row>
    <row r="1482" spans="1:40" x14ac:dyDescent="0.3">
      <c r="A1482" s="364" t="s">
        <v>1196</v>
      </c>
      <c r="B1482" s="364" t="s">
        <v>661</v>
      </c>
      <c r="C1482" s="364" t="s">
        <v>1160</v>
      </c>
      <c r="D1482" s="364" t="s">
        <v>90</v>
      </c>
      <c r="E1482" s="364" t="s">
        <v>1195</v>
      </c>
      <c r="F1482" s="364" t="s">
        <v>1195</v>
      </c>
      <c r="G1482" s="364" t="s">
        <v>658</v>
      </c>
      <c r="H1482" s="364" t="s">
        <v>1194</v>
      </c>
      <c r="I1482" s="364" t="s">
        <v>88</v>
      </c>
      <c r="J1482" s="364" t="s">
        <v>673</v>
      </c>
      <c r="K1482" s="364" t="s">
        <v>668</v>
      </c>
      <c r="L1482" s="364" t="s">
        <v>190</v>
      </c>
      <c r="M1482" s="364" t="s">
        <v>242</v>
      </c>
      <c r="N1482" s="364" t="s">
        <v>654</v>
      </c>
      <c r="O1482" s="364" t="s">
        <v>653</v>
      </c>
      <c r="P1482" s="364" t="s">
        <v>198</v>
      </c>
      <c r="Q1482" s="364" t="s">
        <v>652</v>
      </c>
      <c r="R1482" s="364" t="s">
        <v>88</v>
      </c>
      <c r="S1482" s="364" t="s">
        <v>88</v>
      </c>
      <c r="T1482" s="364" t="s">
        <v>88</v>
      </c>
      <c r="U1482" s="364" t="s">
        <v>88</v>
      </c>
      <c r="V1482" s="364" t="s">
        <v>88</v>
      </c>
      <c r="W1482" s="364" t="s">
        <v>88</v>
      </c>
      <c r="X1482" s="364" t="s">
        <v>88</v>
      </c>
      <c r="Y1482" s="364" t="s">
        <v>88</v>
      </c>
      <c r="Z1482" s="364" t="s">
        <v>1157</v>
      </c>
      <c r="AA1482" s="364" t="s">
        <v>1156</v>
      </c>
      <c r="AB1482" s="364" t="s">
        <v>649</v>
      </c>
      <c r="AC1482" s="364" t="s">
        <v>88</v>
      </c>
      <c r="AD1482" s="364" t="s">
        <v>88</v>
      </c>
      <c r="AE1482" s="364" t="s">
        <v>88</v>
      </c>
      <c r="AF1482" s="364" t="s">
        <v>88</v>
      </c>
      <c r="AG1482" s="364" t="s">
        <v>88</v>
      </c>
      <c r="AH1482" s="364" t="s">
        <v>88</v>
      </c>
      <c r="AI1482" s="364" t="s">
        <v>1155</v>
      </c>
      <c r="AJ1482" s="364" t="s">
        <v>710</v>
      </c>
      <c r="AK1482" s="364" t="s">
        <v>88</v>
      </c>
      <c r="AL1482" s="364" t="s">
        <v>88</v>
      </c>
      <c r="AM1482" s="364" t="s">
        <v>668</v>
      </c>
      <c r="AN1482" s="364" t="s">
        <v>644</v>
      </c>
    </row>
    <row r="1483" spans="1:40" x14ac:dyDescent="0.3">
      <c r="A1483" s="364" t="s">
        <v>1193</v>
      </c>
      <c r="B1483" s="364" t="s">
        <v>661</v>
      </c>
      <c r="C1483" s="364" t="s">
        <v>1160</v>
      </c>
      <c r="D1483" s="364" t="s">
        <v>90</v>
      </c>
      <c r="E1483" s="364" t="s">
        <v>1192</v>
      </c>
      <c r="F1483" s="364" t="s">
        <v>1192</v>
      </c>
      <c r="G1483" s="364" t="s">
        <v>658</v>
      </c>
      <c r="H1483" s="364" t="s">
        <v>1191</v>
      </c>
      <c r="I1483" s="364" t="s">
        <v>88</v>
      </c>
      <c r="J1483" s="364" t="s">
        <v>673</v>
      </c>
      <c r="K1483" s="364" t="s">
        <v>668</v>
      </c>
      <c r="L1483" s="364" t="s">
        <v>190</v>
      </c>
      <c r="M1483" s="364" t="s">
        <v>243</v>
      </c>
      <c r="N1483" s="364" t="s">
        <v>654</v>
      </c>
      <c r="O1483" s="364" t="s">
        <v>653</v>
      </c>
      <c r="P1483" s="364" t="s">
        <v>198</v>
      </c>
      <c r="Q1483" s="364" t="s">
        <v>652</v>
      </c>
      <c r="R1483" s="364" t="s">
        <v>88</v>
      </c>
      <c r="S1483" s="364" t="s">
        <v>88</v>
      </c>
      <c r="T1483" s="364" t="s">
        <v>88</v>
      </c>
      <c r="U1483" s="364" t="s">
        <v>88</v>
      </c>
      <c r="V1483" s="364" t="s">
        <v>88</v>
      </c>
      <c r="W1483" s="364" t="s">
        <v>88</v>
      </c>
      <c r="X1483" s="364" t="s">
        <v>88</v>
      </c>
      <c r="Y1483" s="364" t="s">
        <v>88</v>
      </c>
      <c r="Z1483" s="364" t="s">
        <v>1175</v>
      </c>
      <c r="AA1483" s="364" t="s">
        <v>1174</v>
      </c>
      <c r="AB1483" s="364" t="s">
        <v>649</v>
      </c>
      <c r="AC1483" s="364" t="s">
        <v>88</v>
      </c>
      <c r="AD1483" s="364" t="s">
        <v>88</v>
      </c>
      <c r="AE1483" s="364" t="s">
        <v>88</v>
      </c>
      <c r="AF1483" s="364" t="s">
        <v>88</v>
      </c>
      <c r="AG1483" s="364" t="s">
        <v>88</v>
      </c>
      <c r="AH1483" s="364" t="s">
        <v>88</v>
      </c>
      <c r="AI1483" s="364" t="s">
        <v>1155</v>
      </c>
      <c r="AJ1483" s="364" t="s">
        <v>710</v>
      </c>
      <c r="AK1483" s="364" t="s">
        <v>88</v>
      </c>
      <c r="AL1483" s="364" t="s">
        <v>88</v>
      </c>
      <c r="AM1483" s="364" t="s">
        <v>668</v>
      </c>
      <c r="AN1483" s="364" t="s">
        <v>644</v>
      </c>
    </row>
    <row r="1484" spans="1:40" x14ac:dyDescent="0.3">
      <c r="A1484" s="364" t="s">
        <v>1193</v>
      </c>
      <c r="B1484" s="364" t="s">
        <v>661</v>
      </c>
      <c r="C1484" s="364" t="s">
        <v>1160</v>
      </c>
      <c r="D1484" s="364" t="s">
        <v>90</v>
      </c>
      <c r="E1484" s="364" t="s">
        <v>1192</v>
      </c>
      <c r="F1484" s="364" t="s">
        <v>1192</v>
      </c>
      <c r="G1484" s="364" t="s">
        <v>658</v>
      </c>
      <c r="H1484" s="364" t="s">
        <v>1191</v>
      </c>
      <c r="I1484" s="364" t="s">
        <v>88</v>
      </c>
      <c r="J1484" s="364" t="s">
        <v>673</v>
      </c>
      <c r="K1484" s="364" t="s">
        <v>668</v>
      </c>
      <c r="L1484" s="364" t="s">
        <v>190</v>
      </c>
      <c r="M1484" s="364" t="s">
        <v>1173</v>
      </c>
      <c r="N1484" s="364" t="s">
        <v>654</v>
      </c>
      <c r="O1484" s="364" t="s">
        <v>653</v>
      </c>
      <c r="P1484" s="364" t="s">
        <v>198</v>
      </c>
      <c r="Q1484" s="364" t="s">
        <v>652</v>
      </c>
      <c r="R1484" s="364" t="s">
        <v>88</v>
      </c>
      <c r="S1484" s="364" t="s">
        <v>88</v>
      </c>
      <c r="T1484" s="364" t="s">
        <v>88</v>
      </c>
      <c r="U1484" s="364" t="s">
        <v>88</v>
      </c>
      <c r="V1484" s="364" t="s">
        <v>88</v>
      </c>
      <c r="W1484" s="364" t="s">
        <v>88</v>
      </c>
      <c r="X1484" s="364" t="s">
        <v>88</v>
      </c>
      <c r="Y1484" s="364" t="s">
        <v>88</v>
      </c>
      <c r="Z1484" s="364" t="s">
        <v>1172</v>
      </c>
      <c r="AA1484" s="364" t="s">
        <v>1171</v>
      </c>
      <c r="AB1484" s="364" t="s">
        <v>649</v>
      </c>
      <c r="AC1484" s="364" t="s">
        <v>88</v>
      </c>
      <c r="AD1484" s="364" t="s">
        <v>88</v>
      </c>
      <c r="AE1484" s="364" t="s">
        <v>88</v>
      </c>
      <c r="AF1484" s="364" t="s">
        <v>88</v>
      </c>
      <c r="AG1484" s="364" t="s">
        <v>88</v>
      </c>
      <c r="AH1484" s="364" t="s">
        <v>88</v>
      </c>
      <c r="AI1484" s="364" t="s">
        <v>1155</v>
      </c>
      <c r="AJ1484" s="364" t="s">
        <v>710</v>
      </c>
      <c r="AK1484" s="364" t="s">
        <v>88</v>
      </c>
      <c r="AL1484" s="364" t="s">
        <v>88</v>
      </c>
      <c r="AM1484" s="364" t="s">
        <v>668</v>
      </c>
      <c r="AN1484" s="364" t="s">
        <v>644</v>
      </c>
    </row>
    <row r="1485" spans="1:40" x14ac:dyDescent="0.3">
      <c r="A1485" s="364" t="s">
        <v>1193</v>
      </c>
      <c r="B1485" s="364" t="s">
        <v>661</v>
      </c>
      <c r="C1485" s="364" t="s">
        <v>1160</v>
      </c>
      <c r="D1485" s="364" t="s">
        <v>90</v>
      </c>
      <c r="E1485" s="364" t="s">
        <v>1192</v>
      </c>
      <c r="F1485" s="364" t="s">
        <v>1192</v>
      </c>
      <c r="G1485" s="364" t="s">
        <v>658</v>
      </c>
      <c r="H1485" s="364" t="s">
        <v>1191</v>
      </c>
      <c r="I1485" s="364" t="s">
        <v>88</v>
      </c>
      <c r="J1485" s="364" t="s">
        <v>673</v>
      </c>
      <c r="K1485" s="364" t="s">
        <v>668</v>
      </c>
      <c r="L1485" s="364" t="s">
        <v>190</v>
      </c>
      <c r="M1485" s="364" t="s">
        <v>241</v>
      </c>
      <c r="N1485" s="364" t="s">
        <v>654</v>
      </c>
      <c r="O1485" s="364" t="s">
        <v>653</v>
      </c>
      <c r="P1485" s="364" t="s">
        <v>198</v>
      </c>
      <c r="Q1485" s="364" t="s">
        <v>652</v>
      </c>
      <c r="R1485" s="364" t="s">
        <v>88</v>
      </c>
      <c r="S1485" s="364" t="s">
        <v>88</v>
      </c>
      <c r="T1485" s="364" t="s">
        <v>88</v>
      </c>
      <c r="U1485" s="364" t="s">
        <v>88</v>
      </c>
      <c r="V1485" s="364" t="s">
        <v>88</v>
      </c>
      <c r="W1485" s="364" t="s">
        <v>88</v>
      </c>
      <c r="X1485" s="364" t="s">
        <v>88</v>
      </c>
      <c r="Y1485" s="364" t="s">
        <v>88</v>
      </c>
      <c r="Z1485" s="364" t="s">
        <v>1170</v>
      </c>
      <c r="AA1485" s="364" t="s">
        <v>1169</v>
      </c>
      <c r="AB1485" s="364" t="s">
        <v>649</v>
      </c>
      <c r="AC1485" s="364" t="s">
        <v>88</v>
      </c>
      <c r="AD1485" s="364" t="s">
        <v>88</v>
      </c>
      <c r="AE1485" s="364" t="s">
        <v>88</v>
      </c>
      <c r="AF1485" s="364" t="s">
        <v>88</v>
      </c>
      <c r="AG1485" s="364" t="s">
        <v>88</v>
      </c>
      <c r="AH1485" s="364" t="s">
        <v>88</v>
      </c>
      <c r="AI1485" s="364" t="s">
        <v>1155</v>
      </c>
      <c r="AJ1485" s="364" t="s">
        <v>710</v>
      </c>
      <c r="AK1485" s="364" t="s">
        <v>88</v>
      </c>
      <c r="AL1485" s="364" t="s">
        <v>88</v>
      </c>
      <c r="AM1485" s="364" t="s">
        <v>668</v>
      </c>
      <c r="AN1485" s="364" t="s">
        <v>644</v>
      </c>
    </row>
    <row r="1486" spans="1:40" x14ac:dyDescent="0.3">
      <c r="A1486" s="364" t="s">
        <v>1193</v>
      </c>
      <c r="B1486" s="364" t="s">
        <v>661</v>
      </c>
      <c r="C1486" s="364" t="s">
        <v>1160</v>
      </c>
      <c r="D1486" s="364" t="s">
        <v>90</v>
      </c>
      <c r="E1486" s="364" t="s">
        <v>1192</v>
      </c>
      <c r="F1486" s="364" t="s">
        <v>1192</v>
      </c>
      <c r="G1486" s="364" t="s">
        <v>658</v>
      </c>
      <c r="H1486" s="364" t="s">
        <v>1191</v>
      </c>
      <c r="I1486" s="364" t="s">
        <v>88</v>
      </c>
      <c r="J1486" s="364" t="s">
        <v>673</v>
      </c>
      <c r="K1486" s="364" t="s">
        <v>668</v>
      </c>
      <c r="L1486" s="364" t="s">
        <v>190</v>
      </c>
      <c r="M1486" s="364" t="s">
        <v>1168</v>
      </c>
      <c r="N1486" s="364" t="s">
        <v>654</v>
      </c>
      <c r="O1486" s="364" t="s">
        <v>653</v>
      </c>
      <c r="P1486" s="364" t="s">
        <v>198</v>
      </c>
      <c r="Q1486" s="364" t="s">
        <v>652</v>
      </c>
      <c r="R1486" s="364" t="s">
        <v>88</v>
      </c>
      <c r="S1486" s="364" t="s">
        <v>88</v>
      </c>
      <c r="T1486" s="364" t="s">
        <v>88</v>
      </c>
      <c r="U1486" s="364" t="s">
        <v>88</v>
      </c>
      <c r="V1486" s="364" t="s">
        <v>88</v>
      </c>
      <c r="W1486" s="364" t="s">
        <v>88</v>
      </c>
      <c r="X1486" s="364" t="s">
        <v>88</v>
      </c>
      <c r="Y1486" s="364" t="s">
        <v>88</v>
      </c>
      <c r="Z1486" s="364" t="s">
        <v>1167</v>
      </c>
      <c r="AA1486" s="364" t="s">
        <v>1166</v>
      </c>
      <c r="AB1486" s="364" t="s">
        <v>649</v>
      </c>
      <c r="AC1486" s="364" t="s">
        <v>88</v>
      </c>
      <c r="AD1486" s="364" t="s">
        <v>88</v>
      </c>
      <c r="AE1486" s="364" t="s">
        <v>88</v>
      </c>
      <c r="AF1486" s="364" t="s">
        <v>88</v>
      </c>
      <c r="AG1486" s="364" t="s">
        <v>88</v>
      </c>
      <c r="AH1486" s="364" t="s">
        <v>88</v>
      </c>
      <c r="AI1486" s="364" t="s">
        <v>1155</v>
      </c>
      <c r="AJ1486" s="364" t="s">
        <v>710</v>
      </c>
      <c r="AK1486" s="364" t="s">
        <v>88</v>
      </c>
      <c r="AL1486" s="364" t="s">
        <v>88</v>
      </c>
      <c r="AM1486" s="364" t="s">
        <v>668</v>
      </c>
      <c r="AN1486" s="364" t="s">
        <v>644</v>
      </c>
    </row>
    <row r="1487" spans="1:40" x14ac:dyDescent="0.3">
      <c r="A1487" s="364" t="s">
        <v>1193</v>
      </c>
      <c r="B1487" s="364" t="s">
        <v>661</v>
      </c>
      <c r="C1487" s="364" t="s">
        <v>1160</v>
      </c>
      <c r="D1487" s="364" t="s">
        <v>90</v>
      </c>
      <c r="E1487" s="364" t="s">
        <v>1192</v>
      </c>
      <c r="F1487" s="364" t="s">
        <v>1192</v>
      </c>
      <c r="G1487" s="364" t="s">
        <v>658</v>
      </c>
      <c r="H1487" s="364" t="s">
        <v>1191</v>
      </c>
      <c r="I1487" s="364" t="s">
        <v>88</v>
      </c>
      <c r="J1487" s="364" t="s">
        <v>673</v>
      </c>
      <c r="K1487" s="364" t="s">
        <v>668</v>
      </c>
      <c r="L1487" s="364" t="s">
        <v>190</v>
      </c>
      <c r="M1487" s="364" t="s">
        <v>713</v>
      </c>
      <c r="N1487" s="364" t="s">
        <v>654</v>
      </c>
      <c r="O1487" s="364" t="s">
        <v>653</v>
      </c>
      <c r="P1487" s="364" t="s">
        <v>198</v>
      </c>
      <c r="Q1487" s="364" t="s">
        <v>652</v>
      </c>
      <c r="R1487" s="364" t="s">
        <v>88</v>
      </c>
      <c r="S1487" s="364" t="s">
        <v>88</v>
      </c>
      <c r="T1487" s="364" t="s">
        <v>88</v>
      </c>
      <c r="U1487" s="364" t="s">
        <v>88</v>
      </c>
      <c r="V1487" s="364" t="s">
        <v>88</v>
      </c>
      <c r="W1487" s="364" t="s">
        <v>88</v>
      </c>
      <c r="X1487" s="364" t="s">
        <v>88</v>
      </c>
      <c r="Y1487" s="364" t="s">
        <v>88</v>
      </c>
      <c r="Z1487" s="364" t="s">
        <v>712</v>
      </c>
      <c r="AA1487" s="364" t="s">
        <v>711</v>
      </c>
      <c r="AB1487" s="364" t="s">
        <v>649</v>
      </c>
      <c r="AC1487" s="364" t="s">
        <v>88</v>
      </c>
      <c r="AD1487" s="364" t="s">
        <v>88</v>
      </c>
      <c r="AE1487" s="364" t="s">
        <v>88</v>
      </c>
      <c r="AF1487" s="364" t="s">
        <v>88</v>
      </c>
      <c r="AG1487" s="364" t="s">
        <v>88</v>
      </c>
      <c r="AH1487" s="364" t="s">
        <v>88</v>
      </c>
      <c r="AI1487" s="364" t="s">
        <v>1155</v>
      </c>
      <c r="AJ1487" s="364" t="s">
        <v>710</v>
      </c>
      <c r="AK1487" s="364" t="s">
        <v>88</v>
      </c>
      <c r="AL1487" s="364" t="s">
        <v>88</v>
      </c>
      <c r="AM1487" s="364" t="s">
        <v>668</v>
      </c>
      <c r="AN1487" s="364" t="s">
        <v>644</v>
      </c>
    </row>
    <row r="1488" spans="1:40" x14ac:dyDescent="0.3">
      <c r="A1488" s="364" t="s">
        <v>1193</v>
      </c>
      <c r="B1488" s="364" t="s">
        <v>661</v>
      </c>
      <c r="C1488" s="364" t="s">
        <v>1160</v>
      </c>
      <c r="D1488" s="364" t="s">
        <v>90</v>
      </c>
      <c r="E1488" s="364" t="s">
        <v>1192</v>
      </c>
      <c r="F1488" s="364" t="s">
        <v>1192</v>
      </c>
      <c r="G1488" s="364" t="s">
        <v>658</v>
      </c>
      <c r="H1488" s="364" t="s">
        <v>1191</v>
      </c>
      <c r="I1488" s="364" t="s">
        <v>88</v>
      </c>
      <c r="J1488" s="364" t="s">
        <v>673</v>
      </c>
      <c r="K1488" s="364" t="s">
        <v>668</v>
      </c>
      <c r="L1488" s="364" t="s">
        <v>190</v>
      </c>
      <c r="M1488" s="364" t="s">
        <v>56</v>
      </c>
      <c r="N1488" s="364" t="s">
        <v>654</v>
      </c>
      <c r="O1488" s="364" t="s">
        <v>653</v>
      </c>
      <c r="P1488" s="364" t="s">
        <v>198</v>
      </c>
      <c r="Q1488" s="364" t="s">
        <v>652</v>
      </c>
      <c r="R1488" s="364" t="s">
        <v>88</v>
      </c>
      <c r="S1488" s="364" t="s">
        <v>88</v>
      </c>
      <c r="T1488" s="364" t="s">
        <v>88</v>
      </c>
      <c r="U1488" s="364" t="s">
        <v>88</v>
      </c>
      <c r="V1488" s="364" t="s">
        <v>88</v>
      </c>
      <c r="W1488" s="364" t="s">
        <v>88</v>
      </c>
      <c r="X1488" s="364" t="s">
        <v>88</v>
      </c>
      <c r="Y1488" s="364" t="s">
        <v>88</v>
      </c>
      <c r="Z1488" s="364" t="s">
        <v>1165</v>
      </c>
      <c r="AA1488" s="364" t="s">
        <v>1164</v>
      </c>
      <c r="AB1488" s="364" t="s">
        <v>649</v>
      </c>
      <c r="AC1488" s="364" t="s">
        <v>88</v>
      </c>
      <c r="AD1488" s="364" t="s">
        <v>88</v>
      </c>
      <c r="AE1488" s="364" t="s">
        <v>88</v>
      </c>
      <c r="AF1488" s="364" t="s">
        <v>88</v>
      </c>
      <c r="AG1488" s="364" t="s">
        <v>88</v>
      </c>
      <c r="AH1488" s="364" t="s">
        <v>88</v>
      </c>
      <c r="AI1488" s="364" t="s">
        <v>1155</v>
      </c>
      <c r="AJ1488" s="364" t="s">
        <v>710</v>
      </c>
      <c r="AK1488" s="364" t="s">
        <v>88</v>
      </c>
      <c r="AL1488" s="364" t="s">
        <v>88</v>
      </c>
      <c r="AM1488" s="364" t="s">
        <v>668</v>
      </c>
      <c r="AN1488" s="364" t="s">
        <v>644</v>
      </c>
    </row>
    <row r="1489" spans="1:40" x14ac:dyDescent="0.3">
      <c r="A1489" s="364" t="s">
        <v>1193</v>
      </c>
      <c r="B1489" s="364" t="s">
        <v>661</v>
      </c>
      <c r="C1489" s="364" t="s">
        <v>1160</v>
      </c>
      <c r="D1489" s="364" t="s">
        <v>90</v>
      </c>
      <c r="E1489" s="364" t="s">
        <v>1192</v>
      </c>
      <c r="F1489" s="364" t="s">
        <v>1192</v>
      </c>
      <c r="G1489" s="364" t="s">
        <v>658</v>
      </c>
      <c r="H1489" s="364" t="s">
        <v>1191</v>
      </c>
      <c r="I1489" s="364" t="s">
        <v>88</v>
      </c>
      <c r="J1489" s="364" t="s">
        <v>673</v>
      </c>
      <c r="K1489" s="364" t="s">
        <v>668</v>
      </c>
      <c r="L1489" s="364" t="s">
        <v>190</v>
      </c>
      <c r="M1489" s="364" t="s">
        <v>240</v>
      </c>
      <c r="N1489" s="364" t="s">
        <v>654</v>
      </c>
      <c r="O1489" s="364" t="s">
        <v>653</v>
      </c>
      <c r="P1489" s="364" t="s">
        <v>198</v>
      </c>
      <c r="Q1489" s="364" t="s">
        <v>652</v>
      </c>
      <c r="R1489" s="364" t="s">
        <v>88</v>
      </c>
      <c r="S1489" s="364" t="s">
        <v>88</v>
      </c>
      <c r="T1489" s="364" t="s">
        <v>88</v>
      </c>
      <c r="U1489" s="364" t="s">
        <v>88</v>
      </c>
      <c r="V1489" s="364" t="s">
        <v>88</v>
      </c>
      <c r="W1489" s="364" t="s">
        <v>88</v>
      </c>
      <c r="X1489" s="364" t="s">
        <v>88</v>
      </c>
      <c r="Y1489" s="364" t="s">
        <v>88</v>
      </c>
      <c r="Z1489" s="364" t="s">
        <v>1163</v>
      </c>
      <c r="AA1489" s="364" t="s">
        <v>1162</v>
      </c>
      <c r="AB1489" s="364" t="s">
        <v>649</v>
      </c>
      <c r="AC1489" s="364" t="s">
        <v>88</v>
      </c>
      <c r="AD1489" s="364" t="s">
        <v>88</v>
      </c>
      <c r="AE1489" s="364" t="s">
        <v>88</v>
      </c>
      <c r="AF1489" s="364" t="s">
        <v>88</v>
      </c>
      <c r="AG1489" s="364" t="s">
        <v>88</v>
      </c>
      <c r="AH1489" s="364" t="s">
        <v>88</v>
      </c>
      <c r="AI1489" s="364" t="s">
        <v>1155</v>
      </c>
      <c r="AJ1489" s="364" t="s">
        <v>710</v>
      </c>
      <c r="AK1489" s="364" t="s">
        <v>88</v>
      </c>
      <c r="AL1489" s="364" t="s">
        <v>88</v>
      </c>
      <c r="AM1489" s="364" t="s">
        <v>668</v>
      </c>
      <c r="AN1489" s="364" t="s">
        <v>644</v>
      </c>
    </row>
    <row r="1490" spans="1:40" x14ac:dyDescent="0.3">
      <c r="A1490" s="364" t="s">
        <v>1193</v>
      </c>
      <c r="B1490" s="364" t="s">
        <v>661</v>
      </c>
      <c r="C1490" s="364" t="s">
        <v>1160</v>
      </c>
      <c r="D1490" s="364" t="s">
        <v>90</v>
      </c>
      <c r="E1490" s="364" t="s">
        <v>1192</v>
      </c>
      <c r="F1490" s="364" t="s">
        <v>1192</v>
      </c>
      <c r="G1490" s="364" t="s">
        <v>658</v>
      </c>
      <c r="H1490" s="364" t="s">
        <v>1191</v>
      </c>
      <c r="I1490" s="364" t="s">
        <v>88</v>
      </c>
      <c r="J1490" s="364" t="s">
        <v>673</v>
      </c>
      <c r="K1490" s="364" t="s">
        <v>668</v>
      </c>
      <c r="L1490" s="364" t="s">
        <v>190</v>
      </c>
      <c r="M1490" s="364" t="s">
        <v>61</v>
      </c>
      <c r="N1490" s="364" t="s">
        <v>654</v>
      </c>
      <c r="O1490" s="364" t="s">
        <v>653</v>
      </c>
      <c r="P1490" s="364" t="s">
        <v>198</v>
      </c>
      <c r="Q1490" s="364" t="s">
        <v>652</v>
      </c>
      <c r="R1490" s="364" t="s">
        <v>88</v>
      </c>
      <c r="S1490" s="364" t="s">
        <v>88</v>
      </c>
      <c r="T1490" s="364" t="s">
        <v>88</v>
      </c>
      <c r="U1490" s="364" t="s">
        <v>88</v>
      </c>
      <c r="V1490" s="364" t="s">
        <v>88</v>
      </c>
      <c r="W1490" s="364" t="s">
        <v>88</v>
      </c>
      <c r="X1490" s="364" t="s">
        <v>88</v>
      </c>
      <c r="Y1490" s="364" t="s">
        <v>88</v>
      </c>
      <c r="Z1490" s="364" t="s">
        <v>1021</v>
      </c>
      <c r="AA1490" s="364" t="s">
        <v>671</v>
      </c>
      <c r="AB1490" s="364" t="s">
        <v>649</v>
      </c>
      <c r="AC1490" s="364" t="s">
        <v>88</v>
      </c>
      <c r="AD1490" s="364" t="s">
        <v>88</v>
      </c>
      <c r="AE1490" s="364" t="s">
        <v>88</v>
      </c>
      <c r="AF1490" s="364" t="s">
        <v>88</v>
      </c>
      <c r="AG1490" s="364" t="s">
        <v>88</v>
      </c>
      <c r="AH1490" s="364" t="s">
        <v>88</v>
      </c>
      <c r="AI1490" s="364" t="s">
        <v>1155</v>
      </c>
      <c r="AJ1490" s="364" t="s">
        <v>710</v>
      </c>
      <c r="AK1490" s="364" t="s">
        <v>88</v>
      </c>
      <c r="AL1490" s="364" t="s">
        <v>88</v>
      </c>
      <c r="AM1490" s="364" t="s">
        <v>668</v>
      </c>
      <c r="AN1490" s="364" t="s">
        <v>644</v>
      </c>
    </row>
    <row r="1491" spans="1:40" x14ac:dyDescent="0.3">
      <c r="A1491" s="364" t="s">
        <v>1193</v>
      </c>
      <c r="B1491" s="364" t="s">
        <v>661</v>
      </c>
      <c r="C1491" s="364" t="s">
        <v>1160</v>
      </c>
      <c r="D1491" s="364" t="s">
        <v>90</v>
      </c>
      <c r="E1491" s="364" t="s">
        <v>1192</v>
      </c>
      <c r="F1491" s="364" t="s">
        <v>1192</v>
      </c>
      <c r="G1491" s="364" t="s">
        <v>658</v>
      </c>
      <c r="H1491" s="364" t="s">
        <v>1191</v>
      </c>
      <c r="I1491" s="364" t="s">
        <v>88</v>
      </c>
      <c r="J1491" s="364" t="s">
        <v>673</v>
      </c>
      <c r="K1491" s="364" t="s">
        <v>668</v>
      </c>
      <c r="L1491" s="364" t="s">
        <v>190</v>
      </c>
      <c r="M1491" s="364" t="s">
        <v>242</v>
      </c>
      <c r="N1491" s="364" t="s">
        <v>654</v>
      </c>
      <c r="O1491" s="364" t="s">
        <v>653</v>
      </c>
      <c r="P1491" s="364" t="s">
        <v>198</v>
      </c>
      <c r="Q1491" s="364" t="s">
        <v>652</v>
      </c>
      <c r="R1491" s="364" t="s">
        <v>88</v>
      </c>
      <c r="S1491" s="364" t="s">
        <v>88</v>
      </c>
      <c r="T1491" s="364" t="s">
        <v>88</v>
      </c>
      <c r="U1491" s="364" t="s">
        <v>88</v>
      </c>
      <c r="V1491" s="364" t="s">
        <v>88</v>
      </c>
      <c r="W1491" s="364" t="s">
        <v>88</v>
      </c>
      <c r="X1491" s="364" t="s">
        <v>88</v>
      </c>
      <c r="Y1491" s="364" t="s">
        <v>88</v>
      </c>
      <c r="Z1491" s="364" t="s">
        <v>1157</v>
      </c>
      <c r="AA1491" s="364" t="s">
        <v>1156</v>
      </c>
      <c r="AB1491" s="364" t="s">
        <v>649</v>
      </c>
      <c r="AC1491" s="364" t="s">
        <v>88</v>
      </c>
      <c r="AD1491" s="364" t="s">
        <v>88</v>
      </c>
      <c r="AE1491" s="364" t="s">
        <v>88</v>
      </c>
      <c r="AF1491" s="364" t="s">
        <v>88</v>
      </c>
      <c r="AG1491" s="364" t="s">
        <v>88</v>
      </c>
      <c r="AH1491" s="364" t="s">
        <v>88</v>
      </c>
      <c r="AI1491" s="364" t="s">
        <v>1155</v>
      </c>
      <c r="AJ1491" s="364" t="s">
        <v>710</v>
      </c>
      <c r="AK1491" s="364" t="s">
        <v>88</v>
      </c>
      <c r="AL1491" s="364" t="s">
        <v>88</v>
      </c>
      <c r="AM1491" s="364" t="s">
        <v>668</v>
      </c>
      <c r="AN1491" s="364" t="s">
        <v>644</v>
      </c>
    </row>
    <row r="1492" spans="1:40" x14ac:dyDescent="0.3">
      <c r="A1492" s="364" t="s">
        <v>1190</v>
      </c>
      <c r="B1492" s="364" t="s">
        <v>661</v>
      </c>
      <c r="C1492" s="364" t="s">
        <v>1160</v>
      </c>
      <c r="D1492" s="364" t="s">
        <v>90</v>
      </c>
      <c r="E1492" s="364" t="s">
        <v>1189</v>
      </c>
      <c r="F1492" s="364" t="s">
        <v>1189</v>
      </c>
      <c r="G1492" s="364" t="s">
        <v>658</v>
      </c>
      <c r="H1492" s="364" t="s">
        <v>1188</v>
      </c>
      <c r="I1492" s="364" t="s">
        <v>88</v>
      </c>
      <c r="J1492" s="364" t="s">
        <v>673</v>
      </c>
      <c r="K1492" s="364" t="s">
        <v>668</v>
      </c>
      <c r="L1492" s="364" t="s">
        <v>190</v>
      </c>
      <c r="M1492" s="364" t="s">
        <v>243</v>
      </c>
      <c r="N1492" s="364" t="s">
        <v>654</v>
      </c>
      <c r="O1492" s="364" t="s">
        <v>653</v>
      </c>
      <c r="P1492" s="364" t="s">
        <v>198</v>
      </c>
      <c r="Q1492" s="364" t="s">
        <v>652</v>
      </c>
      <c r="R1492" s="364" t="s">
        <v>88</v>
      </c>
      <c r="S1492" s="364" t="s">
        <v>88</v>
      </c>
      <c r="T1492" s="364" t="s">
        <v>88</v>
      </c>
      <c r="U1492" s="364" t="s">
        <v>88</v>
      </c>
      <c r="V1492" s="364" t="s">
        <v>88</v>
      </c>
      <c r="W1492" s="364" t="s">
        <v>88</v>
      </c>
      <c r="X1492" s="364" t="s">
        <v>88</v>
      </c>
      <c r="Y1492" s="364" t="s">
        <v>88</v>
      </c>
      <c r="Z1492" s="364" t="s">
        <v>1175</v>
      </c>
      <c r="AA1492" s="364" t="s">
        <v>1174</v>
      </c>
      <c r="AB1492" s="364" t="s">
        <v>649</v>
      </c>
      <c r="AC1492" s="364" t="s">
        <v>88</v>
      </c>
      <c r="AD1492" s="364" t="s">
        <v>88</v>
      </c>
      <c r="AE1492" s="364" t="s">
        <v>88</v>
      </c>
      <c r="AF1492" s="364" t="s">
        <v>88</v>
      </c>
      <c r="AG1492" s="364" t="s">
        <v>88</v>
      </c>
      <c r="AH1492" s="364" t="s">
        <v>88</v>
      </c>
      <c r="AI1492" s="364" t="s">
        <v>1155</v>
      </c>
      <c r="AJ1492" s="364" t="s">
        <v>710</v>
      </c>
      <c r="AK1492" s="364" t="s">
        <v>88</v>
      </c>
      <c r="AL1492" s="364" t="s">
        <v>88</v>
      </c>
      <c r="AM1492" s="364" t="s">
        <v>668</v>
      </c>
      <c r="AN1492" s="364" t="s">
        <v>644</v>
      </c>
    </row>
    <row r="1493" spans="1:40" x14ac:dyDescent="0.3">
      <c r="A1493" s="364" t="s">
        <v>1190</v>
      </c>
      <c r="B1493" s="364" t="s">
        <v>661</v>
      </c>
      <c r="C1493" s="364" t="s">
        <v>1160</v>
      </c>
      <c r="D1493" s="364" t="s">
        <v>90</v>
      </c>
      <c r="E1493" s="364" t="s">
        <v>1189</v>
      </c>
      <c r="F1493" s="364" t="s">
        <v>1189</v>
      </c>
      <c r="G1493" s="364" t="s">
        <v>658</v>
      </c>
      <c r="H1493" s="364" t="s">
        <v>1188</v>
      </c>
      <c r="I1493" s="364" t="s">
        <v>88</v>
      </c>
      <c r="J1493" s="364" t="s">
        <v>673</v>
      </c>
      <c r="K1493" s="364" t="s">
        <v>668</v>
      </c>
      <c r="L1493" s="364" t="s">
        <v>190</v>
      </c>
      <c r="M1493" s="364" t="s">
        <v>1173</v>
      </c>
      <c r="N1493" s="364" t="s">
        <v>654</v>
      </c>
      <c r="O1493" s="364" t="s">
        <v>653</v>
      </c>
      <c r="P1493" s="364" t="s">
        <v>198</v>
      </c>
      <c r="Q1493" s="364" t="s">
        <v>652</v>
      </c>
      <c r="R1493" s="364" t="s">
        <v>88</v>
      </c>
      <c r="S1493" s="364" t="s">
        <v>88</v>
      </c>
      <c r="T1493" s="364" t="s">
        <v>88</v>
      </c>
      <c r="U1493" s="364" t="s">
        <v>88</v>
      </c>
      <c r="V1493" s="364" t="s">
        <v>88</v>
      </c>
      <c r="W1493" s="364" t="s">
        <v>88</v>
      </c>
      <c r="X1493" s="364" t="s">
        <v>88</v>
      </c>
      <c r="Y1493" s="364" t="s">
        <v>88</v>
      </c>
      <c r="Z1493" s="364" t="s">
        <v>1172</v>
      </c>
      <c r="AA1493" s="364" t="s">
        <v>1171</v>
      </c>
      <c r="AB1493" s="364" t="s">
        <v>649</v>
      </c>
      <c r="AC1493" s="364" t="s">
        <v>88</v>
      </c>
      <c r="AD1493" s="364" t="s">
        <v>88</v>
      </c>
      <c r="AE1493" s="364" t="s">
        <v>88</v>
      </c>
      <c r="AF1493" s="364" t="s">
        <v>88</v>
      </c>
      <c r="AG1493" s="364" t="s">
        <v>88</v>
      </c>
      <c r="AH1493" s="364" t="s">
        <v>88</v>
      </c>
      <c r="AI1493" s="364" t="s">
        <v>1155</v>
      </c>
      <c r="AJ1493" s="364" t="s">
        <v>710</v>
      </c>
      <c r="AK1493" s="364" t="s">
        <v>88</v>
      </c>
      <c r="AL1493" s="364" t="s">
        <v>88</v>
      </c>
      <c r="AM1493" s="364" t="s">
        <v>668</v>
      </c>
      <c r="AN1493" s="364" t="s">
        <v>644</v>
      </c>
    </row>
    <row r="1494" spans="1:40" x14ac:dyDescent="0.3">
      <c r="A1494" s="364" t="s">
        <v>1190</v>
      </c>
      <c r="B1494" s="364" t="s">
        <v>661</v>
      </c>
      <c r="C1494" s="364" t="s">
        <v>1160</v>
      </c>
      <c r="D1494" s="364" t="s">
        <v>90</v>
      </c>
      <c r="E1494" s="364" t="s">
        <v>1189</v>
      </c>
      <c r="F1494" s="364" t="s">
        <v>1189</v>
      </c>
      <c r="G1494" s="364" t="s">
        <v>658</v>
      </c>
      <c r="H1494" s="364" t="s">
        <v>1188</v>
      </c>
      <c r="I1494" s="364" t="s">
        <v>88</v>
      </c>
      <c r="J1494" s="364" t="s">
        <v>673</v>
      </c>
      <c r="K1494" s="364" t="s">
        <v>668</v>
      </c>
      <c r="L1494" s="364" t="s">
        <v>190</v>
      </c>
      <c r="M1494" s="364" t="s">
        <v>241</v>
      </c>
      <c r="N1494" s="364" t="s">
        <v>654</v>
      </c>
      <c r="O1494" s="364" t="s">
        <v>653</v>
      </c>
      <c r="P1494" s="364" t="s">
        <v>198</v>
      </c>
      <c r="Q1494" s="364" t="s">
        <v>652</v>
      </c>
      <c r="R1494" s="364" t="s">
        <v>88</v>
      </c>
      <c r="S1494" s="364" t="s">
        <v>88</v>
      </c>
      <c r="T1494" s="364" t="s">
        <v>88</v>
      </c>
      <c r="U1494" s="364" t="s">
        <v>88</v>
      </c>
      <c r="V1494" s="364" t="s">
        <v>88</v>
      </c>
      <c r="W1494" s="364" t="s">
        <v>88</v>
      </c>
      <c r="X1494" s="364" t="s">
        <v>88</v>
      </c>
      <c r="Y1494" s="364" t="s">
        <v>88</v>
      </c>
      <c r="Z1494" s="364" t="s">
        <v>1170</v>
      </c>
      <c r="AA1494" s="364" t="s">
        <v>1169</v>
      </c>
      <c r="AB1494" s="364" t="s">
        <v>649</v>
      </c>
      <c r="AC1494" s="364" t="s">
        <v>88</v>
      </c>
      <c r="AD1494" s="364" t="s">
        <v>88</v>
      </c>
      <c r="AE1494" s="364" t="s">
        <v>88</v>
      </c>
      <c r="AF1494" s="364" t="s">
        <v>88</v>
      </c>
      <c r="AG1494" s="364" t="s">
        <v>88</v>
      </c>
      <c r="AH1494" s="364" t="s">
        <v>88</v>
      </c>
      <c r="AI1494" s="364" t="s">
        <v>1155</v>
      </c>
      <c r="AJ1494" s="364" t="s">
        <v>710</v>
      </c>
      <c r="AK1494" s="364" t="s">
        <v>88</v>
      </c>
      <c r="AL1494" s="364" t="s">
        <v>88</v>
      </c>
      <c r="AM1494" s="364" t="s">
        <v>668</v>
      </c>
      <c r="AN1494" s="364" t="s">
        <v>644</v>
      </c>
    </row>
    <row r="1495" spans="1:40" x14ac:dyDescent="0.3">
      <c r="A1495" s="364" t="s">
        <v>1190</v>
      </c>
      <c r="B1495" s="364" t="s">
        <v>661</v>
      </c>
      <c r="C1495" s="364" t="s">
        <v>1160</v>
      </c>
      <c r="D1495" s="364" t="s">
        <v>90</v>
      </c>
      <c r="E1495" s="364" t="s">
        <v>1189</v>
      </c>
      <c r="F1495" s="364" t="s">
        <v>1189</v>
      </c>
      <c r="G1495" s="364" t="s">
        <v>658</v>
      </c>
      <c r="H1495" s="364" t="s">
        <v>1188</v>
      </c>
      <c r="I1495" s="364" t="s">
        <v>88</v>
      </c>
      <c r="J1495" s="364" t="s">
        <v>673</v>
      </c>
      <c r="K1495" s="364" t="s">
        <v>668</v>
      </c>
      <c r="L1495" s="364" t="s">
        <v>190</v>
      </c>
      <c r="M1495" s="364" t="s">
        <v>1168</v>
      </c>
      <c r="N1495" s="364" t="s">
        <v>654</v>
      </c>
      <c r="O1495" s="364" t="s">
        <v>653</v>
      </c>
      <c r="P1495" s="364" t="s">
        <v>198</v>
      </c>
      <c r="Q1495" s="364" t="s">
        <v>652</v>
      </c>
      <c r="R1495" s="364" t="s">
        <v>88</v>
      </c>
      <c r="S1495" s="364" t="s">
        <v>88</v>
      </c>
      <c r="T1495" s="364" t="s">
        <v>88</v>
      </c>
      <c r="U1495" s="364" t="s">
        <v>88</v>
      </c>
      <c r="V1495" s="364" t="s">
        <v>88</v>
      </c>
      <c r="W1495" s="364" t="s">
        <v>88</v>
      </c>
      <c r="X1495" s="364" t="s">
        <v>88</v>
      </c>
      <c r="Y1495" s="364" t="s">
        <v>88</v>
      </c>
      <c r="Z1495" s="364" t="s">
        <v>1167</v>
      </c>
      <c r="AA1495" s="364" t="s">
        <v>1166</v>
      </c>
      <c r="AB1495" s="364" t="s">
        <v>649</v>
      </c>
      <c r="AC1495" s="364" t="s">
        <v>88</v>
      </c>
      <c r="AD1495" s="364" t="s">
        <v>88</v>
      </c>
      <c r="AE1495" s="364" t="s">
        <v>88</v>
      </c>
      <c r="AF1495" s="364" t="s">
        <v>88</v>
      </c>
      <c r="AG1495" s="364" t="s">
        <v>88</v>
      </c>
      <c r="AH1495" s="364" t="s">
        <v>88</v>
      </c>
      <c r="AI1495" s="364" t="s">
        <v>1155</v>
      </c>
      <c r="AJ1495" s="364" t="s">
        <v>710</v>
      </c>
      <c r="AK1495" s="364" t="s">
        <v>88</v>
      </c>
      <c r="AL1495" s="364" t="s">
        <v>88</v>
      </c>
      <c r="AM1495" s="364" t="s">
        <v>668</v>
      </c>
      <c r="AN1495" s="364" t="s">
        <v>644</v>
      </c>
    </row>
    <row r="1496" spans="1:40" x14ac:dyDescent="0.3">
      <c r="A1496" s="364" t="s">
        <v>1190</v>
      </c>
      <c r="B1496" s="364" t="s">
        <v>661</v>
      </c>
      <c r="C1496" s="364" t="s">
        <v>1160</v>
      </c>
      <c r="D1496" s="364" t="s">
        <v>90</v>
      </c>
      <c r="E1496" s="364" t="s">
        <v>1189</v>
      </c>
      <c r="F1496" s="364" t="s">
        <v>1189</v>
      </c>
      <c r="G1496" s="364" t="s">
        <v>658</v>
      </c>
      <c r="H1496" s="364" t="s">
        <v>1188</v>
      </c>
      <c r="I1496" s="364" t="s">
        <v>88</v>
      </c>
      <c r="J1496" s="364" t="s">
        <v>673</v>
      </c>
      <c r="K1496" s="364" t="s">
        <v>668</v>
      </c>
      <c r="L1496" s="364" t="s">
        <v>190</v>
      </c>
      <c r="M1496" s="364" t="s">
        <v>713</v>
      </c>
      <c r="N1496" s="364" t="s">
        <v>654</v>
      </c>
      <c r="O1496" s="364" t="s">
        <v>653</v>
      </c>
      <c r="P1496" s="364" t="s">
        <v>198</v>
      </c>
      <c r="Q1496" s="364" t="s">
        <v>652</v>
      </c>
      <c r="R1496" s="364" t="s">
        <v>88</v>
      </c>
      <c r="S1496" s="364" t="s">
        <v>88</v>
      </c>
      <c r="T1496" s="364" t="s">
        <v>88</v>
      </c>
      <c r="U1496" s="364" t="s">
        <v>88</v>
      </c>
      <c r="V1496" s="364" t="s">
        <v>88</v>
      </c>
      <c r="W1496" s="364" t="s">
        <v>88</v>
      </c>
      <c r="X1496" s="364" t="s">
        <v>88</v>
      </c>
      <c r="Y1496" s="364" t="s">
        <v>88</v>
      </c>
      <c r="Z1496" s="364" t="s">
        <v>712</v>
      </c>
      <c r="AA1496" s="364" t="s">
        <v>711</v>
      </c>
      <c r="AB1496" s="364" t="s">
        <v>649</v>
      </c>
      <c r="AC1496" s="364" t="s">
        <v>88</v>
      </c>
      <c r="AD1496" s="364" t="s">
        <v>88</v>
      </c>
      <c r="AE1496" s="364" t="s">
        <v>88</v>
      </c>
      <c r="AF1496" s="364" t="s">
        <v>88</v>
      </c>
      <c r="AG1496" s="364" t="s">
        <v>88</v>
      </c>
      <c r="AH1496" s="364" t="s">
        <v>88</v>
      </c>
      <c r="AI1496" s="364" t="s">
        <v>1155</v>
      </c>
      <c r="AJ1496" s="364" t="s">
        <v>710</v>
      </c>
      <c r="AK1496" s="364" t="s">
        <v>88</v>
      </c>
      <c r="AL1496" s="364" t="s">
        <v>88</v>
      </c>
      <c r="AM1496" s="364" t="s">
        <v>668</v>
      </c>
      <c r="AN1496" s="364" t="s">
        <v>644</v>
      </c>
    </row>
    <row r="1497" spans="1:40" x14ac:dyDescent="0.3">
      <c r="A1497" s="364" t="s">
        <v>1190</v>
      </c>
      <c r="B1497" s="364" t="s">
        <v>661</v>
      </c>
      <c r="C1497" s="364" t="s">
        <v>1160</v>
      </c>
      <c r="D1497" s="364" t="s">
        <v>90</v>
      </c>
      <c r="E1497" s="364" t="s">
        <v>1189</v>
      </c>
      <c r="F1497" s="364" t="s">
        <v>1189</v>
      </c>
      <c r="G1497" s="364" t="s">
        <v>658</v>
      </c>
      <c r="H1497" s="364" t="s">
        <v>1188</v>
      </c>
      <c r="I1497" s="364" t="s">
        <v>88</v>
      </c>
      <c r="J1497" s="364" t="s">
        <v>673</v>
      </c>
      <c r="K1497" s="364" t="s">
        <v>668</v>
      </c>
      <c r="L1497" s="364" t="s">
        <v>190</v>
      </c>
      <c r="M1497" s="364" t="s">
        <v>56</v>
      </c>
      <c r="N1497" s="364" t="s">
        <v>654</v>
      </c>
      <c r="O1497" s="364" t="s">
        <v>653</v>
      </c>
      <c r="P1497" s="364" t="s">
        <v>198</v>
      </c>
      <c r="Q1497" s="364" t="s">
        <v>652</v>
      </c>
      <c r="R1497" s="364" t="s">
        <v>88</v>
      </c>
      <c r="S1497" s="364" t="s">
        <v>88</v>
      </c>
      <c r="T1497" s="364" t="s">
        <v>88</v>
      </c>
      <c r="U1497" s="364" t="s">
        <v>88</v>
      </c>
      <c r="V1497" s="364" t="s">
        <v>88</v>
      </c>
      <c r="W1497" s="364" t="s">
        <v>88</v>
      </c>
      <c r="X1497" s="364" t="s">
        <v>88</v>
      </c>
      <c r="Y1497" s="364" t="s">
        <v>88</v>
      </c>
      <c r="Z1497" s="364" t="s">
        <v>1165</v>
      </c>
      <c r="AA1497" s="364" t="s">
        <v>1164</v>
      </c>
      <c r="AB1497" s="364" t="s">
        <v>649</v>
      </c>
      <c r="AC1497" s="364" t="s">
        <v>88</v>
      </c>
      <c r="AD1497" s="364" t="s">
        <v>88</v>
      </c>
      <c r="AE1497" s="364" t="s">
        <v>88</v>
      </c>
      <c r="AF1497" s="364" t="s">
        <v>88</v>
      </c>
      <c r="AG1497" s="364" t="s">
        <v>88</v>
      </c>
      <c r="AH1497" s="364" t="s">
        <v>88</v>
      </c>
      <c r="AI1497" s="364" t="s">
        <v>1155</v>
      </c>
      <c r="AJ1497" s="364" t="s">
        <v>710</v>
      </c>
      <c r="AK1497" s="364" t="s">
        <v>88</v>
      </c>
      <c r="AL1497" s="364" t="s">
        <v>88</v>
      </c>
      <c r="AM1497" s="364" t="s">
        <v>668</v>
      </c>
      <c r="AN1497" s="364" t="s">
        <v>644</v>
      </c>
    </row>
    <row r="1498" spans="1:40" x14ac:dyDescent="0.3">
      <c r="A1498" s="364" t="s">
        <v>1190</v>
      </c>
      <c r="B1498" s="364" t="s">
        <v>661</v>
      </c>
      <c r="C1498" s="364" t="s">
        <v>1160</v>
      </c>
      <c r="D1498" s="364" t="s">
        <v>90</v>
      </c>
      <c r="E1498" s="364" t="s">
        <v>1189</v>
      </c>
      <c r="F1498" s="364" t="s">
        <v>1189</v>
      </c>
      <c r="G1498" s="364" t="s">
        <v>658</v>
      </c>
      <c r="H1498" s="364" t="s">
        <v>1188</v>
      </c>
      <c r="I1498" s="364" t="s">
        <v>88</v>
      </c>
      <c r="J1498" s="364" t="s">
        <v>673</v>
      </c>
      <c r="K1498" s="364" t="s">
        <v>668</v>
      </c>
      <c r="L1498" s="364" t="s">
        <v>190</v>
      </c>
      <c r="M1498" s="364" t="s">
        <v>240</v>
      </c>
      <c r="N1498" s="364" t="s">
        <v>654</v>
      </c>
      <c r="O1498" s="364" t="s">
        <v>653</v>
      </c>
      <c r="P1498" s="364" t="s">
        <v>198</v>
      </c>
      <c r="Q1498" s="364" t="s">
        <v>652</v>
      </c>
      <c r="R1498" s="364" t="s">
        <v>88</v>
      </c>
      <c r="S1498" s="364" t="s">
        <v>88</v>
      </c>
      <c r="T1498" s="364" t="s">
        <v>88</v>
      </c>
      <c r="U1498" s="364" t="s">
        <v>88</v>
      </c>
      <c r="V1498" s="364" t="s">
        <v>88</v>
      </c>
      <c r="W1498" s="364" t="s">
        <v>88</v>
      </c>
      <c r="X1498" s="364" t="s">
        <v>88</v>
      </c>
      <c r="Y1498" s="364" t="s">
        <v>88</v>
      </c>
      <c r="Z1498" s="364" t="s">
        <v>1163</v>
      </c>
      <c r="AA1498" s="364" t="s">
        <v>1162</v>
      </c>
      <c r="AB1498" s="364" t="s">
        <v>649</v>
      </c>
      <c r="AC1498" s="364" t="s">
        <v>88</v>
      </c>
      <c r="AD1498" s="364" t="s">
        <v>88</v>
      </c>
      <c r="AE1498" s="364" t="s">
        <v>88</v>
      </c>
      <c r="AF1498" s="364" t="s">
        <v>88</v>
      </c>
      <c r="AG1498" s="364" t="s">
        <v>88</v>
      </c>
      <c r="AH1498" s="364" t="s">
        <v>88</v>
      </c>
      <c r="AI1498" s="364" t="s">
        <v>1155</v>
      </c>
      <c r="AJ1498" s="364" t="s">
        <v>710</v>
      </c>
      <c r="AK1498" s="364" t="s">
        <v>88</v>
      </c>
      <c r="AL1498" s="364" t="s">
        <v>88</v>
      </c>
      <c r="AM1498" s="364" t="s">
        <v>668</v>
      </c>
      <c r="AN1498" s="364" t="s">
        <v>644</v>
      </c>
    </row>
    <row r="1499" spans="1:40" x14ac:dyDescent="0.3">
      <c r="A1499" s="364" t="s">
        <v>1190</v>
      </c>
      <c r="B1499" s="364" t="s">
        <v>661</v>
      </c>
      <c r="C1499" s="364" t="s">
        <v>1160</v>
      </c>
      <c r="D1499" s="364" t="s">
        <v>90</v>
      </c>
      <c r="E1499" s="364" t="s">
        <v>1189</v>
      </c>
      <c r="F1499" s="364" t="s">
        <v>1189</v>
      </c>
      <c r="G1499" s="364" t="s">
        <v>658</v>
      </c>
      <c r="H1499" s="364" t="s">
        <v>1188</v>
      </c>
      <c r="I1499" s="364" t="s">
        <v>88</v>
      </c>
      <c r="J1499" s="364" t="s">
        <v>673</v>
      </c>
      <c r="K1499" s="364" t="s">
        <v>668</v>
      </c>
      <c r="L1499" s="364" t="s">
        <v>190</v>
      </c>
      <c r="M1499" s="364" t="s">
        <v>61</v>
      </c>
      <c r="N1499" s="364" t="s">
        <v>654</v>
      </c>
      <c r="O1499" s="364" t="s">
        <v>653</v>
      </c>
      <c r="P1499" s="364" t="s">
        <v>198</v>
      </c>
      <c r="Q1499" s="364" t="s">
        <v>652</v>
      </c>
      <c r="R1499" s="364" t="s">
        <v>88</v>
      </c>
      <c r="S1499" s="364" t="s">
        <v>88</v>
      </c>
      <c r="T1499" s="364" t="s">
        <v>88</v>
      </c>
      <c r="U1499" s="364" t="s">
        <v>88</v>
      </c>
      <c r="V1499" s="364" t="s">
        <v>88</v>
      </c>
      <c r="W1499" s="364" t="s">
        <v>88</v>
      </c>
      <c r="X1499" s="364" t="s">
        <v>88</v>
      </c>
      <c r="Y1499" s="364" t="s">
        <v>88</v>
      </c>
      <c r="Z1499" s="364" t="s">
        <v>1021</v>
      </c>
      <c r="AA1499" s="364" t="s">
        <v>671</v>
      </c>
      <c r="AB1499" s="364" t="s">
        <v>649</v>
      </c>
      <c r="AC1499" s="364" t="s">
        <v>88</v>
      </c>
      <c r="AD1499" s="364" t="s">
        <v>88</v>
      </c>
      <c r="AE1499" s="364" t="s">
        <v>88</v>
      </c>
      <c r="AF1499" s="364" t="s">
        <v>88</v>
      </c>
      <c r="AG1499" s="364" t="s">
        <v>88</v>
      </c>
      <c r="AH1499" s="364" t="s">
        <v>88</v>
      </c>
      <c r="AI1499" s="364" t="s">
        <v>1155</v>
      </c>
      <c r="AJ1499" s="364" t="s">
        <v>710</v>
      </c>
      <c r="AK1499" s="364" t="s">
        <v>88</v>
      </c>
      <c r="AL1499" s="364" t="s">
        <v>88</v>
      </c>
      <c r="AM1499" s="364" t="s">
        <v>668</v>
      </c>
      <c r="AN1499" s="364" t="s">
        <v>644</v>
      </c>
    </row>
    <row r="1500" spans="1:40" x14ac:dyDescent="0.3">
      <c r="A1500" s="364" t="s">
        <v>1190</v>
      </c>
      <c r="B1500" s="364" t="s">
        <v>661</v>
      </c>
      <c r="C1500" s="364" t="s">
        <v>1160</v>
      </c>
      <c r="D1500" s="364" t="s">
        <v>90</v>
      </c>
      <c r="E1500" s="364" t="s">
        <v>1189</v>
      </c>
      <c r="F1500" s="364" t="s">
        <v>1189</v>
      </c>
      <c r="G1500" s="364" t="s">
        <v>658</v>
      </c>
      <c r="H1500" s="364" t="s">
        <v>1188</v>
      </c>
      <c r="I1500" s="364" t="s">
        <v>88</v>
      </c>
      <c r="J1500" s="364" t="s">
        <v>673</v>
      </c>
      <c r="K1500" s="364" t="s">
        <v>668</v>
      </c>
      <c r="L1500" s="364" t="s">
        <v>190</v>
      </c>
      <c r="M1500" s="364" t="s">
        <v>242</v>
      </c>
      <c r="N1500" s="364" t="s">
        <v>654</v>
      </c>
      <c r="O1500" s="364" t="s">
        <v>653</v>
      </c>
      <c r="P1500" s="364" t="s">
        <v>198</v>
      </c>
      <c r="Q1500" s="364" t="s">
        <v>652</v>
      </c>
      <c r="R1500" s="364" t="s">
        <v>88</v>
      </c>
      <c r="S1500" s="364" t="s">
        <v>88</v>
      </c>
      <c r="T1500" s="364" t="s">
        <v>88</v>
      </c>
      <c r="U1500" s="364" t="s">
        <v>88</v>
      </c>
      <c r="V1500" s="364" t="s">
        <v>88</v>
      </c>
      <c r="W1500" s="364" t="s">
        <v>88</v>
      </c>
      <c r="X1500" s="364" t="s">
        <v>88</v>
      </c>
      <c r="Y1500" s="364" t="s">
        <v>88</v>
      </c>
      <c r="Z1500" s="364" t="s">
        <v>1157</v>
      </c>
      <c r="AA1500" s="364" t="s">
        <v>1156</v>
      </c>
      <c r="AB1500" s="364" t="s">
        <v>649</v>
      </c>
      <c r="AC1500" s="364" t="s">
        <v>88</v>
      </c>
      <c r="AD1500" s="364" t="s">
        <v>88</v>
      </c>
      <c r="AE1500" s="364" t="s">
        <v>88</v>
      </c>
      <c r="AF1500" s="364" t="s">
        <v>88</v>
      </c>
      <c r="AG1500" s="364" t="s">
        <v>88</v>
      </c>
      <c r="AH1500" s="364" t="s">
        <v>88</v>
      </c>
      <c r="AI1500" s="364" t="s">
        <v>1155</v>
      </c>
      <c r="AJ1500" s="364" t="s">
        <v>710</v>
      </c>
      <c r="AK1500" s="364" t="s">
        <v>88</v>
      </c>
      <c r="AL1500" s="364" t="s">
        <v>88</v>
      </c>
      <c r="AM1500" s="364" t="s">
        <v>668</v>
      </c>
      <c r="AN1500" s="364" t="s">
        <v>644</v>
      </c>
    </row>
    <row r="1501" spans="1:40" x14ac:dyDescent="0.3">
      <c r="A1501" s="364" t="s">
        <v>1187</v>
      </c>
      <c r="B1501" s="364" t="s">
        <v>661</v>
      </c>
      <c r="C1501" s="364" t="s">
        <v>1160</v>
      </c>
      <c r="D1501" s="364" t="s">
        <v>90</v>
      </c>
      <c r="E1501" s="364" t="s">
        <v>1186</v>
      </c>
      <c r="F1501" s="364" t="s">
        <v>1186</v>
      </c>
      <c r="G1501" s="364" t="s">
        <v>658</v>
      </c>
      <c r="H1501" s="364" t="s">
        <v>1185</v>
      </c>
      <c r="I1501" s="364" t="s">
        <v>88</v>
      </c>
      <c r="J1501" s="364" t="s">
        <v>673</v>
      </c>
      <c r="K1501" s="364" t="s">
        <v>668</v>
      </c>
      <c r="L1501" s="364" t="s">
        <v>190</v>
      </c>
      <c r="M1501" s="364" t="s">
        <v>243</v>
      </c>
      <c r="N1501" s="364" t="s">
        <v>654</v>
      </c>
      <c r="O1501" s="364" t="s">
        <v>653</v>
      </c>
      <c r="P1501" s="364" t="s">
        <v>198</v>
      </c>
      <c r="Q1501" s="364" t="s">
        <v>652</v>
      </c>
      <c r="R1501" s="364" t="s">
        <v>88</v>
      </c>
      <c r="S1501" s="364" t="s">
        <v>88</v>
      </c>
      <c r="T1501" s="364" t="s">
        <v>88</v>
      </c>
      <c r="U1501" s="364" t="s">
        <v>88</v>
      </c>
      <c r="V1501" s="364" t="s">
        <v>88</v>
      </c>
      <c r="W1501" s="364" t="s">
        <v>88</v>
      </c>
      <c r="X1501" s="364" t="s">
        <v>88</v>
      </c>
      <c r="Y1501" s="364" t="s">
        <v>88</v>
      </c>
      <c r="Z1501" s="364" t="s">
        <v>1175</v>
      </c>
      <c r="AA1501" s="364" t="s">
        <v>1174</v>
      </c>
      <c r="AB1501" s="364" t="s">
        <v>649</v>
      </c>
      <c r="AC1501" s="364" t="s">
        <v>88</v>
      </c>
      <c r="AD1501" s="364" t="s">
        <v>88</v>
      </c>
      <c r="AE1501" s="364" t="s">
        <v>88</v>
      </c>
      <c r="AF1501" s="364" t="s">
        <v>88</v>
      </c>
      <c r="AG1501" s="364" t="s">
        <v>88</v>
      </c>
      <c r="AH1501" s="364" t="s">
        <v>88</v>
      </c>
      <c r="AI1501" s="364" t="s">
        <v>1155</v>
      </c>
      <c r="AJ1501" s="364" t="s">
        <v>710</v>
      </c>
      <c r="AK1501" s="364" t="s">
        <v>88</v>
      </c>
      <c r="AL1501" s="364" t="s">
        <v>88</v>
      </c>
      <c r="AM1501" s="364" t="s">
        <v>668</v>
      </c>
      <c r="AN1501" s="364" t="s">
        <v>644</v>
      </c>
    </row>
    <row r="1502" spans="1:40" x14ac:dyDescent="0.3">
      <c r="A1502" s="364" t="s">
        <v>1187</v>
      </c>
      <c r="B1502" s="364" t="s">
        <v>661</v>
      </c>
      <c r="C1502" s="364" t="s">
        <v>1160</v>
      </c>
      <c r="D1502" s="364" t="s">
        <v>90</v>
      </c>
      <c r="E1502" s="364" t="s">
        <v>1186</v>
      </c>
      <c r="F1502" s="364" t="s">
        <v>1186</v>
      </c>
      <c r="G1502" s="364" t="s">
        <v>658</v>
      </c>
      <c r="H1502" s="364" t="s">
        <v>1185</v>
      </c>
      <c r="I1502" s="364" t="s">
        <v>88</v>
      </c>
      <c r="J1502" s="364" t="s">
        <v>673</v>
      </c>
      <c r="K1502" s="364" t="s">
        <v>668</v>
      </c>
      <c r="L1502" s="364" t="s">
        <v>190</v>
      </c>
      <c r="M1502" s="364" t="s">
        <v>1173</v>
      </c>
      <c r="N1502" s="364" t="s">
        <v>654</v>
      </c>
      <c r="O1502" s="364" t="s">
        <v>653</v>
      </c>
      <c r="P1502" s="364" t="s">
        <v>198</v>
      </c>
      <c r="Q1502" s="364" t="s">
        <v>652</v>
      </c>
      <c r="R1502" s="364" t="s">
        <v>88</v>
      </c>
      <c r="S1502" s="364" t="s">
        <v>88</v>
      </c>
      <c r="T1502" s="364" t="s">
        <v>88</v>
      </c>
      <c r="U1502" s="364" t="s">
        <v>88</v>
      </c>
      <c r="V1502" s="364" t="s">
        <v>88</v>
      </c>
      <c r="W1502" s="364" t="s">
        <v>88</v>
      </c>
      <c r="X1502" s="364" t="s">
        <v>88</v>
      </c>
      <c r="Y1502" s="364" t="s">
        <v>88</v>
      </c>
      <c r="Z1502" s="364" t="s">
        <v>1172</v>
      </c>
      <c r="AA1502" s="364" t="s">
        <v>1171</v>
      </c>
      <c r="AB1502" s="364" t="s">
        <v>649</v>
      </c>
      <c r="AC1502" s="364" t="s">
        <v>88</v>
      </c>
      <c r="AD1502" s="364" t="s">
        <v>88</v>
      </c>
      <c r="AE1502" s="364" t="s">
        <v>88</v>
      </c>
      <c r="AF1502" s="364" t="s">
        <v>88</v>
      </c>
      <c r="AG1502" s="364" t="s">
        <v>88</v>
      </c>
      <c r="AH1502" s="364" t="s">
        <v>88</v>
      </c>
      <c r="AI1502" s="364" t="s">
        <v>1155</v>
      </c>
      <c r="AJ1502" s="364" t="s">
        <v>710</v>
      </c>
      <c r="AK1502" s="364" t="s">
        <v>88</v>
      </c>
      <c r="AL1502" s="364" t="s">
        <v>88</v>
      </c>
      <c r="AM1502" s="364" t="s">
        <v>668</v>
      </c>
      <c r="AN1502" s="364" t="s">
        <v>644</v>
      </c>
    </row>
    <row r="1503" spans="1:40" x14ac:dyDescent="0.3">
      <c r="A1503" s="364" t="s">
        <v>1187</v>
      </c>
      <c r="B1503" s="364" t="s">
        <v>661</v>
      </c>
      <c r="C1503" s="364" t="s">
        <v>1160</v>
      </c>
      <c r="D1503" s="364" t="s">
        <v>90</v>
      </c>
      <c r="E1503" s="364" t="s">
        <v>1186</v>
      </c>
      <c r="F1503" s="364" t="s">
        <v>1186</v>
      </c>
      <c r="G1503" s="364" t="s">
        <v>658</v>
      </c>
      <c r="H1503" s="364" t="s">
        <v>1185</v>
      </c>
      <c r="I1503" s="364" t="s">
        <v>88</v>
      </c>
      <c r="J1503" s="364" t="s">
        <v>673</v>
      </c>
      <c r="K1503" s="364" t="s">
        <v>668</v>
      </c>
      <c r="L1503" s="364" t="s">
        <v>190</v>
      </c>
      <c r="M1503" s="364" t="s">
        <v>241</v>
      </c>
      <c r="N1503" s="364" t="s">
        <v>654</v>
      </c>
      <c r="O1503" s="364" t="s">
        <v>653</v>
      </c>
      <c r="P1503" s="364" t="s">
        <v>198</v>
      </c>
      <c r="Q1503" s="364" t="s">
        <v>652</v>
      </c>
      <c r="R1503" s="364" t="s">
        <v>88</v>
      </c>
      <c r="S1503" s="364" t="s">
        <v>88</v>
      </c>
      <c r="T1503" s="364" t="s">
        <v>88</v>
      </c>
      <c r="U1503" s="364" t="s">
        <v>88</v>
      </c>
      <c r="V1503" s="364" t="s">
        <v>88</v>
      </c>
      <c r="W1503" s="364" t="s">
        <v>88</v>
      </c>
      <c r="X1503" s="364" t="s">
        <v>88</v>
      </c>
      <c r="Y1503" s="364" t="s">
        <v>88</v>
      </c>
      <c r="Z1503" s="364" t="s">
        <v>1170</v>
      </c>
      <c r="AA1503" s="364" t="s">
        <v>1169</v>
      </c>
      <c r="AB1503" s="364" t="s">
        <v>649</v>
      </c>
      <c r="AC1503" s="364" t="s">
        <v>88</v>
      </c>
      <c r="AD1503" s="364" t="s">
        <v>88</v>
      </c>
      <c r="AE1503" s="364" t="s">
        <v>88</v>
      </c>
      <c r="AF1503" s="364" t="s">
        <v>88</v>
      </c>
      <c r="AG1503" s="364" t="s">
        <v>88</v>
      </c>
      <c r="AH1503" s="364" t="s">
        <v>88</v>
      </c>
      <c r="AI1503" s="364" t="s">
        <v>1155</v>
      </c>
      <c r="AJ1503" s="364" t="s">
        <v>710</v>
      </c>
      <c r="AK1503" s="364" t="s">
        <v>88</v>
      </c>
      <c r="AL1503" s="364" t="s">
        <v>88</v>
      </c>
      <c r="AM1503" s="364" t="s">
        <v>668</v>
      </c>
      <c r="AN1503" s="364" t="s">
        <v>644</v>
      </c>
    </row>
    <row r="1504" spans="1:40" x14ac:dyDescent="0.3">
      <c r="A1504" s="364" t="s">
        <v>1187</v>
      </c>
      <c r="B1504" s="364" t="s">
        <v>661</v>
      </c>
      <c r="C1504" s="364" t="s">
        <v>1160</v>
      </c>
      <c r="D1504" s="364" t="s">
        <v>90</v>
      </c>
      <c r="E1504" s="364" t="s">
        <v>1186</v>
      </c>
      <c r="F1504" s="364" t="s">
        <v>1186</v>
      </c>
      <c r="G1504" s="364" t="s">
        <v>658</v>
      </c>
      <c r="H1504" s="364" t="s">
        <v>1185</v>
      </c>
      <c r="I1504" s="364" t="s">
        <v>88</v>
      </c>
      <c r="J1504" s="364" t="s">
        <v>673</v>
      </c>
      <c r="K1504" s="364" t="s">
        <v>668</v>
      </c>
      <c r="L1504" s="364" t="s">
        <v>190</v>
      </c>
      <c r="M1504" s="364" t="s">
        <v>1168</v>
      </c>
      <c r="N1504" s="364" t="s">
        <v>654</v>
      </c>
      <c r="O1504" s="364" t="s">
        <v>653</v>
      </c>
      <c r="P1504" s="364" t="s">
        <v>198</v>
      </c>
      <c r="Q1504" s="364" t="s">
        <v>652</v>
      </c>
      <c r="R1504" s="364" t="s">
        <v>88</v>
      </c>
      <c r="S1504" s="364" t="s">
        <v>88</v>
      </c>
      <c r="T1504" s="364" t="s">
        <v>88</v>
      </c>
      <c r="U1504" s="364" t="s">
        <v>88</v>
      </c>
      <c r="V1504" s="364" t="s">
        <v>88</v>
      </c>
      <c r="W1504" s="364" t="s">
        <v>88</v>
      </c>
      <c r="X1504" s="364" t="s">
        <v>88</v>
      </c>
      <c r="Y1504" s="364" t="s">
        <v>88</v>
      </c>
      <c r="Z1504" s="364" t="s">
        <v>1167</v>
      </c>
      <c r="AA1504" s="364" t="s">
        <v>1166</v>
      </c>
      <c r="AB1504" s="364" t="s">
        <v>649</v>
      </c>
      <c r="AC1504" s="364" t="s">
        <v>88</v>
      </c>
      <c r="AD1504" s="364" t="s">
        <v>88</v>
      </c>
      <c r="AE1504" s="364" t="s">
        <v>88</v>
      </c>
      <c r="AF1504" s="364" t="s">
        <v>88</v>
      </c>
      <c r="AG1504" s="364" t="s">
        <v>88</v>
      </c>
      <c r="AH1504" s="364" t="s">
        <v>88</v>
      </c>
      <c r="AI1504" s="364" t="s">
        <v>1155</v>
      </c>
      <c r="AJ1504" s="364" t="s">
        <v>710</v>
      </c>
      <c r="AK1504" s="364" t="s">
        <v>88</v>
      </c>
      <c r="AL1504" s="364" t="s">
        <v>88</v>
      </c>
      <c r="AM1504" s="364" t="s">
        <v>668</v>
      </c>
      <c r="AN1504" s="364" t="s">
        <v>644</v>
      </c>
    </row>
    <row r="1505" spans="1:40" x14ac:dyDescent="0.3">
      <c r="A1505" s="364" t="s">
        <v>1187</v>
      </c>
      <c r="B1505" s="364" t="s">
        <v>661</v>
      </c>
      <c r="C1505" s="364" t="s">
        <v>1160</v>
      </c>
      <c r="D1505" s="364" t="s">
        <v>90</v>
      </c>
      <c r="E1505" s="364" t="s">
        <v>1186</v>
      </c>
      <c r="F1505" s="364" t="s">
        <v>1186</v>
      </c>
      <c r="G1505" s="364" t="s">
        <v>658</v>
      </c>
      <c r="H1505" s="364" t="s">
        <v>1185</v>
      </c>
      <c r="I1505" s="364" t="s">
        <v>88</v>
      </c>
      <c r="J1505" s="364" t="s">
        <v>673</v>
      </c>
      <c r="K1505" s="364" t="s">
        <v>668</v>
      </c>
      <c r="L1505" s="364" t="s">
        <v>190</v>
      </c>
      <c r="M1505" s="364" t="s">
        <v>713</v>
      </c>
      <c r="N1505" s="364" t="s">
        <v>654</v>
      </c>
      <c r="O1505" s="364" t="s">
        <v>653</v>
      </c>
      <c r="P1505" s="364" t="s">
        <v>198</v>
      </c>
      <c r="Q1505" s="364" t="s">
        <v>652</v>
      </c>
      <c r="R1505" s="364" t="s">
        <v>88</v>
      </c>
      <c r="S1505" s="364" t="s">
        <v>88</v>
      </c>
      <c r="T1505" s="364" t="s">
        <v>88</v>
      </c>
      <c r="U1505" s="364" t="s">
        <v>88</v>
      </c>
      <c r="V1505" s="364" t="s">
        <v>88</v>
      </c>
      <c r="W1505" s="364" t="s">
        <v>88</v>
      </c>
      <c r="X1505" s="364" t="s">
        <v>88</v>
      </c>
      <c r="Y1505" s="364" t="s">
        <v>88</v>
      </c>
      <c r="Z1505" s="364" t="s">
        <v>712</v>
      </c>
      <c r="AA1505" s="364" t="s">
        <v>711</v>
      </c>
      <c r="AB1505" s="364" t="s">
        <v>649</v>
      </c>
      <c r="AC1505" s="364" t="s">
        <v>88</v>
      </c>
      <c r="AD1505" s="364" t="s">
        <v>88</v>
      </c>
      <c r="AE1505" s="364" t="s">
        <v>88</v>
      </c>
      <c r="AF1505" s="364" t="s">
        <v>88</v>
      </c>
      <c r="AG1505" s="364" t="s">
        <v>88</v>
      </c>
      <c r="AH1505" s="364" t="s">
        <v>88</v>
      </c>
      <c r="AI1505" s="364" t="s">
        <v>1155</v>
      </c>
      <c r="AJ1505" s="364" t="s">
        <v>710</v>
      </c>
      <c r="AK1505" s="364" t="s">
        <v>88</v>
      </c>
      <c r="AL1505" s="364" t="s">
        <v>88</v>
      </c>
      <c r="AM1505" s="364" t="s">
        <v>668</v>
      </c>
      <c r="AN1505" s="364" t="s">
        <v>644</v>
      </c>
    </row>
    <row r="1506" spans="1:40" x14ac:dyDescent="0.3">
      <c r="A1506" s="364" t="s">
        <v>1187</v>
      </c>
      <c r="B1506" s="364" t="s">
        <v>661</v>
      </c>
      <c r="C1506" s="364" t="s">
        <v>1160</v>
      </c>
      <c r="D1506" s="364" t="s">
        <v>90</v>
      </c>
      <c r="E1506" s="364" t="s">
        <v>1186</v>
      </c>
      <c r="F1506" s="364" t="s">
        <v>1186</v>
      </c>
      <c r="G1506" s="364" t="s">
        <v>658</v>
      </c>
      <c r="H1506" s="364" t="s">
        <v>1185</v>
      </c>
      <c r="I1506" s="364" t="s">
        <v>88</v>
      </c>
      <c r="J1506" s="364" t="s">
        <v>673</v>
      </c>
      <c r="K1506" s="364" t="s">
        <v>668</v>
      </c>
      <c r="L1506" s="364" t="s">
        <v>190</v>
      </c>
      <c r="M1506" s="364" t="s">
        <v>56</v>
      </c>
      <c r="N1506" s="364" t="s">
        <v>654</v>
      </c>
      <c r="O1506" s="364" t="s">
        <v>653</v>
      </c>
      <c r="P1506" s="364" t="s">
        <v>198</v>
      </c>
      <c r="Q1506" s="364" t="s">
        <v>652</v>
      </c>
      <c r="R1506" s="364" t="s">
        <v>88</v>
      </c>
      <c r="S1506" s="364" t="s">
        <v>88</v>
      </c>
      <c r="T1506" s="364" t="s">
        <v>88</v>
      </c>
      <c r="U1506" s="364" t="s">
        <v>88</v>
      </c>
      <c r="V1506" s="364" t="s">
        <v>88</v>
      </c>
      <c r="W1506" s="364" t="s">
        <v>88</v>
      </c>
      <c r="X1506" s="364" t="s">
        <v>88</v>
      </c>
      <c r="Y1506" s="364" t="s">
        <v>88</v>
      </c>
      <c r="Z1506" s="364" t="s">
        <v>1165</v>
      </c>
      <c r="AA1506" s="364" t="s">
        <v>1164</v>
      </c>
      <c r="AB1506" s="364" t="s">
        <v>649</v>
      </c>
      <c r="AC1506" s="364" t="s">
        <v>88</v>
      </c>
      <c r="AD1506" s="364" t="s">
        <v>88</v>
      </c>
      <c r="AE1506" s="364" t="s">
        <v>88</v>
      </c>
      <c r="AF1506" s="364" t="s">
        <v>88</v>
      </c>
      <c r="AG1506" s="364" t="s">
        <v>88</v>
      </c>
      <c r="AH1506" s="364" t="s">
        <v>88</v>
      </c>
      <c r="AI1506" s="364" t="s">
        <v>1155</v>
      </c>
      <c r="AJ1506" s="364" t="s">
        <v>710</v>
      </c>
      <c r="AK1506" s="364" t="s">
        <v>88</v>
      </c>
      <c r="AL1506" s="364" t="s">
        <v>88</v>
      </c>
      <c r="AM1506" s="364" t="s">
        <v>668</v>
      </c>
      <c r="AN1506" s="364" t="s">
        <v>644</v>
      </c>
    </row>
    <row r="1507" spans="1:40" x14ac:dyDescent="0.3">
      <c r="A1507" s="364" t="s">
        <v>1187</v>
      </c>
      <c r="B1507" s="364" t="s">
        <v>661</v>
      </c>
      <c r="C1507" s="364" t="s">
        <v>1160</v>
      </c>
      <c r="D1507" s="364" t="s">
        <v>90</v>
      </c>
      <c r="E1507" s="364" t="s">
        <v>1186</v>
      </c>
      <c r="F1507" s="364" t="s">
        <v>1186</v>
      </c>
      <c r="G1507" s="364" t="s">
        <v>658</v>
      </c>
      <c r="H1507" s="364" t="s">
        <v>1185</v>
      </c>
      <c r="I1507" s="364" t="s">
        <v>88</v>
      </c>
      <c r="J1507" s="364" t="s">
        <v>673</v>
      </c>
      <c r="K1507" s="364" t="s">
        <v>668</v>
      </c>
      <c r="L1507" s="364" t="s">
        <v>190</v>
      </c>
      <c r="M1507" s="364" t="s">
        <v>240</v>
      </c>
      <c r="N1507" s="364" t="s">
        <v>654</v>
      </c>
      <c r="O1507" s="364" t="s">
        <v>653</v>
      </c>
      <c r="P1507" s="364" t="s">
        <v>198</v>
      </c>
      <c r="Q1507" s="364" t="s">
        <v>652</v>
      </c>
      <c r="R1507" s="364" t="s">
        <v>88</v>
      </c>
      <c r="S1507" s="364" t="s">
        <v>88</v>
      </c>
      <c r="T1507" s="364" t="s">
        <v>88</v>
      </c>
      <c r="U1507" s="364" t="s">
        <v>88</v>
      </c>
      <c r="V1507" s="364" t="s">
        <v>88</v>
      </c>
      <c r="W1507" s="364" t="s">
        <v>88</v>
      </c>
      <c r="X1507" s="364" t="s">
        <v>88</v>
      </c>
      <c r="Y1507" s="364" t="s">
        <v>88</v>
      </c>
      <c r="Z1507" s="364" t="s">
        <v>1163</v>
      </c>
      <c r="AA1507" s="364" t="s">
        <v>1162</v>
      </c>
      <c r="AB1507" s="364" t="s">
        <v>649</v>
      </c>
      <c r="AC1507" s="364" t="s">
        <v>88</v>
      </c>
      <c r="AD1507" s="364" t="s">
        <v>88</v>
      </c>
      <c r="AE1507" s="364" t="s">
        <v>88</v>
      </c>
      <c r="AF1507" s="364" t="s">
        <v>88</v>
      </c>
      <c r="AG1507" s="364" t="s">
        <v>88</v>
      </c>
      <c r="AH1507" s="364" t="s">
        <v>88</v>
      </c>
      <c r="AI1507" s="364" t="s">
        <v>1155</v>
      </c>
      <c r="AJ1507" s="364" t="s">
        <v>710</v>
      </c>
      <c r="AK1507" s="364" t="s">
        <v>88</v>
      </c>
      <c r="AL1507" s="364" t="s">
        <v>88</v>
      </c>
      <c r="AM1507" s="364" t="s">
        <v>668</v>
      </c>
      <c r="AN1507" s="364" t="s">
        <v>644</v>
      </c>
    </row>
    <row r="1508" spans="1:40" x14ac:dyDescent="0.3">
      <c r="A1508" s="364" t="s">
        <v>1187</v>
      </c>
      <c r="B1508" s="364" t="s">
        <v>661</v>
      </c>
      <c r="C1508" s="364" t="s">
        <v>1160</v>
      </c>
      <c r="D1508" s="364" t="s">
        <v>90</v>
      </c>
      <c r="E1508" s="364" t="s">
        <v>1186</v>
      </c>
      <c r="F1508" s="364" t="s">
        <v>1186</v>
      </c>
      <c r="G1508" s="364" t="s">
        <v>658</v>
      </c>
      <c r="H1508" s="364" t="s">
        <v>1185</v>
      </c>
      <c r="I1508" s="364" t="s">
        <v>88</v>
      </c>
      <c r="J1508" s="364" t="s">
        <v>673</v>
      </c>
      <c r="K1508" s="364" t="s">
        <v>668</v>
      </c>
      <c r="L1508" s="364" t="s">
        <v>190</v>
      </c>
      <c r="M1508" s="364" t="s">
        <v>61</v>
      </c>
      <c r="N1508" s="364" t="s">
        <v>654</v>
      </c>
      <c r="O1508" s="364" t="s">
        <v>653</v>
      </c>
      <c r="P1508" s="364" t="s">
        <v>198</v>
      </c>
      <c r="Q1508" s="364" t="s">
        <v>652</v>
      </c>
      <c r="R1508" s="364" t="s">
        <v>88</v>
      </c>
      <c r="S1508" s="364" t="s">
        <v>88</v>
      </c>
      <c r="T1508" s="364" t="s">
        <v>88</v>
      </c>
      <c r="U1508" s="364" t="s">
        <v>88</v>
      </c>
      <c r="V1508" s="364" t="s">
        <v>88</v>
      </c>
      <c r="W1508" s="364" t="s">
        <v>88</v>
      </c>
      <c r="X1508" s="364" t="s">
        <v>88</v>
      </c>
      <c r="Y1508" s="364" t="s">
        <v>88</v>
      </c>
      <c r="Z1508" s="364" t="s">
        <v>1021</v>
      </c>
      <c r="AA1508" s="364" t="s">
        <v>671</v>
      </c>
      <c r="AB1508" s="364" t="s">
        <v>649</v>
      </c>
      <c r="AC1508" s="364" t="s">
        <v>88</v>
      </c>
      <c r="AD1508" s="364" t="s">
        <v>88</v>
      </c>
      <c r="AE1508" s="364" t="s">
        <v>88</v>
      </c>
      <c r="AF1508" s="364" t="s">
        <v>88</v>
      </c>
      <c r="AG1508" s="364" t="s">
        <v>88</v>
      </c>
      <c r="AH1508" s="364" t="s">
        <v>88</v>
      </c>
      <c r="AI1508" s="364" t="s">
        <v>1155</v>
      </c>
      <c r="AJ1508" s="364" t="s">
        <v>710</v>
      </c>
      <c r="AK1508" s="364" t="s">
        <v>88</v>
      </c>
      <c r="AL1508" s="364" t="s">
        <v>88</v>
      </c>
      <c r="AM1508" s="364" t="s">
        <v>668</v>
      </c>
      <c r="AN1508" s="364" t="s">
        <v>644</v>
      </c>
    </row>
    <row r="1509" spans="1:40" x14ac:dyDescent="0.3">
      <c r="A1509" s="364" t="s">
        <v>1187</v>
      </c>
      <c r="B1509" s="364" t="s">
        <v>661</v>
      </c>
      <c r="C1509" s="364" t="s">
        <v>1160</v>
      </c>
      <c r="D1509" s="364" t="s">
        <v>90</v>
      </c>
      <c r="E1509" s="364" t="s">
        <v>1186</v>
      </c>
      <c r="F1509" s="364" t="s">
        <v>1186</v>
      </c>
      <c r="G1509" s="364" t="s">
        <v>658</v>
      </c>
      <c r="H1509" s="364" t="s">
        <v>1185</v>
      </c>
      <c r="I1509" s="364" t="s">
        <v>88</v>
      </c>
      <c r="J1509" s="364" t="s">
        <v>673</v>
      </c>
      <c r="K1509" s="364" t="s">
        <v>668</v>
      </c>
      <c r="L1509" s="364" t="s">
        <v>190</v>
      </c>
      <c r="M1509" s="364" t="s">
        <v>242</v>
      </c>
      <c r="N1509" s="364" t="s">
        <v>654</v>
      </c>
      <c r="O1509" s="364" t="s">
        <v>653</v>
      </c>
      <c r="P1509" s="364" t="s">
        <v>198</v>
      </c>
      <c r="Q1509" s="364" t="s">
        <v>652</v>
      </c>
      <c r="R1509" s="364" t="s">
        <v>88</v>
      </c>
      <c r="S1509" s="364" t="s">
        <v>88</v>
      </c>
      <c r="T1509" s="364" t="s">
        <v>88</v>
      </c>
      <c r="U1509" s="364" t="s">
        <v>88</v>
      </c>
      <c r="V1509" s="364" t="s">
        <v>88</v>
      </c>
      <c r="W1509" s="364" t="s">
        <v>88</v>
      </c>
      <c r="X1509" s="364" t="s">
        <v>88</v>
      </c>
      <c r="Y1509" s="364" t="s">
        <v>88</v>
      </c>
      <c r="Z1509" s="364" t="s">
        <v>1157</v>
      </c>
      <c r="AA1509" s="364" t="s">
        <v>1156</v>
      </c>
      <c r="AB1509" s="364" t="s">
        <v>649</v>
      </c>
      <c r="AC1509" s="364" t="s">
        <v>88</v>
      </c>
      <c r="AD1509" s="364" t="s">
        <v>88</v>
      </c>
      <c r="AE1509" s="364" t="s">
        <v>88</v>
      </c>
      <c r="AF1509" s="364" t="s">
        <v>88</v>
      </c>
      <c r="AG1509" s="364" t="s">
        <v>88</v>
      </c>
      <c r="AH1509" s="364" t="s">
        <v>88</v>
      </c>
      <c r="AI1509" s="364" t="s">
        <v>1155</v>
      </c>
      <c r="AJ1509" s="364" t="s">
        <v>710</v>
      </c>
      <c r="AK1509" s="364" t="s">
        <v>88</v>
      </c>
      <c r="AL1509" s="364" t="s">
        <v>88</v>
      </c>
      <c r="AM1509" s="364" t="s">
        <v>668</v>
      </c>
      <c r="AN1509" s="364" t="s">
        <v>644</v>
      </c>
    </row>
    <row r="1510" spans="1:40" x14ac:dyDescent="0.3">
      <c r="A1510" s="364" t="s">
        <v>1184</v>
      </c>
      <c r="B1510" s="364" t="s">
        <v>661</v>
      </c>
      <c r="C1510" s="364" t="s">
        <v>1160</v>
      </c>
      <c r="D1510" s="364" t="s">
        <v>90</v>
      </c>
      <c r="E1510" s="364" t="s">
        <v>1183</v>
      </c>
      <c r="F1510" s="364" t="s">
        <v>1183</v>
      </c>
      <c r="G1510" s="364" t="s">
        <v>658</v>
      </c>
      <c r="H1510" s="364" t="s">
        <v>1182</v>
      </c>
      <c r="I1510" s="364" t="s">
        <v>88</v>
      </c>
      <c r="J1510" s="364" t="s">
        <v>673</v>
      </c>
      <c r="K1510" s="364" t="s">
        <v>668</v>
      </c>
      <c r="L1510" s="364" t="s">
        <v>190</v>
      </c>
      <c r="M1510" s="364" t="s">
        <v>243</v>
      </c>
      <c r="N1510" s="364" t="s">
        <v>654</v>
      </c>
      <c r="O1510" s="364" t="s">
        <v>653</v>
      </c>
      <c r="P1510" s="364" t="s">
        <v>198</v>
      </c>
      <c r="Q1510" s="364" t="s">
        <v>652</v>
      </c>
      <c r="R1510" s="364" t="s">
        <v>88</v>
      </c>
      <c r="S1510" s="364" t="s">
        <v>88</v>
      </c>
      <c r="T1510" s="364" t="s">
        <v>88</v>
      </c>
      <c r="U1510" s="364" t="s">
        <v>88</v>
      </c>
      <c r="V1510" s="364" t="s">
        <v>88</v>
      </c>
      <c r="W1510" s="364" t="s">
        <v>88</v>
      </c>
      <c r="X1510" s="364" t="s">
        <v>88</v>
      </c>
      <c r="Y1510" s="364" t="s">
        <v>88</v>
      </c>
      <c r="Z1510" s="364" t="s">
        <v>1175</v>
      </c>
      <c r="AA1510" s="364" t="s">
        <v>1174</v>
      </c>
      <c r="AB1510" s="364" t="s">
        <v>649</v>
      </c>
      <c r="AC1510" s="364" t="s">
        <v>88</v>
      </c>
      <c r="AD1510" s="364" t="s">
        <v>88</v>
      </c>
      <c r="AE1510" s="364" t="s">
        <v>88</v>
      </c>
      <c r="AF1510" s="364" t="s">
        <v>88</v>
      </c>
      <c r="AG1510" s="364" t="s">
        <v>88</v>
      </c>
      <c r="AH1510" s="364" t="s">
        <v>88</v>
      </c>
      <c r="AI1510" s="364" t="s">
        <v>1155</v>
      </c>
      <c r="AJ1510" s="364" t="s">
        <v>710</v>
      </c>
      <c r="AK1510" s="364" t="s">
        <v>88</v>
      </c>
      <c r="AL1510" s="364" t="s">
        <v>88</v>
      </c>
      <c r="AM1510" s="364" t="s">
        <v>668</v>
      </c>
      <c r="AN1510" s="364" t="s">
        <v>644</v>
      </c>
    </row>
    <row r="1511" spans="1:40" x14ac:dyDescent="0.3">
      <c r="A1511" s="364" t="s">
        <v>1184</v>
      </c>
      <c r="B1511" s="364" t="s">
        <v>661</v>
      </c>
      <c r="C1511" s="364" t="s">
        <v>1160</v>
      </c>
      <c r="D1511" s="364" t="s">
        <v>90</v>
      </c>
      <c r="E1511" s="364" t="s">
        <v>1183</v>
      </c>
      <c r="F1511" s="364" t="s">
        <v>1183</v>
      </c>
      <c r="G1511" s="364" t="s">
        <v>658</v>
      </c>
      <c r="H1511" s="364" t="s">
        <v>1182</v>
      </c>
      <c r="I1511" s="364" t="s">
        <v>88</v>
      </c>
      <c r="J1511" s="364" t="s">
        <v>673</v>
      </c>
      <c r="K1511" s="364" t="s">
        <v>668</v>
      </c>
      <c r="L1511" s="364" t="s">
        <v>190</v>
      </c>
      <c r="M1511" s="364" t="s">
        <v>1173</v>
      </c>
      <c r="N1511" s="364" t="s">
        <v>654</v>
      </c>
      <c r="O1511" s="364" t="s">
        <v>653</v>
      </c>
      <c r="P1511" s="364" t="s">
        <v>198</v>
      </c>
      <c r="Q1511" s="364" t="s">
        <v>652</v>
      </c>
      <c r="R1511" s="364" t="s">
        <v>88</v>
      </c>
      <c r="S1511" s="364" t="s">
        <v>88</v>
      </c>
      <c r="T1511" s="364" t="s">
        <v>88</v>
      </c>
      <c r="U1511" s="364" t="s">
        <v>88</v>
      </c>
      <c r="V1511" s="364" t="s">
        <v>88</v>
      </c>
      <c r="W1511" s="364" t="s">
        <v>88</v>
      </c>
      <c r="X1511" s="364" t="s">
        <v>88</v>
      </c>
      <c r="Y1511" s="364" t="s">
        <v>88</v>
      </c>
      <c r="Z1511" s="364" t="s">
        <v>1172</v>
      </c>
      <c r="AA1511" s="364" t="s">
        <v>1171</v>
      </c>
      <c r="AB1511" s="364" t="s">
        <v>649</v>
      </c>
      <c r="AC1511" s="364" t="s">
        <v>88</v>
      </c>
      <c r="AD1511" s="364" t="s">
        <v>88</v>
      </c>
      <c r="AE1511" s="364" t="s">
        <v>88</v>
      </c>
      <c r="AF1511" s="364" t="s">
        <v>88</v>
      </c>
      <c r="AG1511" s="364" t="s">
        <v>88</v>
      </c>
      <c r="AH1511" s="364" t="s">
        <v>88</v>
      </c>
      <c r="AI1511" s="364" t="s">
        <v>1155</v>
      </c>
      <c r="AJ1511" s="364" t="s">
        <v>710</v>
      </c>
      <c r="AK1511" s="364" t="s">
        <v>88</v>
      </c>
      <c r="AL1511" s="364" t="s">
        <v>88</v>
      </c>
      <c r="AM1511" s="364" t="s">
        <v>668</v>
      </c>
      <c r="AN1511" s="364" t="s">
        <v>644</v>
      </c>
    </row>
    <row r="1512" spans="1:40" x14ac:dyDescent="0.3">
      <c r="A1512" s="364" t="s">
        <v>1184</v>
      </c>
      <c r="B1512" s="364" t="s">
        <v>661</v>
      </c>
      <c r="C1512" s="364" t="s">
        <v>1160</v>
      </c>
      <c r="D1512" s="364" t="s">
        <v>90</v>
      </c>
      <c r="E1512" s="364" t="s">
        <v>1183</v>
      </c>
      <c r="F1512" s="364" t="s">
        <v>1183</v>
      </c>
      <c r="G1512" s="364" t="s">
        <v>658</v>
      </c>
      <c r="H1512" s="364" t="s">
        <v>1182</v>
      </c>
      <c r="I1512" s="364" t="s">
        <v>88</v>
      </c>
      <c r="J1512" s="364" t="s">
        <v>673</v>
      </c>
      <c r="K1512" s="364" t="s">
        <v>668</v>
      </c>
      <c r="L1512" s="364" t="s">
        <v>190</v>
      </c>
      <c r="M1512" s="364" t="s">
        <v>241</v>
      </c>
      <c r="N1512" s="364" t="s">
        <v>654</v>
      </c>
      <c r="O1512" s="364" t="s">
        <v>653</v>
      </c>
      <c r="P1512" s="364" t="s">
        <v>198</v>
      </c>
      <c r="Q1512" s="364" t="s">
        <v>652</v>
      </c>
      <c r="R1512" s="364" t="s">
        <v>88</v>
      </c>
      <c r="S1512" s="364" t="s">
        <v>88</v>
      </c>
      <c r="T1512" s="364" t="s">
        <v>88</v>
      </c>
      <c r="U1512" s="364" t="s">
        <v>88</v>
      </c>
      <c r="V1512" s="364" t="s">
        <v>88</v>
      </c>
      <c r="W1512" s="364" t="s">
        <v>88</v>
      </c>
      <c r="X1512" s="364" t="s">
        <v>88</v>
      </c>
      <c r="Y1512" s="364" t="s">
        <v>88</v>
      </c>
      <c r="Z1512" s="364" t="s">
        <v>1170</v>
      </c>
      <c r="AA1512" s="364" t="s">
        <v>1169</v>
      </c>
      <c r="AB1512" s="364" t="s">
        <v>649</v>
      </c>
      <c r="AC1512" s="364" t="s">
        <v>88</v>
      </c>
      <c r="AD1512" s="364" t="s">
        <v>88</v>
      </c>
      <c r="AE1512" s="364" t="s">
        <v>88</v>
      </c>
      <c r="AF1512" s="364" t="s">
        <v>88</v>
      </c>
      <c r="AG1512" s="364" t="s">
        <v>88</v>
      </c>
      <c r="AH1512" s="364" t="s">
        <v>88</v>
      </c>
      <c r="AI1512" s="364" t="s">
        <v>1155</v>
      </c>
      <c r="AJ1512" s="364" t="s">
        <v>710</v>
      </c>
      <c r="AK1512" s="364" t="s">
        <v>88</v>
      </c>
      <c r="AL1512" s="364" t="s">
        <v>88</v>
      </c>
      <c r="AM1512" s="364" t="s">
        <v>668</v>
      </c>
      <c r="AN1512" s="364" t="s">
        <v>644</v>
      </c>
    </row>
    <row r="1513" spans="1:40" x14ac:dyDescent="0.3">
      <c r="A1513" s="364" t="s">
        <v>1184</v>
      </c>
      <c r="B1513" s="364" t="s">
        <v>661</v>
      </c>
      <c r="C1513" s="364" t="s">
        <v>1160</v>
      </c>
      <c r="D1513" s="364" t="s">
        <v>90</v>
      </c>
      <c r="E1513" s="364" t="s">
        <v>1183</v>
      </c>
      <c r="F1513" s="364" t="s">
        <v>1183</v>
      </c>
      <c r="G1513" s="364" t="s">
        <v>658</v>
      </c>
      <c r="H1513" s="364" t="s">
        <v>1182</v>
      </c>
      <c r="I1513" s="364" t="s">
        <v>88</v>
      </c>
      <c r="J1513" s="364" t="s">
        <v>673</v>
      </c>
      <c r="K1513" s="364" t="s">
        <v>668</v>
      </c>
      <c r="L1513" s="364" t="s">
        <v>190</v>
      </c>
      <c r="M1513" s="364" t="s">
        <v>1168</v>
      </c>
      <c r="N1513" s="364" t="s">
        <v>654</v>
      </c>
      <c r="O1513" s="364" t="s">
        <v>653</v>
      </c>
      <c r="P1513" s="364" t="s">
        <v>198</v>
      </c>
      <c r="Q1513" s="364" t="s">
        <v>652</v>
      </c>
      <c r="R1513" s="364" t="s">
        <v>88</v>
      </c>
      <c r="S1513" s="364" t="s">
        <v>88</v>
      </c>
      <c r="T1513" s="364" t="s">
        <v>88</v>
      </c>
      <c r="U1513" s="364" t="s">
        <v>88</v>
      </c>
      <c r="V1513" s="364" t="s">
        <v>88</v>
      </c>
      <c r="W1513" s="364" t="s">
        <v>88</v>
      </c>
      <c r="X1513" s="364" t="s">
        <v>88</v>
      </c>
      <c r="Y1513" s="364" t="s">
        <v>88</v>
      </c>
      <c r="Z1513" s="364" t="s">
        <v>1167</v>
      </c>
      <c r="AA1513" s="364" t="s">
        <v>1166</v>
      </c>
      <c r="AB1513" s="364" t="s">
        <v>649</v>
      </c>
      <c r="AC1513" s="364" t="s">
        <v>88</v>
      </c>
      <c r="AD1513" s="364" t="s">
        <v>88</v>
      </c>
      <c r="AE1513" s="364" t="s">
        <v>88</v>
      </c>
      <c r="AF1513" s="364" t="s">
        <v>88</v>
      </c>
      <c r="AG1513" s="364" t="s">
        <v>88</v>
      </c>
      <c r="AH1513" s="364" t="s">
        <v>88</v>
      </c>
      <c r="AI1513" s="364" t="s">
        <v>1155</v>
      </c>
      <c r="AJ1513" s="364" t="s">
        <v>710</v>
      </c>
      <c r="AK1513" s="364" t="s">
        <v>88</v>
      </c>
      <c r="AL1513" s="364" t="s">
        <v>88</v>
      </c>
      <c r="AM1513" s="364" t="s">
        <v>668</v>
      </c>
      <c r="AN1513" s="364" t="s">
        <v>644</v>
      </c>
    </row>
    <row r="1514" spans="1:40" x14ac:dyDescent="0.3">
      <c r="A1514" s="364" t="s">
        <v>1184</v>
      </c>
      <c r="B1514" s="364" t="s">
        <v>661</v>
      </c>
      <c r="C1514" s="364" t="s">
        <v>1160</v>
      </c>
      <c r="D1514" s="364" t="s">
        <v>90</v>
      </c>
      <c r="E1514" s="364" t="s">
        <v>1183</v>
      </c>
      <c r="F1514" s="364" t="s">
        <v>1183</v>
      </c>
      <c r="G1514" s="364" t="s">
        <v>658</v>
      </c>
      <c r="H1514" s="364" t="s">
        <v>1182</v>
      </c>
      <c r="I1514" s="364" t="s">
        <v>88</v>
      </c>
      <c r="J1514" s="364" t="s">
        <v>673</v>
      </c>
      <c r="K1514" s="364" t="s">
        <v>668</v>
      </c>
      <c r="L1514" s="364" t="s">
        <v>190</v>
      </c>
      <c r="M1514" s="364" t="s">
        <v>713</v>
      </c>
      <c r="N1514" s="364" t="s">
        <v>654</v>
      </c>
      <c r="O1514" s="364" t="s">
        <v>653</v>
      </c>
      <c r="P1514" s="364" t="s">
        <v>198</v>
      </c>
      <c r="Q1514" s="364" t="s">
        <v>652</v>
      </c>
      <c r="R1514" s="364" t="s">
        <v>88</v>
      </c>
      <c r="S1514" s="364" t="s">
        <v>88</v>
      </c>
      <c r="T1514" s="364" t="s">
        <v>88</v>
      </c>
      <c r="U1514" s="364" t="s">
        <v>88</v>
      </c>
      <c r="V1514" s="364" t="s">
        <v>88</v>
      </c>
      <c r="W1514" s="364" t="s">
        <v>88</v>
      </c>
      <c r="X1514" s="364" t="s">
        <v>88</v>
      </c>
      <c r="Y1514" s="364" t="s">
        <v>88</v>
      </c>
      <c r="Z1514" s="364" t="s">
        <v>712</v>
      </c>
      <c r="AA1514" s="364" t="s">
        <v>711</v>
      </c>
      <c r="AB1514" s="364" t="s">
        <v>649</v>
      </c>
      <c r="AC1514" s="364" t="s">
        <v>88</v>
      </c>
      <c r="AD1514" s="364" t="s">
        <v>88</v>
      </c>
      <c r="AE1514" s="364" t="s">
        <v>88</v>
      </c>
      <c r="AF1514" s="364" t="s">
        <v>88</v>
      </c>
      <c r="AG1514" s="364" t="s">
        <v>88</v>
      </c>
      <c r="AH1514" s="364" t="s">
        <v>88</v>
      </c>
      <c r="AI1514" s="364" t="s">
        <v>1155</v>
      </c>
      <c r="AJ1514" s="364" t="s">
        <v>710</v>
      </c>
      <c r="AK1514" s="364" t="s">
        <v>88</v>
      </c>
      <c r="AL1514" s="364" t="s">
        <v>88</v>
      </c>
      <c r="AM1514" s="364" t="s">
        <v>668</v>
      </c>
      <c r="AN1514" s="364" t="s">
        <v>644</v>
      </c>
    </row>
    <row r="1515" spans="1:40" x14ac:dyDescent="0.3">
      <c r="A1515" s="364" t="s">
        <v>1184</v>
      </c>
      <c r="B1515" s="364" t="s">
        <v>661</v>
      </c>
      <c r="C1515" s="364" t="s">
        <v>1160</v>
      </c>
      <c r="D1515" s="364" t="s">
        <v>90</v>
      </c>
      <c r="E1515" s="364" t="s">
        <v>1183</v>
      </c>
      <c r="F1515" s="364" t="s">
        <v>1183</v>
      </c>
      <c r="G1515" s="364" t="s">
        <v>658</v>
      </c>
      <c r="H1515" s="364" t="s">
        <v>1182</v>
      </c>
      <c r="I1515" s="364" t="s">
        <v>88</v>
      </c>
      <c r="J1515" s="364" t="s">
        <v>673</v>
      </c>
      <c r="K1515" s="364" t="s">
        <v>668</v>
      </c>
      <c r="L1515" s="364" t="s">
        <v>190</v>
      </c>
      <c r="M1515" s="364" t="s">
        <v>56</v>
      </c>
      <c r="N1515" s="364" t="s">
        <v>654</v>
      </c>
      <c r="O1515" s="364" t="s">
        <v>653</v>
      </c>
      <c r="P1515" s="364" t="s">
        <v>198</v>
      </c>
      <c r="Q1515" s="364" t="s">
        <v>652</v>
      </c>
      <c r="R1515" s="364" t="s">
        <v>88</v>
      </c>
      <c r="S1515" s="364" t="s">
        <v>88</v>
      </c>
      <c r="T1515" s="364" t="s">
        <v>88</v>
      </c>
      <c r="U1515" s="364" t="s">
        <v>88</v>
      </c>
      <c r="V1515" s="364" t="s">
        <v>88</v>
      </c>
      <c r="W1515" s="364" t="s">
        <v>88</v>
      </c>
      <c r="X1515" s="364" t="s">
        <v>88</v>
      </c>
      <c r="Y1515" s="364" t="s">
        <v>88</v>
      </c>
      <c r="Z1515" s="364" t="s">
        <v>1165</v>
      </c>
      <c r="AA1515" s="364" t="s">
        <v>1164</v>
      </c>
      <c r="AB1515" s="364" t="s">
        <v>649</v>
      </c>
      <c r="AC1515" s="364" t="s">
        <v>88</v>
      </c>
      <c r="AD1515" s="364" t="s">
        <v>88</v>
      </c>
      <c r="AE1515" s="364" t="s">
        <v>88</v>
      </c>
      <c r="AF1515" s="364" t="s">
        <v>88</v>
      </c>
      <c r="AG1515" s="364" t="s">
        <v>88</v>
      </c>
      <c r="AH1515" s="364" t="s">
        <v>88</v>
      </c>
      <c r="AI1515" s="364" t="s">
        <v>1155</v>
      </c>
      <c r="AJ1515" s="364" t="s">
        <v>710</v>
      </c>
      <c r="AK1515" s="364" t="s">
        <v>88</v>
      </c>
      <c r="AL1515" s="364" t="s">
        <v>88</v>
      </c>
      <c r="AM1515" s="364" t="s">
        <v>668</v>
      </c>
      <c r="AN1515" s="364" t="s">
        <v>644</v>
      </c>
    </row>
    <row r="1516" spans="1:40" x14ac:dyDescent="0.3">
      <c r="A1516" s="364" t="s">
        <v>1184</v>
      </c>
      <c r="B1516" s="364" t="s">
        <v>661</v>
      </c>
      <c r="C1516" s="364" t="s">
        <v>1160</v>
      </c>
      <c r="D1516" s="364" t="s">
        <v>90</v>
      </c>
      <c r="E1516" s="364" t="s">
        <v>1183</v>
      </c>
      <c r="F1516" s="364" t="s">
        <v>1183</v>
      </c>
      <c r="G1516" s="364" t="s">
        <v>658</v>
      </c>
      <c r="H1516" s="364" t="s">
        <v>1182</v>
      </c>
      <c r="I1516" s="364" t="s">
        <v>88</v>
      </c>
      <c r="J1516" s="364" t="s">
        <v>673</v>
      </c>
      <c r="K1516" s="364" t="s">
        <v>668</v>
      </c>
      <c r="L1516" s="364" t="s">
        <v>190</v>
      </c>
      <c r="M1516" s="364" t="s">
        <v>240</v>
      </c>
      <c r="N1516" s="364" t="s">
        <v>654</v>
      </c>
      <c r="O1516" s="364" t="s">
        <v>653</v>
      </c>
      <c r="P1516" s="364" t="s">
        <v>198</v>
      </c>
      <c r="Q1516" s="364" t="s">
        <v>652</v>
      </c>
      <c r="R1516" s="364" t="s">
        <v>88</v>
      </c>
      <c r="S1516" s="364" t="s">
        <v>88</v>
      </c>
      <c r="T1516" s="364" t="s">
        <v>88</v>
      </c>
      <c r="U1516" s="364" t="s">
        <v>88</v>
      </c>
      <c r="V1516" s="364" t="s">
        <v>88</v>
      </c>
      <c r="W1516" s="364" t="s">
        <v>88</v>
      </c>
      <c r="X1516" s="364" t="s">
        <v>88</v>
      </c>
      <c r="Y1516" s="364" t="s">
        <v>88</v>
      </c>
      <c r="Z1516" s="364" t="s">
        <v>1163</v>
      </c>
      <c r="AA1516" s="364" t="s">
        <v>1162</v>
      </c>
      <c r="AB1516" s="364" t="s">
        <v>649</v>
      </c>
      <c r="AC1516" s="364" t="s">
        <v>88</v>
      </c>
      <c r="AD1516" s="364" t="s">
        <v>88</v>
      </c>
      <c r="AE1516" s="364" t="s">
        <v>88</v>
      </c>
      <c r="AF1516" s="364" t="s">
        <v>88</v>
      </c>
      <c r="AG1516" s="364" t="s">
        <v>88</v>
      </c>
      <c r="AH1516" s="364" t="s">
        <v>88</v>
      </c>
      <c r="AI1516" s="364" t="s">
        <v>1155</v>
      </c>
      <c r="AJ1516" s="364" t="s">
        <v>710</v>
      </c>
      <c r="AK1516" s="364" t="s">
        <v>88</v>
      </c>
      <c r="AL1516" s="364" t="s">
        <v>88</v>
      </c>
      <c r="AM1516" s="364" t="s">
        <v>668</v>
      </c>
      <c r="AN1516" s="364" t="s">
        <v>644</v>
      </c>
    </row>
    <row r="1517" spans="1:40" x14ac:dyDescent="0.3">
      <c r="A1517" s="364" t="s">
        <v>1184</v>
      </c>
      <c r="B1517" s="364" t="s">
        <v>661</v>
      </c>
      <c r="C1517" s="364" t="s">
        <v>1160</v>
      </c>
      <c r="D1517" s="364" t="s">
        <v>90</v>
      </c>
      <c r="E1517" s="364" t="s">
        <v>1183</v>
      </c>
      <c r="F1517" s="364" t="s">
        <v>1183</v>
      </c>
      <c r="G1517" s="364" t="s">
        <v>658</v>
      </c>
      <c r="H1517" s="364" t="s">
        <v>1182</v>
      </c>
      <c r="I1517" s="364" t="s">
        <v>88</v>
      </c>
      <c r="J1517" s="364" t="s">
        <v>673</v>
      </c>
      <c r="K1517" s="364" t="s">
        <v>668</v>
      </c>
      <c r="L1517" s="364" t="s">
        <v>190</v>
      </c>
      <c r="M1517" s="364" t="s">
        <v>61</v>
      </c>
      <c r="N1517" s="364" t="s">
        <v>654</v>
      </c>
      <c r="O1517" s="364" t="s">
        <v>653</v>
      </c>
      <c r="P1517" s="364" t="s">
        <v>198</v>
      </c>
      <c r="Q1517" s="364" t="s">
        <v>652</v>
      </c>
      <c r="R1517" s="364" t="s">
        <v>88</v>
      </c>
      <c r="S1517" s="364" t="s">
        <v>88</v>
      </c>
      <c r="T1517" s="364" t="s">
        <v>88</v>
      </c>
      <c r="U1517" s="364" t="s">
        <v>88</v>
      </c>
      <c r="V1517" s="364" t="s">
        <v>88</v>
      </c>
      <c r="W1517" s="364" t="s">
        <v>88</v>
      </c>
      <c r="X1517" s="364" t="s">
        <v>88</v>
      </c>
      <c r="Y1517" s="364" t="s">
        <v>88</v>
      </c>
      <c r="Z1517" s="364" t="s">
        <v>1021</v>
      </c>
      <c r="AA1517" s="364" t="s">
        <v>671</v>
      </c>
      <c r="AB1517" s="364" t="s">
        <v>649</v>
      </c>
      <c r="AC1517" s="364" t="s">
        <v>88</v>
      </c>
      <c r="AD1517" s="364" t="s">
        <v>88</v>
      </c>
      <c r="AE1517" s="364" t="s">
        <v>88</v>
      </c>
      <c r="AF1517" s="364" t="s">
        <v>88</v>
      </c>
      <c r="AG1517" s="364" t="s">
        <v>88</v>
      </c>
      <c r="AH1517" s="364" t="s">
        <v>88</v>
      </c>
      <c r="AI1517" s="364" t="s">
        <v>1155</v>
      </c>
      <c r="AJ1517" s="364" t="s">
        <v>710</v>
      </c>
      <c r="AK1517" s="364" t="s">
        <v>88</v>
      </c>
      <c r="AL1517" s="364" t="s">
        <v>88</v>
      </c>
      <c r="AM1517" s="364" t="s">
        <v>668</v>
      </c>
      <c r="AN1517" s="364" t="s">
        <v>644</v>
      </c>
    </row>
    <row r="1518" spans="1:40" x14ac:dyDescent="0.3">
      <c r="A1518" s="364" t="s">
        <v>1184</v>
      </c>
      <c r="B1518" s="364" t="s">
        <v>661</v>
      </c>
      <c r="C1518" s="364" t="s">
        <v>1160</v>
      </c>
      <c r="D1518" s="364" t="s">
        <v>90</v>
      </c>
      <c r="E1518" s="364" t="s">
        <v>1183</v>
      </c>
      <c r="F1518" s="364" t="s">
        <v>1183</v>
      </c>
      <c r="G1518" s="364" t="s">
        <v>658</v>
      </c>
      <c r="H1518" s="364" t="s">
        <v>1182</v>
      </c>
      <c r="I1518" s="364" t="s">
        <v>88</v>
      </c>
      <c r="J1518" s="364" t="s">
        <v>673</v>
      </c>
      <c r="K1518" s="364" t="s">
        <v>668</v>
      </c>
      <c r="L1518" s="364" t="s">
        <v>190</v>
      </c>
      <c r="M1518" s="364" t="s">
        <v>242</v>
      </c>
      <c r="N1518" s="364" t="s">
        <v>654</v>
      </c>
      <c r="O1518" s="364" t="s">
        <v>653</v>
      </c>
      <c r="P1518" s="364" t="s">
        <v>198</v>
      </c>
      <c r="Q1518" s="364" t="s">
        <v>652</v>
      </c>
      <c r="R1518" s="364" t="s">
        <v>88</v>
      </c>
      <c r="S1518" s="364" t="s">
        <v>88</v>
      </c>
      <c r="T1518" s="364" t="s">
        <v>88</v>
      </c>
      <c r="U1518" s="364" t="s">
        <v>88</v>
      </c>
      <c r="V1518" s="364" t="s">
        <v>88</v>
      </c>
      <c r="W1518" s="364" t="s">
        <v>88</v>
      </c>
      <c r="X1518" s="364" t="s">
        <v>88</v>
      </c>
      <c r="Y1518" s="364" t="s">
        <v>88</v>
      </c>
      <c r="Z1518" s="364" t="s">
        <v>1157</v>
      </c>
      <c r="AA1518" s="364" t="s">
        <v>1156</v>
      </c>
      <c r="AB1518" s="364" t="s">
        <v>649</v>
      </c>
      <c r="AC1518" s="364" t="s">
        <v>88</v>
      </c>
      <c r="AD1518" s="364" t="s">
        <v>88</v>
      </c>
      <c r="AE1518" s="364" t="s">
        <v>88</v>
      </c>
      <c r="AF1518" s="364" t="s">
        <v>88</v>
      </c>
      <c r="AG1518" s="364" t="s">
        <v>88</v>
      </c>
      <c r="AH1518" s="364" t="s">
        <v>88</v>
      </c>
      <c r="AI1518" s="364" t="s">
        <v>1155</v>
      </c>
      <c r="AJ1518" s="364" t="s">
        <v>710</v>
      </c>
      <c r="AK1518" s="364" t="s">
        <v>88</v>
      </c>
      <c r="AL1518" s="364" t="s">
        <v>88</v>
      </c>
      <c r="AM1518" s="364" t="s">
        <v>668</v>
      </c>
      <c r="AN1518" s="364" t="s">
        <v>644</v>
      </c>
    </row>
    <row r="1519" spans="1:40" x14ac:dyDescent="0.3">
      <c r="A1519" s="364" t="s">
        <v>1181</v>
      </c>
      <c r="B1519" s="364" t="s">
        <v>661</v>
      </c>
      <c r="C1519" s="364" t="s">
        <v>1160</v>
      </c>
      <c r="D1519" s="364" t="s">
        <v>90</v>
      </c>
      <c r="E1519" s="364" t="s">
        <v>1180</v>
      </c>
      <c r="F1519" s="364" t="s">
        <v>1180</v>
      </c>
      <c r="G1519" s="364" t="s">
        <v>658</v>
      </c>
      <c r="H1519" s="364" t="s">
        <v>1179</v>
      </c>
      <c r="I1519" s="364" t="s">
        <v>88</v>
      </c>
      <c r="J1519" s="364" t="s">
        <v>673</v>
      </c>
      <c r="K1519" s="364" t="s">
        <v>668</v>
      </c>
      <c r="L1519" s="364" t="s">
        <v>190</v>
      </c>
      <c r="M1519" s="364" t="s">
        <v>243</v>
      </c>
      <c r="N1519" s="364" t="s">
        <v>654</v>
      </c>
      <c r="O1519" s="364" t="s">
        <v>653</v>
      </c>
      <c r="P1519" s="364" t="s">
        <v>198</v>
      </c>
      <c r="Q1519" s="364" t="s">
        <v>652</v>
      </c>
      <c r="R1519" s="364" t="s">
        <v>88</v>
      </c>
      <c r="S1519" s="364" t="s">
        <v>88</v>
      </c>
      <c r="T1519" s="364" t="s">
        <v>88</v>
      </c>
      <c r="U1519" s="364" t="s">
        <v>88</v>
      </c>
      <c r="V1519" s="364" t="s">
        <v>88</v>
      </c>
      <c r="W1519" s="364" t="s">
        <v>88</v>
      </c>
      <c r="X1519" s="364" t="s">
        <v>88</v>
      </c>
      <c r="Y1519" s="364" t="s">
        <v>88</v>
      </c>
      <c r="Z1519" s="364" t="s">
        <v>1175</v>
      </c>
      <c r="AA1519" s="364" t="s">
        <v>1174</v>
      </c>
      <c r="AB1519" s="364" t="s">
        <v>649</v>
      </c>
      <c r="AC1519" s="364" t="s">
        <v>88</v>
      </c>
      <c r="AD1519" s="364" t="s">
        <v>88</v>
      </c>
      <c r="AE1519" s="364" t="s">
        <v>88</v>
      </c>
      <c r="AF1519" s="364" t="s">
        <v>88</v>
      </c>
      <c r="AG1519" s="364" t="s">
        <v>88</v>
      </c>
      <c r="AH1519" s="364" t="s">
        <v>88</v>
      </c>
      <c r="AI1519" s="364" t="s">
        <v>1155</v>
      </c>
      <c r="AJ1519" s="364" t="s">
        <v>710</v>
      </c>
      <c r="AK1519" s="364" t="s">
        <v>88</v>
      </c>
      <c r="AL1519" s="364" t="s">
        <v>88</v>
      </c>
      <c r="AM1519" s="364" t="s">
        <v>668</v>
      </c>
      <c r="AN1519" s="364" t="s">
        <v>644</v>
      </c>
    </row>
    <row r="1520" spans="1:40" x14ac:dyDescent="0.3">
      <c r="A1520" s="364" t="s">
        <v>1181</v>
      </c>
      <c r="B1520" s="364" t="s">
        <v>661</v>
      </c>
      <c r="C1520" s="364" t="s">
        <v>1160</v>
      </c>
      <c r="D1520" s="364" t="s">
        <v>90</v>
      </c>
      <c r="E1520" s="364" t="s">
        <v>1180</v>
      </c>
      <c r="F1520" s="364" t="s">
        <v>1180</v>
      </c>
      <c r="G1520" s="364" t="s">
        <v>658</v>
      </c>
      <c r="H1520" s="364" t="s">
        <v>1179</v>
      </c>
      <c r="I1520" s="364" t="s">
        <v>88</v>
      </c>
      <c r="J1520" s="364" t="s">
        <v>673</v>
      </c>
      <c r="K1520" s="364" t="s">
        <v>668</v>
      </c>
      <c r="L1520" s="364" t="s">
        <v>190</v>
      </c>
      <c r="M1520" s="364" t="s">
        <v>1173</v>
      </c>
      <c r="N1520" s="364" t="s">
        <v>654</v>
      </c>
      <c r="O1520" s="364" t="s">
        <v>653</v>
      </c>
      <c r="P1520" s="364" t="s">
        <v>198</v>
      </c>
      <c r="Q1520" s="364" t="s">
        <v>652</v>
      </c>
      <c r="R1520" s="364" t="s">
        <v>88</v>
      </c>
      <c r="S1520" s="364" t="s">
        <v>88</v>
      </c>
      <c r="T1520" s="364" t="s">
        <v>88</v>
      </c>
      <c r="U1520" s="364" t="s">
        <v>88</v>
      </c>
      <c r="V1520" s="364" t="s">
        <v>88</v>
      </c>
      <c r="W1520" s="364" t="s">
        <v>88</v>
      </c>
      <c r="X1520" s="364" t="s">
        <v>88</v>
      </c>
      <c r="Y1520" s="364" t="s">
        <v>88</v>
      </c>
      <c r="Z1520" s="364" t="s">
        <v>1172</v>
      </c>
      <c r="AA1520" s="364" t="s">
        <v>1171</v>
      </c>
      <c r="AB1520" s="364" t="s">
        <v>649</v>
      </c>
      <c r="AC1520" s="364" t="s">
        <v>88</v>
      </c>
      <c r="AD1520" s="364" t="s">
        <v>88</v>
      </c>
      <c r="AE1520" s="364" t="s">
        <v>88</v>
      </c>
      <c r="AF1520" s="364" t="s">
        <v>88</v>
      </c>
      <c r="AG1520" s="364" t="s">
        <v>88</v>
      </c>
      <c r="AH1520" s="364" t="s">
        <v>88</v>
      </c>
      <c r="AI1520" s="364" t="s">
        <v>1155</v>
      </c>
      <c r="AJ1520" s="364" t="s">
        <v>710</v>
      </c>
      <c r="AK1520" s="364" t="s">
        <v>88</v>
      </c>
      <c r="AL1520" s="364" t="s">
        <v>88</v>
      </c>
      <c r="AM1520" s="364" t="s">
        <v>668</v>
      </c>
      <c r="AN1520" s="364" t="s">
        <v>644</v>
      </c>
    </row>
    <row r="1521" spans="1:40" x14ac:dyDescent="0.3">
      <c r="A1521" s="364" t="s">
        <v>1181</v>
      </c>
      <c r="B1521" s="364" t="s">
        <v>661</v>
      </c>
      <c r="C1521" s="364" t="s">
        <v>1160</v>
      </c>
      <c r="D1521" s="364" t="s">
        <v>90</v>
      </c>
      <c r="E1521" s="364" t="s">
        <v>1180</v>
      </c>
      <c r="F1521" s="364" t="s">
        <v>1180</v>
      </c>
      <c r="G1521" s="364" t="s">
        <v>658</v>
      </c>
      <c r="H1521" s="364" t="s">
        <v>1179</v>
      </c>
      <c r="I1521" s="364" t="s">
        <v>88</v>
      </c>
      <c r="J1521" s="364" t="s">
        <v>673</v>
      </c>
      <c r="K1521" s="364" t="s">
        <v>668</v>
      </c>
      <c r="L1521" s="364" t="s">
        <v>190</v>
      </c>
      <c r="M1521" s="364" t="s">
        <v>241</v>
      </c>
      <c r="N1521" s="364" t="s">
        <v>654</v>
      </c>
      <c r="O1521" s="364" t="s">
        <v>653</v>
      </c>
      <c r="P1521" s="364" t="s">
        <v>198</v>
      </c>
      <c r="Q1521" s="364" t="s">
        <v>652</v>
      </c>
      <c r="R1521" s="364" t="s">
        <v>88</v>
      </c>
      <c r="S1521" s="364" t="s">
        <v>88</v>
      </c>
      <c r="T1521" s="364" t="s">
        <v>88</v>
      </c>
      <c r="U1521" s="364" t="s">
        <v>88</v>
      </c>
      <c r="V1521" s="364" t="s">
        <v>88</v>
      </c>
      <c r="W1521" s="364" t="s">
        <v>88</v>
      </c>
      <c r="X1521" s="364" t="s">
        <v>88</v>
      </c>
      <c r="Y1521" s="364" t="s">
        <v>88</v>
      </c>
      <c r="Z1521" s="364" t="s">
        <v>1170</v>
      </c>
      <c r="AA1521" s="364" t="s">
        <v>1169</v>
      </c>
      <c r="AB1521" s="364" t="s">
        <v>649</v>
      </c>
      <c r="AC1521" s="364" t="s">
        <v>88</v>
      </c>
      <c r="AD1521" s="364" t="s">
        <v>88</v>
      </c>
      <c r="AE1521" s="364" t="s">
        <v>88</v>
      </c>
      <c r="AF1521" s="364" t="s">
        <v>88</v>
      </c>
      <c r="AG1521" s="364" t="s">
        <v>88</v>
      </c>
      <c r="AH1521" s="364" t="s">
        <v>88</v>
      </c>
      <c r="AI1521" s="364" t="s">
        <v>1155</v>
      </c>
      <c r="AJ1521" s="364" t="s">
        <v>710</v>
      </c>
      <c r="AK1521" s="364" t="s">
        <v>88</v>
      </c>
      <c r="AL1521" s="364" t="s">
        <v>88</v>
      </c>
      <c r="AM1521" s="364" t="s">
        <v>668</v>
      </c>
      <c r="AN1521" s="364" t="s">
        <v>644</v>
      </c>
    </row>
    <row r="1522" spans="1:40" x14ac:dyDescent="0.3">
      <c r="A1522" s="364" t="s">
        <v>1181</v>
      </c>
      <c r="B1522" s="364" t="s">
        <v>661</v>
      </c>
      <c r="C1522" s="364" t="s">
        <v>1160</v>
      </c>
      <c r="D1522" s="364" t="s">
        <v>90</v>
      </c>
      <c r="E1522" s="364" t="s">
        <v>1180</v>
      </c>
      <c r="F1522" s="364" t="s">
        <v>1180</v>
      </c>
      <c r="G1522" s="364" t="s">
        <v>658</v>
      </c>
      <c r="H1522" s="364" t="s">
        <v>1179</v>
      </c>
      <c r="I1522" s="364" t="s">
        <v>88</v>
      </c>
      <c r="J1522" s="364" t="s">
        <v>673</v>
      </c>
      <c r="K1522" s="364" t="s">
        <v>668</v>
      </c>
      <c r="L1522" s="364" t="s">
        <v>190</v>
      </c>
      <c r="M1522" s="364" t="s">
        <v>1168</v>
      </c>
      <c r="N1522" s="364" t="s">
        <v>654</v>
      </c>
      <c r="O1522" s="364" t="s">
        <v>653</v>
      </c>
      <c r="P1522" s="364" t="s">
        <v>198</v>
      </c>
      <c r="Q1522" s="364" t="s">
        <v>652</v>
      </c>
      <c r="R1522" s="364" t="s">
        <v>88</v>
      </c>
      <c r="S1522" s="364" t="s">
        <v>88</v>
      </c>
      <c r="T1522" s="364" t="s">
        <v>88</v>
      </c>
      <c r="U1522" s="364" t="s">
        <v>88</v>
      </c>
      <c r="V1522" s="364" t="s">
        <v>88</v>
      </c>
      <c r="W1522" s="364" t="s">
        <v>88</v>
      </c>
      <c r="X1522" s="364" t="s">
        <v>88</v>
      </c>
      <c r="Y1522" s="364" t="s">
        <v>88</v>
      </c>
      <c r="Z1522" s="364" t="s">
        <v>1167</v>
      </c>
      <c r="AA1522" s="364" t="s">
        <v>1166</v>
      </c>
      <c r="AB1522" s="364" t="s">
        <v>649</v>
      </c>
      <c r="AC1522" s="364" t="s">
        <v>88</v>
      </c>
      <c r="AD1522" s="364" t="s">
        <v>88</v>
      </c>
      <c r="AE1522" s="364" t="s">
        <v>88</v>
      </c>
      <c r="AF1522" s="364" t="s">
        <v>88</v>
      </c>
      <c r="AG1522" s="364" t="s">
        <v>88</v>
      </c>
      <c r="AH1522" s="364" t="s">
        <v>88</v>
      </c>
      <c r="AI1522" s="364" t="s">
        <v>1155</v>
      </c>
      <c r="AJ1522" s="364" t="s">
        <v>710</v>
      </c>
      <c r="AK1522" s="364" t="s">
        <v>88</v>
      </c>
      <c r="AL1522" s="364" t="s">
        <v>88</v>
      </c>
      <c r="AM1522" s="364" t="s">
        <v>668</v>
      </c>
      <c r="AN1522" s="364" t="s">
        <v>644</v>
      </c>
    </row>
    <row r="1523" spans="1:40" x14ac:dyDescent="0.3">
      <c r="A1523" s="364" t="s">
        <v>1181</v>
      </c>
      <c r="B1523" s="364" t="s">
        <v>661</v>
      </c>
      <c r="C1523" s="364" t="s">
        <v>1160</v>
      </c>
      <c r="D1523" s="364" t="s">
        <v>90</v>
      </c>
      <c r="E1523" s="364" t="s">
        <v>1180</v>
      </c>
      <c r="F1523" s="364" t="s">
        <v>1180</v>
      </c>
      <c r="G1523" s="364" t="s">
        <v>658</v>
      </c>
      <c r="H1523" s="364" t="s">
        <v>1179</v>
      </c>
      <c r="I1523" s="364" t="s">
        <v>88</v>
      </c>
      <c r="J1523" s="364" t="s">
        <v>673</v>
      </c>
      <c r="K1523" s="364" t="s">
        <v>668</v>
      </c>
      <c r="L1523" s="364" t="s">
        <v>190</v>
      </c>
      <c r="M1523" s="364" t="s">
        <v>713</v>
      </c>
      <c r="N1523" s="364" t="s">
        <v>654</v>
      </c>
      <c r="O1523" s="364" t="s">
        <v>653</v>
      </c>
      <c r="P1523" s="364" t="s">
        <v>198</v>
      </c>
      <c r="Q1523" s="364" t="s">
        <v>652</v>
      </c>
      <c r="R1523" s="364" t="s">
        <v>88</v>
      </c>
      <c r="S1523" s="364" t="s">
        <v>88</v>
      </c>
      <c r="T1523" s="364" t="s">
        <v>88</v>
      </c>
      <c r="U1523" s="364" t="s">
        <v>88</v>
      </c>
      <c r="V1523" s="364" t="s">
        <v>88</v>
      </c>
      <c r="W1523" s="364" t="s">
        <v>88</v>
      </c>
      <c r="X1523" s="364" t="s">
        <v>88</v>
      </c>
      <c r="Y1523" s="364" t="s">
        <v>88</v>
      </c>
      <c r="Z1523" s="364" t="s">
        <v>712</v>
      </c>
      <c r="AA1523" s="364" t="s">
        <v>711</v>
      </c>
      <c r="AB1523" s="364" t="s">
        <v>649</v>
      </c>
      <c r="AC1523" s="364" t="s">
        <v>88</v>
      </c>
      <c r="AD1523" s="364" t="s">
        <v>88</v>
      </c>
      <c r="AE1523" s="364" t="s">
        <v>88</v>
      </c>
      <c r="AF1523" s="364" t="s">
        <v>88</v>
      </c>
      <c r="AG1523" s="364" t="s">
        <v>88</v>
      </c>
      <c r="AH1523" s="364" t="s">
        <v>88</v>
      </c>
      <c r="AI1523" s="364" t="s">
        <v>1155</v>
      </c>
      <c r="AJ1523" s="364" t="s">
        <v>710</v>
      </c>
      <c r="AK1523" s="364" t="s">
        <v>88</v>
      </c>
      <c r="AL1523" s="364" t="s">
        <v>88</v>
      </c>
      <c r="AM1523" s="364" t="s">
        <v>668</v>
      </c>
      <c r="AN1523" s="364" t="s">
        <v>644</v>
      </c>
    </row>
    <row r="1524" spans="1:40" x14ac:dyDescent="0.3">
      <c r="A1524" s="364" t="s">
        <v>1181</v>
      </c>
      <c r="B1524" s="364" t="s">
        <v>661</v>
      </c>
      <c r="C1524" s="364" t="s">
        <v>1160</v>
      </c>
      <c r="D1524" s="364" t="s">
        <v>90</v>
      </c>
      <c r="E1524" s="364" t="s">
        <v>1180</v>
      </c>
      <c r="F1524" s="364" t="s">
        <v>1180</v>
      </c>
      <c r="G1524" s="364" t="s">
        <v>658</v>
      </c>
      <c r="H1524" s="364" t="s">
        <v>1179</v>
      </c>
      <c r="I1524" s="364" t="s">
        <v>88</v>
      </c>
      <c r="J1524" s="364" t="s">
        <v>673</v>
      </c>
      <c r="K1524" s="364" t="s">
        <v>668</v>
      </c>
      <c r="L1524" s="364" t="s">
        <v>190</v>
      </c>
      <c r="M1524" s="364" t="s">
        <v>56</v>
      </c>
      <c r="N1524" s="364" t="s">
        <v>654</v>
      </c>
      <c r="O1524" s="364" t="s">
        <v>653</v>
      </c>
      <c r="P1524" s="364" t="s">
        <v>198</v>
      </c>
      <c r="Q1524" s="364" t="s">
        <v>652</v>
      </c>
      <c r="R1524" s="364" t="s">
        <v>88</v>
      </c>
      <c r="S1524" s="364" t="s">
        <v>88</v>
      </c>
      <c r="T1524" s="364" t="s">
        <v>88</v>
      </c>
      <c r="U1524" s="364" t="s">
        <v>88</v>
      </c>
      <c r="V1524" s="364" t="s">
        <v>88</v>
      </c>
      <c r="W1524" s="364" t="s">
        <v>88</v>
      </c>
      <c r="X1524" s="364" t="s">
        <v>88</v>
      </c>
      <c r="Y1524" s="364" t="s">
        <v>88</v>
      </c>
      <c r="Z1524" s="364" t="s">
        <v>1165</v>
      </c>
      <c r="AA1524" s="364" t="s">
        <v>1164</v>
      </c>
      <c r="AB1524" s="364" t="s">
        <v>649</v>
      </c>
      <c r="AC1524" s="364" t="s">
        <v>88</v>
      </c>
      <c r="AD1524" s="364" t="s">
        <v>88</v>
      </c>
      <c r="AE1524" s="364" t="s">
        <v>88</v>
      </c>
      <c r="AF1524" s="364" t="s">
        <v>88</v>
      </c>
      <c r="AG1524" s="364" t="s">
        <v>88</v>
      </c>
      <c r="AH1524" s="364" t="s">
        <v>88</v>
      </c>
      <c r="AI1524" s="364" t="s">
        <v>1155</v>
      </c>
      <c r="AJ1524" s="364" t="s">
        <v>710</v>
      </c>
      <c r="AK1524" s="364" t="s">
        <v>88</v>
      </c>
      <c r="AL1524" s="364" t="s">
        <v>88</v>
      </c>
      <c r="AM1524" s="364" t="s">
        <v>668</v>
      </c>
      <c r="AN1524" s="364" t="s">
        <v>644</v>
      </c>
    </row>
    <row r="1525" spans="1:40" x14ac:dyDescent="0.3">
      <c r="A1525" s="364" t="s">
        <v>1181</v>
      </c>
      <c r="B1525" s="364" t="s">
        <v>661</v>
      </c>
      <c r="C1525" s="364" t="s">
        <v>1160</v>
      </c>
      <c r="D1525" s="364" t="s">
        <v>90</v>
      </c>
      <c r="E1525" s="364" t="s">
        <v>1180</v>
      </c>
      <c r="F1525" s="364" t="s">
        <v>1180</v>
      </c>
      <c r="G1525" s="364" t="s">
        <v>658</v>
      </c>
      <c r="H1525" s="364" t="s">
        <v>1179</v>
      </c>
      <c r="I1525" s="364" t="s">
        <v>88</v>
      </c>
      <c r="J1525" s="364" t="s">
        <v>673</v>
      </c>
      <c r="K1525" s="364" t="s">
        <v>668</v>
      </c>
      <c r="L1525" s="364" t="s">
        <v>190</v>
      </c>
      <c r="M1525" s="364" t="s">
        <v>240</v>
      </c>
      <c r="N1525" s="364" t="s">
        <v>654</v>
      </c>
      <c r="O1525" s="364" t="s">
        <v>653</v>
      </c>
      <c r="P1525" s="364" t="s">
        <v>198</v>
      </c>
      <c r="Q1525" s="364" t="s">
        <v>652</v>
      </c>
      <c r="R1525" s="364" t="s">
        <v>88</v>
      </c>
      <c r="S1525" s="364" t="s">
        <v>88</v>
      </c>
      <c r="T1525" s="364" t="s">
        <v>88</v>
      </c>
      <c r="U1525" s="364" t="s">
        <v>88</v>
      </c>
      <c r="V1525" s="364" t="s">
        <v>88</v>
      </c>
      <c r="W1525" s="364" t="s">
        <v>88</v>
      </c>
      <c r="X1525" s="364" t="s">
        <v>88</v>
      </c>
      <c r="Y1525" s="364" t="s">
        <v>88</v>
      </c>
      <c r="Z1525" s="364" t="s">
        <v>1163</v>
      </c>
      <c r="AA1525" s="364" t="s">
        <v>1162</v>
      </c>
      <c r="AB1525" s="364" t="s">
        <v>649</v>
      </c>
      <c r="AC1525" s="364" t="s">
        <v>88</v>
      </c>
      <c r="AD1525" s="364" t="s">
        <v>88</v>
      </c>
      <c r="AE1525" s="364" t="s">
        <v>88</v>
      </c>
      <c r="AF1525" s="364" t="s">
        <v>88</v>
      </c>
      <c r="AG1525" s="364" t="s">
        <v>88</v>
      </c>
      <c r="AH1525" s="364" t="s">
        <v>88</v>
      </c>
      <c r="AI1525" s="364" t="s">
        <v>1155</v>
      </c>
      <c r="AJ1525" s="364" t="s">
        <v>710</v>
      </c>
      <c r="AK1525" s="364" t="s">
        <v>88</v>
      </c>
      <c r="AL1525" s="364" t="s">
        <v>88</v>
      </c>
      <c r="AM1525" s="364" t="s">
        <v>668</v>
      </c>
      <c r="AN1525" s="364" t="s">
        <v>644</v>
      </c>
    </row>
    <row r="1526" spans="1:40" x14ac:dyDescent="0.3">
      <c r="A1526" s="364" t="s">
        <v>1181</v>
      </c>
      <c r="B1526" s="364" t="s">
        <v>661</v>
      </c>
      <c r="C1526" s="364" t="s">
        <v>1160</v>
      </c>
      <c r="D1526" s="364" t="s">
        <v>90</v>
      </c>
      <c r="E1526" s="364" t="s">
        <v>1180</v>
      </c>
      <c r="F1526" s="364" t="s">
        <v>1180</v>
      </c>
      <c r="G1526" s="364" t="s">
        <v>658</v>
      </c>
      <c r="H1526" s="364" t="s">
        <v>1179</v>
      </c>
      <c r="I1526" s="364" t="s">
        <v>88</v>
      </c>
      <c r="J1526" s="364" t="s">
        <v>673</v>
      </c>
      <c r="K1526" s="364" t="s">
        <v>668</v>
      </c>
      <c r="L1526" s="364" t="s">
        <v>190</v>
      </c>
      <c r="M1526" s="364" t="s">
        <v>61</v>
      </c>
      <c r="N1526" s="364" t="s">
        <v>654</v>
      </c>
      <c r="O1526" s="364" t="s">
        <v>653</v>
      </c>
      <c r="P1526" s="364" t="s">
        <v>198</v>
      </c>
      <c r="Q1526" s="364" t="s">
        <v>652</v>
      </c>
      <c r="R1526" s="364" t="s">
        <v>88</v>
      </c>
      <c r="S1526" s="364" t="s">
        <v>88</v>
      </c>
      <c r="T1526" s="364" t="s">
        <v>88</v>
      </c>
      <c r="U1526" s="364" t="s">
        <v>88</v>
      </c>
      <c r="V1526" s="364" t="s">
        <v>88</v>
      </c>
      <c r="W1526" s="364" t="s">
        <v>88</v>
      </c>
      <c r="X1526" s="364" t="s">
        <v>88</v>
      </c>
      <c r="Y1526" s="364" t="s">
        <v>88</v>
      </c>
      <c r="Z1526" s="364" t="s">
        <v>1021</v>
      </c>
      <c r="AA1526" s="364" t="s">
        <v>671</v>
      </c>
      <c r="AB1526" s="364" t="s">
        <v>649</v>
      </c>
      <c r="AC1526" s="364" t="s">
        <v>88</v>
      </c>
      <c r="AD1526" s="364" t="s">
        <v>88</v>
      </c>
      <c r="AE1526" s="364" t="s">
        <v>88</v>
      </c>
      <c r="AF1526" s="364" t="s">
        <v>88</v>
      </c>
      <c r="AG1526" s="364" t="s">
        <v>88</v>
      </c>
      <c r="AH1526" s="364" t="s">
        <v>88</v>
      </c>
      <c r="AI1526" s="364" t="s">
        <v>1155</v>
      </c>
      <c r="AJ1526" s="364" t="s">
        <v>710</v>
      </c>
      <c r="AK1526" s="364" t="s">
        <v>88</v>
      </c>
      <c r="AL1526" s="364" t="s">
        <v>88</v>
      </c>
      <c r="AM1526" s="364" t="s">
        <v>668</v>
      </c>
      <c r="AN1526" s="364" t="s">
        <v>644</v>
      </c>
    </row>
    <row r="1527" spans="1:40" x14ac:dyDescent="0.3">
      <c r="A1527" s="364" t="s">
        <v>1181</v>
      </c>
      <c r="B1527" s="364" t="s">
        <v>661</v>
      </c>
      <c r="C1527" s="364" t="s">
        <v>1160</v>
      </c>
      <c r="D1527" s="364" t="s">
        <v>90</v>
      </c>
      <c r="E1527" s="364" t="s">
        <v>1180</v>
      </c>
      <c r="F1527" s="364" t="s">
        <v>1180</v>
      </c>
      <c r="G1527" s="364" t="s">
        <v>658</v>
      </c>
      <c r="H1527" s="364" t="s">
        <v>1179</v>
      </c>
      <c r="I1527" s="364" t="s">
        <v>88</v>
      </c>
      <c r="J1527" s="364" t="s">
        <v>673</v>
      </c>
      <c r="K1527" s="364" t="s">
        <v>668</v>
      </c>
      <c r="L1527" s="364" t="s">
        <v>190</v>
      </c>
      <c r="M1527" s="364" t="s">
        <v>242</v>
      </c>
      <c r="N1527" s="364" t="s">
        <v>654</v>
      </c>
      <c r="O1527" s="364" t="s">
        <v>653</v>
      </c>
      <c r="P1527" s="364" t="s">
        <v>198</v>
      </c>
      <c r="Q1527" s="364" t="s">
        <v>652</v>
      </c>
      <c r="R1527" s="364" t="s">
        <v>88</v>
      </c>
      <c r="S1527" s="364" t="s">
        <v>88</v>
      </c>
      <c r="T1527" s="364" t="s">
        <v>88</v>
      </c>
      <c r="U1527" s="364" t="s">
        <v>88</v>
      </c>
      <c r="V1527" s="364" t="s">
        <v>88</v>
      </c>
      <c r="W1527" s="364" t="s">
        <v>88</v>
      </c>
      <c r="X1527" s="364" t="s">
        <v>88</v>
      </c>
      <c r="Y1527" s="364" t="s">
        <v>88</v>
      </c>
      <c r="Z1527" s="364" t="s">
        <v>1157</v>
      </c>
      <c r="AA1527" s="364" t="s">
        <v>1156</v>
      </c>
      <c r="AB1527" s="364" t="s">
        <v>649</v>
      </c>
      <c r="AC1527" s="364" t="s">
        <v>88</v>
      </c>
      <c r="AD1527" s="364" t="s">
        <v>88</v>
      </c>
      <c r="AE1527" s="364" t="s">
        <v>88</v>
      </c>
      <c r="AF1527" s="364" t="s">
        <v>88</v>
      </c>
      <c r="AG1527" s="364" t="s">
        <v>88</v>
      </c>
      <c r="AH1527" s="364" t="s">
        <v>88</v>
      </c>
      <c r="AI1527" s="364" t="s">
        <v>1155</v>
      </c>
      <c r="AJ1527" s="364" t="s">
        <v>710</v>
      </c>
      <c r="AK1527" s="364" t="s">
        <v>88</v>
      </c>
      <c r="AL1527" s="364" t="s">
        <v>88</v>
      </c>
      <c r="AM1527" s="364" t="s">
        <v>668</v>
      </c>
      <c r="AN1527" s="364" t="s">
        <v>644</v>
      </c>
    </row>
    <row r="1528" spans="1:40" x14ac:dyDescent="0.3">
      <c r="A1528" s="364" t="s">
        <v>1178</v>
      </c>
      <c r="B1528" s="364" t="s">
        <v>661</v>
      </c>
      <c r="C1528" s="364" t="s">
        <v>1160</v>
      </c>
      <c r="D1528" s="364" t="s">
        <v>90</v>
      </c>
      <c r="E1528" s="364" t="s">
        <v>1177</v>
      </c>
      <c r="F1528" s="364" t="s">
        <v>1177</v>
      </c>
      <c r="G1528" s="364" t="s">
        <v>658</v>
      </c>
      <c r="H1528" s="364" t="s">
        <v>1176</v>
      </c>
      <c r="I1528" s="364" t="s">
        <v>88</v>
      </c>
      <c r="J1528" s="364" t="s">
        <v>673</v>
      </c>
      <c r="K1528" s="364" t="s">
        <v>668</v>
      </c>
      <c r="L1528" s="364" t="s">
        <v>190</v>
      </c>
      <c r="M1528" s="364" t="s">
        <v>243</v>
      </c>
      <c r="N1528" s="364" t="s">
        <v>654</v>
      </c>
      <c r="O1528" s="364" t="s">
        <v>653</v>
      </c>
      <c r="P1528" s="364" t="s">
        <v>198</v>
      </c>
      <c r="Q1528" s="364" t="s">
        <v>652</v>
      </c>
      <c r="R1528" s="364" t="s">
        <v>88</v>
      </c>
      <c r="S1528" s="364" t="s">
        <v>88</v>
      </c>
      <c r="T1528" s="364" t="s">
        <v>88</v>
      </c>
      <c r="U1528" s="364" t="s">
        <v>88</v>
      </c>
      <c r="V1528" s="364" t="s">
        <v>88</v>
      </c>
      <c r="W1528" s="364" t="s">
        <v>88</v>
      </c>
      <c r="X1528" s="364" t="s">
        <v>88</v>
      </c>
      <c r="Y1528" s="364" t="s">
        <v>88</v>
      </c>
      <c r="Z1528" s="364" t="s">
        <v>1175</v>
      </c>
      <c r="AA1528" s="364" t="s">
        <v>1174</v>
      </c>
      <c r="AB1528" s="364" t="s">
        <v>649</v>
      </c>
      <c r="AC1528" s="364" t="s">
        <v>88</v>
      </c>
      <c r="AD1528" s="364" t="s">
        <v>88</v>
      </c>
      <c r="AE1528" s="364" t="s">
        <v>88</v>
      </c>
      <c r="AF1528" s="364" t="s">
        <v>88</v>
      </c>
      <c r="AG1528" s="364" t="s">
        <v>88</v>
      </c>
      <c r="AH1528" s="364" t="s">
        <v>88</v>
      </c>
      <c r="AI1528" s="364" t="s">
        <v>1155</v>
      </c>
      <c r="AJ1528" s="364" t="s">
        <v>710</v>
      </c>
      <c r="AK1528" s="364" t="s">
        <v>88</v>
      </c>
      <c r="AL1528" s="364" t="s">
        <v>88</v>
      </c>
      <c r="AM1528" s="364" t="s">
        <v>668</v>
      </c>
      <c r="AN1528" s="364" t="s">
        <v>644</v>
      </c>
    </row>
    <row r="1529" spans="1:40" x14ac:dyDescent="0.3">
      <c r="A1529" s="364" t="s">
        <v>1178</v>
      </c>
      <c r="B1529" s="364" t="s">
        <v>661</v>
      </c>
      <c r="C1529" s="364" t="s">
        <v>1160</v>
      </c>
      <c r="D1529" s="364" t="s">
        <v>90</v>
      </c>
      <c r="E1529" s="364" t="s">
        <v>1177</v>
      </c>
      <c r="F1529" s="364" t="s">
        <v>1177</v>
      </c>
      <c r="G1529" s="364" t="s">
        <v>658</v>
      </c>
      <c r="H1529" s="364" t="s">
        <v>1176</v>
      </c>
      <c r="I1529" s="364" t="s">
        <v>88</v>
      </c>
      <c r="J1529" s="364" t="s">
        <v>673</v>
      </c>
      <c r="K1529" s="364" t="s">
        <v>668</v>
      </c>
      <c r="L1529" s="364" t="s">
        <v>190</v>
      </c>
      <c r="M1529" s="364" t="s">
        <v>1173</v>
      </c>
      <c r="N1529" s="364" t="s">
        <v>654</v>
      </c>
      <c r="O1529" s="364" t="s">
        <v>653</v>
      </c>
      <c r="P1529" s="364" t="s">
        <v>198</v>
      </c>
      <c r="Q1529" s="364" t="s">
        <v>652</v>
      </c>
      <c r="R1529" s="364" t="s">
        <v>88</v>
      </c>
      <c r="S1529" s="364" t="s">
        <v>88</v>
      </c>
      <c r="T1529" s="364" t="s">
        <v>88</v>
      </c>
      <c r="U1529" s="364" t="s">
        <v>88</v>
      </c>
      <c r="V1529" s="364" t="s">
        <v>88</v>
      </c>
      <c r="W1529" s="364" t="s">
        <v>88</v>
      </c>
      <c r="X1529" s="364" t="s">
        <v>88</v>
      </c>
      <c r="Y1529" s="364" t="s">
        <v>88</v>
      </c>
      <c r="Z1529" s="364" t="s">
        <v>1172</v>
      </c>
      <c r="AA1529" s="364" t="s">
        <v>1171</v>
      </c>
      <c r="AB1529" s="364" t="s">
        <v>649</v>
      </c>
      <c r="AC1529" s="364" t="s">
        <v>88</v>
      </c>
      <c r="AD1529" s="364" t="s">
        <v>88</v>
      </c>
      <c r="AE1529" s="364" t="s">
        <v>88</v>
      </c>
      <c r="AF1529" s="364" t="s">
        <v>88</v>
      </c>
      <c r="AG1529" s="364" t="s">
        <v>88</v>
      </c>
      <c r="AH1529" s="364" t="s">
        <v>88</v>
      </c>
      <c r="AI1529" s="364" t="s">
        <v>1155</v>
      </c>
      <c r="AJ1529" s="364" t="s">
        <v>710</v>
      </c>
      <c r="AK1529" s="364" t="s">
        <v>88</v>
      </c>
      <c r="AL1529" s="364" t="s">
        <v>88</v>
      </c>
      <c r="AM1529" s="364" t="s">
        <v>668</v>
      </c>
      <c r="AN1529" s="364" t="s">
        <v>644</v>
      </c>
    </row>
    <row r="1530" spans="1:40" x14ac:dyDescent="0.3">
      <c r="A1530" s="364" t="s">
        <v>1178</v>
      </c>
      <c r="B1530" s="364" t="s">
        <v>661</v>
      </c>
      <c r="C1530" s="364" t="s">
        <v>1160</v>
      </c>
      <c r="D1530" s="364" t="s">
        <v>90</v>
      </c>
      <c r="E1530" s="364" t="s">
        <v>1177</v>
      </c>
      <c r="F1530" s="364" t="s">
        <v>1177</v>
      </c>
      <c r="G1530" s="364" t="s">
        <v>658</v>
      </c>
      <c r="H1530" s="364" t="s">
        <v>1176</v>
      </c>
      <c r="I1530" s="364" t="s">
        <v>88</v>
      </c>
      <c r="J1530" s="364" t="s">
        <v>673</v>
      </c>
      <c r="K1530" s="364" t="s">
        <v>668</v>
      </c>
      <c r="L1530" s="364" t="s">
        <v>190</v>
      </c>
      <c r="M1530" s="364" t="s">
        <v>241</v>
      </c>
      <c r="N1530" s="364" t="s">
        <v>654</v>
      </c>
      <c r="O1530" s="364" t="s">
        <v>653</v>
      </c>
      <c r="P1530" s="364" t="s">
        <v>198</v>
      </c>
      <c r="Q1530" s="364" t="s">
        <v>652</v>
      </c>
      <c r="R1530" s="364" t="s">
        <v>88</v>
      </c>
      <c r="S1530" s="364" t="s">
        <v>88</v>
      </c>
      <c r="T1530" s="364" t="s">
        <v>88</v>
      </c>
      <c r="U1530" s="364" t="s">
        <v>88</v>
      </c>
      <c r="V1530" s="364" t="s">
        <v>88</v>
      </c>
      <c r="W1530" s="364" t="s">
        <v>88</v>
      </c>
      <c r="X1530" s="364" t="s">
        <v>88</v>
      </c>
      <c r="Y1530" s="364" t="s">
        <v>88</v>
      </c>
      <c r="Z1530" s="364" t="s">
        <v>1170</v>
      </c>
      <c r="AA1530" s="364" t="s">
        <v>1169</v>
      </c>
      <c r="AB1530" s="364" t="s">
        <v>649</v>
      </c>
      <c r="AC1530" s="364" t="s">
        <v>88</v>
      </c>
      <c r="AD1530" s="364" t="s">
        <v>88</v>
      </c>
      <c r="AE1530" s="364" t="s">
        <v>88</v>
      </c>
      <c r="AF1530" s="364" t="s">
        <v>88</v>
      </c>
      <c r="AG1530" s="364" t="s">
        <v>88</v>
      </c>
      <c r="AH1530" s="364" t="s">
        <v>88</v>
      </c>
      <c r="AI1530" s="364" t="s">
        <v>1155</v>
      </c>
      <c r="AJ1530" s="364" t="s">
        <v>710</v>
      </c>
      <c r="AK1530" s="364" t="s">
        <v>88</v>
      </c>
      <c r="AL1530" s="364" t="s">
        <v>88</v>
      </c>
      <c r="AM1530" s="364" t="s">
        <v>668</v>
      </c>
      <c r="AN1530" s="364" t="s">
        <v>644</v>
      </c>
    </row>
    <row r="1531" spans="1:40" x14ac:dyDescent="0.3">
      <c r="A1531" s="364" t="s">
        <v>1178</v>
      </c>
      <c r="B1531" s="364" t="s">
        <v>661</v>
      </c>
      <c r="C1531" s="364" t="s">
        <v>1160</v>
      </c>
      <c r="D1531" s="364" t="s">
        <v>90</v>
      </c>
      <c r="E1531" s="364" t="s">
        <v>1177</v>
      </c>
      <c r="F1531" s="364" t="s">
        <v>1177</v>
      </c>
      <c r="G1531" s="364" t="s">
        <v>658</v>
      </c>
      <c r="H1531" s="364" t="s">
        <v>1176</v>
      </c>
      <c r="I1531" s="364" t="s">
        <v>88</v>
      </c>
      <c r="J1531" s="364" t="s">
        <v>673</v>
      </c>
      <c r="K1531" s="364" t="s">
        <v>668</v>
      </c>
      <c r="L1531" s="364" t="s">
        <v>190</v>
      </c>
      <c r="M1531" s="364" t="s">
        <v>1168</v>
      </c>
      <c r="N1531" s="364" t="s">
        <v>654</v>
      </c>
      <c r="O1531" s="364" t="s">
        <v>653</v>
      </c>
      <c r="P1531" s="364" t="s">
        <v>198</v>
      </c>
      <c r="Q1531" s="364" t="s">
        <v>652</v>
      </c>
      <c r="R1531" s="364" t="s">
        <v>88</v>
      </c>
      <c r="S1531" s="364" t="s">
        <v>88</v>
      </c>
      <c r="T1531" s="364" t="s">
        <v>88</v>
      </c>
      <c r="U1531" s="364" t="s">
        <v>88</v>
      </c>
      <c r="V1531" s="364" t="s">
        <v>88</v>
      </c>
      <c r="W1531" s="364" t="s">
        <v>88</v>
      </c>
      <c r="X1531" s="364" t="s">
        <v>88</v>
      </c>
      <c r="Y1531" s="364" t="s">
        <v>88</v>
      </c>
      <c r="Z1531" s="364" t="s">
        <v>1167</v>
      </c>
      <c r="AA1531" s="364" t="s">
        <v>1166</v>
      </c>
      <c r="AB1531" s="364" t="s">
        <v>649</v>
      </c>
      <c r="AC1531" s="364" t="s">
        <v>88</v>
      </c>
      <c r="AD1531" s="364" t="s">
        <v>88</v>
      </c>
      <c r="AE1531" s="364" t="s">
        <v>88</v>
      </c>
      <c r="AF1531" s="364" t="s">
        <v>88</v>
      </c>
      <c r="AG1531" s="364" t="s">
        <v>88</v>
      </c>
      <c r="AH1531" s="364" t="s">
        <v>88</v>
      </c>
      <c r="AI1531" s="364" t="s">
        <v>1155</v>
      </c>
      <c r="AJ1531" s="364" t="s">
        <v>710</v>
      </c>
      <c r="AK1531" s="364" t="s">
        <v>88</v>
      </c>
      <c r="AL1531" s="364" t="s">
        <v>88</v>
      </c>
      <c r="AM1531" s="364" t="s">
        <v>668</v>
      </c>
      <c r="AN1531" s="364" t="s">
        <v>644</v>
      </c>
    </row>
    <row r="1532" spans="1:40" x14ac:dyDescent="0.3">
      <c r="A1532" s="364" t="s">
        <v>1178</v>
      </c>
      <c r="B1532" s="364" t="s">
        <v>661</v>
      </c>
      <c r="C1532" s="364" t="s">
        <v>1160</v>
      </c>
      <c r="D1532" s="364" t="s">
        <v>90</v>
      </c>
      <c r="E1532" s="364" t="s">
        <v>1177</v>
      </c>
      <c r="F1532" s="364" t="s">
        <v>1177</v>
      </c>
      <c r="G1532" s="364" t="s">
        <v>658</v>
      </c>
      <c r="H1532" s="364" t="s">
        <v>1176</v>
      </c>
      <c r="I1532" s="364" t="s">
        <v>88</v>
      </c>
      <c r="J1532" s="364" t="s">
        <v>673</v>
      </c>
      <c r="K1532" s="364" t="s">
        <v>668</v>
      </c>
      <c r="L1532" s="364" t="s">
        <v>190</v>
      </c>
      <c r="M1532" s="364" t="s">
        <v>713</v>
      </c>
      <c r="N1532" s="364" t="s">
        <v>654</v>
      </c>
      <c r="O1532" s="364" t="s">
        <v>653</v>
      </c>
      <c r="P1532" s="364" t="s">
        <v>198</v>
      </c>
      <c r="Q1532" s="364" t="s">
        <v>652</v>
      </c>
      <c r="R1532" s="364" t="s">
        <v>88</v>
      </c>
      <c r="S1532" s="364" t="s">
        <v>88</v>
      </c>
      <c r="T1532" s="364" t="s">
        <v>88</v>
      </c>
      <c r="U1532" s="364" t="s">
        <v>88</v>
      </c>
      <c r="V1532" s="364" t="s">
        <v>88</v>
      </c>
      <c r="W1532" s="364" t="s">
        <v>88</v>
      </c>
      <c r="X1532" s="364" t="s">
        <v>88</v>
      </c>
      <c r="Y1532" s="364" t="s">
        <v>88</v>
      </c>
      <c r="Z1532" s="364" t="s">
        <v>712</v>
      </c>
      <c r="AA1532" s="364" t="s">
        <v>711</v>
      </c>
      <c r="AB1532" s="364" t="s">
        <v>649</v>
      </c>
      <c r="AC1532" s="364" t="s">
        <v>88</v>
      </c>
      <c r="AD1532" s="364" t="s">
        <v>88</v>
      </c>
      <c r="AE1532" s="364" t="s">
        <v>88</v>
      </c>
      <c r="AF1532" s="364" t="s">
        <v>88</v>
      </c>
      <c r="AG1532" s="364" t="s">
        <v>88</v>
      </c>
      <c r="AH1532" s="364" t="s">
        <v>88</v>
      </c>
      <c r="AI1532" s="364" t="s">
        <v>1155</v>
      </c>
      <c r="AJ1532" s="364" t="s">
        <v>710</v>
      </c>
      <c r="AK1532" s="364" t="s">
        <v>88</v>
      </c>
      <c r="AL1532" s="364" t="s">
        <v>88</v>
      </c>
      <c r="AM1532" s="364" t="s">
        <v>668</v>
      </c>
      <c r="AN1532" s="364" t="s">
        <v>644</v>
      </c>
    </row>
    <row r="1533" spans="1:40" x14ac:dyDescent="0.3">
      <c r="A1533" s="364" t="s">
        <v>1178</v>
      </c>
      <c r="B1533" s="364" t="s">
        <v>661</v>
      </c>
      <c r="C1533" s="364" t="s">
        <v>1160</v>
      </c>
      <c r="D1533" s="364" t="s">
        <v>90</v>
      </c>
      <c r="E1533" s="364" t="s">
        <v>1177</v>
      </c>
      <c r="F1533" s="364" t="s">
        <v>1177</v>
      </c>
      <c r="G1533" s="364" t="s">
        <v>658</v>
      </c>
      <c r="H1533" s="364" t="s">
        <v>1176</v>
      </c>
      <c r="I1533" s="364" t="s">
        <v>88</v>
      </c>
      <c r="J1533" s="364" t="s">
        <v>673</v>
      </c>
      <c r="K1533" s="364" t="s">
        <v>668</v>
      </c>
      <c r="L1533" s="364" t="s">
        <v>190</v>
      </c>
      <c r="M1533" s="364" t="s">
        <v>56</v>
      </c>
      <c r="N1533" s="364" t="s">
        <v>654</v>
      </c>
      <c r="O1533" s="364" t="s">
        <v>653</v>
      </c>
      <c r="P1533" s="364" t="s">
        <v>198</v>
      </c>
      <c r="Q1533" s="364" t="s">
        <v>652</v>
      </c>
      <c r="R1533" s="364" t="s">
        <v>88</v>
      </c>
      <c r="S1533" s="364" t="s">
        <v>88</v>
      </c>
      <c r="T1533" s="364" t="s">
        <v>88</v>
      </c>
      <c r="U1533" s="364" t="s">
        <v>88</v>
      </c>
      <c r="V1533" s="364" t="s">
        <v>88</v>
      </c>
      <c r="W1533" s="364" t="s">
        <v>88</v>
      </c>
      <c r="X1533" s="364" t="s">
        <v>88</v>
      </c>
      <c r="Y1533" s="364" t="s">
        <v>88</v>
      </c>
      <c r="Z1533" s="364" t="s">
        <v>1165</v>
      </c>
      <c r="AA1533" s="364" t="s">
        <v>1164</v>
      </c>
      <c r="AB1533" s="364" t="s">
        <v>649</v>
      </c>
      <c r="AC1533" s="364" t="s">
        <v>88</v>
      </c>
      <c r="AD1533" s="364" t="s">
        <v>88</v>
      </c>
      <c r="AE1533" s="364" t="s">
        <v>88</v>
      </c>
      <c r="AF1533" s="364" t="s">
        <v>88</v>
      </c>
      <c r="AG1533" s="364" t="s">
        <v>88</v>
      </c>
      <c r="AH1533" s="364" t="s">
        <v>88</v>
      </c>
      <c r="AI1533" s="364" t="s">
        <v>1155</v>
      </c>
      <c r="AJ1533" s="364" t="s">
        <v>710</v>
      </c>
      <c r="AK1533" s="364" t="s">
        <v>88</v>
      </c>
      <c r="AL1533" s="364" t="s">
        <v>88</v>
      </c>
      <c r="AM1533" s="364" t="s">
        <v>668</v>
      </c>
      <c r="AN1533" s="364" t="s">
        <v>644</v>
      </c>
    </row>
    <row r="1534" spans="1:40" x14ac:dyDescent="0.3">
      <c r="A1534" s="364" t="s">
        <v>1178</v>
      </c>
      <c r="B1534" s="364" t="s">
        <v>661</v>
      </c>
      <c r="C1534" s="364" t="s">
        <v>1160</v>
      </c>
      <c r="D1534" s="364" t="s">
        <v>90</v>
      </c>
      <c r="E1534" s="364" t="s">
        <v>1177</v>
      </c>
      <c r="F1534" s="364" t="s">
        <v>1177</v>
      </c>
      <c r="G1534" s="364" t="s">
        <v>658</v>
      </c>
      <c r="H1534" s="364" t="s">
        <v>1176</v>
      </c>
      <c r="I1534" s="364" t="s">
        <v>88</v>
      </c>
      <c r="J1534" s="364" t="s">
        <v>673</v>
      </c>
      <c r="K1534" s="364" t="s">
        <v>668</v>
      </c>
      <c r="L1534" s="364" t="s">
        <v>190</v>
      </c>
      <c r="M1534" s="364" t="s">
        <v>240</v>
      </c>
      <c r="N1534" s="364" t="s">
        <v>654</v>
      </c>
      <c r="O1534" s="364" t="s">
        <v>653</v>
      </c>
      <c r="P1534" s="364" t="s">
        <v>198</v>
      </c>
      <c r="Q1534" s="364" t="s">
        <v>652</v>
      </c>
      <c r="R1534" s="364" t="s">
        <v>88</v>
      </c>
      <c r="S1534" s="364" t="s">
        <v>88</v>
      </c>
      <c r="T1534" s="364" t="s">
        <v>88</v>
      </c>
      <c r="U1534" s="364" t="s">
        <v>88</v>
      </c>
      <c r="V1534" s="364" t="s">
        <v>88</v>
      </c>
      <c r="W1534" s="364" t="s">
        <v>88</v>
      </c>
      <c r="X1534" s="364" t="s">
        <v>88</v>
      </c>
      <c r="Y1534" s="364" t="s">
        <v>88</v>
      </c>
      <c r="Z1534" s="364" t="s">
        <v>1163</v>
      </c>
      <c r="AA1534" s="364" t="s">
        <v>1162</v>
      </c>
      <c r="AB1534" s="364" t="s">
        <v>649</v>
      </c>
      <c r="AC1534" s="364" t="s">
        <v>88</v>
      </c>
      <c r="AD1534" s="364" t="s">
        <v>88</v>
      </c>
      <c r="AE1534" s="364" t="s">
        <v>88</v>
      </c>
      <c r="AF1534" s="364" t="s">
        <v>88</v>
      </c>
      <c r="AG1534" s="364" t="s">
        <v>88</v>
      </c>
      <c r="AH1534" s="364" t="s">
        <v>88</v>
      </c>
      <c r="AI1534" s="364" t="s">
        <v>1155</v>
      </c>
      <c r="AJ1534" s="364" t="s">
        <v>710</v>
      </c>
      <c r="AK1534" s="364" t="s">
        <v>88</v>
      </c>
      <c r="AL1534" s="364" t="s">
        <v>88</v>
      </c>
      <c r="AM1534" s="364" t="s">
        <v>668</v>
      </c>
      <c r="AN1534" s="364" t="s">
        <v>644</v>
      </c>
    </row>
    <row r="1535" spans="1:40" x14ac:dyDescent="0.3">
      <c r="A1535" s="364" t="s">
        <v>1178</v>
      </c>
      <c r="B1535" s="364" t="s">
        <v>661</v>
      </c>
      <c r="C1535" s="364" t="s">
        <v>1160</v>
      </c>
      <c r="D1535" s="364" t="s">
        <v>90</v>
      </c>
      <c r="E1535" s="364" t="s">
        <v>1177</v>
      </c>
      <c r="F1535" s="364" t="s">
        <v>1177</v>
      </c>
      <c r="G1535" s="364" t="s">
        <v>658</v>
      </c>
      <c r="H1535" s="364" t="s">
        <v>1176</v>
      </c>
      <c r="I1535" s="364" t="s">
        <v>88</v>
      </c>
      <c r="J1535" s="364" t="s">
        <v>673</v>
      </c>
      <c r="K1535" s="364" t="s">
        <v>668</v>
      </c>
      <c r="L1535" s="364" t="s">
        <v>190</v>
      </c>
      <c r="M1535" s="364" t="s">
        <v>61</v>
      </c>
      <c r="N1535" s="364" t="s">
        <v>654</v>
      </c>
      <c r="O1535" s="364" t="s">
        <v>653</v>
      </c>
      <c r="P1535" s="364" t="s">
        <v>198</v>
      </c>
      <c r="Q1535" s="364" t="s">
        <v>652</v>
      </c>
      <c r="R1535" s="364" t="s">
        <v>88</v>
      </c>
      <c r="S1535" s="364" t="s">
        <v>88</v>
      </c>
      <c r="T1535" s="364" t="s">
        <v>88</v>
      </c>
      <c r="U1535" s="364" t="s">
        <v>88</v>
      </c>
      <c r="V1535" s="364" t="s">
        <v>88</v>
      </c>
      <c r="W1535" s="364" t="s">
        <v>88</v>
      </c>
      <c r="X1535" s="364" t="s">
        <v>88</v>
      </c>
      <c r="Y1535" s="364" t="s">
        <v>88</v>
      </c>
      <c r="Z1535" s="364" t="s">
        <v>1021</v>
      </c>
      <c r="AA1535" s="364" t="s">
        <v>671</v>
      </c>
      <c r="AB1535" s="364" t="s">
        <v>649</v>
      </c>
      <c r="AC1535" s="364" t="s">
        <v>88</v>
      </c>
      <c r="AD1535" s="364" t="s">
        <v>88</v>
      </c>
      <c r="AE1535" s="364" t="s">
        <v>88</v>
      </c>
      <c r="AF1535" s="364" t="s">
        <v>88</v>
      </c>
      <c r="AG1535" s="364" t="s">
        <v>88</v>
      </c>
      <c r="AH1535" s="364" t="s">
        <v>88</v>
      </c>
      <c r="AI1535" s="364" t="s">
        <v>1155</v>
      </c>
      <c r="AJ1535" s="364" t="s">
        <v>710</v>
      </c>
      <c r="AK1535" s="364" t="s">
        <v>88</v>
      </c>
      <c r="AL1535" s="364" t="s">
        <v>88</v>
      </c>
      <c r="AM1535" s="364" t="s">
        <v>668</v>
      </c>
      <c r="AN1535" s="364" t="s">
        <v>644</v>
      </c>
    </row>
    <row r="1536" spans="1:40" x14ac:dyDescent="0.3">
      <c r="A1536" s="364" t="s">
        <v>1178</v>
      </c>
      <c r="B1536" s="364" t="s">
        <v>661</v>
      </c>
      <c r="C1536" s="364" t="s">
        <v>1160</v>
      </c>
      <c r="D1536" s="364" t="s">
        <v>90</v>
      </c>
      <c r="E1536" s="364" t="s">
        <v>1177</v>
      </c>
      <c r="F1536" s="364" t="s">
        <v>1177</v>
      </c>
      <c r="G1536" s="364" t="s">
        <v>658</v>
      </c>
      <c r="H1536" s="364" t="s">
        <v>1176</v>
      </c>
      <c r="I1536" s="364" t="s">
        <v>88</v>
      </c>
      <c r="J1536" s="364" t="s">
        <v>673</v>
      </c>
      <c r="K1536" s="364" t="s">
        <v>668</v>
      </c>
      <c r="L1536" s="364" t="s">
        <v>190</v>
      </c>
      <c r="M1536" s="364" t="s">
        <v>242</v>
      </c>
      <c r="N1536" s="364" t="s">
        <v>654</v>
      </c>
      <c r="O1536" s="364" t="s">
        <v>653</v>
      </c>
      <c r="P1536" s="364" t="s">
        <v>198</v>
      </c>
      <c r="Q1536" s="364" t="s">
        <v>652</v>
      </c>
      <c r="R1536" s="364" t="s">
        <v>88</v>
      </c>
      <c r="S1536" s="364" t="s">
        <v>88</v>
      </c>
      <c r="T1536" s="364" t="s">
        <v>88</v>
      </c>
      <c r="U1536" s="364" t="s">
        <v>88</v>
      </c>
      <c r="V1536" s="364" t="s">
        <v>88</v>
      </c>
      <c r="W1536" s="364" t="s">
        <v>88</v>
      </c>
      <c r="X1536" s="364" t="s">
        <v>88</v>
      </c>
      <c r="Y1536" s="364" t="s">
        <v>88</v>
      </c>
      <c r="Z1536" s="364" t="s">
        <v>1157</v>
      </c>
      <c r="AA1536" s="364" t="s">
        <v>1156</v>
      </c>
      <c r="AB1536" s="364" t="s">
        <v>649</v>
      </c>
      <c r="AC1536" s="364" t="s">
        <v>88</v>
      </c>
      <c r="AD1536" s="364" t="s">
        <v>88</v>
      </c>
      <c r="AE1536" s="364" t="s">
        <v>88</v>
      </c>
      <c r="AF1536" s="364" t="s">
        <v>88</v>
      </c>
      <c r="AG1536" s="364" t="s">
        <v>88</v>
      </c>
      <c r="AH1536" s="364" t="s">
        <v>88</v>
      </c>
      <c r="AI1536" s="364" t="s">
        <v>1155</v>
      </c>
      <c r="AJ1536" s="364" t="s">
        <v>710</v>
      </c>
      <c r="AK1536" s="364" t="s">
        <v>88</v>
      </c>
      <c r="AL1536" s="364" t="s">
        <v>88</v>
      </c>
      <c r="AM1536" s="364" t="s">
        <v>668</v>
      </c>
      <c r="AN1536" s="364" t="s">
        <v>644</v>
      </c>
    </row>
    <row r="1537" spans="1:40" x14ac:dyDescent="0.3">
      <c r="A1537" s="364" t="s">
        <v>1161</v>
      </c>
      <c r="B1537" s="364" t="s">
        <v>661</v>
      </c>
      <c r="C1537" s="364" t="s">
        <v>1160</v>
      </c>
      <c r="D1537" s="364" t="s">
        <v>90</v>
      </c>
      <c r="E1537" s="364" t="s">
        <v>1159</v>
      </c>
      <c r="F1537" s="364" t="s">
        <v>1159</v>
      </c>
      <c r="G1537" s="364" t="s">
        <v>658</v>
      </c>
      <c r="H1537" s="364" t="s">
        <v>1158</v>
      </c>
      <c r="I1537" s="364" t="s">
        <v>88</v>
      </c>
      <c r="J1537" s="364" t="s">
        <v>673</v>
      </c>
      <c r="K1537" s="364" t="s">
        <v>668</v>
      </c>
      <c r="L1537" s="364" t="s">
        <v>190</v>
      </c>
      <c r="M1537" s="364" t="s">
        <v>243</v>
      </c>
      <c r="N1537" s="364" t="s">
        <v>654</v>
      </c>
      <c r="O1537" s="364" t="s">
        <v>653</v>
      </c>
      <c r="P1537" s="364" t="s">
        <v>198</v>
      </c>
      <c r="Q1537" s="364" t="s">
        <v>652</v>
      </c>
      <c r="R1537" s="364" t="s">
        <v>88</v>
      </c>
      <c r="S1537" s="364" t="s">
        <v>88</v>
      </c>
      <c r="T1537" s="364" t="s">
        <v>88</v>
      </c>
      <c r="U1537" s="364" t="s">
        <v>88</v>
      </c>
      <c r="V1537" s="364" t="s">
        <v>88</v>
      </c>
      <c r="W1537" s="364" t="s">
        <v>88</v>
      </c>
      <c r="X1537" s="364" t="s">
        <v>88</v>
      </c>
      <c r="Y1537" s="364" t="s">
        <v>88</v>
      </c>
      <c r="Z1537" s="364" t="s">
        <v>1175</v>
      </c>
      <c r="AA1537" s="364" t="s">
        <v>1174</v>
      </c>
      <c r="AB1537" s="364" t="s">
        <v>649</v>
      </c>
      <c r="AC1537" s="364" t="s">
        <v>88</v>
      </c>
      <c r="AD1537" s="364" t="s">
        <v>88</v>
      </c>
      <c r="AE1537" s="364" t="s">
        <v>88</v>
      </c>
      <c r="AF1537" s="364" t="s">
        <v>88</v>
      </c>
      <c r="AG1537" s="364" t="s">
        <v>88</v>
      </c>
      <c r="AH1537" s="364" t="s">
        <v>88</v>
      </c>
      <c r="AI1537" s="364" t="s">
        <v>1155</v>
      </c>
      <c r="AJ1537" s="364" t="s">
        <v>710</v>
      </c>
      <c r="AK1537" s="364" t="s">
        <v>88</v>
      </c>
      <c r="AL1537" s="364" t="s">
        <v>88</v>
      </c>
      <c r="AM1537" s="364" t="s">
        <v>668</v>
      </c>
      <c r="AN1537" s="364" t="s">
        <v>644</v>
      </c>
    </row>
    <row r="1538" spans="1:40" x14ac:dyDescent="0.3">
      <c r="A1538" s="364" t="s">
        <v>1161</v>
      </c>
      <c r="B1538" s="364" t="s">
        <v>661</v>
      </c>
      <c r="C1538" s="364" t="s">
        <v>1160</v>
      </c>
      <c r="D1538" s="364" t="s">
        <v>90</v>
      </c>
      <c r="E1538" s="364" t="s">
        <v>1159</v>
      </c>
      <c r="F1538" s="364" t="s">
        <v>1159</v>
      </c>
      <c r="G1538" s="364" t="s">
        <v>658</v>
      </c>
      <c r="H1538" s="364" t="s">
        <v>1158</v>
      </c>
      <c r="I1538" s="364" t="s">
        <v>88</v>
      </c>
      <c r="J1538" s="364" t="s">
        <v>673</v>
      </c>
      <c r="K1538" s="364" t="s">
        <v>668</v>
      </c>
      <c r="L1538" s="364" t="s">
        <v>190</v>
      </c>
      <c r="M1538" s="364" t="s">
        <v>1173</v>
      </c>
      <c r="N1538" s="364" t="s">
        <v>654</v>
      </c>
      <c r="O1538" s="364" t="s">
        <v>653</v>
      </c>
      <c r="P1538" s="364" t="s">
        <v>198</v>
      </c>
      <c r="Q1538" s="364" t="s">
        <v>652</v>
      </c>
      <c r="R1538" s="364" t="s">
        <v>88</v>
      </c>
      <c r="S1538" s="364" t="s">
        <v>88</v>
      </c>
      <c r="T1538" s="364" t="s">
        <v>88</v>
      </c>
      <c r="U1538" s="364" t="s">
        <v>88</v>
      </c>
      <c r="V1538" s="364" t="s">
        <v>88</v>
      </c>
      <c r="W1538" s="364" t="s">
        <v>88</v>
      </c>
      <c r="X1538" s="364" t="s">
        <v>88</v>
      </c>
      <c r="Y1538" s="364" t="s">
        <v>88</v>
      </c>
      <c r="Z1538" s="364" t="s">
        <v>1172</v>
      </c>
      <c r="AA1538" s="364" t="s">
        <v>1171</v>
      </c>
      <c r="AB1538" s="364" t="s">
        <v>649</v>
      </c>
      <c r="AC1538" s="364" t="s">
        <v>88</v>
      </c>
      <c r="AD1538" s="364" t="s">
        <v>88</v>
      </c>
      <c r="AE1538" s="364" t="s">
        <v>88</v>
      </c>
      <c r="AF1538" s="364" t="s">
        <v>88</v>
      </c>
      <c r="AG1538" s="364" t="s">
        <v>88</v>
      </c>
      <c r="AH1538" s="364" t="s">
        <v>88</v>
      </c>
      <c r="AI1538" s="364" t="s">
        <v>1155</v>
      </c>
      <c r="AJ1538" s="364" t="s">
        <v>710</v>
      </c>
      <c r="AK1538" s="364" t="s">
        <v>88</v>
      </c>
      <c r="AL1538" s="364" t="s">
        <v>88</v>
      </c>
      <c r="AM1538" s="364" t="s">
        <v>668</v>
      </c>
      <c r="AN1538" s="364" t="s">
        <v>644</v>
      </c>
    </row>
    <row r="1539" spans="1:40" x14ac:dyDescent="0.3">
      <c r="A1539" s="364" t="s">
        <v>1161</v>
      </c>
      <c r="B1539" s="364" t="s">
        <v>661</v>
      </c>
      <c r="C1539" s="364" t="s">
        <v>1160</v>
      </c>
      <c r="D1539" s="364" t="s">
        <v>90</v>
      </c>
      <c r="E1539" s="364" t="s">
        <v>1159</v>
      </c>
      <c r="F1539" s="364" t="s">
        <v>1159</v>
      </c>
      <c r="G1539" s="364" t="s">
        <v>658</v>
      </c>
      <c r="H1539" s="364" t="s">
        <v>1158</v>
      </c>
      <c r="I1539" s="364" t="s">
        <v>88</v>
      </c>
      <c r="J1539" s="364" t="s">
        <v>673</v>
      </c>
      <c r="K1539" s="364" t="s">
        <v>668</v>
      </c>
      <c r="L1539" s="364" t="s">
        <v>190</v>
      </c>
      <c r="M1539" s="364" t="s">
        <v>241</v>
      </c>
      <c r="N1539" s="364" t="s">
        <v>654</v>
      </c>
      <c r="O1539" s="364" t="s">
        <v>653</v>
      </c>
      <c r="P1539" s="364" t="s">
        <v>198</v>
      </c>
      <c r="Q1539" s="364" t="s">
        <v>652</v>
      </c>
      <c r="R1539" s="364" t="s">
        <v>88</v>
      </c>
      <c r="S1539" s="364" t="s">
        <v>88</v>
      </c>
      <c r="T1539" s="364" t="s">
        <v>88</v>
      </c>
      <c r="U1539" s="364" t="s">
        <v>88</v>
      </c>
      <c r="V1539" s="364" t="s">
        <v>88</v>
      </c>
      <c r="W1539" s="364" t="s">
        <v>88</v>
      </c>
      <c r="X1539" s="364" t="s">
        <v>88</v>
      </c>
      <c r="Y1539" s="364" t="s">
        <v>88</v>
      </c>
      <c r="Z1539" s="364" t="s">
        <v>1170</v>
      </c>
      <c r="AA1539" s="364" t="s">
        <v>1169</v>
      </c>
      <c r="AB1539" s="364" t="s">
        <v>649</v>
      </c>
      <c r="AC1539" s="364" t="s">
        <v>88</v>
      </c>
      <c r="AD1539" s="364" t="s">
        <v>88</v>
      </c>
      <c r="AE1539" s="364" t="s">
        <v>88</v>
      </c>
      <c r="AF1539" s="364" t="s">
        <v>88</v>
      </c>
      <c r="AG1539" s="364" t="s">
        <v>88</v>
      </c>
      <c r="AH1539" s="364" t="s">
        <v>88</v>
      </c>
      <c r="AI1539" s="364" t="s">
        <v>1155</v>
      </c>
      <c r="AJ1539" s="364" t="s">
        <v>710</v>
      </c>
      <c r="AK1539" s="364" t="s">
        <v>88</v>
      </c>
      <c r="AL1539" s="364" t="s">
        <v>88</v>
      </c>
      <c r="AM1539" s="364" t="s">
        <v>668</v>
      </c>
      <c r="AN1539" s="364" t="s">
        <v>644</v>
      </c>
    </row>
    <row r="1540" spans="1:40" x14ac:dyDescent="0.3">
      <c r="A1540" s="364" t="s">
        <v>1161</v>
      </c>
      <c r="B1540" s="364" t="s">
        <v>661</v>
      </c>
      <c r="C1540" s="364" t="s">
        <v>1160</v>
      </c>
      <c r="D1540" s="364" t="s">
        <v>90</v>
      </c>
      <c r="E1540" s="364" t="s">
        <v>1159</v>
      </c>
      <c r="F1540" s="364" t="s">
        <v>1159</v>
      </c>
      <c r="G1540" s="364" t="s">
        <v>658</v>
      </c>
      <c r="H1540" s="364" t="s">
        <v>1158</v>
      </c>
      <c r="I1540" s="364" t="s">
        <v>88</v>
      </c>
      <c r="J1540" s="364" t="s">
        <v>673</v>
      </c>
      <c r="K1540" s="364" t="s">
        <v>668</v>
      </c>
      <c r="L1540" s="364" t="s">
        <v>190</v>
      </c>
      <c r="M1540" s="364" t="s">
        <v>1168</v>
      </c>
      <c r="N1540" s="364" t="s">
        <v>654</v>
      </c>
      <c r="O1540" s="364" t="s">
        <v>653</v>
      </c>
      <c r="P1540" s="364" t="s">
        <v>198</v>
      </c>
      <c r="Q1540" s="364" t="s">
        <v>652</v>
      </c>
      <c r="R1540" s="364" t="s">
        <v>88</v>
      </c>
      <c r="S1540" s="364" t="s">
        <v>88</v>
      </c>
      <c r="T1540" s="364" t="s">
        <v>88</v>
      </c>
      <c r="U1540" s="364" t="s">
        <v>88</v>
      </c>
      <c r="V1540" s="364" t="s">
        <v>88</v>
      </c>
      <c r="W1540" s="364" t="s">
        <v>88</v>
      </c>
      <c r="X1540" s="364" t="s">
        <v>88</v>
      </c>
      <c r="Y1540" s="364" t="s">
        <v>88</v>
      </c>
      <c r="Z1540" s="364" t="s">
        <v>1167</v>
      </c>
      <c r="AA1540" s="364" t="s">
        <v>1166</v>
      </c>
      <c r="AB1540" s="364" t="s">
        <v>649</v>
      </c>
      <c r="AC1540" s="364" t="s">
        <v>88</v>
      </c>
      <c r="AD1540" s="364" t="s">
        <v>88</v>
      </c>
      <c r="AE1540" s="364" t="s">
        <v>88</v>
      </c>
      <c r="AF1540" s="364" t="s">
        <v>88</v>
      </c>
      <c r="AG1540" s="364" t="s">
        <v>88</v>
      </c>
      <c r="AH1540" s="364" t="s">
        <v>88</v>
      </c>
      <c r="AI1540" s="364" t="s">
        <v>1155</v>
      </c>
      <c r="AJ1540" s="364" t="s">
        <v>710</v>
      </c>
      <c r="AK1540" s="364" t="s">
        <v>88</v>
      </c>
      <c r="AL1540" s="364" t="s">
        <v>88</v>
      </c>
      <c r="AM1540" s="364" t="s">
        <v>668</v>
      </c>
      <c r="AN1540" s="364" t="s">
        <v>644</v>
      </c>
    </row>
    <row r="1541" spans="1:40" x14ac:dyDescent="0.3">
      <c r="A1541" s="364" t="s">
        <v>1161</v>
      </c>
      <c r="B1541" s="364" t="s">
        <v>661</v>
      </c>
      <c r="C1541" s="364" t="s">
        <v>1160</v>
      </c>
      <c r="D1541" s="364" t="s">
        <v>90</v>
      </c>
      <c r="E1541" s="364" t="s">
        <v>1159</v>
      </c>
      <c r="F1541" s="364" t="s">
        <v>1159</v>
      </c>
      <c r="G1541" s="364" t="s">
        <v>658</v>
      </c>
      <c r="H1541" s="364" t="s">
        <v>1158</v>
      </c>
      <c r="I1541" s="364" t="s">
        <v>88</v>
      </c>
      <c r="J1541" s="364" t="s">
        <v>673</v>
      </c>
      <c r="K1541" s="364" t="s">
        <v>668</v>
      </c>
      <c r="L1541" s="364" t="s">
        <v>190</v>
      </c>
      <c r="M1541" s="364" t="s">
        <v>713</v>
      </c>
      <c r="N1541" s="364" t="s">
        <v>654</v>
      </c>
      <c r="O1541" s="364" t="s">
        <v>653</v>
      </c>
      <c r="P1541" s="364" t="s">
        <v>198</v>
      </c>
      <c r="Q1541" s="364" t="s">
        <v>652</v>
      </c>
      <c r="R1541" s="364" t="s">
        <v>88</v>
      </c>
      <c r="S1541" s="364" t="s">
        <v>88</v>
      </c>
      <c r="T1541" s="364" t="s">
        <v>88</v>
      </c>
      <c r="U1541" s="364" t="s">
        <v>88</v>
      </c>
      <c r="V1541" s="364" t="s">
        <v>88</v>
      </c>
      <c r="W1541" s="364" t="s">
        <v>88</v>
      </c>
      <c r="X1541" s="364" t="s">
        <v>88</v>
      </c>
      <c r="Y1541" s="364" t="s">
        <v>88</v>
      </c>
      <c r="Z1541" s="364" t="s">
        <v>712</v>
      </c>
      <c r="AA1541" s="364" t="s">
        <v>711</v>
      </c>
      <c r="AB1541" s="364" t="s">
        <v>649</v>
      </c>
      <c r="AC1541" s="364" t="s">
        <v>88</v>
      </c>
      <c r="AD1541" s="364" t="s">
        <v>88</v>
      </c>
      <c r="AE1541" s="364" t="s">
        <v>88</v>
      </c>
      <c r="AF1541" s="364" t="s">
        <v>88</v>
      </c>
      <c r="AG1541" s="364" t="s">
        <v>88</v>
      </c>
      <c r="AH1541" s="364" t="s">
        <v>88</v>
      </c>
      <c r="AI1541" s="364" t="s">
        <v>1155</v>
      </c>
      <c r="AJ1541" s="364" t="s">
        <v>710</v>
      </c>
      <c r="AK1541" s="364" t="s">
        <v>88</v>
      </c>
      <c r="AL1541" s="364" t="s">
        <v>88</v>
      </c>
      <c r="AM1541" s="364" t="s">
        <v>668</v>
      </c>
      <c r="AN1541" s="364" t="s">
        <v>644</v>
      </c>
    </row>
    <row r="1542" spans="1:40" x14ac:dyDescent="0.3">
      <c r="A1542" s="364" t="s">
        <v>1161</v>
      </c>
      <c r="B1542" s="364" t="s">
        <v>661</v>
      </c>
      <c r="C1542" s="364" t="s">
        <v>1160</v>
      </c>
      <c r="D1542" s="364" t="s">
        <v>90</v>
      </c>
      <c r="E1542" s="364" t="s">
        <v>1159</v>
      </c>
      <c r="F1542" s="364" t="s">
        <v>1159</v>
      </c>
      <c r="G1542" s="364" t="s">
        <v>658</v>
      </c>
      <c r="H1542" s="364" t="s">
        <v>1158</v>
      </c>
      <c r="I1542" s="364" t="s">
        <v>88</v>
      </c>
      <c r="J1542" s="364" t="s">
        <v>673</v>
      </c>
      <c r="K1542" s="364" t="s">
        <v>668</v>
      </c>
      <c r="L1542" s="364" t="s">
        <v>190</v>
      </c>
      <c r="M1542" s="364" t="s">
        <v>56</v>
      </c>
      <c r="N1542" s="364" t="s">
        <v>654</v>
      </c>
      <c r="O1542" s="364" t="s">
        <v>653</v>
      </c>
      <c r="P1542" s="364" t="s">
        <v>198</v>
      </c>
      <c r="Q1542" s="364" t="s">
        <v>652</v>
      </c>
      <c r="R1542" s="364" t="s">
        <v>88</v>
      </c>
      <c r="S1542" s="364" t="s">
        <v>88</v>
      </c>
      <c r="T1542" s="364" t="s">
        <v>88</v>
      </c>
      <c r="U1542" s="364" t="s">
        <v>88</v>
      </c>
      <c r="V1542" s="364" t="s">
        <v>88</v>
      </c>
      <c r="W1542" s="364" t="s">
        <v>88</v>
      </c>
      <c r="X1542" s="364" t="s">
        <v>88</v>
      </c>
      <c r="Y1542" s="364" t="s">
        <v>88</v>
      </c>
      <c r="Z1542" s="364" t="s">
        <v>1165</v>
      </c>
      <c r="AA1542" s="364" t="s">
        <v>1164</v>
      </c>
      <c r="AB1542" s="364" t="s">
        <v>649</v>
      </c>
      <c r="AC1542" s="364" t="s">
        <v>88</v>
      </c>
      <c r="AD1542" s="364" t="s">
        <v>88</v>
      </c>
      <c r="AE1542" s="364" t="s">
        <v>88</v>
      </c>
      <c r="AF1542" s="364" t="s">
        <v>88</v>
      </c>
      <c r="AG1542" s="364" t="s">
        <v>88</v>
      </c>
      <c r="AH1542" s="364" t="s">
        <v>88</v>
      </c>
      <c r="AI1542" s="364" t="s">
        <v>1155</v>
      </c>
      <c r="AJ1542" s="364" t="s">
        <v>710</v>
      </c>
      <c r="AK1542" s="364" t="s">
        <v>88</v>
      </c>
      <c r="AL1542" s="364" t="s">
        <v>88</v>
      </c>
      <c r="AM1542" s="364" t="s">
        <v>668</v>
      </c>
      <c r="AN1542" s="364" t="s">
        <v>644</v>
      </c>
    </row>
    <row r="1543" spans="1:40" x14ac:dyDescent="0.3">
      <c r="A1543" s="364" t="s">
        <v>1161</v>
      </c>
      <c r="B1543" s="364" t="s">
        <v>661</v>
      </c>
      <c r="C1543" s="364" t="s">
        <v>1160</v>
      </c>
      <c r="D1543" s="364" t="s">
        <v>90</v>
      </c>
      <c r="E1543" s="364" t="s">
        <v>1159</v>
      </c>
      <c r="F1543" s="364" t="s">
        <v>1159</v>
      </c>
      <c r="G1543" s="364" t="s">
        <v>658</v>
      </c>
      <c r="H1543" s="364" t="s">
        <v>1158</v>
      </c>
      <c r="I1543" s="364" t="s">
        <v>88</v>
      </c>
      <c r="J1543" s="364" t="s">
        <v>673</v>
      </c>
      <c r="K1543" s="364" t="s">
        <v>668</v>
      </c>
      <c r="L1543" s="364" t="s">
        <v>190</v>
      </c>
      <c r="M1543" s="364" t="s">
        <v>240</v>
      </c>
      <c r="N1543" s="364" t="s">
        <v>654</v>
      </c>
      <c r="O1543" s="364" t="s">
        <v>653</v>
      </c>
      <c r="P1543" s="364" t="s">
        <v>198</v>
      </c>
      <c r="Q1543" s="364" t="s">
        <v>652</v>
      </c>
      <c r="R1543" s="364" t="s">
        <v>88</v>
      </c>
      <c r="S1543" s="364" t="s">
        <v>88</v>
      </c>
      <c r="T1543" s="364" t="s">
        <v>88</v>
      </c>
      <c r="U1543" s="364" t="s">
        <v>88</v>
      </c>
      <c r="V1543" s="364" t="s">
        <v>88</v>
      </c>
      <c r="W1543" s="364" t="s">
        <v>88</v>
      </c>
      <c r="X1543" s="364" t="s">
        <v>88</v>
      </c>
      <c r="Y1543" s="364" t="s">
        <v>88</v>
      </c>
      <c r="Z1543" s="364" t="s">
        <v>1163</v>
      </c>
      <c r="AA1543" s="364" t="s">
        <v>1162</v>
      </c>
      <c r="AB1543" s="364" t="s">
        <v>649</v>
      </c>
      <c r="AC1543" s="364" t="s">
        <v>88</v>
      </c>
      <c r="AD1543" s="364" t="s">
        <v>88</v>
      </c>
      <c r="AE1543" s="364" t="s">
        <v>88</v>
      </c>
      <c r="AF1543" s="364" t="s">
        <v>88</v>
      </c>
      <c r="AG1543" s="364" t="s">
        <v>88</v>
      </c>
      <c r="AH1543" s="364" t="s">
        <v>88</v>
      </c>
      <c r="AI1543" s="364" t="s">
        <v>1155</v>
      </c>
      <c r="AJ1543" s="364" t="s">
        <v>710</v>
      </c>
      <c r="AK1543" s="364" t="s">
        <v>88</v>
      </c>
      <c r="AL1543" s="364" t="s">
        <v>88</v>
      </c>
      <c r="AM1543" s="364" t="s">
        <v>668</v>
      </c>
      <c r="AN1543" s="364" t="s">
        <v>644</v>
      </c>
    </row>
    <row r="1544" spans="1:40" x14ac:dyDescent="0.3">
      <c r="A1544" s="364" t="s">
        <v>1161</v>
      </c>
      <c r="B1544" s="364" t="s">
        <v>661</v>
      </c>
      <c r="C1544" s="364" t="s">
        <v>1160</v>
      </c>
      <c r="D1544" s="364" t="s">
        <v>90</v>
      </c>
      <c r="E1544" s="364" t="s">
        <v>1159</v>
      </c>
      <c r="F1544" s="364" t="s">
        <v>1159</v>
      </c>
      <c r="G1544" s="364" t="s">
        <v>658</v>
      </c>
      <c r="H1544" s="364" t="s">
        <v>1158</v>
      </c>
      <c r="I1544" s="364" t="s">
        <v>88</v>
      </c>
      <c r="J1544" s="364" t="s">
        <v>673</v>
      </c>
      <c r="K1544" s="364" t="s">
        <v>668</v>
      </c>
      <c r="L1544" s="364" t="s">
        <v>190</v>
      </c>
      <c r="M1544" s="364" t="s">
        <v>61</v>
      </c>
      <c r="N1544" s="364" t="s">
        <v>654</v>
      </c>
      <c r="O1544" s="364" t="s">
        <v>653</v>
      </c>
      <c r="P1544" s="364" t="s">
        <v>198</v>
      </c>
      <c r="Q1544" s="364" t="s">
        <v>652</v>
      </c>
      <c r="R1544" s="364" t="s">
        <v>88</v>
      </c>
      <c r="S1544" s="364" t="s">
        <v>88</v>
      </c>
      <c r="T1544" s="364" t="s">
        <v>88</v>
      </c>
      <c r="U1544" s="364" t="s">
        <v>88</v>
      </c>
      <c r="V1544" s="364" t="s">
        <v>88</v>
      </c>
      <c r="W1544" s="364" t="s">
        <v>88</v>
      </c>
      <c r="X1544" s="364" t="s">
        <v>88</v>
      </c>
      <c r="Y1544" s="364" t="s">
        <v>88</v>
      </c>
      <c r="Z1544" s="364" t="s">
        <v>1021</v>
      </c>
      <c r="AA1544" s="364" t="s">
        <v>671</v>
      </c>
      <c r="AB1544" s="364" t="s">
        <v>649</v>
      </c>
      <c r="AC1544" s="364" t="s">
        <v>88</v>
      </c>
      <c r="AD1544" s="364" t="s">
        <v>88</v>
      </c>
      <c r="AE1544" s="364" t="s">
        <v>88</v>
      </c>
      <c r="AF1544" s="364" t="s">
        <v>88</v>
      </c>
      <c r="AG1544" s="364" t="s">
        <v>88</v>
      </c>
      <c r="AH1544" s="364" t="s">
        <v>88</v>
      </c>
      <c r="AI1544" s="364" t="s">
        <v>1155</v>
      </c>
      <c r="AJ1544" s="364" t="s">
        <v>710</v>
      </c>
      <c r="AK1544" s="364" t="s">
        <v>88</v>
      </c>
      <c r="AL1544" s="364" t="s">
        <v>88</v>
      </c>
      <c r="AM1544" s="364" t="s">
        <v>668</v>
      </c>
      <c r="AN1544" s="364" t="s">
        <v>644</v>
      </c>
    </row>
    <row r="1545" spans="1:40" x14ac:dyDescent="0.3">
      <c r="A1545" s="364" t="s">
        <v>1161</v>
      </c>
      <c r="B1545" s="364" t="s">
        <v>661</v>
      </c>
      <c r="C1545" s="364" t="s">
        <v>1160</v>
      </c>
      <c r="D1545" s="364" t="s">
        <v>90</v>
      </c>
      <c r="E1545" s="364" t="s">
        <v>1159</v>
      </c>
      <c r="F1545" s="364" t="s">
        <v>1159</v>
      </c>
      <c r="G1545" s="364" t="s">
        <v>658</v>
      </c>
      <c r="H1545" s="364" t="s">
        <v>1158</v>
      </c>
      <c r="I1545" s="364" t="s">
        <v>88</v>
      </c>
      <c r="J1545" s="364" t="s">
        <v>673</v>
      </c>
      <c r="K1545" s="364" t="s">
        <v>668</v>
      </c>
      <c r="L1545" s="364" t="s">
        <v>190</v>
      </c>
      <c r="M1545" s="364" t="s">
        <v>242</v>
      </c>
      <c r="N1545" s="364" t="s">
        <v>654</v>
      </c>
      <c r="O1545" s="364" t="s">
        <v>653</v>
      </c>
      <c r="P1545" s="364" t="s">
        <v>198</v>
      </c>
      <c r="Q1545" s="364" t="s">
        <v>652</v>
      </c>
      <c r="R1545" s="364" t="s">
        <v>88</v>
      </c>
      <c r="S1545" s="364" t="s">
        <v>88</v>
      </c>
      <c r="T1545" s="364" t="s">
        <v>88</v>
      </c>
      <c r="U1545" s="364" t="s">
        <v>88</v>
      </c>
      <c r="V1545" s="364" t="s">
        <v>88</v>
      </c>
      <c r="W1545" s="364" t="s">
        <v>88</v>
      </c>
      <c r="X1545" s="364" t="s">
        <v>88</v>
      </c>
      <c r="Y1545" s="364" t="s">
        <v>88</v>
      </c>
      <c r="Z1545" s="364" t="s">
        <v>1157</v>
      </c>
      <c r="AA1545" s="364" t="s">
        <v>1156</v>
      </c>
      <c r="AB1545" s="364" t="s">
        <v>649</v>
      </c>
      <c r="AC1545" s="364" t="s">
        <v>88</v>
      </c>
      <c r="AD1545" s="364" t="s">
        <v>88</v>
      </c>
      <c r="AE1545" s="364" t="s">
        <v>88</v>
      </c>
      <c r="AF1545" s="364" t="s">
        <v>88</v>
      </c>
      <c r="AG1545" s="364" t="s">
        <v>88</v>
      </c>
      <c r="AH1545" s="364" t="s">
        <v>88</v>
      </c>
      <c r="AI1545" s="364" t="s">
        <v>1155</v>
      </c>
      <c r="AJ1545" s="364" t="s">
        <v>710</v>
      </c>
      <c r="AK1545" s="364" t="s">
        <v>88</v>
      </c>
      <c r="AL1545" s="364" t="s">
        <v>88</v>
      </c>
      <c r="AM1545" s="364" t="s">
        <v>668</v>
      </c>
      <c r="AN1545" s="364" t="s">
        <v>644</v>
      </c>
    </row>
    <row r="1546" spans="1:40" x14ac:dyDescent="0.3">
      <c r="A1546" s="364" t="s">
        <v>1154</v>
      </c>
      <c r="B1546" s="364" t="s">
        <v>661</v>
      </c>
      <c r="C1546" s="364" t="s">
        <v>908</v>
      </c>
      <c r="D1546" s="364" t="s">
        <v>87</v>
      </c>
      <c r="E1546" s="364" t="s">
        <v>1001</v>
      </c>
      <c r="F1546" s="364" t="s">
        <v>1001</v>
      </c>
      <c r="G1546" s="364" t="s">
        <v>658</v>
      </c>
      <c r="H1546" s="364" t="s">
        <v>1153</v>
      </c>
      <c r="I1546" s="364" t="s">
        <v>88</v>
      </c>
      <c r="J1546" s="364" t="s">
        <v>673</v>
      </c>
      <c r="K1546" s="364" t="s">
        <v>668</v>
      </c>
      <c r="L1546" s="364" t="s">
        <v>190</v>
      </c>
      <c r="M1546" s="364" t="s">
        <v>59</v>
      </c>
      <c r="N1546" s="364" t="s">
        <v>654</v>
      </c>
      <c r="O1546" s="364" t="s">
        <v>653</v>
      </c>
      <c r="P1546" s="364" t="s">
        <v>198</v>
      </c>
      <c r="Q1546" s="364" t="s">
        <v>652</v>
      </c>
      <c r="R1546" s="364" t="s">
        <v>88</v>
      </c>
      <c r="S1546" s="364" t="s">
        <v>88</v>
      </c>
      <c r="T1546" s="364" t="s">
        <v>88</v>
      </c>
      <c r="U1546" s="364" t="s">
        <v>88</v>
      </c>
      <c r="V1546" s="364" t="s">
        <v>88</v>
      </c>
      <c r="W1546" s="364" t="s">
        <v>88</v>
      </c>
      <c r="X1546" s="364" t="s">
        <v>88</v>
      </c>
      <c r="Y1546" s="364" t="s">
        <v>88</v>
      </c>
      <c r="Z1546" s="364" t="s">
        <v>672</v>
      </c>
      <c r="AA1546" s="364" t="s">
        <v>671</v>
      </c>
      <c r="AB1546" s="364" t="s">
        <v>649</v>
      </c>
      <c r="AC1546" s="364" t="s">
        <v>88</v>
      </c>
      <c r="AD1546" s="364" t="s">
        <v>88</v>
      </c>
      <c r="AE1546" s="364" t="s">
        <v>88</v>
      </c>
      <c r="AF1546" s="364" t="s">
        <v>88</v>
      </c>
      <c r="AG1546" s="364" t="s">
        <v>88</v>
      </c>
      <c r="AH1546" s="364" t="s">
        <v>88</v>
      </c>
      <c r="AI1546" s="364" t="s">
        <v>88</v>
      </c>
      <c r="AJ1546" s="364" t="s">
        <v>670</v>
      </c>
      <c r="AK1546" s="364" t="s">
        <v>88</v>
      </c>
      <c r="AL1546" s="364" t="s">
        <v>88</v>
      </c>
      <c r="AM1546" s="364" t="s">
        <v>668</v>
      </c>
      <c r="AN1546" s="364" t="s">
        <v>644</v>
      </c>
    </row>
    <row r="1547" spans="1:40" x14ac:dyDescent="0.3">
      <c r="A1547" s="364" t="s">
        <v>1152</v>
      </c>
      <c r="B1547" s="364" t="s">
        <v>661</v>
      </c>
      <c r="C1547" s="364" t="s">
        <v>660</v>
      </c>
      <c r="D1547" s="364" t="s">
        <v>87</v>
      </c>
      <c r="E1547" s="364" t="s">
        <v>859</v>
      </c>
      <c r="F1547" s="364" t="s">
        <v>859</v>
      </c>
      <c r="G1547" s="364" t="s">
        <v>658</v>
      </c>
      <c r="H1547" s="364" t="s">
        <v>1126</v>
      </c>
      <c r="I1547" s="364" t="s">
        <v>690</v>
      </c>
      <c r="J1547" s="364" t="s">
        <v>198</v>
      </c>
      <c r="K1547" s="364" t="s">
        <v>645</v>
      </c>
      <c r="L1547" s="364" t="s">
        <v>188</v>
      </c>
      <c r="M1547" s="364" t="s">
        <v>696</v>
      </c>
      <c r="N1547" s="364" t="s">
        <v>654</v>
      </c>
      <c r="O1547" s="364" t="s">
        <v>653</v>
      </c>
      <c r="P1547" s="364" t="s">
        <v>198</v>
      </c>
      <c r="Q1547" s="364" t="s">
        <v>652</v>
      </c>
      <c r="R1547" s="364" t="s">
        <v>88</v>
      </c>
      <c r="S1547" s="364" t="s">
        <v>88</v>
      </c>
      <c r="T1547" s="364" t="s">
        <v>88</v>
      </c>
      <c r="U1547" s="364" t="s">
        <v>88</v>
      </c>
      <c r="V1547" s="364" t="s">
        <v>88</v>
      </c>
      <c r="W1547" s="364" t="s">
        <v>88</v>
      </c>
      <c r="X1547" s="364" t="s">
        <v>88</v>
      </c>
      <c r="Y1547" s="364" t="s">
        <v>88</v>
      </c>
      <c r="Z1547" s="364" t="s">
        <v>695</v>
      </c>
      <c r="AA1547" s="364" t="s">
        <v>694</v>
      </c>
      <c r="AB1547" s="364" t="s">
        <v>649</v>
      </c>
      <c r="AC1547" s="364" t="s">
        <v>649</v>
      </c>
      <c r="AD1547" s="364" t="s">
        <v>649</v>
      </c>
      <c r="AE1547" s="364" t="s">
        <v>88</v>
      </c>
      <c r="AF1547" s="364" t="s">
        <v>88</v>
      </c>
      <c r="AG1547" s="364" t="s">
        <v>88</v>
      </c>
      <c r="AH1547" s="364" t="s">
        <v>88</v>
      </c>
      <c r="AI1547" s="364" t="s">
        <v>88</v>
      </c>
      <c r="AJ1547" s="364" t="s">
        <v>670</v>
      </c>
      <c r="AK1547" s="364" t="s">
        <v>687</v>
      </c>
      <c r="AL1547" s="364" t="s">
        <v>646</v>
      </c>
      <c r="AM1547" s="364" t="s">
        <v>645</v>
      </c>
      <c r="AN1547" s="364" t="s">
        <v>644</v>
      </c>
    </row>
    <row r="1548" spans="1:40" x14ac:dyDescent="0.3">
      <c r="A1548" s="364" t="s">
        <v>1151</v>
      </c>
      <c r="B1548" s="364" t="s">
        <v>661</v>
      </c>
      <c r="C1548" s="364" t="s">
        <v>660</v>
      </c>
      <c r="D1548" s="364" t="s">
        <v>87</v>
      </c>
      <c r="E1548" s="364" t="s">
        <v>790</v>
      </c>
      <c r="F1548" s="364" t="s">
        <v>790</v>
      </c>
      <c r="G1548" s="364" t="s">
        <v>658</v>
      </c>
      <c r="H1548" s="364" t="s">
        <v>731</v>
      </c>
      <c r="I1548" s="364" t="s">
        <v>1150</v>
      </c>
      <c r="J1548" s="364" t="s">
        <v>673</v>
      </c>
      <c r="K1548" s="364" t="s">
        <v>668</v>
      </c>
      <c r="L1548" s="364" t="s">
        <v>190</v>
      </c>
      <c r="M1548" s="364" t="s">
        <v>59</v>
      </c>
      <c r="N1548" s="364" t="s">
        <v>654</v>
      </c>
      <c r="O1548" s="364" t="s">
        <v>653</v>
      </c>
      <c r="P1548" s="364" t="s">
        <v>198</v>
      </c>
      <c r="Q1548" s="364" t="s">
        <v>652</v>
      </c>
      <c r="R1548" s="364" t="s">
        <v>88</v>
      </c>
      <c r="S1548" s="364" t="s">
        <v>88</v>
      </c>
      <c r="T1548" s="364" t="s">
        <v>88</v>
      </c>
      <c r="U1548" s="364" t="s">
        <v>88</v>
      </c>
      <c r="V1548" s="364" t="s">
        <v>88</v>
      </c>
      <c r="W1548" s="364" t="s">
        <v>88</v>
      </c>
      <c r="X1548" s="364" t="s">
        <v>88</v>
      </c>
      <c r="Y1548" s="364" t="s">
        <v>88</v>
      </c>
      <c r="Z1548" s="364" t="s">
        <v>672</v>
      </c>
      <c r="AA1548" s="364" t="s">
        <v>671</v>
      </c>
      <c r="AB1548" s="364" t="s">
        <v>649</v>
      </c>
      <c r="AC1548" s="364" t="s">
        <v>649</v>
      </c>
      <c r="AD1548" s="364" t="s">
        <v>649</v>
      </c>
      <c r="AE1548" s="364" t="s">
        <v>88</v>
      </c>
      <c r="AF1548" s="364" t="s">
        <v>88</v>
      </c>
      <c r="AG1548" s="364" t="s">
        <v>88</v>
      </c>
      <c r="AH1548" s="364" t="s">
        <v>88</v>
      </c>
      <c r="AI1548" s="364" t="s">
        <v>88</v>
      </c>
      <c r="AJ1548" s="364" t="s">
        <v>648</v>
      </c>
      <c r="AK1548" s="364" t="s">
        <v>687</v>
      </c>
      <c r="AL1548" s="364" t="s">
        <v>646</v>
      </c>
      <c r="AM1548" s="364" t="s">
        <v>668</v>
      </c>
      <c r="AN1548" s="364" t="s">
        <v>644</v>
      </c>
    </row>
    <row r="1549" spans="1:40" x14ac:dyDescent="0.3">
      <c r="A1549" s="364" t="s">
        <v>1149</v>
      </c>
      <c r="B1549" s="364" t="s">
        <v>661</v>
      </c>
      <c r="C1549" s="364" t="s">
        <v>660</v>
      </c>
      <c r="D1549" s="364" t="s">
        <v>87</v>
      </c>
      <c r="E1549" s="364" t="s">
        <v>1112</v>
      </c>
      <c r="F1549" s="364" t="s">
        <v>1112</v>
      </c>
      <c r="G1549" s="364" t="s">
        <v>658</v>
      </c>
      <c r="H1549" s="364" t="s">
        <v>1148</v>
      </c>
      <c r="I1549" s="364" t="s">
        <v>765</v>
      </c>
      <c r="J1549" s="364" t="s">
        <v>198</v>
      </c>
      <c r="K1549" s="364" t="s">
        <v>645</v>
      </c>
      <c r="L1549" s="364" t="s">
        <v>188</v>
      </c>
      <c r="M1549" s="364" t="s">
        <v>696</v>
      </c>
      <c r="N1549" s="364" t="s">
        <v>654</v>
      </c>
      <c r="O1549" s="364" t="s">
        <v>653</v>
      </c>
      <c r="P1549" s="364" t="s">
        <v>198</v>
      </c>
      <c r="Q1549" s="364" t="s">
        <v>652</v>
      </c>
      <c r="R1549" s="364" t="s">
        <v>88</v>
      </c>
      <c r="S1549" s="364" t="s">
        <v>88</v>
      </c>
      <c r="T1549" s="364" t="s">
        <v>88</v>
      </c>
      <c r="U1549" s="364" t="s">
        <v>88</v>
      </c>
      <c r="V1549" s="364" t="s">
        <v>88</v>
      </c>
      <c r="W1549" s="364" t="s">
        <v>88</v>
      </c>
      <c r="X1549" s="364" t="s">
        <v>88</v>
      </c>
      <c r="Y1549" s="364" t="s">
        <v>88</v>
      </c>
      <c r="Z1549" s="364" t="s">
        <v>695</v>
      </c>
      <c r="AA1549" s="364" t="s">
        <v>694</v>
      </c>
      <c r="AB1549" s="364" t="s">
        <v>649</v>
      </c>
      <c r="AC1549" s="364" t="s">
        <v>649</v>
      </c>
      <c r="AD1549" s="364" t="s">
        <v>649</v>
      </c>
      <c r="AE1549" s="364" t="s">
        <v>88</v>
      </c>
      <c r="AF1549" s="364" t="s">
        <v>88</v>
      </c>
      <c r="AG1549" s="364" t="s">
        <v>88</v>
      </c>
      <c r="AH1549" s="364" t="s">
        <v>88</v>
      </c>
      <c r="AI1549" s="364" t="s">
        <v>88</v>
      </c>
      <c r="AJ1549" s="364" t="s">
        <v>663</v>
      </c>
      <c r="AK1549" s="364" t="s">
        <v>687</v>
      </c>
      <c r="AL1549" s="364" t="s">
        <v>646</v>
      </c>
      <c r="AM1549" s="364" t="s">
        <v>645</v>
      </c>
      <c r="AN1549" s="364" t="s">
        <v>644</v>
      </c>
    </row>
    <row r="1550" spans="1:40" x14ac:dyDescent="0.3">
      <c r="A1550" s="364" t="s">
        <v>1147</v>
      </c>
      <c r="B1550" s="364" t="s">
        <v>661</v>
      </c>
      <c r="C1550" s="364" t="s">
        <v>677</v>
      </c>
      <c r="D1550" s="364" t="s">
        <v>87</v>
      </c>
      <c r="E1550" s="364" t="s">
        <v>1056</v>
      </c>
      <c r="F1550" s="364" t="s">
        <v>1056</v>
      </c>
      <c r="G1550" s="364" t="s">
        <v>658</v>
      </c>
      <c r="H1550" s="364" t="s">
        <v>1146</v>
      </c>
      <c r="I1550" s="364" t="s">
        <v>674</v>
      </c>
      <c r="J1550" s="364" t="s">
        <v>673</v>
      </c>
      <c r="K1550" s="364" t="s">
        <v>668</v>
      </c>
      <c r="L1550" s="364" t="s">
        <v>190</v>
      </c>
      <c r="M1550" s="364" t="s">
        <v>59</v>
      </c>
      <c r="N1550" s="364" t="s">
        <v>654</v>
      </c>
      <c r="O1550" s="364" t="s">
        <v>653</v>
      </c>
      <c r="P1550" s="364" t="s">
        <v>198</v>
      </c>
      <c r="Q1550" s="364" t="s">
        <v>652</v>
      </c>
      <c r="R1550" s="364" t="s">
        <v>88</v>
      </c>
      <c r="S1550" s="364" t="s">
        <v>88</v>
      </c>
      <c r="T1550" s="364" t="s">
        <v>88</v>
      </c>
      <c r="U1550" s="364" t="s">
        <v>88</v>
      </c>
      <c r="V1550" s="364" t="s">
        <v>88</v>
      </c>
      <c r="W1550" s="364" t="s">
        <v>88</v>
      </c>
      <c r="X1550" s="364" t="s">
        <v>88</v>
      </c>
      <c r="Y1550" s="364" t="s">
        <v>88</v>
      </c>
      <c r="Z1550" s="364" t="s">
        <v>672</v>
      </c>
      <c r="AA1550" s="364" t="s">
        <v>671</v>
      </c>
      <c r="AB1550" s="364" t="s">
        <v>649</v>
      </c>
      <c r="AC1550" s="364" t="s">
        <v>649</v>
      </c>
      <c r="AD1550" s="364" t="s">
        <v>88</v>
      </c>
      <c r="AE1550" s="364" t="s">
        <v>88</v>
      </c>
      <c r="AF1550" s="364" t="s">
        <v>88</v>
      </c>
      <c r="AG1550" s="364" t="s">
        <v>88</v>
      </c>
      <c r="AH1550" s="364" t="s">
        <v>88</v>
      </c>
      <c r="AI1550" s="364" t="s">
        <v>88</v>
      </c>
      <c r="AJ1550" s="364" t="s">
        <v>670</v>
      </c>
      <c r="AK1550" s="364" t="s">
        <v>669</v>
      </c>
      <c r="AL1550" s="364" t="s">
        <v>88</v>
      </c>
      <c r="AM1550" s="364" t="s">
        <v>668</v>
      </c>
      <c r="AN1550" s="364" t="s">
        <v>644</v>
      </c>
    </row>
    <row r="1551" spans="1:40" x14ac:dyDescent="0.3">
      <c r="A1551" s="364" t="s">
        <v>1145</v>
      </c>
      <c r="B1551" s="364" t="s">
        <v>661</v>
      </c>
      <c r="C1551" s="364" t="s">
        <v>796</v>
      </c>
      <c r="D1551" s="364" t="s">
        <v>87</v>
      </c>
      <c r="E1551" s="364" t="s">
        <v>820</v>
      </c>
      <c r="F1551" s="364" t="s">
        <v>820</v>
      </c>
      <c r="G1551" s="364" t="s">
        <v>658</v>
      </c>
      <c r="H1551" s="364" t="s">
        <v>1144</v>
      </c>
      <c r="I1551" s="364" t="s">
        <v>88</v>
      </c>
      <c r="J1551" s="364" t="s">
        <v>88</v>
      </c>
      <c r="K1551" s="364" t="s">
        <v>88</v>
      </c>
      <c r="L1551" s="364" t="s">
        <v>88</v>
      </c>
      <c r="M1551" s="364" t="s">
        <v>88</v>
      </c>
      <c r="N1551" s="364" t="s">
        <v>654</v>
      </c>
      <c r="O1551" s="364" t="s">
        <v>653</v>
      </c>
      <c r="P1551" s="364" t="s">
        <v>88</v>
      </c>
      <c r="Q1551" s="364" t="s">
        <v>88</v>
      </c>
      <c r="R1551" s="364" t="s">
        <v>88</v>
      </c>
      <c r="S1551" s="364" t="s">
        <v>88</v>
      </c>
      <c r="T1551" s="364" t="s">
        <v>88</v>
      </c>
      <c r="U1551" s="364" t="s">
        <v>88</v>
      </c>
      <c r="V1551" s="364" t="s">
        <v>88</v>
      </c>
      <c r="W1551" s="364" t="s">
        <v>88</v>
      </c>
      <c r="X1551" s="364" t="s">
        <v>88</v>
      </c>
      <c r="Y1551" s="364" t="s">
        <v>88</v>
      </c>
      <c r="Z1551" s="364" t="s">
        <v>88</v>
      </c>
      <c r="AA1551" s="364" t="s">
        <v>649</v>
      </c>
      <c r="AB1551" s="364" t="s">
        <v>88</v>
      </c>
      <c r="AC1551" s="364" t="s">
        <v>88</v>
      </c>
      <c r="AD1551" s="364" t="s">
        <v>88</v>
      </c>
      <c r="AE1551" s="364" t="s">
        <v>88</v>
      </c>
      <c r="AF1551" s="364" t="s">
        <v>88</v>
      </c>
      <c r="AG1551" s="364" t="s">
        <v>88</v>
      </c>
      <c r="AH1551" s="364" t="s">
        <v>88</v>
      </c>
      <c r="AI1551" s="364" t="s">
        <v>88</v>
      </c>
      <c r="AJ1551" s="364" t="s">
        <v>793</v>
      </c>
      <c r="AK1551" s="364" t="s">
        <v>88</v>
      </c>
      <c r="AL1551" s="364" t="s">
        <v>88</v>
      </c>
      <c r="AM1551" s="364" t="s">
        <v>88</v>
      </c>
      <c r="AN1551" s="364" t="s">
        <v>792</v>
      </c>
    </row>
    <row r="1552" spans="1:40" x14ac:dyDescent="0.3">
      <c r="A1552" s="364" t="s">
        <v>1143</v>
      </c>
      <c r="B1552" s="364" t="s">
        <v>661</v>
      </c>
      <c r="C1552" s="364" t="s">
        <v>660</v>
      </c>
      <c r="D1552" s="364" t="s">
        <v>87</v>
      </c>
      <c r="E1552" s="364" t="s">
        <v>732</v>
      </c>
      <c r="F1552" s="364" t="s">
        <v>732</v>
      </c>
      <c r="G1552" s="364" t="s">
        <v>658</v>
      </c>
      <c r="H1552" s="364" t="s">
        <v>789</v>
      </c>
      <c r="I1552" s="364" t="s">
        <v>730</v>
      </c>
      <c r="J1552" s="364" t="s">
        <v>673</v>
      </c>
      <c r="K1552" s="364" t="s">
        <v>668</v>
      </c>
      <c r="L1552" s="364" t="s">
        <v>190</v>
      </c>
      <c r="M1552" s="364" t="s">
        <v>62</v>
      </c>
      <c r="N1552" s="364" t="s">
        <v>654</v>
      </c>
      <c r="O1552" s="364" t="s">
        <v>653</v>
      </c>
      <c r="P1552" s="364" t="s">
        <v>198</v>
      </c>
      <c r="Q1552" s="364" t="s">
        <v>652</v>
      </c>
      <c r="R1552" s="364" t="s">
        <v>88</v>
      </c>
      <c r="S1552" s="364" t="s">
        <v>88</v>
      </c>
      <c r="T1552" s="364" t="s">
        <v>88</v>
      </c>
      <c r="U1552" s="364" t="s">
        <v>88</v>
      </c>
      <c r="V1552" s="364" t="s">
        <v>88</v>
      </c>
      <c r="W1552" s="364" t="s">
        <v>88</v>
      </c>
      <c r="X1552" s="364" t="s">
        <v>88</v>
      </c>
      <c r="Y1552" s="364" t="s">
        <v>88</v>
      </c>
      <c r="Z1552" s="364" t="s">
        <v>689</v>
      </c>
      <c r="AA1552" s="364" t="s">
        <v>688</v>
      </c>
      <c r="AB1552" s="364" t="s">
        <v>649</v>
      </c>
      <c r="AC1552" s="364" t="s">
        <v>649</v>
      </c>
      <c r="AD1552" s="364" t="s">
        <v>649</v>
      </c>
      <c r="AE1552" s="364" t="s">
        <v>88</v>
      </c>
      <c r="AF1552" s="364" t="s">
        <v>88</v>
      </c>
      <c r="AG1552" s="364" t="s">
        <v>88</v>
      </c>
      <c r="AH1552" s="364" t="s">
        <v>88</v>
      </c>
      <c r="AI1552" s="364" t="s">
        <v>88</v>
      </c>
      <c r="AJ1552" s="364" t="s">
        <v>648</v>
      </c>
      <c r="AK1552" s="364" t="s">
        <v>687</v>
      </c>
      <c r="AL1552" s="364" t="s">
        <v>646</v>
      </c>
      <c r="AM1552" s="364" t="s">
        <v>668</v>
      </c>
      <c r="AN1552" s="364" t="s">
        <v>644</v>
      </c>
    </row>
    <row r="1553" spans="1:40" x14ac:dyDescent="0.3">
      <c r="A1553" s="364" t="s">
        <v>1142</v>
      </c>
      <c r="B1553" s="364" t="s">
        <v>661</v>
      </c>
      <c r="C1553" s="364" t="s">
        <v>677</v>
      </c>
      <c r="D1553" s="364" t="s">
        <v>87</v>
      </c>
      <c r="E1553" s="364" t="s">
        <v>1141</v>
      </c>
      <c r="F1553" s="364" t="s">
        <v>1141</v>
      </c>
      <c r="G1553" s="364" t="s">
        <v>658</v>
      </c>
      <c r="H1553" s="364" t="s">
        <v>1140</v>
      </c>
      <c r="I1553" s="364" t="s">
        <v>1139</v>
      </c>
      <c r="J1553" s="364" t="s">
        <v>673</v>
      </c>
      <c r="K1553" s="364" t="s">
        <v>668</v>
      </c>
      <c r="L1553" s="364" t="s">
        <v>190</v>
      </c>
      <c r="M1553" s="364" t="s">
        <v>58</v>
      </c>
      <c r="N1553" s="364" t="s">
        <v>654</v>
      </c>
      <c r="O1553" s="364" t="s">
        <v>653</v>
      </c>
      <c r="P1553" s="364" t="s">
        <v>198</v>
      </c>
      <c r="Q1553" s="364" t="s">
        <v>652</v>
      </c>
      <c r="R1553" s="364" t="s">
        <v>88</v>
      </c>
      <c r="S1553" s="364" t="s">
        <v>88</v>
      </c>
      <c r="T1553" s="364" t="s">
        <v>88</v>
      </c>
      <c r="U1553" s="364" t="s">
        <v>88</v>
      </c>
      <c r="V1553" s="364" t="s">
        <v>88</v>
      </c>
      <c r="W1553" s="364" t="s">
        <v>88</v>
      </c>
      <c r="X1553" s="364" t="s">
        <v>88</v>
      </c>
      <c r="Y1553" s="364" t="s">
        <v>88</v>
      </c>
      <c r="Z1553" s="364" t="s">
        <v>702</v>
      </c>
      <c r="AA1553" s="364" t="s">
        <v>701</v>
      </c>
      <c r="AB1553" s="364" t="s">
        <v>649</v>
      </c>
      <c r="AC1553" s="364" t="s">
        <v>649</v>
      </c>
      <c r="AD1553" s="364" t="s">
        <v>88</v>
      </c>
      <c r="AE1553" s="364" t="s">
        <v>88</v>
      </c>
      <c r="AF1553" s="364" t="s">
        <v>88</v>
      </c>
      <c r="AG1553" s="364" t="s">
        <v>88</v>
      </c>
      <c r="AH1553" s="364" t="s">
        <v>88</v>
      </c>
      <c r="AI1553" s="364" t="s">
        <v>88</v>
      </c>
      <c r="AJ1553" s="364" t="s">
        <v>670</v>
      </c>
      <c r="AK1553" s="364" t="s">
        <v>669</v>
      </c>
      <c r="AL1553" s="364" t="s">
        <v>88</v>
      </c>
      <c r="AM1553" s="364" t="s">
        <v>668</v>
      </c>
      <c r="AN1553" s="364" t="s">
        <v>644</v>
      </c>
    </row>
    <row r="1554" spans="1:40" x14ac:dyDescent="0.3">
      <c r="A1554" s="364" t="s">
        <v>1142</v>
      </c>
      <c r="B1554" s="364" t="s">
        <v>661</v>
      </c>
      <c r="C1554" s="364" t="s">
        <v>677</v>
      </c>
      <c r="D1554" s="364" t="s">
        <v>87</v>
      </c>
      <c r="E1554" s="364" t="s">
        <v>1141</v>
      </c>
      <c r="F1554" s="364" t="s">
        <v>1141</v>
      </c>
      <c r="G1554" s="364" t="s">
        <v>658</v>
      </c>
      <c r="H1554" s="364" t="s">
        <v>1140</v>
      </c>
      <c r="I1554" s="364" t="s">
        <v>1139</v>
      </c>
      <c r="J1554" s="364" t="s">
        <v>673</v>
      </c>
      <c r="K1554" s="364" t="s">
        <v>668</v>
      </c>
      <c r="L1554" s="364" t="s">
        <v>190</v>
      </c>
      <c r="M1554" s="364" t="s">
        <v>166</v>
      </c>
      <c r="N1554" s="364" t="s">
        <v>654</v>
      </c>
      <c r="O1554" s="364" t="s">
        <v>653</v>
      </c>
      <c r="P1554" s="364" t="s">
        <v>198</v>
      </c>
      <c r="Q1554" s="364" t="s">
        <v>652</v>
      </c>
      <c r="R1554" s="364" t="s">
        <v>88</v>
      </c>
      <c r="S1554" s="364" t="s">
        <v>88</v>
      </c>
      <c r="T1554" s="364" t="s">
        <v>88</v>
      </c>
      <c r="U1554" s="364" t="s">
        <v>88</v>
      </c>
      <c r="V1554" s="364" t="s">
        <v>88</v>
      </c>
      <c r="W1554" s="364" t="s">
        <v>88</v>
      </c>
      <c r="X1554" s="364" t="s">
        <v>88</v>
      </c>
      <c r="Y1554" s="364" t="s">
        <v>88</v>
      </c>
      <c r="Z1554" s="364" t="s">
        <v>877</v>
      </c>
      <c r="AA1554" s="364" t="s">
        <v>876</v>
      </c>
      <c r="AB1554" s="364" t="s">
        <v>649</v>
      </c>
      <c r="AC1554" s="364" t="s">
        <v>649</v>
      </c>
      <c r="AD1554" s="364" t="s">
        <v>88</v>
      </c>
      <c r="AE1554" s="364" t="s">
        <v>88</v>
      </c>
      <c r="AF1554" s="364" t="s">
        <v>88</v>
      </c>
      <c r="AG1554" s="364" t="s">
        <v>88</v>
      </c>
      <c r="AH1554" s="364" t="s">
        <v>88</v>
      </c>
      <c r="AI1554" s="364" t="s">
        <v>88</v>
      </c>
      <c r="AJ1554" s="364" t="s">
        <v>670</v>
      </c>
      <c r="AK1554" s="364" t="s">
        <v>669</v>
      </c>
      <c r="AL1554" s="364" t="s">
        <v>88</v>
      </c>
      <c r="AM1554" s="364" t="s">
        <v>668</v>
      </c>
      <c r="AN1554" s="364" t="s">
        <v>644</v>
      </c>
    </row>
    <row r="1555" spans="1:40" x14ac:dyDescent="0.3">
      <c r="A1555" s="364" t="s">
        <v>1138</v>
      </c>
      <c r="B1555" s="364" t="s">
        <v>661</v>
      </c>
      <c r="C1555" s="364" t="s">
        <v>660</v>
      </c>
      <c r="D1555" s="364" t="s">
        <v>87</v>
      </c>
      <c r="E1555" s="364" t="s">
        <v>1137</v>
      </c>
      <c r="F1555" s="364" t="s">
        <v>1137</v>
      </c>
      <c r="G1555" s="364" t="s">
        <v>658</v>
      </c>
      <c r="H1555" s="364" t="s">
        <v>698</v>
      </c>
      <c r="I1555" s="364" t="s">
        <v>1136</v>
      </c>
      <c r="J1555" s="364" t="s">
        <v>198</v>
      </c>
      <c r="K1555" s="364" t="s">
        <v>645</v>
      </c>
      <c r="L1555" s="364" t="s">
        <v>188</v>
      </c>
      <c r="M1555" s="364" t="s">
        <v>696</v>
      </c>
      <c r="N1555" s="364" t="s">
        <v>654</v>
      </c>
      <c r="O1555" s="364" t="s">
        <v>653</v>
      </c>
      <c r="P1555" s="364" t="s">
        <v>198</v>
      </c>
      <c r="Q1555" s="364" t="s">
        <v>652</v>
      </c>
      <c r="R1555" s="364" t="s">
        <v>88</v>
      </c>
      <c r="S1555" s="364" t="s">
        <v>88</v>
      </c>
      <c r="T1555" s="364" t="s">
        <v>88</v>
      </c>
      <c r="U1555" s="364" t="s">
        <v>88</v>
      </c>
      <c r="V1555" s="364" t="s">
        <v>88</v>
      </c>
      <c r="W1555" s="364" t="s">
        <v>88</v>
      </c>
      <c r="X1555" s="364" t="s">
        <v>88</v>
      </c>
      <c r="Y1555" s="364" t="s">
        <v>88</v>
      </c>
      <c r="Z1555" s="364" t="s">
        <v>695</v>
      </c>
      <c r="AA1555" s="364" t="s">
        <v>694</v>
      </c>
      <c r="AB1555" s="364" t="s">
        <v>649</v>
      </c>
      <c r="AC1555" s="364" t="s">
        <v>649</v>
      </c>
      <c r="AD1555" s="364" t="s">
        <v>649</v>
      </c>
      <c r="AE1555" s="364" t="s">
        <v>88</v>
      </c>
      <c r="AF1555" s="364" t="s">
        <v>88</v>
      </c>
      <c r="AG1555" s="364" t="s">
        <v>88</v>
      </c>
      <c r="AH1555" s="364" t="s">
        <v>88</v>
      </c>
      <c r="AI1555" s="364" t="s">
        <v>88</v>
      </c>
      <c r="AJ1555" s="364" t="s">
        <v>648</v>
      </c>
      <c r="AK1555" s="364" t="s">
        <v>669</v>
      </c>
      <c r="AL1555" s="364" t="s">
        <v>646</v>
      </c>
      <c r="AM1555" s="364" t="s">
        <v>645</v>
      </c>
      <c r="AN1555" s="364" t="s">
        <v>644</v>
      </c>
    </row>
    <row r="1556" spans="1:40" x14ac:dyDescent="0.3">
      <c r="A1556" s="364" t="s">
        <v>1135</v>
      </c>
      <c r="B1556" s="364" t="s">
        <v>661</v>
      </c>
      <c r="C1556" s="364" t="s">
        <v>660</v>
      </c>
      <c r="D1556" s="364" t="s">
        <v>90</v>
      </c>
      <c r="E1556" s="364" t="s">
        <v>925</v>
      </c>
      <c r="F1556" s="364" t="s">
        <v>925</v>
      </c>
      <c r="G1556" s="364" t="s">
        <v>658</v>
      </c>
      <c r="H1556" s="364" t="s">
        <v>980</v>
      </c>
      <c r="I1556" s="364" t="s">
        <v>1134</v>
      </c>
      <c r="J1556" s="364" t="s">
        <v>198</v>
      </c>
      <c r="K1556" s="364" t="s">
        <v>645</v>
      </c>
      <c r="L1556" s="364" t="s">
        <v>188</v>
      </c>
      <c r="M1556" s="364" t="s">
        <v>655</v>
      </c>
      <c r="N1556" s="364" t="s">
        <v>654</v>
      </c>
      <c r="O1556" s="364" t="s">
        <v>653</v>
      </c>
      <c r="P1556" s="364" t="s">
        <v>198</v>
      </c>
      <c r="Q1556" s="364" t="s">
        <v>652</v>
      </c>
      <c r="R1556" s="364" t="s">
        <v>88</v>
      </c>
      <c r="S1556" s="364" t="s">
        <v>88</v>
      </c>
      <c r="T1556" s="364" t="s">
        <v>88</v>
      </c>
      <c r="U1556" s="364" t="s">
        <v>88</v>
      </c>
      <c r="V1556" s="364" t="s">
        <v>88</v>
      </c>
      <c r="W1556" s="364" t="s">
        <v>88</v>
      </c>
      <c r="X1556" s="364" t="s">
        <v>88</v>
      </c>
      <c r="Y1556" s="364" t="s">
        <v>88</v>
      </c>
      <c r="Z1556" s="364" t="s">
        <v>651</v>
      </c>
      <c r="AA1556" s="364" t="s">
        <v>650</v>
      </c>
      <c r="AB1556" s="364" t="s">
        <v>649</v>
      </c>
      <c r="AC1556" s="364" t="s">
        <v>649</v>
      </c>
      <c r="AD1556" s="364" t="s">
        <v>649</v>
      </c>
      <c r="AE1556" s="364" t="s">
        <v>88</v>
      </c>
      <c r="AF1556" s="364" t="s">
        <v>88</v>
      </c>
      <c r="AG1556" s="364" t="s">
        <v>88</v>
      </c>
      <c r="AH1556" s="364" t="s">
        <v>88</v>
      </c>
      <c r="AI1556" s="364" t="s">
        <v>88</v>
      </c>
      <c r="AJ1556" s="364" t="s">
        <v>648</v>
      </c>
      <c r="AK1556" s="364" t="s">
        <v>647</v>
      </c>
      <c r="AL1556" s="364" t="s">
        <v>646</v>
      </c>
      <c r="AM1556" s="364" t="s">
        <v>645</v>
      </c>
      <c r="AN1556" s="364" t="s">
        <v>644</v>
      </c>
    </row>
    <row r="1557" spans="1:40" x14ac:dyDescent="0.3">
      <c r="A1557" s="364" t="s">
        <v>1133</v>
      </c>
      <c r="B1557" s="364" t="s">
        <v>661</v>
      </c>
      <c r="C1557" s="364" t="s">
        <v>660</v>
      </c>
      <c r="D1557" s="364" t="s">
        <v>87</v>
      </c>
      <c r="E1557" s="364" t="s">
        <v>1132</v>
      </c>
      <c r="F1557" s="364" t="s">
        <v>1132</v>
      </c>
      <c r="G1557" s="364" t="s">
        <v>658</v>
      </c>
      <c r="H1557" s="364" t="s">
        <v>1131</v>
      </c>
      <c r="I1557" s="364" t="s">
        <v>1130</v>
      </c>
      <c r="J1557" s="364" t="s">
        <v>198</v>
      </c>
      <c r="K1557" s="364" t="s">
        <v>645</v>
      </c>
      <c r="L1557" s="364" t="s">
        <v>188</v>
      </c>
      <c r="M1557" s="364" t="s">
        <v>696</v>
      </c>
      <c r="N1557" s="364" t="s">
        <v>654</v>
      </c>
      <c r="O1557" s="364" t="s">
        <v>653</v>
      </c>
      <c r="P1557" s="364" t="s">
        <v>198</v>
      </c>
      <c r="Q1557" s="364" t="s">
        <v>652</v>
      </c>
      <c r="R1557" s="364" t="s">
        <v>88</v>
      </c>
      <c r="S1557" s="364" t="s">
        <v>88</v>
      </c>
      <c r="T1557" s="364" t="s">
        <v>88</v>
      </c>
      <c r="U1557" s="364" t="s">
        <v>88</v>
      </c>
      <c r="V1557" s="364" t="s">
        <v>88</v>
      </c>
      <c r="W1557" s="364" t="s">
        <v>88</v>
      </c>
      <c r="X1557" s="364" t="s">
        <v>88</v>
      </c>
      <c r="Y1557" s="364" t="s">
        <v>88</v>
      </c>
      <c r="Z1557" s="364" t="s">
        <v>695</v>
      </c>
      <c r="AA1557" s="364" t="s">
        <v>694</v>
      </c>
      <c r="AB1557" s="364" t="s">
        <v>649</v>
      </c>
      <c r="AC1557" s="364" t="s">
        <v>649</v>
      </c>
      <c r="AD1557" s="364" t="s">
        <v>649</v>
      </c>
      <c r="AE1557" s="364" t="s">
        <v>88</v>
      </c>
      <c r="AF1557" s="364" t="s">
        <v>88</v>
      </c>
      <c r="AG1557" s="364" t="s">
        <v>88</v>
      </c>
      <c r="AH1557" s="364" t="s">
        <v>88</v>
      </c>
      <c r="AI1557" s="364" t="s">
        <v>88</v>
      </c>
      <c r="AJ1557" s="364" t="s">
        <v>670</v>
      </c>
      <c r="AK1557" s="364" t="s">
        <v>669</v>
      </c>
      <c r="AL1557" s="364" t="s">
        <v>646</v>
      </c>
      <c r="AM1557" s="364" t="s">
        <v>645</v>
      </c>
      <c r="AN1557" s="364" t="s">
        <v>644</v>
      </c>
    </row>
    <row r="1558" spans="1:40" x14ac:dyDescent="0.3">
      <c r="A1558" s="364" t="s">
        <v>1129</v>
      </c>
      <c r="B1558" s="364" t="s">
        <v>661</v>
      </c>
      <c r="C1558" s="364" t="s">
        <v>660</v>
      </c>
      <c r="D1558" s="364" t="s">
        <v>90</v>
      </c>
      <c r="E1558" s="364" t="s">
        <v>1089</v>
      </c>
      <c r="F1558" s="364" t="s">
        <v>1089</v>
      </c>
      <c r="G1558" s="364" t="s">
        <v>658</v>
      </c>
      <c r="H1558" s="364" t="s">
        <v>1128</v>
      </c>
      <c r="I1558" s="364" t="s">
        <v>656</v>
      </c>
      <c r="J1558" s="364" t="s">
        <v>673</v>
      </c>
      <c r="K1558" s="364" t="s">
        <v>668</v>
      </c>
      <c r="L1558" s="364" t="s">
        <v>190</v>
      </c>
      <c r="M1558" s="364" t="s">
        <v>718</v>
      </c>
      <c r="N1558" s="364" t="s">
        <v>654</v>
      </c>
      <c r="O1558" s="364" t="s">
        <v>653</v>
      </c>
      <c r="P1558" s="364" t="s">
        <v>198</v>
      </c>
      <c r="Q1558" s="364" t="s">
        <v>652</v>
      </c>
      <c r="R1558" s="364" t="s">
        <v>88</v>
      </c>
      <c r="S1558" s="364" t="s">
        <v>88</v>
      </c>
      <c r="T1558" s="364" t="s">
        <v>88</v>
      </c>
      <c r="U1558" s="364" t="s">
        <v>88</v>
      </c>
      <c r="V1558" s="364" t="s">
        <v>88</v>
      </c>
      <c r="W1558" s="364" t="s">
        <v>88</v>
      </c>
      <c r="X1558" s="364" t="s">
        <v>88</v>
      </c>
      <c r="Y1558" s="364" t="s">
        <v>88</v>
      </c>
      <c r="Z1558" s="364" t="s">
        <v>717</v>
      </c>
      <c r="AA1558" s="364" t="s">
        <v>649</v>
      </c>
      <c r="AB1558" s="364" t="s">
        <v>649</v>
      </c>
      <c r="AC1558" s="364" t="s">
        <v>649</v>
      </c>
      <c r="AD1558" s="364" t="s">
        <v>649</v>
      </c>
      <c r="AE1558" s="364" t="s">
        <v>88</v>
      </c>
      <c r="AF1558" s="364" t="s">
        <v>88</v>
      </c>
      <c r="AG1558" s="364" t="s">
        <v>88</v>
      </c>
      <c r="AH1558" s="364" t="s">
        <v>88</v>
      </c>
      <c r="AI1558" s="364" t="s">
        <v>88</v>
      </c>
      <c r="AJ1558" s="364" t="s">
        <v>648</v>
      </c>
      <c r="AK1558" s="364" t="s">
        <v>647</v>
      </c>
      <c r="AL1558" s="364" t="s">
        <v>646</v>
      </c>
      <c r="AM1558" s="364" t="s">
        <v>668</v>
      </c>
      <c r="AN1558" s="364" t="s">
        <v>644</v>
      </c>
    </row>
    <row r="1559" spans="1:40" x14ac:dyDescent="0.3">
      <c r="A1559" s="364" t="s">
        <v>1129</v>
      </c>
      <c r="B1559" s="364" t="s">
        <v>661</v>
      </c>
      <c r="C1559" s="364" t="s">
        <v>660</v>
      </c>
      <c r="D1559" s="364" t="s">
        <v>90</v>
      </c>
      <c r="E1559" s="364" t="s">
        <v>1089</v>
      </c>
      <c r="F1559" s="364" t="s">
        <v>1089</v>
      </c>
      <c r="G1559" s="364" t="s">
        <v>658</v>
      </c>
      <c r="H1559" s="364" t="s">
        <v>1128</v>
      </c>
      <c r="I1559" s="364" t="s">
        <v>656</v>
      </c>
      <c r="J1559" s="364" t="s">
        <v>673</v>
      </c>
      <c r="K1559" s="364" t="s">
        <v>668</v>
      </c>
      <c r="L1559" s="364" t="s">
        <v>190</v>
      </c>
      <c r="M1559" s="364" t="s">
        <v>725</v>
      </c>
      <c r="N1559" s="364" t="s">
        <v>654</v>
      </c>
      <c r="O1559" s="364" t="s">
        <v>653</v>
      </c>
      <c r="P1559" s="364" t="s">
        <v>198</v>
      </c>
      <c r="Q1559" s="364" t="s">
        <v>652</v>
      </c>
      <c r="R1559" s="364" t="s">
        <v>88</v>
      </c>
      <c r="S1559" s="364" t="s">
        <v>88</v>
      </c>
      <c r="T1559" s="364" t="s">
        <v>88</v>
      </c>
      <c r="U1559" s="364" t="s">
        <v>88</v>
      </c>
      <c r="V1559" s="364" t="s">
        <v>88</v>
      </c>
      <c r="W1559" s="364" t="s">
        <v>88</v>
      </c>
      <c r="X1559" s="364" t="s">
        <v>88</v>
      </c>
      <c r="Y1559" s="364" t="s">
        <v>88</v>
      </c>
      <c r="Z1559" s="364" t="s">
        <v>724</v>
      </c>
      <c r="AA1559" s="364" t="s">
        <v>649</v>
      </c>
      <c r="AB1559" s="364" t="s">
        <v>649</v>
      </c>
      <c r="AC1559" s="364" t="s">
        <v>649</v>
      </c>
      <c r="AD1559" s="364" t="s">
        <v>649</v>
      </c>
      <c r="AE1559" s="364" t="s">
        <v>88</v>
      </c>
      <c r="AF1559" s="364" t="s">
        <v>88</v>
      </c>
      <c r="AG1559" s="364" t="s">
        <v>88</v>
      </c>
      <c r="AH1559" s="364" t="s">
        <v>88</v>
      </c>
      <c r="AI1559" s="364" t="s">
        <v>88</v>
      </c>
      <c r="AJ1559" s="364" t="s">
        <v>648</v>
      </c>
      <c r="AK1559" s="364" t="s">
        <v>647</v>
      </c>
      <c r="AL1559" s="364" t="s">
        <v>646</v>
      </c>
      <c r="AM1559" s="364" t="s">
        <v>668</v>
      </c>
      <c r="AN1559" s="364" t="s">
        <v>644</v>
      </c>
    </row>
    <row r="1560" spans="1:40" x14ac:dyDescent="0.3">
      <c r="A1560" s="364" t="s">
        <v>1129</v>
      </c>
      <c r="B1560" s="364" t="s">
        <v>661</v>
      </c>
      <c r="C1560" s="364" t="s">
        <v>660</v>
      </c>
      <c r="D1560" s="364" t="s">
        <v>90</v>
      </c>
      <c r="E1560" s="364" t="s">
        <v>1089</v>
      </c>
      <c r="F1560" s="364" t="s">
        <v>1089</v>
      </c>
      <c r="G1560" s="364" t="s">
        <v>658</v>
      </c>
      <c r="H1560" s="364" t="s">
        <v>1128</v>
      </c>
      <c r="I1560" s="364" t="s">
        <v>656</v>
      </c>
      <c r="J1560" s="364" t="s">
        <v>673</v>
      </c>
      <c r="K1560" s="364" t="s">
        <v>668</v>
      </c>
      <c r="L1560" s="364" t="s">
        <v>190</v>
      </c>
      <c r="M1560" s="364" t="s">
        <v>55</v>
      </c>
      <c r="N1560" s="364" t="s">
        <v>654</v>
      </c>
      <c r="O1560" s="364" t="s">
        <v>653</v>
      </c>
      <c r="P1560" s="364" t="s">
        <v>198</v>
      </c>
      <c r="Q1560" s="364" t="s">
        <v>652</v>
      </c>
      <c r="R1560" s="364" t="s">
        <v>88</v>
      </c>
      <c r="S1560" s="364" t="s">
        <v>88</v>
      </c>
      <c r="T1560" s="364" t="s">
        <v>88</v>
      </c>
      <c r="U1560" s="364" t="s">
        <v>88</v>
      </c>
      <c r="V1560" s="364" t="s">
        <v>88</v>
      </c>
      <c r="W1560" s="364" t="s">
        <v>88</v>
      </c>
      <c r="X1560" s="364" t="s">
        <v>88</v>
      </c>
      <c r="Y1560" s="364" t="s">
        <v>88</v>
      </c>
      <c r="Z1560" s="364" t="s">
        <v>719</v>
      </c>
      <c r="AA1560" s="364" t="s">
        <v>649</v>
      </c>
      <c r="AB1560" s="364" t="s">
        <v>649</v>
      </c>
      <c r="AC1560" s="364" t="s">
        <v>649</v>
      </c>
      <c r="AD1560" s="364" t="s">
        <v>649</v>
      </c>
      <c r="AE1560" s="364" t="s">
        <v>88</v>
      </c>
      <c r="AF1560" s="364" t="s">
        <v>88</v>
      </c>
      <c r="AG1560" s="364" t="s">
        <v>88</v>
      </c>
      <c r="AH1560" s="364" t="s">
        <v>88</v>
      </c>
      <c r="AI1560" s="364" t="s">
        <v>88</v>
      </c>
      <c r="AJ1560" s="364" t="s">
        <v>648</v>
      </c>
      <c r="AK1560" s="364" t="s">
        <v>647</v>
      </c>
      <c r="AL1560" s="364" t="s">
        <v>646</v>
      </c>
      <c r="AM1560" s="364" t="s">
        <v>668</v>
      </c>
      <c r="AN1560" s="364" t="s">
        <v>644</v>
      </c>
    </row>
    <row r="1561" spans="1:40" x14ac:dyDescent="0.3">
      <c r="A1561" s="364" t="s">
        <v>1127</v>
      </c>
      <c r="B1561" s="364" t="s">
        <v>661</v>
      </c>
      <c r="C1561" s="364" t="s">
        <v>660</v>
      </c>
      <c r="D1561" s="364" t="s">
        <v>87</v>
      </c>
      <c r="E1561" s="364" t="s">
        <v>692</v>
      </c>
      <c r="F1561" s="364" t="s">
        <v>692</v>
      </c>
      <c r="G1561" s="364" t="s">
        <v>658</v>
      </c>
      <c r="H1561" s="364" t="s">
        <v>1126</v>
      </c>
      <c r="I1561" s="364" t="s">
        <v>1031</v>
      </c>
      <c r="J1561" s="364" t="s">
        <v>198</v>
      </c>
      <c r="K1561" s="364" t="s">
        <v>645</v>
      </c>
      <c r="L1561" s="364" t="s">
        <v>188</v>
      </c>
      <c r="M1561" s="364" t="s">
        <v>696</v>
      </c>
      <c r="N1561" s="364" t="s">
        <v>654</v>
      </c>
      <c r="O1561" s="364" t="s">
        <v>653</v>
      </c>
      <c r="P1561" s="364" t="s">
        <v>198</v>
      </c>
      <c r="Q1561" s="364" t="s">
        <v>652</v>
      </c>
      <c r="R1561" s="364" t="s">
        <v>88</v>
      </c>
      <c r="S1561" s="364" t="s">
        <v>88</v>
      </c>
      <c r="T1561" s="364" t="s">
        <v>88</v>
      </c>
      <c r="U1561" s="364" t="s">
        <v>88</v>
      </c>
      <c r="V1561" s="364" t="s">
        <v>88</v>
      </c>
      <c r="W1561" s="364" t="s">
        <v>88</v>
      </c>
      <c r="X1561" s="364" t="s">
        <v>88</v>
      </c>
      <c r="Y1561" s="364" t="s">
        <v>88</v>
      </c>
      <c r="Z1561" s="364" t="s">
        <v>695</v>
      </c>
      <c r="AA1561" s="364" t="s">
        <v>694</v>
      </c>
      <c r="AB1561" s="364" t="s">
        <v>649</v>
      </c>
      <c r="AC1561" s="364" t="s">
        <v>649</v>
      </c>
      <c r="AD1561" s="364" t="s">
        <v>649</v>
      </c>
      <c r="AE1561" s="364" t="s">
        <v>88</v>
      </c>
      <c r="AF1561" s="364" t="s">
        <v>88</v>
      </c>
      <c r="AG1561" s="364" t="s">
        <v>88</v>
      </c>
      <c r="AH1561" s="364" t="s">
        <v>88</v>
      </c>
      <c r="AI1561" s="364" t="s">
        <v>88</v>
      </c>
      <c r="AJ1561" s="364" t="s">
        <v>670</v>
      </c>
      <c r="AK1561" s="364" t="s">
        <v>669</v>
      </c>
      <c r="AL1561" s="364" t="s">
        <v>646</v>
      </c>
      <c r="AM1561" s="364" t="s">
        <v>645</v>
      </c>
      <c r="AN1561" s="364" t="s">
        <v>644</v>
      </c>
    </row>
    <row r="1562" spans="1:40" x14ac:dyDescent="0.3">
      <c r="A1562" s="364" t="s">
        <v>1125</v>
      </c>
      <c r="B1562" s="364" t="s">
        <v>661</v>
      </c>
      <c r="C1562" s="364" t="s">
        <v>660</v>
      </c>
      <c r="D1562" s="364" t="s">
        <v>87</v>
      </c>
      <c r="E1562" s="364" t="s">
        <v>974</v>
      </c>
      <c r="F1562" s="364" t="s">
        <v>974</v>
      </c>
      <c r="G1562" s="364" t="s">
        <v>658</v>
      </c>
      <c r="H1562" s="364" t="s">
        <v>1124</v>
      </c>
      <c r="I1562" s="364" t="s">
        <v>857</v>
      </c>
      <c r="J1562" s="364" t="s">
        <v>673</v>
      </c>
      <c r="K1562" s="364" t="s">
        <v>668</v>
      </c>
      <c r="L1562" s="364" t="s">
        <v>190</v>
      </c>
      <c r="M1562" s="364" t="s">
        <v>59</v>
      </c>
      <c r="N1562" s="364" t="s">
        <v>654</v>
      </c>
      <c r="O1562" s="364" t="s">
        <v>653</v>
      </c>
      <c r="P1562" s="364" t="s">
        <v>198</v>
      </c>
      <c r="Q1562" s="364" t="s">
        <v>652</v>
      </c>
      <c r="R1562" s="364" t="s">
        <v>88</v>
      </c>
      <c r="S1562" s="364" t="s">
        <v>88</v>
      </c>
      <c r="T1562" s="364" t="s">
        <v>88</v>
      </c>
      <c r="U1562" s="364" t="s">
        <v>88</v>
      </c>
      <c r="V1562" s="364" t="s">
        <v>88</v>
      </c>
      <c r="W1562" s="364" t="s">
        <v>88</v>
      </c>
      <c r="X1562" s="364" t="s">
        <v>88</v>
      </c>
      <c r="Y1562" s="364" t="s">
        <v>88</v>
      </c>
      <c r="Z1562" s="364" t="s">
        <v>672</v>
      </c>
      <c r="AA1562" s="364" t="s">
        <v>671</v>
      </c>
      <c r="AB1562" s="364" t="s">
        <v>649</v>
      </c>
      <c r="AC1562" s="364" t="s">
        <v>649</v>
      </c>
      <c r="AD1562" s="364" t="s">
        <v>649</v>
      </c>
      <c r="AE1562" s="364" t="s">
        <v>88</v>
      </c>
      <c r="AF1562" s="364" t="s">
        <v>88</v>
      </c>
      <c r="AG1562" s="364" t="s">
        <v>88</v>
      </c>
      <c r="AH1562" s="364" t="s">
        <v>88</v>
      </c>
      <c r="AI1562" s="364" t="s">
        <v>88</v>
      </c>
      <c r="AJ1562" s="364" t="s">
        <v>670</v>
      </c>
      <c r="AK1562" s="364" t="s">
        <v>669</v>
      </c>
      <c r="AL1562" s="364" t="s">
        <v>646</v>
      </c>
      <c r="AM1562" s="364" t="s">
        <v>668</v>
      </c>
      <c r="AN1562" s="364" t="s">
        <v>644</v>
      </c>
    </row>
    <row r="1563" spans="1:40" x14ac:dyDescent="0.3">
      <c r="A1563" s="364" t="s">
        <v>1123</v>
      </c>
      <c r="B1563" s="364" t="s">
        <v>661</v>
      </c>
      <c r="C1563" s="364" t="s">
        <v>660</v>
      </c>
      <c r="D1563" s="364" t="s">
        <v>87</v>
      </c>
      <c r="E1563" s="364" t="s">
        <v>845</v>
      </c>
      <c r="F1563" s="364" t="s">
        <v>845</v>
      </c>
      <c r="G1563" s="364" t="s">
        <v>658</v>
      </c>
      <c r="H1563" s="364" t="s">
        <v>1122</v>
      </c>
      <c r="I1563" s="364" t="s">
        <v>690</v>
      </c>
      <c r="J1563" s="364" t="s">
        <v>198</v>
      </c>
      <c r="K1563" s="364" t="s">
        <v>645</v>
      </c>
      <c r="L1563" s="364" t="s">
        <v>188</v>
      </c>
      <c r="M1563" s="364" t="s">
        <v>696</v>
      </c>
      <c r="N1563" s="364" t="s">
        <v>654</v>
      </c>
      <c r="O1563" s="364" t="s">
        <v>653</v>
      </c>
      <c r="P1563" s="364" t="s">
        <v>198</v>
      </c>
      <c r="Q1563" s="364" t="s">
        <v>652</v>
      </c>
      <c r="R1563" s="364" t="s">
        <v>88</v>
      </c>
      <c r="S1563" s="364" t="s">
        <v>88</v>
      </c>
      <c r="T1563" s="364" t="s">
        <v>88</v>
      </c>
      <c r="U1563" s="364" t="s">
        <v>88</v>
      </c>
      <c r="V1563" s="364" t="s">
        <v>88</v>
      </c>
      <c r="W1563" s="364" t="s">
        <v>88</v>
      </c>
      <c r="X1563" s="364" t="s">
        <v>88</v>
      </c>
      <c r="Y1563" s="364" t="s">
        <v>88</v>
      </c>
      <c r="Z1563" s="364" t="s">
        <v>695</v>
      </c>
      <c r="AA1563" s="364" t="s">
        <v>694</v>
      </c>
      <c r="AB1563" s="364" t="s">
        <v>649</v>
      </c>
      <c r="AC1563" s="364" t="s">
        <v>649</v>
      </c>
      <c r="AD1563" s="364" t="s">
        <v>649</v>
      </c>
      <c r="AE1563" s="364" t="s">
        <v>88</v>
      </c>
      <c r="AF1563" s="364" t="s">
        <v>88</v>
      </c>
      <c r="AG1563" s="364" t="s">
        <v>88</v>
      </c>
      <c r="AH1563" s="364" t="s">
        <v>88</v>
      </c>
      <c r="AI1563" s="364" t="s">
        <v>88</v>
      </c>
      <c r="AJ1563" s="364" t="s">
        <v>670</v>
      </c>
      <c r="AK1563" s="364" t="s">
        <v>687</v>
      </c>
      <c r="AL1563" s="364" t="s">
        <v>646</v>
      </c>
      <c r="AM1563" s="364" t="s">
        <v>645</v>
      </c>
      <c r="AN1563" s="364" t="s">
        <v>644</v>
      </c>
    </row>
    <row r="1564" spans="1:40" x14ac:dyDescent="0.3">
      <c r="A1564" s="364" t="s">
        <v>1121</v>
      </c>
      <c r="B1564" s="364" t="s">
        <v>661</v>
      </c>
      <c r="C1564" s="364" t="s">
        <v>660</v>
      </c>
      <c r="D1564" s="364" t="s">
        <v>87</v>
      </c>
      <c r="E1564" s="364" t="s">
        <v>759</v>
      </c>
      <c r="F1564" s="364" t="s">
        <v>759</v>
      </c>
      <c r="G1564" s="364" t="s">
        <v>658</v>
      </c>
      <c r="H1564" s="364" t="s">
        <v>1120</v>
      </c>
      <c r="I1564" s="364" t="s">
        <v>1119</v>
      </c>
      <c r="J1564" s="364" t="s">
        <v>673</v>
      </c>
      <c r="K1564" s="364" t="s">
        <v>668</v>
      </c>
      <c r="L1564" s="364" t="s">
        <v>190</v>
      </c>
      <c r="M1564" s="364" t="s">
        <v>59</v>
      </c>
      <c r="N1564" s="364" t="s">
        <v>654</v>
      </c>
      <c r="O1564" s="364" t="s">
        <v>653</v>
      </c>
      <c r="P1564" s="364" t="s">
        <v>198</v>
      </c>
      <c r="Q1564" s="364" t="s">
        <v>652</v>
      </c>
      <c r="R1564" s="364" t="s">
        <v>88</v>
      </c>
      <c r="S1564" s="364" t="s">
        <v>88</v>
      </c>
      <c r="T1564" s="364" t="s">
        <v>88</v>
      </c>
      <c r="U1564" s="364" t="s">
        <v>88</v>
      </c>
      <c r="V1564" s="364" t="s">
        <v>88</v>
      </c>
      <c r="W1564" s="364" t="s">
        <v>88</v>
      </c>
      <c r="X1564" s="364" t="s">
        <v>88</v>
      </c>
      <c r="Y1564" s="364" t="s">
        <v>88</v>
      </c>
      <c r="Z1564" s="364" t="s">
        <v>672</v>
      </c>
      <c r="AA1564" s="364" t="s">
        <v>671</v>
      </c>
      <c r="AB1564" s="364" t="s">
        <v>649</v>
      </c>
      <c r="AC1564" s="364" t="s">
        <v>649</v>
      </c>
      <c r="AD1564" s="364" t="s">
        <v>649</v>
      </c>
      <c r="AE1564" s="364" t="s">
        <v>88</v>
      </c>
      <c r="AF1564" s="364" t="s">
        <v>88</v>
      </c>
      <c r="AG1564" s="364" t="s">
        <v>88</v>
      </c>
      <c r="AH1564" s="364" t="s">
        <v>88</v>
      </c>
      <c r="AI1564" s="364" t="s">
        <v>88</v>
      </c>
      <c r="AJ1564" s="364" t="s">
        <v>670</v>
      </c>
      <c r="AK1564" s="364" t="s">
        <v>669</v>
      </c>
      <c r="AL1564" s="364" t="s">
        <v>646</v>
      </c>
      <c r="AM1564" s="364" t="s">
        <v>668</v>
      </c>
      <c r="AN1564" s="364" t="s">
        <v>644</v>
      </c>
    </row>
    <row r="1565" spans="1:40" x14ac:dyDescent="0.3">
      <c r="A1565" s="364" t="s">
        <v>1118</v>
      </c>
      <c r="B1565" s="364" t="s">
        <v>661</v>
      </c>
      <c r="C1565" s="364" t="s">
        <v>660</v>
      </c>
      <c r="D1565" s="364" t="s">
        <v>87</v>
      </c>
      <c r="E1565" s="364" t="s">
        <v>898</v>
      </c>
      <c r="F1565" s="364" t="s">
        <v>898</v>
      </c>
      <c r="G1565" s="364" t="s">
        <v>658</v>
      </c>
      <c r="H1565" s="364" t="s">
        <v>1117</v>
      </c>
      <c r="I1565" s="364" t="s">
        <v>1116</v>
      </c>
      <c r="J1565" s="364" t="s">
        <v>673</v>
      </c>
      <c r="K1565" s="364" t="s">
        <v>668</v>
      </c>
      <c r="L1565" s="364" t="s">
        <v>190</v>
      </c>
      <c r="M1565" s="364" t="s">
        <v>59</v>
      </c>
      <c r="N1565" s="364" t="s">
        <v>654</v>
      </c>
      <c r="O1565" s="364" t="s">
        <v>653</v>
      </c>
      <c r="P1565" s="364" t="s">
        <v>198</v>
      </c>
      <c r="Q1565" s="364" t="s">
        <v>652</v>
      </c>
      <c r="R1565" s="364" t="s">
        <v>88</v>
      </c>
      <c r="S1565" s="364" t="s">
        <v>88</v>
      </c>
      <c r="T1565" s="364" t="s">
        <v>88</v>
      </c>
      <c r="U1565" s="364" t="s">
        <v>88</v>
      </c>
      <c r="V1565" s="364" t="s">
        <v>88</v>
      </c>
      <c r="W1565" s="364" t="s">
        <v>88</v>
      </c>
      <c r="X1565" s="364" t="s">
        <v>88</v>
      </c>
      <c r="Y1565" s="364" t="s">
        <v>88</v>
      </c>
      <c r="Z1565" s="364" t="s">
        <v>672</v>
      </c>
      <c r="AA1565" s="364" t="s">
        <v>671</v>
      </c>
      <c r="AB1565" s="364" t="s">
        <v>649</v>
      </c>
      <c r="AC1565" s="364" t="s">
        <v>649</v>
      </c>
      <c r="AD1565" s="364" t="s">
        <v>649</v>
      </c>
      <c r="AE1565" s="364" t="s">
        <v>88</v>
      </c>
      <c r="AF1565" s="364" t="s">
        <v>88</v>
      </c>
      <c r="AG1565" s="364" t="s">
        <v>88</v>
      </c>
      <c r="AH1565" s="364" t="s">
        <v>88</v>
      </c>
      <c r="AI1565" s="364" t="s">
        <v>88</v>
      </c>
      <c r="AJ1565" s="364" t="s">
        <v>670</v>
      </c>
      <c r="AK1565" s="364" t="s">
        <v>669</v>
      </c>
      <c r="AL1565" s="364" t="s">
        <v>646</v>
      </c>
      <c r="AM1565" s="364" t="s">
        <v>668</v>
      </c>
      <c r="AN1565" s="364" t="s">
        <v>644</v>
      </c>
    </row>
    <row r="1566" spans="1:40" x14ac:dyDescent="0.3">
      <c r="A1566" s="364" t="s">
        <v>1115</v>
      </c>
      <c r="B1566" s="364" t="s">
        <v>661</v>
      </c>
      <c r="C1566" s="364" t="s">
        <v>660</v>
      </c>
      <c r="D1566" s="364" t="s">
        <v>87</v>
      </c>
      <c r="E1566" s="364" t="s">
        <v>915</v>
      </c>
      <c r="F1566" s="364" t="s">
        <v>915</v>
      </c>
      <c r="G1566" s="364" t="s">
        <v>658</v>
      </c>
      <c r="H1566" s="364" t="s">
        <v>1114</v>
      </c>
      <c r="I1566" s="364" t="s">
        <v>780</v>
      </c>
      <c r="J1566" s="364" t="s">
        <v>673</v>
      </c>
      <c r="K1566" s="364" t="s">
        <v>668</v>
      </c>
      <c r="L1566" s="364" t="s">
        <v>190</v>
      </c>
      <c r="M1566" s="364" t="s">
        <v>62</v>
      </c>
      <c r="N1566" s="364" t="s">
        <v>654</v>
      </c>
      <c r="O1566" s="364" t="s">
        <v>653</v>
      </c>
      <c r="P1566" s="364" t="s">
        <v>198</v>
      </c>
      <c r="Q1566" s="364" t="s">
        <v>652</v>
      </c>
      <c r="R1566" s="364" t="s">
        <v>88</v>
      </c>
      <c r="S1566" s="364" t="s">
        <v>88</v>
      </c>
      <c r="T1566" s="364" t="s">
        <v>88</v>
      </c>
      <c r="U1566" s="364" t="s">
        <v>88</v>
      </c>
      <c r="V1566" s="364" t="s">
        <v>88</v>
      </c>
      <c r="W1566" s="364" t="s">
        <v>88</v>
      </c>
      <c r="X1566" s="364" t="s">
        <v>88</v>
      </c>
      <c r="Y1566" s="364" t="s">
        <v>88</v>
      </c>
      <c r="Z1566" s="364" t="s">
        <v>689</v>
      </c>
      <c r="AA1566" s="364" t="s">
        <v>688</v>
      </c>
      <c r="AB1566" s="364" t="s">
        <v>649</v>
      </c>
      <c r="AC1566" s="364" t="s">
        <v>649</v>
      </c>
      <c r="AD1566" s="364" t="s">
        <v>649</v>
      </c>
      <c r="AE1566" s="364" t="s">
        <v>88</v>
      </c>
      <c r="AF1566" s="364" t="s">
        <v>88</v>
      </c>
      <c r="AG1566" s="364" t="s">
        <v>88</v>
      </c>
      <c r="AH1566" s="364" t="s">
        <v>88</v>
      </c>
      <c r="AI1566" s="364" t="s">
        <v>88</v>
      </c>
      <c r="AJ1566" s="364" t="s">
        <v>670</v>
      </c>
      <c r="AK1566" s="364" t="s">
        <v>669</v>
      </c>
      <c r="AL1566" s="364" t="s">
        <v>646</v>
      </c>
      <c r="AM1566" s="364" t="s">
        <v>668</v>
      </c>
      <c r="AN1566" s="364" t="s">
        <v>644</v>
      </c>
    </row>
    <row r="1567" spans="1:40" x14ac:dyDescent="0.3">
      <c r="A1567" s="364" t="s">
        <v>1113</v>
      </c>
      <c r="B1567" s="364" t="s">
        <v>661</v>
      </c>
      <c r="C1567" s="364" t="s">
        <v>660</v>
      </c>
      <c r="D1567" s="364" t="s">
        <v>90</v>
      </c>
      <c r="E1567" s="364" t="s">
        <v>1112</v>
      </c>
      <c r="F1567" s="364" t="s">
        <v>1112</v>
      </c>
      <c r="G1567" s="364" t="s">
        <v>658</v>
      </c>
      <c r="H1567" s="364" t="s">
        <v>1111</v>
      </c>
      <c r="I1567" s="364" t="s">
        <v>1110</v>
      </c>
      <c r="J1567" s="364" t="s">
        <v>198</v>
      </c>
      <c r="K1567" s="364" t="s">
        <v>645</v>
      </c>
      <c r="L1567" s="364" t="s">
        <v>188</v>
      </c>
      <c r="M1567" s="364" t="s">
        <v>655</v>
      </c>
      <c r="N1567" s="364" t="s">
        <v>654</v>
      </c>
      <c r="O1567" s="364" t="s">
        <v>653</v>
      </c>
      <c r="P1567" s="364" t="s">
        <v>198</v>
      </c>
      <c r="Q1567" s="364" t="s">
        <v>652</v>
      </c>
      <c r="R1567" s="364" t="s">
        <v>88</v>
      </c>
      <c r="S1567" s="364" t="s">
        <v>88</v>
      </c>
      <c r="T1567" s="364" t="s">
        <v>88</v>
      </c>
      <c r="U1567" s="364" t="s">
        <v>88</v>
      </c>
      <c r="V1567" s="364" t="s">
        <v>88</v>
      </c>
      <c r="W1567" s="364" t="s">
        <v>88</v>
      </c>
      <c r="X1567" s="364" t="s">
        <v>88</v>
      </c>
      <c r="Y1567" s="364" t="s">
        <v>88</v>
      </c>
      <c r="Z1567" s="364" t="s">
        <v>651</v>
      </c>
      <c r="AA1567" s="364" t="s">
        <v>650</v>
      </c>
      <c r="AB1567" s="364" t="s">
        <v>649</v>
      </c>
      <c r="AC1567" s="364" t="s">
        <v>649</v>
      </c>
      <c r="AD1567" s="364" t="s">
        <v>649</v>
      </c>
      <c r="AE1567" s="364" t="s">
        <v>88</v>
      </c>
      <c r="AF1567" s="364" t="s">
        <v>88</v>
      </c>
      <c r="AG1567" s="364" t="s">
        <v>88</v>
      </c>
      <c r="AH1567" s="364" t="s">
        <v>88</v>
      </c>
      <c r="AI1567" s="364" t="s">
        <v>88</v>
      </c>
      <c r="AJ1567" s="364" t="s">
        <v>663</v>
      </c>
      <c r="AK1567" s="364" t="s">
        <v>647</v>
      </c>
      <c r="AL1567" s="364" t="s">
        <v>646</v>
      </c>
      <c r="AM1567" s="364" t="s">
        <v>645</v>
      </c>
      <c r="AN1567" s="364" t="s">
        <v>644</v>
      </c>
    </row>
    <row r="1568" spans="1:40" x14ac:dyDescent="0.3">
      <c r="A1568" s="364" t="s">
        <v>1109</v>
      </c>
      <c r="B1568" s="364" t="s">
        <v>661</v>
      </c>
      <c r="C1568" s="364" t="s">
        <v>660</v>
      </c>
      <c r="D1568" s="364" t="s">
        <v>87</v>
      </c>
      <c r="E1568" s="364" t="s">
        <v>1094</v>
      </c>
      <c r="F1568" s="364" t="s">
        <v>1094</v>
      </c>
      <c r="G1568" s="364" t="s">
        <v>658</v>
      </c>
      <c r="H1568" s="364" t="s">
        <v>1108</v>
      </c>
      <c r="I1568" s="364" t="s">
        <v>802</v>
      </c>
      <c r="J1568" s="364" t="s">
        <v>198</v>
      </c>
      <c r="K1568" s="364" t="s">
        <v>645</v>
      </c>
      <c r="L1568" s="364" t="s">
        <v>188</v>
      </c>
      <c r="M1568" s="364" t="s">
        <v>696</v>
      </c>
      <c r="N1568" s="364" t="s">
        <v>654</v>
      </c>
      <c r="O1568" s="364" t="s">
        <v>653</v>
      </c>
      <c r="P1568" s="364" t="s">
        <v>198</v>
      </c>
      <c r="Q1568" s="364" t="s">
        <v>652</v>
      </c>
      <c r="R1568" s="364" t="s">
        <v>88</v>
      </c>
      <c r="S1568" s="364" t="s">
        <v>88</v>
      </c>
      <c r="T1568" s="364" t="s">
        <v>88</v>
      </c>
      <c r="U1568" s="364" t="s">
        <v>88</v>
      </c>
      <c r="V1568" s="364" t="s">
        <v>88</v>
      </c>
      <c r="W1568" s="364" t="s">
        <v>88</v>
      </c>
      <c r="X1568" s="364" t="s">
        <v>88</v>
      </c>
      <c r="Y1568" s="364" t="s">
        <v>88</v>
      </c>
      <c r="Z1568" s="364" t="s">
        <v>695</v>
      </c>
      <c r="AA1568" s="364" t="s">
        <v>694</v>
      </c>
      <c r="AB1568" s="364" t="s">
        <v>649</v>
      </c>
      <c r="AC1568" s="364" t="s">
        <v>649</v>
      </c>
      <c r="AD1568" s="364" t="s">
        <v>649</v>
      </c>
      <c r="AE1568" s="364" t="s">
        <v>88</v>
      </c>
      <c r="AF1568" s="364" t="s">
        <v>88</v>
      </c>
      <c r="AG1568" s="364" t="s">
        <v>88</v>
      </c>
      <c r="AH1568" s="364" t="s">
        <v>88</v>
      </c>
      <c r="AI1568" s="364" t="s">
        <v>88</v>
      </c>
      <c r="AJ1568" s="364" t="s">
        <v>648</v>
      </c>
      <c r="AK1568" s="364" t="s">
        <v>669</v>
      </c>
      <c r="AL1568" s="364" t="s">
        <v>646</v>
      </c>
      <c r="AM1568" s="364" t="s">
        <v>645</v>
      </c>
      <c r="AN1568" s="364" t="s">
        <v>644</v>
      </c>
    </row>
    <row r="1569" spans="1:40" x14ac:dyDescent="0.3">
      <c r="A1569" s="364" t="s">
        <v>1107</v>
      </c>
      <c r="B1569" s="364" t="s">
        <v>661</v>
      </c>
      <c r="C1569" s="364" t="s">
        <v>660</v>
      </c>
      <c r="D1569" s="364" t="s">
        <v>87</v>
      </c>
      <c r="E1569" s="364" t="s">
        <v>763</v>
      </c>
      <c r="F1569" s="364" t="s">
        <v>763</v>
      </c>
      <c r="G1569" s="364" t="s">
        <v>658</v>
      </c>
      <c r="H1569" s="364" t="s">
        <v>1106</v>
      </c>
      <c r="I1569" s="364" t="s">
        <v>765</v>
      </c>
      <c r="J1569" s="364" t="s">
        <v>198</v>
      </c>
      <c r="K1569" s="364" t="s">
        <v>645</v>
      </c>
      <c r="L1569" s="364" t="s">
        <v>188</v>
      </c>
      <c r="M1569" s="364" t="s">
        <v>696</v>
      </c>
      <c r="N1569" s="364" t="s">
        <v>654</v>
      </c>
      <c r="O1569" s="364" t="s">
        <v>653</v>
      </c>
      <c r="P1569" s="364" t="s">
        <v>198</v>
      </c>
      <c r="Q1569" s="364" t="s">
        <v>652</v>
      </c>
      <c r="R1569" s="364" t="s">
        <v>88</v>
      </c>
      <c r="S1569" s="364" t="s">
        <v>88</v>
      </c>
      <c r="T1569" s="364" t="s">
        <v>88</v>
      </c>
      <c r="U1569" s="364" t="s">
        <v>88</v>
      </c>
      <c r="V1569" s="364" t="s">
        <v>88</v>
      </c>
      <c r="W1569" s="364" t="s">
        <v>88</v>
      </c>
      <c r="X1569" s="364" t="s">
        <v>88</v>
      </c>
      <c r="Y1569" s="364" t="s">
        <v>88</v>
      </c>
      <c r="Z1569" s="364" t="s">
        <v>695</v>
      </c>
      <c r="AA1569" s="364" t="s">
        <v>694</v>
      </c>
      <c r="AB1569" s="364" t="s">
        <v>649</v>
      </c>
      <c r="AC1569" s="364" t="s">
        <v>649</v>
      </c>
      <c r="AD1569" s="364" t="s">
        <v>649</v>
      </c>
      <c r="AE1569" s="364" t="s">
        <v>88</v>
      </c>
      <c r="AF1569" s="364" t="s">
        <v>88</v>
      </c>
      <c r="AG1569" s="364" t="s">
        <v>88</v>
      </c>
      <c r="AH1569" s="364" t="s">
        <v>88</v>
      </c>
      <c r="AI1569" s="364" t="s">
        <v>88</v>
      </c>
      <c r="AJ1569" s="364" t="s">
        <v>648</v>
      </c>
      <c r="AK1569" s="364" t="s">
        <v>687</v>
      </c>
      <c r="AL1569" s="364" t="s">
        <v>646</v>
      </c>
      <c r="AM1569" s="364" t="s">
        <v>645</v>
      </c>
      <c r="AN1569" s="364" t="s">
        <v>644</v>
      </c>
    </row>
    <row r="1570" spans="1:40" x14ac:dyDescent="0.3">
      <c r="A1570" s="364" t="s">
        <v>1105</v>
      </c>
      <c r="B1570" s="364" t="s">
        <v>661</v>
      </c>
      <c r="C1570" s="364" t="s">
        <v>660</v>
      </c>
      <c r="D1570" s="364" t="s">
        <v>87</v>
      </c>
      <c r="E1570" s="364" t="s">
        <v>1104</v>
      </c>
      <c r="F1570" s="364" t="s">
        <v>1104</v>
      </c>
      <c r="G1570" s="364" t="s">
        <v>658</v>
      </c>
      <c r="H1570" s="364" t="s">
        <v>1103</v>
      </c>
      <c r="I1570" s="364" t="s">
        <v>1102</v>
      </c>
      <c r="J1570" s="364" t="s">
        <v>198</v>
      </c>
      <c r="K1570" s="364" t="s">
        <v>645</v>
      </c>
      <c r="L1570" s="364" t="s">
        <v>188</v>
      </c>
      <c r="M1570" s="364" t="s">
        <v>696</v>
      </c>
      <c r="N1570" s="364" t="s">
        <v>654</v>
      </c>
      <c r="O1570" s="364" t="s">
        <v>653</v>
      </c>
      <c r="P1570" s="364" t="s">
        <v>198</v>
      </c>
      <c r="Q1570" s="364" t="s">
        <v>652</v>
      </c>
      <c r="R1570" s="364" t="s">
        <v>88</v>
      </c>
      <c r="S1570" s="364" t="s">
        <v>88</v>
      </c>
      <c r="T1570" s="364" t="s">
        <v>88</v>
      </c>
      <c r="U1570" s="364" t="s">
        <v>88</v>
      </c>
      <c r="V1570" s="364" t="s">
        <v>88</v>
      </c>
      <c r="W1570" s="364" t="s">
        <v>88</v>
      </c>
      <c r="X1570" s="364" t="s">
        <v>88</v>
      </c>
      <c r="Y1570" s="364" t="s">
        <v>88</v>
      </c>
      <c r="Z1570" s="364" t="s">
        <v>695</v>
      </c>
      <c r="AA1570" s="364" t="s">
        <v>694</v>
      </c>
      <c r="AB1570" s="364" t="s">
        <v>649</v>
      </c>
      <c r="AC1570" s="364" t="s">
        <v>649</v>
      </c>
      <c r="AD1570" s="364" t="s">
        <v>649</v>
      </c>
      <c r="AE1570" s="364" t="s">
        <v>88</v>
      </c>
      <c r="AF1570" s="364" t="s">
        <v>88</v>
      </c>
      <c r="AG1570" s="364" t="s">
        <v>88</v>
      </c>
      <c r="AH1570" s="364" t="s">
        <v>88</v>
      </c>
      <c r="AI1570" s="364" t="s">
        <v>88</v>
      </c>
      <c r="AJ1570" s="364" t="s">
        <v>648</v>
      </c>
      <c r="AK1570" s="364" t="s">
        <v>669</v>
      </c>
      <c r="AL1570" s="364" t="s">
        <v>646</v>
      </c>
      <c r="AM1570" s="364" t="s">
        <v>645</v>
      </c>
      <c r="AN1570" s="364" t="s">
        <v>644</v>
      </c>
    </row>
    <row r="1571" spans="1:40" x14ac:dyDescent="0.3">
      <c r="A1571" s="364" t="s">
        <v>1101</v>
      </c>
      <c r="B1571" s="364" t="s">
        <v>661</v>
      </c>
      <c r="C1571" s="364" t="s">
        <v>660</v>
      </c>
      <c r="D1571" s="364" t="s">
        <v>90</v>
      </c>
      <c r="E1571" s="364" t="s">
        <v>804</v>
      </c>
      <c r="F1571" s="364" t="s">
        <v>804</v>
      </c>
      <c r="G1571" s="364" t="s">
        <v>658</v>
      </c>
      <c r="H1571" s="364" t="s">
        <v>1100</v>
      </c>
      <c r="I1571" s="364" t="s">
        <v>1099</v>
      </c>
      <c r="J1571" s="364" t="s">
        <v>198</v>
      </c>
      <c r="K1571" s="364" t="s">
        <v>645</v>
      </c>
      <c r="L1571" s="364" t="s">
        <v>188</v>
      </c>
      <c r="M1571" s="364" t="s">
        <v>655</v>
      </c>
      <c r="N1571" s="364" t="s">
        <v>654</v>
      </c>
      <c r="O1571" s="364" t="s">
        <v>653</v>
      </c>
      <c r="P1571" s="364" t="s">
        <v>198</v>
      </c>
      <c r="Q1571" s="364" t="s">
        <v>652</v>
      </c>
      <c r="R1571" s="364" t="s">
        <v>88</v>
      </c>
      <c r="S1571" s="364" t="s">
        <v>88</v>
      </c>
      <c r="T1571" s="364" t="s">
        <v>88</v>
      </c>
      <c r="U1571" s="364" t="s">
        <v>88</v>
      </c>
      <c r="V1571" s="364" t="s">
        <v>88</v>
      </c>
      <c r="W1571" s="364" t="s">
        <v>88</v>
      </c>
      <c r="X1571" s="364" t="s">
        <v>88</v>
      </c>
      <c r="Y1571" s="364" t="s">
        <v>88</v>
      </c>
      <c r="Z1571" s="364" t="s">
        <v>651</v>
      </c>
      <c r="AA1571" s="364" t="s">
        <v>650</v>
      </c>
      <c r="AB1571" s="364" t="s">
        <v>649</v>
      </c>
      <c r="AC1571" s="364" t="s">
        <v>649</v>
      </c>
      <c r="AD1571" s="364" t="s">
        <v>649</v>
      </c>
      <c r="AE1571" s="364" t="s">
        <v>88</v>
      </c>
      <c r="AF1571" s="364" t="s">
        <v>88</v>
      </c>
      <c r="AG1571" s="364" t="s">
        <v>88</v>
      </c>
      <c r="AH1571" s="364" t="s">
        <v>88</v>
      </c>
      <c r="AI1571" s="364" t="s">
        <v>88</v>
      </c>
      <c r="AJ1571" s="364" t="s">
        <v>648</v>
      </c>
      <c r="AK1571" s="364" t="s">
        <v>647</v>
      </c>
      <c r="AL1571" s="364" t="s">
        <v>646</v>
      </c>
      <c r="AM1571" s="364" t="s">
        <v>645</v>
      </c>
      <c r="AN1571" s="364" t="s">
        <v>644</v>
      </c>
    </row>
    <row r="1572" spans="1:40" x14ac:dyDescent="0.3">
      <c r="A1572" s="364" t="s">
        <v>1098</v>
      </c>
      <c r="B1572" s="364" t="s">
        <v>661</v>
      </c>
      <c r="C1572" s="364" t="s">
        <v>677</v>
      </c>
      <c r="D1572" s="364" t="s">
        <v>170</v>
      </c>
      <c r="E1572" s="364" t="s">
        <v>728</v>
      </c>
      <c r="F1572" s="364" t="s">
        <v>728</v>
      </c>
      <c r="G1572" s="364" t="s">
        <v>658</v>
      </c>
      <c r="H1572" s="364" t="s">
        <v>992</v>
      </c>
      <c r="I1572" s="364" t="s">
        <v>1083</v>
      </c>
      <c r="J1572" s="364" t="s">
        <v>673</v>
      </c>
      <c r="K1572" s="364" t="s">
        <v>668</v>
      </c>
      <c r="L1572" s="364" t="s">
        <v>190</v>
      </c>
      <c r="M1572" s="364" t="s">
        <v>164</v>
      </c>
      <c r="N1572" s="364" t="s">
        <v>654</v>
      </c>
      <c r="O1572" s="364" t="s">
        <v>653</v>
      </c>
      <c r="P1572" s="364" t="s">
        <v>198</v>
      </c>
      <c r="Q1572" s="364" t="s">
        <v>652</v>
      </c>
      <c r="R1572" s="364" t="s">
        <v>88</v>
      </c>
      <c r="S1572" s="364" t="s">
        <v>88</v>
      </c>
      <c r="T1572" s="364" t="s">
        <v>88</v>
      </c>
      <c r="U1572" s="364" t="s">
        <v>88</v>
      </c>
      <c r="V1572" s="364" t="s">
        <v>88</v>
      </c>
      <c r="W1572" s="364" t="s">
        <v>88</v>
      </c>
      <c r="X1572" s="364" t="s">
        <v>88</v>
      </c>
      <c r="Y1572" s="364" t="s">
        <v>88</v>
      </c>
      <c r="Z1572" s="364" t="s">
        <v>825</v>
      </c>
      <c r="AA1572" s="364" t="s">
        <v>649</v>
      </c>
      <c r="AB1572" s="364" t="s">
        <v>649</v>
      </c>
      <c r="AC1572" s="364" t="s">
        <v>649</v>
      </c>
      <c r="AD1572" s="364" t="s">
        <v>88</v>
      </c>
      <c r="AE1572" s="364" t="s">
        <v>88</v>
      </c>
      <c r="AF1572" s="364" t="s">
        <v>88</v>
      </c>
      <c r="AG1572" s="364" t="s">
        <v>88</v>
      </c>
      <c r="AH1572" s="364" t="s">
        <v>88</v>
      </c>
      <c r="AI1572" s="364" t="s">
        <v>88</v>
      </c>
      <c r="AJ1572" s="364" t="s">
        <v>670</v>
      </c>
      <c r="AK1572" s="364" t="s">
        <v>687</v>
      </c>
      <c r="AL1572" s="364" t="s">
        <v>88</v>
      </c>
      <c r="AM1572" s="364" t="s">
        <v>668</v>
      </c>
      <c r="AN1572" s="364" t="s">
        <v>644</v>
      </c>
    </row>
    <row r="1573" spans="1:40" x14ac:dyDescent="0.3">
      <c r="A1573" s="364" t="s">
        <v>1097</v>
      </c>
      <c r="B1573" s="364" t="s">
        <v>661</v>
      </c>
      <c r="C1573" s="364" t="s">
        <v>660</v>
      </c>
      <c r="D1573" s="364" t="s">
        <v>87</v>
      </c>
      <c r="E1573" s="364" t="s">
        <v>845</v>
      </c>
      <c r="F1573" s="364" t="s">
        <v>845</v>
      </c>
      <c r="G1573" s="364" t="s">
        <v>658</v>
      </c>
      <c r="H1573" s="364" t="s">
        <v>1096</v>
      </c>
      <c r="I1573" s="364" t="s">
        <v>690</v>
      </c>
      <c r="J1573" s="364" t="s">
        <v>673</v>
      </c>
      <c r="K1573" s="364" t="s">
        <v>668</v>
      </c>
      <c r="L1573" s="364" t="s">
        <v>190</v>
      </c>
      <c r="M1573" s="364" t="s">
        <v>62</v>
      </c>
      <c r="N1573" s="364" t="s">
        <v>654</v>
      </c>
      <c r="O1573" s="364" t="s">
        <v>653</v>
      </c>
      <c r="P1573" s="364" t="s">
        <v>198</v>
      </c>
      <c r="Q1573" s="364" t="s">
        <v>652</v>
      </c>
      <c r="R1573" s="364" t="s">
        <v>88</v>
      </c>
      <c r="S1573" s="364" t="s">
        <v>88</v>
      </c>
      <c r="T1573" s="364" t="s">
        <v>88</v>
      </c>
      <c r="U1573" s="364" t="s">
        <v>88</v>
      </c>
      <c r="V1573" s="364" t="s">
        <v>88</v>
      </c>
      <c r="W1573" s="364" t="s">
        <v>88</v>
      </c>
      <c r="X1573" s="364" t="s">
        <v>88</v>
      </c>
      <c r="Y1573" s="364" t="s">
        <v>88</v>
      </c>
      <c r="Z1573" s="364" t="s">
        <v>689</v>
      </c>
      <c r="AA1573" s="364" t="s">
        <v>688</v>
      </c>
      <c r="AB1573" s="364" t="s">
        <v>649</v>
      </c>
      <c r="AC1573" s="364" t="s">
        <v>649</v>
      </c>
      <c r="AD1573" s="364" t="s">
        <v>649</v>
      </c>
      <c r="AE1573" s="364" t="s">
        <v>88</v>
      </c>
      <c r="AF1573" s="364" t="s">
        <v>88</v>
      </c>
      <c r="AG1573" s="364" t="s">
        <v>88</v>
      </c>
      <c r="AH1573" s="364" t="s">
        <v>88</v>
      </c>
      <c r="AI1573" s="364" t="s">
        <v>88</v>
      </c>
      <c r="AJ1573" s="364" t="s">
        <v>670</v>
      </c>
      <c r="AK1573" s="364" t="s">
        <v>687</v>
      </c>
      <c r="AL1573" s="364" t="s">
        <v>646</v>
      </c>
      <c r="AM1573" s="364" t="s">
        <v>668</v>
      </c>
      <c r="AN1573" s="364" t="s">
        <v>644</v>
      </c>
    </row>
    <row r="1574" spans="1:40" x14ac:dyDescent="0.3">
      <c r="A1574" s="364" t="s">
        <v>1095</v>
      </c>
      <c r="B1574" s="364" t="s">
        <v>661</v>
      </c>
      <c r="C1574" s="364" t="s">
        <v>660</v>
      </c>
      <c r="D1574" s="364" t="s">
        <v>90</v>
      </c>
      <c r="E1574" s="364" t="s">
        <v>1094</v>
      </c>
      <c r="F1574" s="364" t="s">
        <v>1094</v>
      </c>
      <c r="G1574" s="364" t="s">
        <v>658</v>
      </c>
      <c r="H1574" s="364" t="s">
        <v>1093</v>
      </c>
      <c r="I1574" s="364" t="s">
        <v>1092</v>
      </c>
      <c r="J1574" s="364" t="s">
        <v>673</v>
      </c>
      <c r="K1574" s="364" t="s">
        <v>668</v>
      </c>
      <c r="L1574" s="364" t="s">
        <v>190</v>
      </c>
      <c r="M1574" s="364" t="s">
        <v>55</v>
      </c>
      <c r="N1574" s="364" t="s">
        <v>654</v>
      </c>
      <c r="O1574" s="364" t="s">
        <v>653</v>
      </c>
      <c r="P1574" s="364" t="s">
        <v>198</v>
      </c>
      <c r="Q1574" s="364" t="s">
        <v>652</v>
      </c>
      <c r="R1574" s="364" t="s">
        <v>88</v>
      </c>
      <c r="S1574" s="364" t="s">
        <v>88</v>
      </c>
      <c r="T1574" s="364" t="s">
        <v>88</v>
      </c>
      <c r="U1574" s="364" t="s">
        <v>88</v>
      </c>
      <c r="V1574" s="364" t="s">
        <v>88</v>
      </c>
      <c r="W1574" s="364" t="s">
        <v>88</v>
      </c>
      <c r="X1574" s="364" t="s">
        <v>88</v>
      </c>
      <c r="Y1574" s="364" t="s">
        <v>88</v>
      </c>
      <c r="Z1574" s="364" t="s">
        <v>719</v>
      </c>
      <c r="AA1574" s="364" t="s">
        <v>649</v>
      </c>
      <c r="AB1574" s="364" t="s">
        <v>649</v>
      </c>
      <c r="AC1574" s="364" t="s">
        <v>649</v>
      </c>
      <c r="AD1574" s="364" t="s">
        <v>649</v>
      </c>
      <c r="AE1574" s="364" t="s">
        <v>88</v>
      </c>
      <c r="AF1574" s="364" t="s">
        <v>88</v>
      </c>
      <c r="AG1574" s="364" t="s">
        <v>88</v>
      </c>
      <c r="AH1574" s="364" t="s">
        <v>88</v>
      </c>
      <c r="AI1574" s="364" t="s">
        <v>88</v>
      </c>
      <c r="AJ1574" s="364" t="s">
        <v>663</v>
      </c>
      <c r="AK1574" s="364" t="s">
        <v>647</v>
      </c>
      <c r="AL1574" s="364" t="s">
        <v>646</v>
      </c>
      <c r="AM1574" s="364" t="s">
        <v>668</v>
      </c>
      <c r="AN1574" s="364" t="s">
        <v>644</v>
      </c>
    </row>
    <row r="1575" spans="1:40" x14ac:dyDescent="0.3">
      <c r="A1575" s="364" t="s">
        <v>1091</v>
      </c>
      <c r="B1575" s="364" t="s">
        <v>661</v>
      </c>
      <c r="C1575" s="364" t="s">
        <v>660</v>
      </c>
      <c r="D1575" s="364" t="s">
        <v>87</v>
      </c>
      <c r="E1575" s="364" t="s">
        <v>829</v>
      </c>
      <c r="F1575" s="364" t="s">
        <v>829</v>
      </c>
      <c r="G1575" s="364" t="s">
        <v>658</v>
      </c>
      <c r="H1575" s="364" t="s">
        <v>985</v>
      </c>
      <c r="I1575" s="364" t="s">
        <v>828</v>
      </c>
      <c r="J1575" s="364" t="s">
        <v>673</v>
      </c>
      <c r="K1575" s="364" t="s">
        <v>668</v>
      </c>
      <c r="L1575" s="364" t="s">
        <v>190</v>
      </c>
      <c r="M1575" s="364" t="s">
        <v>62</v>
      </c>
      <c r="N1575" s="364" t="s">
        <v>654</v>
      </c>
      <c r="O1575" s="364" t="s">
        <v>653</v>
      </c>
      <c r="P1575" s="364" t="s">
        <v>198</v>
      </c>
      <c r="Q1575" s="364" t="s">
        <v>652</v>
      </c>
      <c r="R1575" s="364" t="s">
        <v>88</v>
      </c>
      <c r="S1575" s="364" t="s">
        <v>88</v>
      </c>
      <c r="T1575" s="364" t="s">
        <v>88</v>
      </c>
      <c r="U1575" s="364" t="s">
        <v>88</v>
      </c>
      <c r="V1575" s="364" t="s">
        <v>88</v>
      </c>
      <c r="W1575" s="364" t="s">
        <v>88</v>
      </c>
      <c r="X1575" s="364" t="s">
        <v>88</v>
      </c>
      <c r="Y1575" s="364" t="s">
        <v>88</v>
      </c>
      <c r="Z1575" s="364" t="s">
        <v>689</v>
      </c>
      <c r="AA1575" s="364" t="s">
        <v>688</v>
      </c>
      <c r="AB1575" s="364" t="s">
        <v>649</v>
      </c>
      <c r="AC1575" s="364" t="s">
        <v>649</v>
      </c>
      <c r="AD1575" s="364" t="s">
        <v>649</v>
      </c>
      <c r="AE1575" s="364" t="s">
        <v>88</v>
      </c>
      <c r="AF1575" s="364" t="s">
        <v>88</v>
      </c>
      <c r="AG1575" s="364" t="s">
        <v>88</v>
      </c>
      <c r="AH1575" s="364" t="s">
        <v>88</v>
      </c>
      <c r="AI1575" s="364" t="s">
        <v>88</v>
      </c>
      <c r="AJ1575" s="364" t="s">
        <v>670</v>
      </c>
      <c r="AK1575" s="364" t="s">
        <v>669</v>
      </c>
      <c r="AL1575" s="364" t="s">
        <v>646</v>
      </c>
      <c r="AM1575" s="364" t="s">
        <v>668</v>
      </c>
      <c r="AN1575" s="364" t="s">
        <v>644</v>
      </c>
    </row>
    <row r="1576" spans="1:40" x14ac:dyDescent="0.3">
      <c r="A1576" s="364" t="s">
        <v>1090</v>
      </c>
      <c r="B1576" s="364" t="s">
        <v>661</v>
      </c>
      <c r="C1576" s="364" t="s">
        <v>660</v>
      </c>
      <c r="D1576" s="364" t="s">
        <v>87</v>
      </c>
      <c r="E1576" s="364" t="s">
        <v>1089</v>
      </c>
      <c r="F1576" s="364" t="s">
        <v>1089</v>
      </c>
      <c r="G1576" s="364" t="s">
        <v>658</v>
      </c>
      <c r="H1576" s="364" t="s">
        <v>1088</v>
      </c>
      <c r="I1576" s="364" t="s">
        <v>1087</v>
      </c>
      <c r="J1576" s="364" t="s">
        <v>198</v>
      </c>
      <c r="K1576" s="364" t="s">
        <v>645</v>
      </c>
      <c r="L1576" s="364" t="s">
        <v>188</v>
      </c>
      <c r="M1576" s="364" t="s">
        <v>696</v>
      </c>
      <c r="N1576" s="364" t="s">
        <v>654</v>
      </c>
      <c r="O1576" s="364" t="s">
        <v>653</v>
      </c>
      <c r="P1576" s="364" t="s">
        <v>198</v>
      </c>
      <c r="Q1576" s="364" t="s">
        <v>652</v>
      </c>
      <c r="R1576" s="364" t="s">
        <v>88</v>
      </c>
      <c r="S1576" s="364" t="s">
        <v>88</v>
      </c>
      <c r="T1576" s="364" t="s">
        <v>88</v>
      </c>
      <c r="U1576" s="364" t="s">
        <v>88</v>
      </c>
      <c r="V1576" s="364" t="s">
        <v>88</v>
      </c>
      <c r="W1576" s="364" t="s">
        <v>88</v>
      </c>
      <c r="X1576" s="364" t="s">
        <v>88</v>
      </c>
      <c r="Y1576" s="364" t="s">
        <v>88</v>
      </c>
      <c r="Z1576" s="364" t="s">
        <v>695</v>
      </c>
      <c r="AA1576" s="364" t="s">
        <v>694</v>
      </c>
      <c r="AB1576" s="364" t="s">
        <v>649</v>
      </c>
      <c r="AC1576" s="364" t="s">
        <v>649</v>
      </c>
      <c r="AD1576" s="364" t="s">
        <v>649</v>
      </c>
      <c r="AE1576" s="364" t="s">
        <v>88</v>
      </c>
      <c r="AF1576" s="364" t="s">
        <v>88</v>
      </c>
      <c r="AG1576" s="364" t="s">
        <v>88</v>
      </c>
      <c r="AH1576" s="364" t="s">
        <v>88</v>
      </c>
      <c r="AI1576" s="364" t="s">
        <v>88</v>
      </c>
      <c r="AJ1576" s="364" t="s">
        <v>670</v>
      </c>
      <c r="AK1576" s="364" t="s">
        <v>669</v>
      </c>
      <c r="AL1576" s="364" t="s">
        <v>646</v>
      </c>
      <c r="AM1576" s="364" t="s">
        <v>645</v>
      </c>
      <c r="AN1576" s="364" t="s">
        <v>644</v>
      </c>
    </row>
    <row r="1577" spans="1:40" x14ac:dyDescent="0.3">
      <c r="A1577" s="364" t="s">
        <v>1086</v>
      </c>
      <c r="B1577" s="364" t="s">
        <v>661</v>
      </c>
      <c r="C1577" s="364" t="s">
        <v>660</v>
      </c>
      <c r="D1577" s="364" t="s">
        <v>87</v>
      </c>
      <c r="E1577" s="364" t="s">
        <v>915</v>
      </c>
      <c r="F1577" s="364" t="s">
        <v>915</v>
      </c>
      <c r="G1577" s="364" t="s">
        <v>658</v>
      </c>
      <c r="H1577" s="364" t="s">
        <v>1085</v>
      </c>
      <c r="I1577" s="364" t="s">
        <v>857</v>
      </c>
      <c r="J1577" s="364" t="s">
        <v>673</v>
      </c>
      <c r="K1577" s="364" t="s">
        <v>668</v>
      </c>
      <c r="L1577" s="364" t="s">
        <v>190</v>
      </c>
      <c r="M1577" s="364" t="s">
        <v>59</v>
      </c>
      <c r="N1577" s="364" t="s">
        <v>654</v>
      </c>
      <c r="O1577" s="364" t="s">
        <v>653</v>
      </c>
      <c r="P1577" s="364" t="s">
        <v>198</v>
      </c>
      <c r="Q1577" s="364" t="s">
        <v>652</v>
      </c>
      <c r="R1577" s="364" t="s">
        <v>88</v>
      </c>
      <c r="S1577" s="364" t="s">
        <v>88</v>
      </c>
      <c r="T1577" s="364" t="s">
        <v>88</v>
      </c>
      <c r="U1577" s="364" t="s">
        <v>88</v>
      </c>
      <c r="V1577" s="364" t="s">
        <v>88</v>
      </c>
      <c r="W1577" s="364" t="s">
        <v>88</v>
      </c>
      <c r="X1577" s="364" t="s">
        <v>88</v>
      </c>
      <c r="Y1577" s="364" t="s">
        <v>88</v>
      </c>
      <c r="Z1577" s="364" t="s">
        <v>672</v>
      </c>
      <c r="AA1577" s="364" t="s">
        <v>671</v>
      </c>
      <c r="AB1577" s="364" t="s">
        <v>649</v>
      </c>
      <c r="AC1577" s="364" t="s">
        <v>649</v>
      </c>
      <c r="AD1577" s="364" t="s">
        <v>649</v>
      </c>
      <c r="AE1577" s="364" t="s">
        <v>88</v>
      </c>
      <c r="AF1577" s="364" t="s">
        <v>88</v>
      </c>
      <c r="AG1577" s="364" t="s">
        <v>88</v>
      </c>
      <c r="AH1577" s="364" t="s">
        <v>88</v>
      </c>
      <c r="AI1577" s="364" t="s">
        <v>88</v>
      </c>
      <c r="AJ1577" s="364" t="s">
        <v>670</v>
      </c>
      <c r="AK1577" s="364" t="s">
        <v>669</v>
      </c>
      <c r="AL1577" s="364" t="s">
        <v>646</v>
      </c>
      <c r="AM1577" s="364" t="s">
        <v>668</v>
      </c>
      <c r="AN1577" s="364" t="s">
        <v>644</v>
      </c>
    </row>
    <row r="1578" spans="1:40" x14ac:dyDescent="0.3">
      <c r="A1578" s="364" t="s">
        <v>1084</v>
      </c>
      <c r="B1578" s="364" t="s">
        <v>661</v>
      </c>
      <c r="C1578" s="364" t="s">
        <v>677</v>
      </c>
      <c r="D1578" s="364" t="s">
        <v>170</v>
      </c>
      <c r="E1578" s="364" t="s">
        <v>685</v>
      </c>
      <c r="F1578" s="364" t="s">
        <v>685</v>
      </c>
      <c r="G1578" s="364" t="s">
        <v>658</v>
      </c>
      <c r="H1578" s="364" t="s">
        <v>684</v>
      </c>
      <c r="I1578" s="364" t="s">
        <v>1083</v>
      </c>
      <c r="J1578" s="364" t="s">
        <v>673</v>
      </c>
      <c r="K1578" s="364" t="s">
        <v>668</v>
      </c>
      <c r="L1578" s="364" t="s">
        <v>190</v>
      </c>
      <c r="M1578" s="364" t="s">
        <v>164</v>
      </c>
      <c r="N1578" s="364" t="s">
        <v>654</v>
      </c>
      <c r="O1578" s="364" t="s">
        <v>653</v>
      </c>
      <c r="P1578" s="364" t="s">
        <v>198</v>
      </c>
      <c r="Q1578" s="364" t="s">
        <v>652</v>
      </c>
      <c r="R1578" s="364" t="s">
        <v>88</v>
      </c>
      <c r="S1578" s="364" t="s">
        <v>88</v>
      </c>
      <c r="T1578" s="364" t="s">
        <v>88</v>
      </c>
      <c r="U1578" s="364" t="s">
        <v>88</v>
      </c>
      <c r="V1578" s="364" t="s">
        <v>88</v>
      </c>
      <c r="W1578" s="364" t="s">
        <v>88</v>
      </c>
      <c r="X1578" s="364" t="s">
        <v>88</v>
      </c>
      <c r="Y1578" s="364" t="s">
        <v>88</v>
      </c>
      <c r="Z1578" s="364" t="s">
        <v>825</v>
      </c>
      <c r="AA1578" s="364" t="s">
        <v>649</v>
      </c>
      <c r="AB1578" s="364" t="s">
        <v>649</v>
      </c>
      <c r="AC1578" s="364" t="s">
        <v>649</v>
      </c>
      <c r="AD1578" s="364" t="s">
        <v>88</v>
      </c>
      <c r="AE1578" s="364" t="s">
        <v>88</v>
      </c>
      <c r="AF1578" s="364" t="s">
        <v>88</v>
      </c>
      <c r="AG1578" s="364" t="s">
        <v>88</v>
      </c>
      <c r="AH1578" s="364" t="s">
        <v>88</v>
      </c>
      <c r="AI1578" s="364" t="s">
        <v>88</v>
      </c>
      <c r="AJ1578" s="364" t="s">
        <v>670</v>
      </c>
      <c r="AK1578" s="364" t="s">
        <v>687</v>
      </c>
      <c r="AL1578" s="364" t="s">
        <v>88</v>
      </c>
      <c r="AM1578" s="364" t="s">
        <v>668</v>
      </c>
      <c r="AN1578" s="364" t="s">
        <v>644</v>
      </c>
    </row>
    <row r="1579" spans="1:40" x14ac:dyDescent="0.3">
      <c r="A1579" s="364" t="s">
        <v>1082</v>
      </c>
      <c r="B1579" s="364" t="s">
        <v>661</v>
      </c>
      <c r="C1579" s="364" t="s">
        <v>796</v>
      </c>
      <c r="D1579" s="364" t="s">
        <v>87</v>
      </c>
      <c r="E1579" s="364" t="s">
        <v>804</v>
      </c>
      <c r="F1579" s="364" t="s">
        <v>998</v>
      </c>
      <c r="G1579" s="364" t="s">
        <v>658</v>
      </c>
      <c r="H1579" s="364" t="s">
        <v>1081</v>
      </c>
      <c r="I1579" s="364" t="s">
        <v>88</v>
      </c>
      <c r="J1579" s="364" t="s">
        <v>88</v>
      </c>
      <c r="K1579" s="364" t="s">
        <v>88</v>
      </c>
      <c r="L1579" s="364" t="s">
        <v>88</v>
      </c>
      <c r="M1579" s="364" t="s">
        <v>88</v>
      </c>
      <c r="N1579" s="364" t="s">
        <v>654</v>
      </c>
      <c r="O1579" s="364" t="s">
        <v>653</v>
      </c>
      <c r="P1579" s="364" t="s">
        <v>88</v>
      </c>
      <c r="Q1579" s="364" t="s">
        <v>88</v>
      </c>
      <c r="R1579" s="364" t="s">
        <v>88</v>
      </c>
      <c r="S1579" s="364" t="s">
        <v>88</v>
      </c>
      <c r="T1579" s="364" t="s">
        <v>88</v>
      </c>
      <c r="U1579" s="364" t="s">
        <v>88</v>
      </c>
      <c r="V1579" s="364" t="s">
        <v>88</v>
      </c>
      <c r="W1579" s="364" t="s">
        <v>88</v>
      </c>
      <c r="X1579" s="364" t="s">
        <v>88</v>
      </c>
      <c r="Y1579" s="364" t="s">
        <v>88</v>
      </c>
      <c r="Z1579" s="364" t="s">
        <v>88</v>
      </c>
      <c r="AA1579" s="364" t="s">
        <v>649</v>
      </c>
      <c r="AB1579" s="364" t="s">
        <v>88</v>
      </c>
      <c r="AC1579" s="364" t="s">
        <v>88</v>
      </c>
      <c r="AD1579" s="364" t="s">
        <v>88</v>
      </c>
      <c r="AE1579" s="364" t="s">
        <v>88</v>
      </c>
      <c r="AF1579" s="364" t="s">
        <v>88</v>
      </c>
      <c r="AG1579" s="364" t="s">
        <v>88</v>
      </c>
      <c r="AH1579" s="364" t="s">
        <v>88</v>
      </c>
      <c r="AI1579" s="364" t="s">
        <v>88</v>
      </c>
      <c r="AJ1579" s="364" t="s">
        <v>793</v>
      </c>
      <c r="AK1579" s="364" t="s">
        <v>88</v>
      </c>
      <c r="AL1579" s="364" t="s">
        <v>88</v>
      </c>
      <c r="AM1579" s="364" t="s">
        <v>88</v>
      </c>
      <c r="AN1579" s="364" t="s">
        <v>792</v>
      </c>
    </row>
    <row r="1580" spans="1:40" x14ac:dyDescent="0.3">
      <c r="A1580" s="364" t="s">
        <v>1080</v>
      </c>
      <c r="B1580" s="364" t="s">
        <v>661</v>
      </c>
      <c r="C1580" s="364" t="s">
        <v>677</v>
      </c>
      <c r="D1580" s="364" t="s">
        <v>87</v>
      </c>
      <c r="E1580" s="364" t="s">
        <v>1079</v>
      </c>
      <c r="F1580" s="364" t="s">
        <v>1079</v>
      </c>
      <c r="G1580" s="364" t="s">
        <v>658</v>
      </c>
      <c r="H1580" s="364" t="s">
        <v>1078</v>
      </c>
      <c r="I1580" s="364" t="s">
        <v>1077</v>
      </c>
      <c r="J1580" s="364" t="s">
        <v>673</v>
      </c>
      <c r="K1580" s="364" t="s">
        <v>668</v>
      </c>
      <c r="L1580" s="364" t="s">
        <v>190</v>
      </c>
      <c r="M1580" s="364" t="s">
        <v>59</v>
      </c>
      <c r="N1580" s="364" t="s">
        <v>654</v>
      </c>
      <c r="O1580" s="364" t="s">
        <v>653</v>
      </c>
      <c r="P1580" s="364" t="s">
        <v>198</v>
      </c>
      <c r="Q1580" s="364" t="s">
        <v>652</v>
      </c>
      <c r="R1580" s="364" t="s">
        <v>88</v>
      </c>
      <c r="S1580" s="364" t="s">
        <v>88</v>
      </c>
      <c r="T1580" s="364" t="s">
        <v>88</v>
      </c>
      <c r="U1580" s="364" t="s">
        <v>88</v>
      </c>
      <c r="V1580" s="364" t="s">
        <v>88</v>
      </c>
      <c r="W1580" s="364" t="s">
        <v>88</v>
      </c>
      <c r="X1580" s="364" t="s">
        <v>88</v>
      </c>
      <c r="Y1580" s="364" t="s">
        <v>88</v>
      </c>
      <c r="Z1580" s="364" t="s">
        <v>672</v>
      </c>
      <c r="AA1580" s="364" t="s">
        <v>671</v>
      </c>
      <c r="AB1580" s="364" t="s">
        <v>649</v>
      </c>
      <c r="AC1580" s="364" t="s">
        <v>649</v>
      </c>
      <c r="AD1580" s="364" t="s">
        <v>88</v>
      </c>
      <c r="AE1580" s="364" t="s">
        <v>88</v>
      </c>
      <c r="AF1580" s="364" t="s">
        <v>88</v>
      </c>
      <c r="AG1580" s="364" t="s">
        <v>88</v>
      </c>
      <c r="AH1580" s="364" t="s">
        <v>88</v>
      </c>
      <c r="AI1580" s="364" t="s">
        <v>88</v>
      </c>
      <c r="AJ1580" s="364" t="s">
        <v>670</v>
      </c>
      <c r="AK1580" s="364" t="s">
        <v>669</v>
      </c>
      <c r="AL1580" s="364" t="s">
        <v>88</v>
      </c>
      <c r="AM1580" s="364" t="s">
        <v>668</v>
      </c>
      <c r="AN1580" s="364" t="s">
        <v>644</v>
      </c>
    </row>
    <row r="1581" spans="1:40" x14ac:dyDescent="0.3">
      <c r="A1581" s="364" t="s">
        <v>1076</v>
      </c>
      <c r="B1581" s="364" t="s">
        <v>661</v>
      </c>
      <c r="C1581" s="364" t="s">
        <v>660</v>
      </c>
      <c r="D1581" s="364" t="s">
        <v>90</v>
      </c>
      <c r="E1581" s="364" t="s">
        <v>767</v>
      </c>
      <c r="F1581" s="364" t="s">
        <v>767</v>
      </c>
      <c r="G1581" s="364" t="s">
        <v>658</v>
      </c>
      <c r="H1581" s="364" t="s">
        <v>891</v>
      </c>
      <c r="I1581" s="364" t="s">
        <v>814</v>
      </c>
      <c r="J1581" s="364" t="s">
        <v>198</v>
      </c>
      <c r="K1581" s="364" t="s">
        <v>645</v>
      </c>
      <c r="L1581" s="364" t="s">
        <v>188</v>
      </c>
      <c r="M1581" s="364" t="s">
        <v>655</v>
      </c>
      <c r="N1581" s="364" t="s">
        <v>654</v>
      </c>
      <c r="O1581" s="364" t="s">
        <v>653</v>
      </c>
      <c r="P1581" s="364" t="s">
        <v>198</v>
      </c>
      <c r="Q1581" s="364" t="s">
        <v>652</v>
      </c>
      <c r="R1581" s="364" t="s">
        <v>88</v>
      </c>
      <c r="S1581" s="364" t="s">
        <v>88</v>
      </c>
      <c r="T1581" s="364" t="s">
        <v>88</v>
      </c>
      <c r="U1581" s="364" t="s">
        <v>88</v>
      </c>
      <c r="V1581" s="364" t="s">
        <v>88</v>
      </c>
      <c r="W1581" s="364" t="s">
        <v>88</v>
      </c>
      <c r="X1581" s="364" t="s">
        <v>88</v>
      </c>
      <c r="Y1581" s="364" t="s">
        <v>88</v>
      </c>
      <c r="Z1581" s="364" t="s">
        <v>651</v>
      </c>
      <c r="AA1581" s="364" t="s">
        <v>650</v>
      </c>
      <c r="AB1581" s="364" t="s">
        <v>649</v>
      </c>
      <c r="AC1581" s="364" t="s">
        <v>649</v>
      </c>
      <c r="AD1581" s="364" t="s">
        <v>649</v>
      </c>
      <c r="AE1581" s="364" t="s">
        <v>88</v>
      </c>
      <c r="AF1581" s="364" t="s">
        <v>88</v>
      </c>
      <c r="AG1581" s="364" t="s">
        <v>88</v>
      </c>
      <c r="AH1581" s="364" t="s">
        <v>88</v>
      </c>
      <c r="AI1581" s="364" t="s">
        <v>88</v>
      </c>
      <c r="AJ1581" s="364" t="s">
        <v>648</v>
      </c>
      <c r="AK1581" s="364" t="s">
        <v>647</v>
      </c>
      <c r="AL1581" s="364" t="s">
        <v>646</v>
      </c>
      <c r="AM1581" s="364" t="s">
        <v>645</v>
      </c>
      <c r="AN1581" s="364" t="s">
        <v>644</v>
      </c>
    </row>
    <row r="1582" spans="1:40" x14ac:dyDescent="0.3">
      <c r="A1582" s="364" t="s">
        <v>1075</v>
      </c>
      <c r="B1582" s="364" t="s">
        <v>661</v>
      </c>
      <c r="C1582" s="364" t="s">
        <v>660</v>
      </c>
      <c r="D1582" s="364" t="s">
        <v>87</v>
      </c>
      <c r="E1582" s="364" t="s">
        <v>967</v>
      </c>
      <c r="F1582" s="364" t="s">
        <v>967</v>
      </c>
      <c r="G1582" s="364" t="s">
        <v>658</v>
      </c>
      <c r="H1582" s="364" t="s">
        <v>985</v>
      </c>
      <c r="I1582" s="364" t="s">
        <v>1074</v>
      </c>
      <c r="J1582" s="364" t="s">
        <v>673</v>
      </c>
      <c r="K1582" s="364" t="s">
        <v>668</v>
      </c>
      <c r="L1582" s="364" t="s">
        <v>190</v>
      </c>
      <c r="M1582" s="364" t="s">
        <v>62</v>
      </c>
      <c r="N1582" s="364" t="s">
        <v>654</v>
      </c>
      <c r="O1582" s="364" t="s">
        <v>653</v>
      </c>
      <c r="P1582" s="364" t="s">
        <v>198</v>
      </c>
      <c r="Q1582" s="364" t="s">
        <v>652</v>
      </c>
      <c r="R1582" s="364" t="s">
        <v>88</v>
      </c>
      <c r="S1582" s="364" t="s">
        <v>88</v>
      </c>
      <c r="T1582" s="364" t="s">
        <v>88</v>
      </c>
      <c r="U1582" s="364" t="s">
        <v>88</v>
      </c>
      <c r="V1582" s="364" t="s">
        <v>88</v>
      </c>
      <c r="W1582" s="364" t="s">
        <v>88</v>
      </c>
      <c r="X1582" s="364" t="s">
        <v>88</v>
      </c>
      <c r="Y1582" s="364" t="s">
        <v>88</v>
      </c>
      <c r="Z1582" s="364" t="s">
        <v>689</v>
      </c>
      <c r="AA1582" s="364" t="s">
        <v>688</v>
      </c>
      <c r="AB1582" s="364" t="s">
        <v>649</v>
      </c>
      <c r="AC1582" s="364" t="s">
        <v>649</v>
      </c>
      <c r="AD1582" s="364" t="s">
        <v>649</v>
      </c>
      <c r="AE1582" s="364" t="s">
        <v>88</v>
      </c>
      <c r="AF1582" s="364" t="s">
        <v>88</v>
      </c>
      <c r="AG1582" s="364" t="s">
        <v>88</v>
      </c>
      <c r="AH1582" s="364" t="s">
        <v>88</v>
      </c>
      <c r="AI1582" s="364" t="s">
        <v>88</v>
      </c>
      <c r="AJ1582" s="364" t="s">
        <v>670</v>
      </c>
      <c r="AK1582" s="364" t="s">
        <v>687</v>
      </c>
      <c r="AL1582" s="364" t="s">
        <v>646</v>
      </c>
      <c r="AM1582" s="364" t="s">
        <v>668</v>
      </c>
      <c r="AN1582" s="364" t="s">
        <v>644</v>
      </c>
    </row>
    <row r="1583" spans="1:40" x14ac:dyDescent="0.3">
      <c r="A1583" s="364" t="s">
        <v>1073</v>
      </c>
      <c r="B1583" s="364" t="s">
        <v>661</v>
      </c>
      <c r="C1583" s="364" t="s">
        <v>660</v>
      </c>
      <c r="D1583" s="364" t="s">
        <v>87</v>
      </c>
      <c r="E1583" s="364" t="s">
        <v>816</v>
      </c>
      <c r="F1583" s="364" t="s">
        <v>816</v>
      </c>
      <c r="G1583" s="364" t="s">
        <v>658</v>
      </c>
      <c r="H1583" s="364" t="s">
        <v>1072</v>
      </c>
      <c r="I1583" s="364" t="s">
        <v>1071</v>
      </c>
      <c r="J1583" s="364" t="s">
        <v>198</v>
      </c>
      <c r="K1583" s="364" t="s">
        <v>645</v>
      </c>
      <c r="L1583" s="364" t="s">
        <v>188</v>
      </c>
      <c r="M1583" s="364" t="s">
        <v>696</v>
      </c>
      <c r="N1583" s="364" t="s">
        <v>654</v>
      </c>
      <c r="O1583" s="364" t="s">
        <v>653</v>
      </c>
      <c r="P1583" s="364" t="s">
        <v>198</v>
      </c>
      <c r="Q1583" s="364" t="s">
        <v>652</v>
      </c>
      <c r="R1583" s="364" t="s">
        <v>88</v>
      </c>
      <c r="S1583" s="364" t="s">
        <v>88</v>
      </c>
      <c r="T1583" s="364" t="s">
        <v>88</v>
      </c>
      <c r="U1583" s="364" t="s">
        <v>88</v>
      </c>
      <c r="V1583" s="364" t="s">
        <v>88</v>
      </c>
      <c r="W1583" s="364" t="s">
        <v>88</v>
      </c>
      <c r="X1583" s="364" t="s">
        <v>88</v>
      </c>
      <c r="Y1583" s="364" t="s">
        <v>88</v>
      </c>
      <c r="Z1583" s="364" t="s">
        <v>695</v>
      </c>
      <c r="AA1583" s="364" t="s">
        <v>694</v>
      </c>
      <c r="AB1583" s="364" t="s">
        <v>649</v>
      </c>
      <c r="AC1583" s="364" t="s">
        <v>649</v>
      </c>
      <c r="AD1583" s="364" t="s">
        <v>649</v>
      </c>
      <c r="AE1583" s="364" t="s">
        <v>88</v>
      </c>
      <c r="AF1583" s="364" t="s">
        <v>88</v>
      </c>
      <c r="AG1583" s="364" t="s">
        <v>88</v>
      </c>
      <c r="AH1583" s="364" t="s">
        <v>88</v>
      </c>
      <c r="AI1583" s="364" t="s">
        <v>88</v>
      </c>
      <c r="AJ1583" s="364" t="s">
        <v>670</v>
      </c>
      <c r="AK1583" s="364" t="s">
        <v>669</v>
      </c>
      <c r="AL1583" s="364" t="s">
        <v>646</v>
      </c>
      <c r="AM1583" s="364" t="s">
        <v>645</v>
      </c>
      <c r="AN1583" s="364" t="s">
        <v>644</v>
      </c>
    </row>
    <row r="1584" spans="1:40" x14ac:dyDescent="0.3">
      <c r="A1584" s="364" t="s">
        <v>1070</v>
      </c>
      <c r="B1584" s="364" t="s">
        <v>661</v>
      </c>
      <c r="C1584" s="364" t="s">
        <v>660</v>
      </c>
      <c r="D1584" s="364" t="s">
        <v>87</v>
      </c>
      <c r="E1584" s="364" t="s">
        <v>752</v>
      </c>
      <c r="F1584" s="364" t="s">
        <v>752</v>
      </c>
      <c r="G1584" s="364" t="s">
        <v>658</v>
      </c>
      <c r="H1584" s="364" t="s">
        <v>680</v>
      </c>
      <c r="I1584" s="364" t="s">
        <v>751</v>
      </c>
      <c r="J1584" s="364" t="s">
        <v>673</v>
      </c>
      <c r="K1584" s="364" t="s">
        <v>668</v>
      </c>
      <c r="L1584" s="364" t="s">
        <v>190</v>
      </c>
      <c r="M1584" s="364" t="s">
        <v>59</v>
      </c>
      <c r="N1584" s="364" t="s">
        <v>654</v>
      </c>
      <c r="O1584" s="364" t="s">
        <v>653</v>
      </c>
      <c r="P1584" s="364" t="s">
        <v>198</v>
      </c>
      <c r="Q1584" s="364" t="s">
        <v>652</v>
      </c>
      <c r="R1584" s="364" t="s">
        <v>88</v>
      </c>
      <c r="S1584" s="364" t="s">
        <v>88</v>
      </c>
      <c r="T1584" s="364" t="s">
        <v>88</v>
      </c>
      <c r="U1584" s="364" t="s">
        <v>88</v>
      </c>
      <c r="V1584" s="364" t="s">
        <v>88</v>
      </c>
      <c r="W1584" s="364" t="s">
        <v>88</v>
      </c>
      <c r="X1584" s="364" t="s">
        <v>88</v>
      </c>
      <c r="Y1584" s="364" t="s">
        <v>88</v>
      </c>
      <c r="Z1584" s="364" t="s">
        <v>672</v>
      </c>
      <c r="AA1584" s="364" t="s">
        <v>671</v>
      </c>
      <c r="AB1584" s="364" t="s">
        <v>649</v>
      </c>
      <c r="AC1584" s="364" t="s">
        <v>649</v>
      </c>
      <c r="AD1584" s="364" t="s">
        <v>649</v>
      </c>
      <c r="AE1584" s="364" t="s">
        <v>88</v>
      </c>
      <c r="AF1584" s="364" t="s">
        <v>88</v>
      </c>
      <c r="AG1584" s="364" t="s">
        <v>88</v>
      </c>
      <c r="AH1584" s="364" t="s">
        <v>88</v>
      </c>
      <c r="AI1584" s="364" t="s">
        <v>88</v>
      </c>
      <c r="AJ1584" s="364" t="s">
        <v>670</v>
      </c>
      <c r="AK1584" s="364" t="s">
        <v>669</v>
      </c>
      <c r="AL1584" s="364" t="s">
        <v>646</v>
      </c>
      <c r="AM1584" s="364" t="s">
        <v>668</v>
      </c>
      <c r="AN1584" s="364" t="s">
        <v>644</v>
      </c>
    </row>
    <row r="1585" spans="1:40" x14ac:dyDescent="0.3">
      <c r="A1585" s="364" t="s">
        <v>1069</v>
      </c>
      <c r="B1585" s="364" t="s">
        <v>661</v>
      </c>
      <c r="C1585" s="364" t="s">
        <v>677</v>
      </c>
      <c r="D1585" s="364" t="s">
        <v>87</v>
      </c>
      <c r="E1585" s="364" t="s">
        <v>1068</v>
      </c>
      <c r="F1585" s="364" t="s">
        <v>1068</v>
      </c>
      <c r="G1585" s="364" t="s">
        <v>658</v>
      </c>
      <c r="H1585" s="364" t="s">
        <v>992</v>
      </c>
      <c r="I1585" s="364" t="s">
        <v>1067</v>
      </c>
      <c r="J1585" s="364" t="s">
        <v>673</v>
      </c>
      <c r="K1585" s="364" t="s">
        <v>668</v>
      </c>
      <c r="L1585" s="364" t="s">
        <v>190</v>
      </c>
      <c r="M1585" s="364" t="s">
        <v>58</v>
      </c>
      <c r="N1585" s="364" t="s">
        <v>654</v>
      </c>
      <c r="O1585" s="364" t="s">
        <v>653</v>
      </c>
      <c r="P1585" s="364" t="s">
        <v>198</v>
      </c>
      <c r="Q1585" s="364" t="s">
        <v>652</v>
      </c>
      <c r="R1585" s="364" t="s">
        <v>88</v>
      </c>
      <c r="S1585" s="364" t="s">
        <v>88</v>
      </c>
      <c r="T1585" s="364" t="s">
        <v>88</v>
      </c>
      <c r="U1585" s="364" t="s">
        <v>88</v>
      </c>
      <c r="V1585" s="364" t="s">
        <v>88</v>
      </c>
      <c r="W1585" s="364" t="s">
        <v>88</v>
      </c>
      <c r="X1585" s="364" t="s">
        <v>88</v>
      </c>
      <c r="Y1585" s="364" t="s">
        <v>88</v>
      </c>
      <c r="Z1585" s="364" t="s">
        <v>702</v>
      </c>
      <c r="AA1585" s="364" t="s">
        <v>701</v>
      </c>
      <c r="AB1585" s="364" t="s">
        <v>649</v>
      </c>
      <c r="AC1585" s="364" t="s">
        <v>649</v>
      </c>
      <c r="AD1585" s="364" t="s">
        <v>88</v>
      </c>
      <c r="AE1585" s="364" t="s">
        <v>88</v>
      </c>
      <c r="AF1585" s="364" t="s">
        <v>88</v>
      </c>
      <c r="AG1585" s="364" t="s">
        <v>88</v>
      </c>
      <c r="AH1585" s="364" t="s">
        <v>88</v>
      </c>
      <c r="AI1585" s="364" t="s">
        <v>88</v>
      </c>
      <c r="AJ1585" s="364" t="s">
        <v>670</v>
      </c>
      <c r="AK1585" s="364" t="s">
        <v>669</v>
      </c>
      <c r="AL1585" s="364" t="s">
        <v>88</v>
      </c>
      <c r="AM1585" s="364" t="s">
        <v>668</v>
      </c>
      <c r="AN1585" s="364" t="s">
        <v>644</v>
      </c>
    </row>
    <row r="1586" spans="1:40" x14ac:dyDescent="0.3">
      <c r="A1586" s="364" t="s">
        <v>1069</v>
      </c>
      <c r="B1586" s="364" t="s">
        <v>661</v>
      </c>
      <c r="C1586" s="364" t="s">
        <v>677</v>
      </c>
      <c r="D1586" s="364" t="s">
        <v>87</v>
      </c>
      <c r="E1586" s="364" t="s">
        <v>1068</v>
      </c>
      <c r="F1586" s="364" t="s">
        <v>1068</v>
      </c>
      <c r="G1586" s="364" t="s">
        <v>658</v>
      </c>
      <c r="H1586" s="364" t="s">
        <v>992</v>
      </c>
      <c r="I1586" s="364" t="s">
        <v>1067</v>
      </c>
      <c r="J1586" s="364" t="s">
        <v>673</v>
      </c>
      <c r="K1586" s="364" t="s">
        <v>668</v>
      </c>
      <c r="L1586" s="364" t="s">
        <v>190</v>
      </c>
      <c r="M1586" s="364" t="s">
        <v>166</v>
      </c>
      <c r="N1586" s="364" t="s">
        <v>654</v>
      </c>
      <c r="O1586" s="364" t="s">
        <v>653</v>
      </c>
      <c r="P1586" s="364" t="s">
        <v>198</v>
      </c>
      <c r="Q1586" s="364" t="s">
        <v>652</v>
      </c>
      <c r="R1586" s="364" t="s">
        <v>88</v>
      </c>
      <c r="S1586" s="364" t="s">
        <v>88</v>
      </c>
      <c r="T1586" s="364" t="s">
        <v>88</v>
      </c>
      <c r="U1586" s="364" t="s">
        <v>88</v>
      </c>
      <c r="V1586" s="364" t="s">
        <v>88</v>
      </c>
      <c r="W1586" s="364" t="s">
        <v>88</v>
      </c>
      <c r="X1586" s="364" t="s">
        <v>88</v>
      </c>
      <c r="Y1586" s="364" t="s">
        <v>88</v>
      </c>
      <c r="Z1586" s="364" t="s">
        <v>877</v>
      </c>
      <c r="AA1586" s="364" t="s">
        <v>876</v>
      </c>
      <c r="AB1586" s="364" t="s">
        <v>649</v>
      </c>
      <c r="AC1586" s="364" t="s">
        <v>649</v>
      </c>
      <c r="AD1586" s="364" t="s">
        <v>88</v>
      </c>
      <c r="AE1586" s="364" t="s">
        <v>88</v>
      </c>
      <c r="AF1586" s="364" t="s">
        <v>88</v>
      </c>
      <c r="AG1586" s="364" t="s">
        <v>88</v>
      </c>
      <c r="AH1586" s="364" t="s">
        <v>88</v>
      </c>
      <c r="AI1586" s="364" t="s">
        <v>88</v>
      </c>
      <c r="AJ1586" s="364" t="s">
        <v>670</v>
      </c>
      <c r="AK1586" s="364" t="s">
        <v>669</v>
      </c>
      <c r="AL1586" s="364" t="s">
        <v>88</v>
      </c>
      <c r="AM1586" s="364" t="s">
        <v>668</v>
      </c>
      <c r="AN1586" s="364" t="s">
        <v>644</v>
      </c>
    </row>
    <row r="1587" spans="1:40" x14ac:dyDescent="0.3">
      <c r="A1587" s="364" t="s">
        <v>1066</v>
      </c>
      <c r="B1587" s="364" t="s">
        <v>661</v>
      </c>
      <c r="C1587" s="364" t="s">
        <v>660</v>
      </c>
      <c r="D1587" s="364" t="s">
        <v>87</v>
      </c>
      <c r="E1587" s="364" t="s">
        <v>790</v>
      </c>
      <c r="F1587" s="364" t="s">
        <v>790</v>
      </c>
      <c r="G1587" s="364" t="s">
        <v>658</v>
      </c>
      <c r="H1587" s="364" t="s">
        <v>735</v>
      </c>
      <c r="I1587" s="364" t="s">
        <v>788</v>
      </c>
      <c r="J1587" s="364" t="s">
        <v>198</v>
      </c>
      <c r="K1587" s="364" t="s">
        <v>645</v>
      </c>
      <c r="L1587" s="364" t="s">
        <v>188</v>
      </c>
      <c r="M1587" s="364" t="s">
        <v>696</v>
      </c>
      <c r="N1587" s="364" t="s">
        <v>654</v>
      </c>
      <c r="O1587" s="364" t="s">
        <v>653</v>
      </c>
      <c r="P1587" s="364" t="s">
        <v>198</v>
      </c>
      <c r="Q1587" s="364" t="s">
        <v>652</v>
      </c>
      <c r="R1587" s="364" t="s">
        <v>88</v>
      </c>
      <c r="S1587" s="364" t="s">
        <v>88</v>
      </c>
      <c r="T1587" s="364" t="s">
        <v>88</v>
      </c>
      <c r="U1587" s="364" t="s">
        <v>88</v>
      </c>
      <c r="V1587" s="364" t="s">
        <v>88</v>
      </c>
      <c r="W1587" s="364" t="s">
        <v>88</v>
      </c>
      <c r="X1587" s="364" t="s">
        <v>88</v>
      </c>
      <c r="Y1587" s="364" t="s">
        <v>88</v>
      </c>
      <c r="Z1587" s="364" t="s">
        <v>695</v>
      </c>
      <c r="AA1587" s="364" t="s">
        <v>694</v>
      </c>
      <c r="AB1587" s="364" t="s">
        <v>649</v>
      </c>
      <c r="AC1587" s="364" t="s">
        <v>649</v>
      </c>
      <c r="AD1587" s="364" t="s">
        <v>649</v>
      </c>
      <c r="AE1587" s="364" t="s">
        <v>88</v>
      </c>
      <c r="AF1587" s="364" t="s">
        <v>88</v>
      </c>
      <c r="AG1587" s="364" t="s">
        <v>88</v>
      </c>
      <c r="AH1587" s="364" t="s">
        <v>88</v>
      </c>
      <c r="AI1587" s="364" t="s">
        <v>88</v>
      </c>
      <c r="AJ1587" s="364" t="s">
        <v>648</v>
      </c>
      <c r="AK1587" s="364" t="s">
        <v>669</v>
      </c>
      <c r="AL1587" s="364" t="s">
        <v>646</v>
      </c>
      <c r="AM1587" s="364" t="s">
        <v>645</v>
      </c>
      <c r="AN1587" s="364" t="s">
        <v>644</v>
      </c>
    </row>
    <row r="1588" spans="1:40" x14ac:dyDescent="0.3">
      <c r="A1588" s="364" t="s">
        <v>1065</v>
      </c>
      <c r="B1588" s="364" t="s">
        <v>661</v>
      </c>
      <c r="C1588" s="364" t="s">
        <v>677</v>
      </c>
      <c r="D1588" s="364" t="s">
        <v>87</v>
      </c>
      <c r="E1588" s="364" t="s">
        <v>685</v>
      </c>
      <c r="F1588" s="364" t="s">
        <v>685</v>
      </c>
      <c r="G1588" s="364" t="s">
        <v>658</v>
      </c>
      <c r="H1588" s="364" t="s">
        <v>684</v>
      </c>
      <c r="I1588" s="364" t="s">
        <v>683</v>
      </c>
      <c r="J1588" s="364" t="s">
        <v>673</v>
      </c>
      <c r="K1588" s="364" t="s">
        <v>668</v>
      </c>
      <c r="L1588" s="364" t="s">
        <v>190</v>
      </c>
      <c r="M1588" s="364" t="s">
        <v>58</v>
      </c>
      <c r="N1588" s="364" t="s">
        <v>654</v>
      </c>
      <c r="O1588" s="364" t="s">
        <v>653</v>
      </c>
      <c r="P1588" s="364" t="s">
        <v>198</v>
      </c>
      <c r="Q1588" s="364" t="s">
        <v>652</v>
      </c>
      <c r="R1588" s="364" t="s">
        <v>88</v>
      </c>
      <c r="S1588" s="364" t="s">
        <v>88</v>
      </c>
      <c r="T1588" s="364" t="s">
        <v>88</v>
      </c>
      <c r="U1588" s="364" t="s">
        <v>88</v>
      </c>
      <c r="V1588" s="364" t="s">
        <v>88</v>
      </c>
      <c r="W1588" s="364" t="s">
        <v>88</v>
      </c>
      <c r="X1588" s="364" t="s">
        <v>88</v>
      </c>
      <c r="Y1588" s="364" t="s">
        <v>88</v>
      </c>
      <c r="Z1588" s="364" t="s">
        <v>702</v>
      </c>
      <c r="AA1588" s="364" t="s">
        <v>701</v>
      </c>
      <c r="AB1588" s="364" t="s">
        <v>649</v>
      </c>
      <c r="AC1588" s="364" t="s">
        <v>649</v>
      </c>
      <c r="AD1588" s="364" t="s">
        <v>88</v>
      </c>
      <c r="AE1588" s="364" t="s">
        <v>88</v>
      </c>
      <c r="AF1588" s="364" t="s">
        <v>88</v>
      </c>
      <c r="AG1588" s="364" t="s">
        <v>88</v>
      </c>
      <c r="AH1588" s="364" t="s">
        <v>88</v>
      </c>
      <c r="AI1588" s="364" t="s">
        <v>88</v>
      </c>
      <c r="AJ1588" s="364" t="s">
        <v>670</v>
      </c>
      <c r="AK1588" s="364" t="s">
        <v>669</v>
      </c>
      <c r="AL1588" s="364" t="s">
        <v>88</v>
      </c>
      <c r="AM1588" s="364" t="s">
        <v>668</v>
      </c>
      <c r="AN1588" s="364" t="s">
        <v>644</v>
      </c>
    </row>
    <row r="1589" spans="1:40" x14ac:dyDescent="0.3">
      <c r="A1589" s="364" t="s">
        <v>1065</v>
      </c>
      <c r="B1589" s="364" t="s">
        <v>661</v>
      </c>
      <c r="C1589" s="364" t="s">
        <v>677</v>
      </c>
      <c r="D1589" s="364" t="s">
        <v>87</v>
      </c>
      <c r="E1589" s="364" t="s">
        <v>685</v>
      </c>
      <c r="F1589" s="364" t="s">
        <v>685</v>
      </c>
      <c r="G1589" s="364" t="s">
        <v>658</v>
      </c>
      <c r="H1589" s="364" t="s">
        <v>684</v>
      </c>
      <c r="I1589" s="364" t="s">
        <v>683</v>
      </c>
      <c r="J1589" s="364" t="s">
        <v>673</v>
      </c>
      <c r="K1589" s="364" t="s">
        <v>668</v>
      </c>
      <c r="L1589" s="364" t="s">
        <v>190</v>
      </c>
      <c r="M1589" s="364" t="s">
        <v>166</v>
      </c>
      <c r="N1589" s="364" t="s">
        <v>654</v>
      </c>
      <c r="O1589" s="364" t="s">
        <v>653</v>
      </c>
      <c r="P1589" s="364" t="s">
        <v>198</v>
      </c>
      <c r="Q1589" s="364" t="s">
        <v>652</v>
      </c>
      <c r="R1589" s="364" t="s">
        <v>88</v>
      </c>
      <c r="S1589" s="364" t="s">
        <v>88</v>
      </c>
      <c r="T1589" s="364" t="s">
        <v>88</v>
      </c>
      <c r="U1589" s="364" t="s">
        <v>88</v>
      </c>
      <c r="V1589" s="364" t="s">
        <v>88</v>
      </c>
      <c r="W1589" s="364" t="s">
        <v>88</v>
      </c>
      <c r="X1589" s="364" t="s">
        <v>88</v>
      </c>
      <c r="Y1589" s="364" t="s">
        <v>88</v>
      </c>
      <c r="Z1589" s="364" t="s">
        <v>877</v>
      </c>
      <c r="AA1589" s="364" t="s">
        <v>876</v>
      </c>
      <c r="AB1589" s="364" t="s">
        <v>649</v>
      </c>
      <c r="AC1589" s="364" t="s">
        <v>649</v>
      </c>
      <c r="AD1589" s="364" t="s">
        <v>88</v>
      </c>
      <c r="AE1589" s="364" t="s">
        <v>88</v>
      </c>
      <c r="AF1589" s="364" t="s">
        <v>88</v>
      </c>
      <c r="AG1589" s="364" t="s">
        <v>88</v>
      </c>
      <c r="AH1589" s="364" t="s">
        <v>88</v>
      </c>
      <c r="AI1589" s="364" t="s">
        <v>88</v>
      </c>
      <c r="AJ1589" s="364" t="s">
        <v>670</v>
      </c>
      <c r="AK1589" s="364" t="s">
        <v>669</v>
      </c>
      <c r="AL1589" s="364" t="s">
        <v>88</v>
      </c>
      <c r="AM1589" s="364" t="s">
        <v>668</v>
      </c>
      <c r="AN1589" s="364" t="s">
        <v>644</v>
      </c>
    </row>
    <row r="1590" spans="1:40" x14ac:dyDescent="0.3">
      <c r="A1590" s="364" t="s">
        <v>1064</v>
      </c>
      <c r="B1590" s="364" t="s">
        <v>661</v>
      </c>
      <c r="C1590" s="364" t="s">
        <v>660</v>
      </c>
      <c r="D1590" s="364" t="s">
        <v>90</v>
      </c>
      <c r="E1590" s="364" t="s">
        <v>790</v>
      </c>
      <c r="F1590" s="364" t="s">
        <v>790</v>
      </c>
      <c r="G1590" s="364" t="s">
        <v>658</v>
      </c>
      <c r="H1590" s="364" t="s">
        <v>836</v>
      </c>
      <c r="I1590" s="364" t="s">
        <v>1063</v>
      </c>
      <c r="J1590" s="364" t="s">
        <v>673</v>
      </c>
      <c r="K1590" s="364" t="s">
        <v>668</v>
      </c>
      <c r="L1590" s="364" t="s">
        <v>190</v>
      </c>
      <c r="M1590" s="364" t="s">
        <v>725</v>
      </c>
      <c r="N1590" s="364" t="s">
        <v>654</v>
      </c>
      <c r="O1590" s="364" t="s">
        <v>653</v>
      </c>
      <c r="P1590" s="364" t="s">
        <v>198</v>
      </c>
      <c r="Q1590" s="364" t="s">
        <v>652</v>
      </c>
      <c r="R1590" s="364" t="s">
        <v>88</v>
      </c>
      <c r="S1590" s="364" t="s">
        <v>88</v>
      </c>
      <c r="T1590" s="364" t="s">
        <v>88</v>
      </c>
      <c r="U1590" s="364" t="s">
        <v>88</v>
      </c>
      <c r="V1590" s="364" t="s">
        <v>88</v>
      </c>
      <c r="W1590" s="364" t="s">
        <v>88</v>
      </c>
      <c r="X1590" s="364" t="s">
        <v>88</v>
      </c>
      <c r="Y1590" s="364" t="s">
        <v>88</v>
      </c>
      <c r="Z1590" s="364" t="s">
        <v>724</v>
      </c>
      <c r="AA1590" s="364" t="s">
        <v>649</v>
      </c>
      <c r="AB1590" s="364" t="s">
        <v>649</v>
      </c>
      <c r="AC1590" s="364" t="s">
        <v>649</v>
      </c>
      <c r="AD1590" s="364" t="s">
        <v>649</v>
      </c>
      <c r="AE1590" s="364" t="s">
        <v>88</v>
      </c>
      <c r="AF1590" s="364" t="s">
        <v>88</v>
      </c>
      <c r="AG1590" s="364" t="s">
        <v>88</v>
      </c>
      <c r="AH1590" s="364" t="s">
        <v>88</v>
      </c>
      <c r="AI1590" s="364" t="s">
        <v>88</v>
      </c>
      <c r="AJ1590" s="364" t="s">
        <v>710</v>
      </c>
      <c r="AK1590" s="364" t="s">
        <v>647</v>
      </c>
      <c r="AL1590" s="364" t="s">
        <v>646</v>
      </c>
      <c r="AM1590" s="364" t="s">
        <v>668</v>
      </c>
      <c r="AN1590" s="364" t="s">
        <v>644</v>
      </c>
    </row>
    <row r="1591" spans="1:40" x14ac:dyDescent="0.3">
      <c r="A1591" s="364" t="s">
        <v>1064</v>
      </c>
      <c r="B1591" s="364" t="s">
        <v>661</v>
      </c>
      <c r="C1591" s="364" t="s">
        <v>660</v>
      </c>
      <c r="D1591" s="364" t="s">
        <v>90</v>
      </c>
      <c r="E1591" s="364" t="s">
        <v>790</v>
      </c>
      <c r="F1591" s="364" t="s">
        <v>790</v>
      </c>
      <c r="G1591" s="364" t="s">
        <v>658</v>
      </c>
      <c r="H1591" s="364" t="s">
        <v>836</v>
      </c>
      <c r="I1591" s="364" t="s">
        <v>1063</v>
      </c>
      <c r="J1591" s="364" t="s">
        <v>673</v>
      </c>
      <c r="K1591" s="364" t="s">
        <v>668</v>
      </c>
      <c r="L1591" s="364" t="s">
        <v>190</v>
      </c>
      <c r="M1591" s="364" t="s">
        <v>723</v>
      </c>
      <c r="N1591" s="364" t="s">
        <v>654</v>
      </c>
      <c r="O1591" s="364" t="s">
        <v>653</v>
      </c>
      <c r="P1591" s="364" t="s">
        <v>198</v>
      </c>
      <c r="Q1591" s="364" t="s">
        <v>652</v>
      </c>
      <c r="R1591" s="364" t="s">
        <v>88</v>
      </c>
      <c r="S1591" s="364" t="s">
        <v>88</v>
      </c>
      <c r="T1591" s="364" t="s">
        <v>88</v>
      </c>
      <c r="U1591" s="364" t="s">
        <v>88</v>
      </c>
      <c r="V1591" s="364" t="s">
        <v>88</v>
      </c>
      <c r="W1591" s="364" t="s">
        <v>88</v>
      </c>
      <c r="X1591" s="364" t="s">
        <v>88</v>
      </c>
      <c r="Y1591" s="364" t="s">
        <v>88</v>
      </c>
      <c r="Z1591" s="364" t="s">
        <v>722</v>
      </c>
      <c r="AA1591" s="364" t="s">
        <v>649</v>
      </c>
      <c r="AB1591" s="364" t="s">
        <v>649</v>
      </c>
      <c r="AC1591" s="364" t="s">
        <v>649</v>
      </c>
      <c r="AD1591" s="364" t="s">
        <v>649</v>
      </c>
      <c r="AE1591" s="364" t="s">
        <v>88</v>
      </c>
      <c r="AF1591" s="364" t="s">
        <v>88</v>
      </c>
      <c r="AG1591" s="364" t="s">
        <v>88</v>
      </c>
      <c r="AH1591" s="364" t="s">
        <v>88</v>
      </c>
      <c r="AI1591" s="364" t="s">
        <v>88</v>
      </c>
      <c r="AJ1591" s="364" t="s">
        <v>710</v>
      </c>
      <c r="AK1591" s="364" t="s">
        <v>647</v>
      </c>
      <c r="AL1591" s="364" t="s">
        <v>646</v>
      </c>
      <c r="AM1591" s="364" t="s">
        <v>668</v>
      </c>
      <c r="AN1591" s="364" t="s">
        <v>644</v>
      </c>
    </row>
    <row r="1592" spans="1:40" x14ac:dyDescent="0.3">
      <c r="A1592" s="364" t="s">
        <v>1064</v>
      </c>
      <c r="B1592" s="364" t="s">
        <v>661</v>
      </c>
      <c r="C1592" s="364" t="s">
        <v>660</v>
      </c>
      <c r="D1592" s="364" t="s">
        <v>90</v>
      </c>
      <c r="E1592" s="364" t="s">
        <v>790</v>
      </c>
      <c r="F1592" s="364" t="s">
        <v>790</v>
      </c>
      <c r="G1592" s="364" t="s">
        <v>658</v>
      </c>
      <c r="H1592" s="364" t="s">
        <v>836</v>
      </c>
      <c r="I1592" s="364" t="s">
        <v>1063</v>
      </c>
      <c r="J1592" s="364" t="s">
        <v>673</v>
      </c>
      <c r="K1592" s="364" t="s">
        <v>668</v>
      </c>
      <c r="L1592" s="364" t="s">
        <v>190</v>
      </c>
      <c r="M1592" s="364" t="s">
        <v>721</v>
      </c>
      <c r="N1592" s="364" t="s">
        <v>654</v>
      </c>
      <c r="O1592" s="364" t="s">
        <v>653</v>
      </c>
      <c r="P1592" s="364" t="s">
        <v>198</v>
      </c>
      <c r="Q1592" s="364" t="s">
        <v>652</v>
      </c>
      <c r="R1592" s="364" t="s">
        <v>88</v>
      </c>
      <c r="S1592" s="364" t="s">
        <v>88</v>
      </c>
      <c r="T1592" s="364" t="s">
        <v>88</v>
      </c>
      <c r="U1592" s="364" t="s">
        <v>88</v>
      </c>
      <c r="V1592" s="364" t="s">
        <v>88</v>
      </c>
      <c r="W1592" s="364" t="s">
        <v>88</v>
      </c>
      <c r="X1592" s="364" t="s">
        <v>88</v>
      </c>
      <c r="Y1592" s="364" t="s">
        <v>88</v>
      </c>
      <c r="Z1592" s="364" t="s">
        <v>720</v>
      </c>
      <c r="AA1592" s="364" t="s">
        <v>649</v>
      </c>
      <c r="AB1592" s="364" t="s">
        <v>649</v>
      </c>
      <c r="AC1592" s="364" t="s">
        <v>649</v>
      </c>
      <c r="AD1592" s="364" t="s">
        <v>649</v>
      </c>
      <c r="AE1592" s="364" t="s">
        <v>88</v>
      </c>
      <c r="AF1592" s="364" t="s">
        <v>88</v>
      </c>
      <c r="AG1592" s="364" t="s">
        <v>88</v>
      </c>
      <c r="AH1592" s="364" t="s">
        <v>88</v>
      </c>
      <c r="AI1592" s="364" t="s">
        <v>88</v>
      </c>
      <c r="AJ1592" s="364" t="s">
        <v>710</v>
      </c>
      <c r="AK1592" s="364" t="s">
        <v>647</v>
      </c>
      <c r="AL1592" s="364" t="s">
        <v>646</v>
      </c>
      <c r="AM1592" s="364" t="s">
        <v>668</v>
      </c>
      <c r="AN1592" s="364" t="s">
        <v>644</v>
      </c>
    </row>
    <row r="1593" spans="1:40" x14ac:dyDescent="0.3">
      <c r="A1593" s="364" t="s">
        <v>1064</v>
      </c>
      <c r="B1593" s="364" t="s">
        <v>661</v>
      </c>
      <c r="C1593" s="364" t="s">
        <v>660</v>
      </c>
      <c r="D1593" s="364" t="s">
        <v>90</v>
      </c>
      <c r="E1593" s="364" t="s">
        <v>790</v>
      </c>
      <c r="F1593" s="364" t="s">
        <v>790</v>
      </c>
      <c r="G1593" s="364" t="s">
        <v>658</v>
      </c>
      <c r="H1593" s="364" t="s">
        <v>836</v>
      </c>
      <c r="I1593" s="364" t="s">
        <v>1063</v>
      </c>
      <c r="J1593" s="364" t="s">
        <v>673</v>
      </c>
      <c r="K1593" s="364" t="s">
        <v>668</v>
      </c>
      <c r="L1593" s="364" t="s">
        <v>190</v>
      </c>
      <c r="M1593" s="364" t="s">
        <v>55</v>
      </c>
      <c r="N1593" s="364" t="s">
        <v>654</v>
      </c>
      <c r="O1593" s="364" t="s">
        <v>653</v>
      </c>
      <c r="P1593" s="364" t="s">
        <v>198</v>
      </c>
      <c r="Q1593" s="364" t="s">
        <v>652</v>
      </c>
      <c r="R1593" s="364" t="s">
        <v>88</v>
      </c>
      <c r="S1593" s="364" t="s">
        <v>88</v>
      </c>
      <c r="T1593" s="364" t="s">
        <v>88</v>
      </c>
      <c r="U1593" s="364" t="s">
        <v>88</v>
      </c>
      <c r="V1593" s="364" t="s">
        <v>88</v>
      </c>
      <c r="W1593" s="364" t="s">
        <v>88</v>
      </c>
      <c r="X1593" s="364" t="s">
        <v>88</v>
      </c>
      <c r="Y1593" s="364" t="s">
        <v>88</v>
      </c>
      <c r="Z1593" s="364" t="s">
        <v>719</v>
      </c>
      <c r="AA1593" s="364" t="s">
        <v>649</v>
      </c>
      <c r="AB1593" s="364" t="s">
        <v>649</v>
      </c>
      <c r="AC1593" s="364" t="s">
        <v>649</v>
      </c>
      <c r="AD1593" s="364" t="s">
        <v>649</v>
      </c>
      <c r="AE1593" s="364" t="s">
        <v>88</v>
      </c>
      <c r="AF1593" s="364" t="s">
        <v>88</v>
      </c>
      <c r="AG1593" s="364" t="s">
        <v>88</v>
      </c>
      <c r="AH1593" s="364" t="s">
        <v>88</v>
      </c>
      <c r="AI1593" s="364" t="s">
        <v>88</v>
      </c>
      <c r="AJ1593" s="364" t="s">
        <v>710</v>
      </c>
      <c r="AK1593" s="364" t="s">
        <v>647</v>
      </c>
      <c r="AL1593" s="364" t="s">
        <v>646</v>
      </c>
      <c r="AM1593" s="364" t="s">
        <v>668</v>
      </c>
      <c r="AN1593" s="364" t="s">
        <v>644</v>
      </c>
    </row>
    <row r="1594" spans="1:40" x14ac:dyDescent="0.3">
      <c r="A1594" s="364" t="s">
        <v>1064</v>
      </c>
      <c r="B1594" s="364" t="s">
        <v>661</v>
      </c>
      <c r="C1594" s="364" t="s">
        <v>660</v>
      </c>
      <c r="D1594" s="364" t="s">
        <v>90</v>
      </c>
      <c r="E1594" s="364" t="s">
        <v>790</v>
      </c>
      <c r="F1594" s="364" t="s">
        <v>790</v>
      </c>
      <c r="G1594" s="364" t="s">
        <v>658</v>
      </c>
      <c r="H1594" s="364" t="s">
        <v>836</v>
      </c>
      <c r="I1594" s="364" t="s">
        <v>1063</v>
      </c>
      <c r="J1594" s="364" t="s">
        <v>673</v>
      </c>
      <c r="K1594" s="364" t="s">
        <v>668</v>
      </c>
      <c r="L1594" s="364" t="s">
        <v>190</v>
      </c>
      <c r="M1594" s="364" t="s">
        <v>718</v>
      </c>
      <c r="N1594" s="364" t="s">
        <v>654</v>
      </c>
      <c r="O1594" s="364" t="s">
        <v>653</v>
      </c>
      <c r="P1594" s="364" t="s">
        <v>198</v>
      </c>
      <c r="Q1594" s="364" t="s">
        <v>652</v>
      </c>
      <c r="R1594" s="364" t="s">
        <v>88</v>
      </c>
      <c r="S1594" s="364" t="s">
        <v>88</v>
      </c>
      <c r="T1594" s="364" t="s">
        <v>88</v>
      </c>
      <c r="U1594" s="364" t="s">
        <v>88</v>
      </c>
      <c r="V1594" s="364" t="s">
        <v>88</v>
      </c>
      <c r="W1594" s="364" t="s">
        <v>88</v>
      </c>
      <c r="X1594" s="364" t="s">
        <v>88</v>
      </c>
      <c r="Y1594" s="364" t="s">
        <v>88</v>
      </c>
      <c r="Z1594" s="364" t="s">
        <v>717</v>
      </c>
      <c r="AA1594" s="364" t="s">
        <v>649</v>
      </c>
      <c r="AB1594" s="364" t="s">
        <v>649</v>
      </c>
      <c r="AC1594" s="364" t="s">
        <v>649</v>
      </c>
      <c r="AD1594" s="364" t="s">
        <v>649</v>
      </c>
      <c r="AE1594" s="364" t="s">
        <v>88</v>
      </c>
      <c r="AF1594" s="364" t="s">
        <v>88</v>
      </c>
      <c r="AG1594" s="364" t="s">
        <v>88</v>
      </c>
      <c r="AH1594" s="364" t="s">
        <v>88</v>
      </c>
      <c r="AI1594" s="364" t="s">
        <v>88</v>
      </c>
      <c r="AJ1594" s="364" t="s">
        <v>710</v>
      </c>
      <c r="AK1594" s="364" t="s">
        <v>647</v>
      </c>
      <c r="AL1594" s="364" t="s">
        <v>646</v>
      </c>
      <c r="AM1594" s="364" t="s">
        <v>668</v>
      </c>
      <c r="AN1594" s="364" t="s">
        <v>644</v>
      </c>
    </row>
    <row r="1595" spans="1:40" x14ac:dyDescent="0.3">
      <c r="A1595" s="364" t="s">
        <v>1064</v>
      </c>
      <c r="B1595" s="364" t="s">
        <v>661</v>
      </c>
      <c r="C1595" s="364" t="s">
        <v>660</v>
      </c>
      <c r="D1595" s="364" t="s">
        <v>90</v>
      </c>
      <c r="E1595" s="364" t="s">
        <v>790</v>
      </c>
      <c r="F1595" s="364" t="s">
        <v>790</v>
      </c>
      <c r="G1595" s="364" t="s">
        <v>658</v>
      </c>
      <c r="H1595" s="364" t="s">
        <v>836</v>
      </c>
      <c r="I1595" s="364" t="s">
        <v>1063</v>
      </c>
      <c r="J1595" s="364" t="s">
        <v>673</v>
      </c>
      <c r="K1595" s="364" t="s">
        <v>668</v>
      </c>
      <c r="L1595" s="364" t="s">
        <v>190</v>
      </c>
      <c r="M1595" s="364" t="s">
        <v>713</v>
      </c>
      <c r="N1595" s="364" t="s">
        <v>654</v>
      </c>
      <c r="O1595" s="364" t="s">
        <v>653</v>
      </c>
      <c r="P1595" s="364" t="s">
        <v>198</v>
      </c>
      <c r="Q1595" s="364" t="s">
        <v>652</v>
      </c>
      <c r="R1595" s="364" t="s">
        <v>88</v>
      </c>
      <c r="S1595" s="364" t="s">
        <v>88</v>
      </c>
      <c r="T1595" s="364" t="s">
        <v>88</v>
      </c>
      <c r="U1595" s="364" t="s">
        <v>88</v>
      </c>
      <c r="V1595" s="364" t="s">
        <v>88</v>
      </c>
      <c r="W1595" s="364" t="s">
        <v>88</v>
      </c>
      <c r="X1595" s="364" t="s">
        <v>88</v>
      </c>
      <c r="Y1595" s="364" t="s">
        <v>88</v>
      </c>
      <c r="Z1595" s="364" t="s">
        <v>712</v>
      </c>
      <c r="AA1595" s="364" t="s">
        <v>711</v>
      </c>
      <c r="AB1595" s="364" t="s">
        <v>649</v>
      </c>
      <c r="AC1595" s="364" t="s">
        <v>649</v>
      </c>
      <c r="AD1595" s="364" t="s">
        <v>649</v>
      </c>
      <c r="AE1595" s="364" t="s">
        <v>88</v>
      </c>
      <c r="AF1595" s="364" t="s">
        <v>88</v>
      </c>
      <c r="AG1595" s="364" t="s">
        <v>88</v>
      </c>
      <c r="AH1595" s="364" t="s">
        <v>88</v>
      </c>
      <c r="AI1595" s="364" t="s">
        <v>88</v>
      </c>
      <c r="AJ1595" s="364" t="s">
        <v>710</v>
      </c>
      <c r="AK1595" s="364" t="s">
        <v>647</v>
      </c>
      <c r="AL1595" s="364" t="s">
        <v>646</v>
      </c>
      <c r="AM1595" s="364" t="s">
        <v>668</v>
      </c>
      <c r="AN1595" s="364" t="s">
        <v>644</v>
      </c>
    </row>
    <row r="1596" spans="1:40" x14ac:dyDescent="0.3">
      <c r="A1596" s="364" t="s">
        <v>1062</v>
      </c>
      <c r="B1596" s="364" t="s">
        <v>661</v>
      </c>
      <c r="C1596" s="364" t="s">
        <v>660</v>
      </c>
      <c r="D1596" s="364" t="s">
        <v>87</v>
      </c>
      <c r="E1596" s="364" t="s">
        <v>974</v>
      </c>
      <c r="F1596" s="364" t="s">
        <v>974</v>
      </c>
      <c r="G1596" s="364" t="s">
        <v>658</v>
      </c>
      <c r="H1596" s="364" t="s">
        <v>1061</v>
      </c>
      <c r="I1596" s="364" t="s">
        <v>690</v>
      </c>
      <c r="J1596" s="364" t="s">
        <v>673</v>
      </c>
      <c r="K1596" s="364" t="s">
        <v>668</v>
      </c>
      <c r="L1596" s="364" t="s">
        <v>190</v>
      </c>
      <c r="M1596" s="364" t="s">
        <v>62</v>
      </c>
      <c r="N1596" s="364" t="s">
        <v>654</v>
      </c>
      <c r="O1596" s="364" t="s">
        <v>653</v>
      </c>
      <c r="P1596" s="364" t="s">
        <v>198</v>
      </c>
      <c r="Q1596" s="364" t="s">
        <v>652</v>
      </c>
      <c r="R1596" s="364" t="s">
        <v>88</v>
      </c>
      <c r="S1596" s="364" t="s">
        <v>88</v>
      </c>
      <c r="T1596" s="364" t="s">
        <v>88</v>
      </c>
      <c r="U1596" s="364" t="s">
        <v>88</v>
      </c>
      <c r="V1596" s="364" t="s">
        <v>88</v>
      </c>
      <c r="W1596" s="364" t="s">
        <v>88</v>
      </c>
      <c r="X1596" s="364" t="s">
        <v>88</v>
      </c>
      <c r="Y1596" s="364" t="s">
        <v>88</v>
      </c>
      <c r="Z1596" s="364" t="s">
        <v>689</v>
      </c>
      <c r="AA1596" s="364" t="s">
        <v>688</v>
      </c>
      <c r="AB1596" s="364" t="s">
        <v>649</v>
      </c>
      <c r="AC1596" s="364" t="s">
        <v>649</v>
      </c>
      <c r="AD1596" s="364" t="s">
        <v>649</v>
      </c>
      <c r="AE1596" s="364" t="s">
        <v>88</v>
      </c>
      <c r="AF1596" s="364" t="s">
        <v>88</v>
      </c>
      <c r="AG1596" s="364" t="s">
        <v>88</v>
      </c>
      <c r="AH1596" s="364" t="s">
        <v>88</v>
      </c>
      <c r="AI1596" s="364" t="s">
        <v>88</v>
      </c>
      <c r="AJ1596" s="364" t="s">
        <v>670</v>
      </c>
      <c r="AK1596" s="364" t="s">
        <v>687</v>
      </c>
      <c r="AL1596" s="364" t="s">
        <v>646</v>
      </c>
      <c r="AM1596" s="364" t="s">
        <v>668</v>
      </c>
      <c r="AN1596" s="364" t="s">
        <v>644</v>
      </c>
    </row>
    <row r="1597" spans="1:40" x14ac:dyDescent="0.3">
      <c r="A1597" s="364" t="s">
        <v>1060</v>
      </c>
      <c r="B1597" s="364" t="s">
        <v>661</v>
      </c>
      <c r="C1597" s="364" t="s">
        <v>660</v>
      </c>
      <c r="D1597" s="364" t="s">
        <v>87</v>
      </c>
      <c r="E1597" s="364" t="s">
        <v>692</v>
      </c>
      <c r="F1597" s="364" t="s">
        <v>692</v>
      </c>
      <c r="G1597" s="364" t="s">
        <v>658</v>
      </c>
      <c r="H1597" s="364" t="s">
        <v>1059</v>
      </c>
      <c r="I1597" s="364" t="s">
        <v>1058</v>
      </c>
      <c r="J1597" s="364" t="s">
        <v>673</v>
      </c>
      <c r="K1597" s="364" t="s">
        <v>668</v>
      </c>
      <c r="L1597" s="364" t="s">
        <v>190</v>
      </c>
      <c r="M1597" s="364" t="s">
        <v>59</v>
      </c>
      <c r="N1597" s="364" t="s">
        <v>654</v>
      </c>
      <c r="O1597" s="364" t="s">
        <v>653</v>
      </c>
      <c r="P1597" s="364" t="s">
        <v>198</v>
      </c>
      <c r="Q1597" s="364" t="s">
        <v>652</v>
      </c>
      <c r="R1597" s="364" t="s">
        <v>88</v>
      </c>
      <c r="S1597" s="364" t="s">
        <v>88</v>
      </c>
      <c r="T1597" s="364" t="s">
        <v>88</v>
      </c>
      <c r="U1597" s="364" t="s">
        <v>88</v>
      </c>
      <c r="V1597" s="364" t="s">
        <v>88</v>
      </c>
      <c r="W1597" s="364" t="s">
        <v>88</v>
      </c>
      <c r="X1597" s="364" t="s">
        <v>88</v>
      </c>
      <c r="Y1597" s="364" t="s">
        <v>88</v>
      </c>
      <c r="Z1597" s="364" t="s">
        <v>672</v>
      </c>
      <c r="AA1597" s="364" t="s">
        <v>671</v>
      </c>
      <c r="AB1597" s="364" t="s">
        <v>649</v>
      </c>
      <c r="AC1597" s="364" t="s">
        <v>649</v>
      </c>
      <c r="AD1597" s="364" t="s">
        <v>649</v>
      </c>
      <c r="AE1597" s="364" t="s">
        <v>88</v>
      </c>
      <c r="AF1597" s="364" t="s">
        <v>88</v>
      </c>
      <c r="AG1597" s="364" t="s">
        <v>88</v>
      </c>
      <c r="AH1597" s="364" t="s">
        <v>88</v>
      </c>
      <c r="AI1597" s="364" t="s">
        <v>88</v>
      </c>
      <c r="AJ1597" s="364" t="s">
        <v>670</v>
      </c>
      <c r="AK1597" s="364" t="s">
        <v>669</v>
      </c>
      <c r="AL1597" s="364" t="s">
        <v>646</v>
      </c>
      <c r="AM1597" s="364" t="s">
        <v>668</v>
      </c>
      <c r="AN1597" s="364" t="s">
        <v>644</v>
      </c>
    </row>
    <row r="1598" spans="1:40" x14ac:dyDescent="0.3">
      <c r="A1598" s="364" t="s">
        <v>1057</v>
      </c>
      <c r="B1598" s="364" t="s">
        <v>661</v>
      </c>
      <c r="C1598" s="364" t="s">
        <v>677</v>
      </c>
      <c r="D1598" s="364" t="s">
        <v>87</v>
      </c>
      <c r="E1598" s="364" t="s">
        <v>1056</v>
      </c>
      <c r="F1598" s="364" t="s">
        <v>1056</v>
      </c>
      <c r="G1598" s="364" t="s">
        <v>658</v>
      </c>
      <c r="H1598" s="364" t="s">
        <v>1055</v>
      </c>
      <c r="I1598" s="364" t="s">
        <v>1054</v>
      </c>
      <c r="J1598" s="364" t="s">
        <v>673</v>
      </c>
      <c r="K1598" s="364" t="s">
        <v>668</v>
      </c>
      <c r="L1598" s="364" t="s">
        <v>190</v>
      </c>
      <c r="M1598" s="364" t="s">
        <v>60</v>
      </c>
      <c r="N1598" s="364" t="s">
        <v>654</v>
      </c>
      <c r="O1598" s="364" t="s">
        <v>653</v>
      </c>
      <c r="P1598" s="364" t="s">
        <v>198</v>
      </c>
      <c r="Q1598" s="364" t="s">
        <v>652</v>
      </c>
      <c r="R1598" s="364" t="s">
        <v>88</v>
      </c>
      <c r="S1598" s="364" t="s">
        <v>88</v>
      </c>
      <c r="T1598" s="364" t="s">
        <v>88</v>
      </c>
      <c r="U1598" s="364" t="s">
        <v>88</v>
      </c>
      <c r="V1598" s="364" t="s">
        <v>88</v>
      </c>
      <c r="W1598" s="364" t="s">
        <v>88</v>
      </c>
      <c r="X1598" s="364" t="s">
        <v>88</v>
      </c>
      <c r="Y1598" s="364" t="s">
        <v>88</v>
      </c>
      <c r="Z1598" s="364" t="s">
        <v>709</v>
      </c>
      <c r="AA1598" s="364" t="s">
        <v>708</v>
      </c>
      <c r="AB1598" s="364" t="s">
        <v>649</v>
      </c>
      <c r="AC1598" s="364" t="s">
        <v>649</v>
      </c>
      <c r="AD1598" s="364" t="s">
        <v>88</v>
      </c>
      <c r="AE1598" s="364" t="s">
        <v>88</v>
      </c>
      <c r="AF1598" s="364" t="s">
        <v>88</v>
      </c>
      <c r="AG1598" s="364" t="s">
        <v>88</v>
      </c>
      <c r="AH1598" s="364" t="s">
        <v>88</v>
      </c>
      <c r="AI1598" s="364" t="s">
        <v>88</v>
      </c>
      <c r="AJ1598" s="364" t="s">
        <v>670</v>
      </c>
      <c r="AK1598" s="364" t="s">
        <v>687</v>
      </c>
      <c r="AL1598" s="364" t="s">
        <v>88</v>
      </c>
      <c r="AM1598" s="364" t="s">
        <v>668</v>
      </c>
      <c r="AN1598" s="364" t="s">
        <v>644</v>
      </c>
    </row>
    <row r="1599" spans="1:40" x14ac:dyDescent="0.3">
      <c r="A1599" s="364" t="s">
        <v>1053</v>
      </c>
      <c r="B1599" s="364" t="s">
        <v>661</v>
      </c>
      <c r="C1599" s="364" t="s">
        <v>660</v>
      </c>
      <c r="D1599" s="364" t="s">
        <v>87</v>
      </c>
      <c r="E1599" s="364" t="s">
        <v>905</v>
      </c>
      <c r="F1599" s="364" t="s">
        <v>905</v>
      </c>
      <c r="G1599" s="364" t="s">
        <v>658</v>
      </c>
      <c r="H1599" s="364" t="s">
        <v>1052</v>
      </c>
      <c r="I1599" s="364" t="s">
        <v>1051</v>
      </c>
      <c r="J1599" s="364" t="s">
        <v>673</v>
      </c>
      <c r="K1599" s="364" t="s">
        <v>668</v>
      </c>
      <c r="L1599" s="364" t="s">
        <v>190</v>
      </c>
      <c r="M1599" s="364" t="s">
        <v>59</v>
      </c>
      <c r="N1599" s="364" t="s">
        <v>654</v>
      </c>
      <c r="O1599" s="364" t="s">
        <v>653</v>
      </c>
      <c r="P1599" s="364" t="s">
        <v>198</v>
      </c>
      <c r="Q1599" s="364" t="s">
        <v>652</v>
      </c>
      <c r="R1599" s="364" t="s">
        <v>88</v>
      </c>
      <c r="S1599" s="364" t="s">
        <v>88</v>
      </c>
      <c r="T1599" s="364" t="s">
        <v>88</v>
      </c>
      <c r="U1599" s="364" t="s">
        <v>88</v>
      </c>
      <c r="V1599" s="364" t="s">
        <v>88</v>
      </c>
      <c r="W1599" s="364" t="s">
        <v>88</v>
      </c>
      <c r="X1599" s="364" t="s">
        <v>88</v>
      </c>
      <c r="Y1599" s="364" t="s">
        <v>88</v>
      </c>
      <c r="Z1599" s="364" t="s">
        <v>672</v>
      </c>
      <c r="AA1599" s="364" t="s">
        <v>671</v>
      </c>
      <c r="AB1599" s="364" t="s">
        <v>649</v>
      </c>
      <c r="AC1599" s="364" t="s">
        <v>649</v>
      </c>
      <c r="AD1599" s="364" t="s">
        <v>649</v>
      </c>
      <c r="AE1599" s="364" t="s">
        <v>88</v>
      </c>
      <c r="AF1599" s="364" t="s">
        <v>88</v>
      </c>
      <c r="AG1599" s="364" t="s">
        <v>88</v>
      </c>
      <c r="AH1599" s="364" t="s">
        <v>88</v>
      </c>
      <c r="AI1599" s="364" t="s">
        <v>88</v>
      </c>
      <c r="AJ1599" s="364" t="s">
        <v>670</v>
      </c>
      <c r="AK1599" s="364" t="s">
        <v>669</v>
      </c>
      <c r="AL1599" s="364" t="s">
        <v>646</v>
      </c>
      <c r="AM1599" s="364" t="s">
        <v>668</v>
      </c>
      <c r="AN1599" s="364" t="s">
        <v>644</v>
      </c>
    </row>
    <row r="1600" spans="1:40" x14ac:dyDescent="0.3">
      <c r="A1600" s="364" t="s">
        <v>1050</v>
      </c>
      <c r="B1600" s="364" t="s">
        <v>661</v>
      </c>
      <c r="C1600" s="364" t="s">
        <v>660</v>
      </c>
      <c r="D1600" s="364" t="s">
        <v>87</v>
      </c>
      <c r="E1600" s="364" t="s">
        <v>732</v>
      </c>
      <c r="F1600" s="364" t="s">
        <v>732</v>
      </c>
      <c r="G1600" s="364" t="s">
        <v>658</v>
      </c>
      <c r="H1600" s="364" t="s">
        <v>735</v>
      </c>
      <c r="I1600" s="364" t="s">
        <v>730</v>
      </c>
      <c r="J1600" s="364" t="s">
        <v>198</v>
      </c>
      <c r="K1600" s="364" t="s">
        <v>645</v>
      </c>
      <c r="L1600" s="364" t="s">
        <v>188</v>
      </c>
      <c r="M1600" s="364" t="s">
        <v>696</v>
      </c>
      <c r="N1600" s="364" t="s">
        <v>654</v>
      </c>
      <c r="O1600" s="364" t="s">
        <v>653</v>
      </c>
      <c r="P1600" s="364" t="s">
        <v>198</v>
      </c>
      <c r="Q1600" s="364" t="s">
        <v>652</v>
      </c>
      <c r="R1600" s="364" t="s">
        <v>88</v>
      </c>
      <c r="S1600" s="364" t="s">
        <v>88</v>
      </c>
      <c r="T1600" s="364" t="s">
        <v>88</v>
      </c>
      <c r="U1600" s="364" t="s">
        <v>88</v>
      </c>
      <c r="V1600" s="364" t="s">
        <v>88</v>
      </c>
      <c r="W1600" s="364" t="s">
        <v>88</v>
      </c>
      <c r="X1600" s="364" t="s">
        <v>88</v>
      </c>
      <c r="Y1600" s="364" t="s">
        <v>88</v>
      </c>
      <c r="Z1600" s="364" t="s">
        <v>695</v>
      </c>
      <c r="AA1600" s="364" t="s">
        <v>694</v>
      </c>
      <c r="AB1600" s="364" t="s">
        <v>649</v>
      </c>
      <c r="AC1600" s="364" t="s">
        <v>649</v>
      </c>
      <c r="AD1600" s="364" t="s">
        <v>649</v>
      </c>
      <c r="AE1600" s="364" t="s">
        <v>88</v>
      </c>
      <c r="AF1600" s="364" t="s">
        <v>88</v>
      </c>
      <c r="AG1600" s="364" t="s">
        <v>88</v>
      </c>
      <c r="AH1600" s="364" t="s">
        <v>88</v>
      </c>
      <c r="AI1600" s="364" t="s">
        <v>88</v>
      </c>
      <c r="AJ1600" s="364" t="s">
        <v>648</v>
      </c>
      <c r="AK1600" s="364" t="s">
        <v>687</v>
      </c>
      <c r="AL1600" s="364" t="s">
        <v>646</v>
      </c>
      <c r="AM1600" s="364" t="s">
        <v>645</v>
      </c>
      <c r="AN1600" s="364" t="s">
        <v>644</v>
      </c>
    </row>
    <row r="1601" spans="1:40" x14ac:dyDescent="0.3">
      <c r="A1601" s="364" t="s">
        <v>1049</v>
      </c>
      <c r="B1601" s="364" t="s">
        <v>661</v>
      </c>
      <c r="C1601" s="364" t="s">
        <v>660</v>
      </c>
      <c r="D1601" s="364" t="s">
        <v>90</v>
      </c>
      <c r="E1601" s="364" t="s">
        <v>732</v>
      </c>
      <c r="F1601" s="364" t="s">
        <v>732</v>
      </c>
      <c r="G1601" s="364" t="s">
        <v>658</v>
      </c>
      <c r="H1601" s="364" t="s">
        <v>836</v>
      </c>
      <c r="I1601" s="364" t="s">
        <v>1048</v>
      </c>
      <c r="J1601" s="364" t="s">
        <v>673</v>
      </c>
      <c r="K1601" s="364" t="s">
        <v>668</v>
      </c>
      <c r="L1601" s="364" t="s">
        <v>190</v>
      </c>
      <c r="M1601" s="364" t="s">
        <v>725</v>
      </c>
      <c r="N1601" s="364" t="s">
        <v>654</v>
      </c>
      <c r="O1601" s="364" t="s">
        <v>653</v>
      </c>
      <c r="P1601" s="364" t="s">
        <v>198</v>
      </c>
      <c r="Q1601" s="364" t="s">
        <v>652</v>
      </c>
      <c r="R1601" s="364" t="s">
        <v>88</v>
      </c>
      <c r="S1601" s="364" t="s">
        <v>88</v>
      </c>
      <c r="T1601" s="364" t="s">
        <v>88</v>
      </c>
      <c r="U1601" s="364" t="s">
        <v>88</v>
      </c>
      <c r="V1601" s="364" t="s">
        <v>88</v>
      </c>
      <c r="W1601" s="364" t="s">
        <v>88</v>
      </c>
      <c r="X1601" s="364" t="s">
        <v>88</v>
      </c>
      <c r="Y1601" s="364" t="s">
        <v>88</v>
      </c>
      <c r="Z1601" s="364" t="s">
        <v>724</v>
      </c>
      <c r="AA1601" s="364" t="s">
        <v>649</v>
      </c>
      <c r="AB1601" s="364" t="s">
        <v>649</v>
      </c>
      <c r="AC1601" s="364" t="s">
        <v>649</v>
      </c>
      <c r="AD1601" s="364" t="s">
        <v>649</v>
      </c>
      <c r="AE1601" s="364" t="s">
        <v>88</v>
      </c>
      <c r="AF1601" s="364" t="s">
        <v>88</v>
      </c>
      <c r="AG1601" s="364" t="s">
        <v>88</v>
      </c>
      <c r="AH1601" s="364" t="s">
        <v>88</v>
      </c>
      <c r="AI1601" s="364" t="s">
        <v>88</v>
      </c>
      <c r="AJ1601" s="364" t="s">
        <v>710</v>
      </c>
      <c r="AK1601" s="364" t="s">
        <v>647</v>
      </c>
      <c r="AL1601" s="364" t="s">
        <v>646</v>
      </c>
      <c r="AM1601" s="364" t="s">
        <v>668</v>
      </c>
      <c r="AN1601" s="364" t="s">
        <v>644</v>
      </c>
    </row>
    <row r="1602" spans="1:40" x14ac:dyDescent="0.3">
      <c r="A1602" s="364" t="s">
        <v>1049</v>
      </c>
      <c r="B1602" s="364" t="s">
        <v>661</v>
      </c>
      <c r="C1602" s="364" t="s">
        <v>660</v>
      </c>
      <c r="D1602" s="364" t="s">
        <v>90</v>
      </c>
      <c r="E1602" s="364" t="s">
        <v>732</v>
      </c>
      <c r="F1602" s="364" t="s">
        <v>732</v>
      </c>
      <c r="G1602" s="364" t="s">
        <v>658</v>
      </c>
      <c r="H1602" s="364" t="s">
        <v>836</v>
      </c>
      <c r="I1602" s="364" t="s">
        <v>1048</v>
      </c>
      <c r="J1602" s="364" t="s">
        <v>673</v>
      </c>
      <c r="K1602" s="364" t="s">
        <v>668</v>
      </c>
      <c r="L1602" s="364" t="s">
        <v>190</v>
      </c>
      <c r="M1602" s="364" t="s">
        <v>723</v>
      </c>
      <c r="N1602" s="364" t="s">
        <v>654</v>
      </c>
      <c r="O1602" s="364" t="s">
        <v>653</v>
      </c>
      <c r="P1602" s="364" t="s">
        <v>198</v>
      </c>
      <c r="Q1602" s="364" t="s">
        <v>652</v>
      </c>
      <c r="R1602" s="364" t="s">
        <v>88</v>
      </c>
      <c r="S1602" s="364" t="s">
        <v>88</v>
      </c>
      <c r="T1602" s="364" t="s">
        <v>88</v>
      </c>
      <c r="U1602" s="364" t="s">
        <v>88</v>
      </c>
      <c r="V1602" s="364" t="s">
        <v>88</v>
      </c>
      <c r="W1602" s="364" t="s">
        <v>88</v>
      </c>
      <c r="X1602" s="364" t="s">
        <v>88</v>
      </c>
      <c r="Y1602" s="364" t="s">
        <v>88</v>
      </c>
      <c r="Z1602" s="364" t="s">
        <v>722</v>
      </c>
      <c r="AA1602" s="364" t="s">
        <v>649</v>
      </c>
      <c r="AB1602" s="364" t="s">
        <v>649</v>
      </c>
      <c r="AC1602" s="364" t="s">
        <v>649</v>
      </c>
      <c r="AD1602" s="364" t="s">
        <v>649</v>
      </c>
      <c r="AE1602" s="364" t="s">
        <v>88</v>
      </c>
      <c r="AF1602" s="364" t="s">
        <v>88</v>
      </c>
      <c r="AG1602" s="364" t="s">
        <v>88</v>
      </c>
      <c r="AH1602" s="364" t="s">
        <v>88</v>
      </c>
      <c r="AI1602" s="364" t="s">
        <v>88</v>
      </c>
      <c r="AJ1602" s="364" t="s">
        <v>710</v>
      </c>
      <c r="AK1602" s="364" t="s">
        <v>647</v>
      </c>
      <c r="AL1602" s="364" t="s">
        <v>646</v>
      </c>
      <c r="AM1602" s="364" t="s">
        <v>668</v>
      </c>
      <c r="AN1602" s="364" t="s">
        <v>644</v>
      </c>
    </row>
    <row r="1603" spans="1:40" x14ac:dyDescent="0.3">
      <c r="A1603" s="364" t="s">
        <v>1049</v>
      </c>
      <c r="B1603" s="364" t="s">
        <v>661</v>
      </c>
      <c r="C1603" s="364" t="s">
        <v>660</v>
      </c>
      <c r="D1603" s="364" t="s">
        <v>90</v>
      </c>
      <c r="E1603" s="364" t="s">
        <v>732</v>
      </c>
      <c r="F1603" s="364" t="s">
        <v>732</v>
      </c>
      <c r="G1603" s="364" t="s">
        <v>658</v>
      </c>
      <c r="H1603" s="364" t="s">
        <v>836</v>
      </c>
      <c r="I1603" s="364" t="s">
        <v>1048</v>
      </c>
      <c r="J1603" s="364" t="s">
        <v>673</v>
      </c>
      <c r="K1603" s="364" t="s">
        <v>668</v>
      </c>
      <c r="L1603" s="364" t="s">
        <v>190</v>
      </c>
      <c r="M1603" s="364" t="s">
        <v>721</v>
      </c>
      <c r="N1603" s="364" t="s">
        <v>654</v>
      </c>
      <c r="O1603" s="364" t="s">
        <v>653</v>
      </c>
      <c r="P1603" s="364" t="s">
        <v>198</v>
      </c>
      <c r="Q1603" s="364" t="s">
        <v>652</v>
      </c>
      <c r="R1603" s="364" t="s">
        <v>88</v>
      </c>
      <c r="S1603" s="364" t="s">
        <v>88</v>
      </c>
      <c r="T1603" s="364" t="s">
        <v>88</v>
      </c>
      <c r="U1603" s="364" t="s">
        <v>88</v>
      </c>
      <c r="V1603" s="364" t="s">
        <v>88</v>
      </c>
      <c r="W1603" s="364" t="s">
        <v>88</v>
      </c>
      <c r="X1603" s="364" t="s">
        <v>88</v>
      </c>
      <c r="Y1603" s="364" t="s">
        <v>88</v>
      </c>
      <c r="Z1603" s="364" t="s">
        <v>720</v>
      </c>
      <c r="AA1603" s="364" t="s">
        <v>649</v>
      </c>
      <c r="AB1603" s="364" t="s">
        <v>649</v>
      </c>
      <c r="AC1603" s="364" t="s">
        <v>649</v>
      </c>
      <c r="AD1603" s="364" t="s">
        <v>649</v>
      </c>
      <c r="AE1603" s="364" t="s">
        <v>88</v>
      </c>
      <c r="AF1603" s="364" t="s">
        <v>88</v>
      </c>
      <c r="AG1603" s="364" t="s">
        <v>88</v>
      </c>
      <c r="AH1603" s="364" t="s">
        <v>88</v>
      </c>
      <c r="AI1603" s="364" t="s">
        <v>88</v>
      </c>
      <c r="AJ1603" s="364" t="s">
        <v>710</v>
      </c>
      <c r="AK1603" s="364" t="s">
        <v>647</v>
      </c>
      <c r="AL1603" s="364" t="s">
        <v>646</v>
      </c>
      <c r="AM1603" s="364" t="s">
        <v>668</v>
      </c>
      <c r="AN1603" s="364" t="s">
        <v>644</v>
      </c>
    </row>
    <row r="1604" spans="1:40" x14ac:dyDescent="0.3">
      <c r="A1604" s="364" t="s">
        <v>1049</v>
      </c>
      <c r="B1604" s="364" t="s">
        <v>661</v>
      </c>
      <c r="C1604" s="364" t="s">
        <v>660</v>
      </c>
      <c r="D1604" s="364" t="s">
        <v>90</v>
      </c>
      <c r="E1604" s="364" t="s">
        <v>732</v>
      </c>
      <c r="F1604" s="364" t="s">
        <v>732</v>
      </c>
      <c r="G1604" s="364" t="s">
        <v>658</v>
      </c>
      <c r="H1604" s="364" t="s">
        <v>836</v>
      </c>
      <c r="I1604" s="364" t="s">
        <v>1048</v>
      </c>
      <c r="J1604" s="364" t="s">
        <v>673</v>
      </c>
      <c r="K1604" s="364" t="s">
        <v>668</v>
      </c>
      <c r="L1604" s="364" t="s">
        <v>190</v>
      </c>
      <c r="M1604" s="364" t="s">
        <v>55</v>
      </c>
      <c r="N1604" s="364" t="s">
        <v>654</v>
      </c>
      <c r="O1604" s="364" t="s">
        <v>653</v>
      </c>
      <c r="P1604" s="364" t="s">
        <v>198</v>
      </c>
      <c r="Q1604" s="364" t="s">
        <v>652</v>
      </c>
      <c r="R1604" s="364" t="s">
        <v>88</v>
      </c>
      <c r="S1604" s="364" t="s">
        <v>88</v>
      </c>
      <c r="T1604" s="364" t="s">
        <v>88</v>
      </c>
      <c r="U1604" s="364" t="s">
        <v>88</v>
      </c>
      <c r="V1604" s="364" t="s">
        <v>88</v>
      </c>
      <c r="W1604" s="364" t="s">
        <v>88</v>
      </c>
      <c r="X1604" s="364" t="s">
        <v>88</v>
      </c>
      <c r="Y1604" s="364" t="s">
        <v>88</v>
      </c>
      <c r="Z1604" s="364" t="s">
        <v>719</v>
      </c>
      <c r="AA1604" s="364" t="s">
        <v>649</v>
      </c>
      <c r="AB1604" s="364" t="s">
        <v>649</v>
      </c>
      <c r="AC1604" s="364" t="s">
        <v>649</v>
      </c>
      <c r="AD1604" s="364" t="s">
        <v>649</v>
      </c>
      <c r="AE1604" s="364" t="s">
        <v>88</v>
      </c>
      <c r="AF1604" s="364" t="s">
        <v>88</v>
      </c>
      <c r="AG1604" s="364" t="s">
        <v>88</v>
      </c>
      <c r="AH1604" s="364" t="s">
        <v>88</v>
      </c>
      <c r="AI1604" s="364" t="s">
        <v>88</v>
      </c>
      <c r="AJ1604" s="364" t="s">
        <v>710</v>
      </c>
      <c r="AK1604" s="364" t="s">
        <v>647</v>
      </c>
      <c r="AL1604" s="364" t="s">
        <v>646</v>
      </c>
      <c r="AM1604" s="364" t="s">
        <v>668</v>
      </c>
      <c r="AN1604" s="364" t="s">
        <v>644</v>
      </c>
    </row>
    <row r="1605" spans="1:40" x14ac:dyDescent="0.3">
      <c r="A1605" s="364" t="s">
        <v>1049</v>
      </c>
      <c r="B1605" s="364" t="s">
        <v>661</v>
      </c>
      <c r="C1605" s="364" t="s">
        <v>660</v>
      </c>
      <c r="D1605" s="364" t="s">
        <v>90</v>
      </c>
      <c r="E1605" s="364" t="s">
        <v>732</v>
      </c>
      <c r="F1605" s="364" t="s">
        <v>732</v>
      </c>
      <c r="G1605" s="364" t="s">
        <v>658</v>
      </c>
      <c r="H1605" s="364" t="s">
        <v>836</v>
      </c>
      <c r="I1605" s="364" t="s">
        <v>1048</v>
      </c>
      <c r="J1605" s="364" t="s">
        <v>673</v>
      </c>
      <c r="K1605" s="364" t="s">
        <v>668</v>
      </c>
      <c r="L1605" s="364" t="s">
        <v>190</v>
      </c>
      <c r="M1605" s="364" t="s">
        <v>718</v>
      </c>
      <c r="N1605" s="364" t="s">
        <v>654</v>
      </c>
      <c r="O1605" s="364" t="s">
        <v>653</v>
      </c>
      <c r="P1605" s="364" t="s">
        <v>198</v>
      </c>
      <c r="Q1605" s="364" t="s">
        <v>652</v>
      </c>
      <c r="R1605" s="364" t="s">
        <v>88</v>
      </c>
      <c r="S1605" s="364" t="s">
        <v>88</v>
      </c>
      <c r="T1605" s="364" t="s">
        <v>88</v>
      </c>
      <c r="U1605" s="364" t="s">
        <v>88</v>
      </c>
      <c r="V1605" s="364" t="s">
        <v>88</v>
      </c>
      <c r="W1605" s="364" t="s">
        <v>88</v>
      </c>
      <c r="X1605" s="364" t="s">
        <v>88</v>
      </c>
      <c r="Y1605" s="364" t="s">
        <v>88</v>
      </c>
      <c r="Z1605" s="364" t="s">
        <v>717</v>
      </c>
      <c r="AA1605" s="364" t="s">
        <v>649</v>
      </c>
      <c r="AB1605" s="364" t="s">
        <v>649</v>
      </c>
      <c r="AC1605" s="364" t="s">
        <v>649</v>
      </c>
      <c r="AD1605" s="364" t="s">
        <v>649</v>
      </c>
      <c r="AE1605" s="364" t="s">
        <v>88</v>
      </c>
      <c r="AF1605" s="364" t="s">
        <v>88</v>
      </c>
      <c r="AG1605" s="364" t="s">
        <v>88</v>
      </c>
      <c r="AH1605" s="364" t="s">
        <v>88</v>
      </c>
      <c r="AI1605" s="364" t="s">
        <v>88</v>
      </c>
      <c r="AJ1605" s="364" t="s">
        <v>710</v>
      </c>
      <c r="AK1605" s="364" t="s">
        <v>647</v>
      </c>
      <c r="AL1605" s="364" t="s">
        <v>646</v>
      </c>
      <c r="AM1605" s="364" t="s">
        <v>668</v>
      </c>
      <c r="AN1605" s="364" t="s">
        <v>644</v>
      </c>
    </row>
    <row r="1606" spans="1:40" x14ac:dyDescent="0.3">
      <c r="A1606" s="364" t="s">
        <v>1049</v>
      </c>
      <c r="B1606" s="364" t="s">
        <v>661</v>
      </c>
      <c r="C1606" s="364" t="s">
        <v>660</v>
      </c>
      <c r="D1606" s="364" t="s">
        <v>90</v>
      </c>
      <c r="E1606" s="364" t="s">
        <v>732</v>
      </c>
      <c r="F1606" s="364" t="s">
        <v>732</v>
      </c>
      <c r="G1606" s="364" t="s">
        <v>658</v>
      </c>
      <c r="H1606" s="364" t="s">
        <v>836</v>
      </c>
      <c r="I1606" s="364" t="s">
        <v>1048</v>
      </c>
      <c r="J1606" s="364" t="s">
        <v>673</v>
      </c>
      <c r="K1606" s="364" t="s">
        <v>668</v>
      </c>
      <c r="L1606" s="364" t="s">
        <v>190</v>
      </c>
      <c r="M1606" s="364" t="s">
        <v>713</v>
      </c>
      <c r="N1606" s="364" t="s">
        <v>654</v>
      </c>
      <c r="O1606" s="364" t="s">
        <v>653</v>
      </c>
      <c r="P1606" s="364" t="s">
        <v>198</v>
      </c>
      <c r="Q1606" s="364" t="s">
        <v>652</v>
      </c>
      <c r="R1606" s="364" t="s">
        <v>88</v>
      </c>
      <c r="S1606" s="364" t="s">
        <v>88</v>
      </c>
      <c r="T1606" s="364" t="s">
        <v>88</v>
      </c>
      <c r="U1606" s="364" t="s">
        <v>88</v>
      </c>
      <c r="V1606" s="364" t="s">
        <v>88</v>
      </c>
      <c r="W1606" s="364" t="s">
        <v>88</v>
      </c>
      <c r="X1606" s="364" t="s">
        <v>88</v>
      </c>
      <c r="Y1606" s="364" t="s">
        <v>88</v>
      </c>
      <c r="Z1606" s="364" t="s">
        <v>712</v>
      </c>
      <c r="AA1606" s="364" t="s">
        <v>711</v>
      </c>
      <c r="AB1606" s="364" t="s">
        <v>649</v>
      </c>
      <c r="AC1606" s="364" t="s">
        <v>649</v>
      </c>
      <c r="AD1606" s="364" t="s">
        <v>649</v>
      </c>
      <c r="AE1606" s="364" t="s">
        <v>88</v>
      </c>
      <c r="AF1606" s="364" t="s">
        <v>88</v>
      </c>
      <c r="AG1606" s="364" t="s">
        <v>88</v>
      </c>
      <c r="AH1606" s="364" t="s">
        <v>88</v>
      </c>
      <c r="AI1606" s="364" t="s">
        <v>88</v>
      </c>
      <c r="AJ1606" s="364" t="s">
        <v>710</v>
      </c>
      <c r="AK1606" s="364" t="s">
        <v>647</v>
      </c>
      <c r="AL1606" s="364" t="s">
        <v>646</v>
      </c>
      <c r="AM1606" s="364" t="s">
        <v>668</v>
      </c>
      <c r="AN1606" s="364" t="s">
        <v>644</v>
      </c>
    </row>
    <row r="1607" spans="1:40" x14ac:dyDescent="0.3">
      <c r="A1607" s="364" t="s">
        <v>1047</v>
      </c>
      <c r="B1607" s="364" t="s">
        <v>661</v>
      </c>
      <c r="C1607" s="364" t="s">
        <v>660</v>
      </c>
      <c r="D1607" s="364" t="s">
        <v>87</v>
      </c>
      <c r="E1607" s="364" t="s">
        <v>1001</v>
      </c>
      <c r="F1607" s="364" t="s">
        <v>1001</v>
      </c>
      <c r="G1607" s="364" t="s">
        <v>658</v>
      </c>
      <c r="H1607" s="364" t="s">
        <v>1046</v>
      </c>
      <c r="I1607" s="364" t="s">
        <v>1045</v>
      </c>
      <c r="J1607" s="364" t="s">
        <v>673</v>
      </c>
      <c r="K1607" s="364" t="s">
        <v>668</v>
      </c>
      <c r="L1607" s="364" t="s">
        <v>190</v>
      </c>
      <c r="M1607" s="364" t="s">
        <v>59</v>
      </c>
      <c r="N1607" s="364" t="s">
        <v>654</v>
      </c>
      <c r="O1607" s="364" t="s">
        <v>653</v>
      </c>
      <c r="P1607" s="364" t="s">
        <v>198</v>
      </c>
      <c r="Q1607" s="364" t="s">
        <v>652</v>
      </c>
      <c r="R1607" s="364" t="s">
        <v>88</v>
      </c>
      <c r="S1607" s="364" t="s">
        <v>88</v>
      </c>
      <c r="T1607" s="364" t="s">
        <v>88</v>
      </c>
      <c r="U1607" s="364" t="s">
        <v>88</v>
      </c>
      <c r="V1607" s="364" t="s">
        <v>88</v>
      </c>
      <c r="W1607" s="364" t="s">
        <v>88</v>
      </c>
      <c r="X1607" s="364" t="s">
        <v>88</v>
      </c>
      <c r="Y1607" s="364" t="s">
        <v>88</v>
      </c>
      <c r="Z1607" s="364" t="s">
        <v>672</v>
      </c>
      <c r="AA1607" s="364" t="s">
        <v>671</v>
      </c>
      <c r="AB1607" s="364" t="s">
        <v>649</v>
      </c>
      <c r="AC1607" s="364" t="s">
        <v>649</v>
      </c>
      <c r="AD1607" s="364" t="s">
        <v>649</v>
      </c>
      <c r="AE1607" s="364" t="s">
        <v>88</v>
      </c>
      <c r="AF1607" s="364" t="s">
        <v>88</v>
      </c>
      <c r="AG1607" s="364" t="s">
        <v>88</v>
      </c>
      <c r="AH1607" s="364" t="s">
        <v>88</v>
      </c>
      <c r="AI1607" s="364" t="s">
        <v>88</v>
      </c>
      <c r="AJ1607" s="364" t="s">
        <v>670</v>
      </c>
      <c r="AK1607" s="364" t="s">
        <v>669</v>
      </c>
      <c r="AL1607" s="364" t="s">
        <v>646</v>
      </c>
      <c r="AM1607" s="364" t="s">
        <v>668</v>
      </c>
      <c r="AN1607" s="364" t="s">
        <v>644</v>
      </c>
    </row>
    <row r="1608" spans="1:40" x14ac:dyDescent="0.3">
      <c r="A1608" s="364" t="s">
        <v>1044</v>
      </c>
      <c r="B1608" s="364" t="s">
        <v>661</v>
      </c>
      <c r="C1608" s="364" t="s">
        <v>660</v>
      </c>
      <c r="D1608" s="364" t="s">
        <v>90</v>
      </c>
      <c r="E1608" s="364" t="s">
        <v>841</v>
      </c>
      <c r="F1608" s="364" t="s">
        <v>841</v>
      </c>
      <c r="G1608" s="364" t="s">
        <v>658</v>
      </c>
      <c r="H1608" s="364" t="s">
        <v>657</v>
      </c>
      <c r="I1608" s="364" t="s">
        <v>814</v>
      </c>
      <c r="J1608" s="364" t="s">
        <v>198</v>
      </c>
      <c r="K1608" s="364" t="s">
        <v>645</v>
      </c>
      <c r="L1608" s="364" t="s">
        <v>188</v>
      </c>
      <c r="M1608" s="364" t="s">
        <v>655</v>
      </c>
      <c r="N1608" s="364" t="s">
        <v>654</v>
      </c>
      <c r="O1608" s="364" t="s">
        <v>653</v>
      </c>
      <c r="P1608" s="364" t="s">
        <v>198</v>
      </c>
      <c r="Q1608" s="364" t="s">
        <v>652</v>
      </c>
      <c r="R1608" s="364" t="s">
        <v>88</v>
      </c>
      <c r="S1608" s="364" t="s">
        <v>88</v>
      </c>
      <c r="T1608" s="364" t="s">
        <v>88</v>
      </c>
      <c r="U1608" s="364" t="s">
        <v>88</v>
      </c>
      <c r="V1608" s="364" t="s">
        <v>88</v>
      </c>
      <c r="W1608" s="364" t="s">
        <v>88</v>
      </c>
      <c r="X1608" s="364" t="s">
        <v>88</v>
      </c>
      <c r="Y1608" s="364" t="s">
        <v>88</v>
      </c>
      <c r="Z1608" s="364" t="s">
        <v>651</v>
      </c>
      <c r="AA1608" s="364" t="s">
        <v>650</v>
      </c>
      <c r="AB1608" s="364" t="s">
        <v>649</v>
      </c>
      <c r="AC1608" s="364" t="s">
        <v>649</v>
      </c>
      <c r="AD1608" s="364" t="s">
        <v>649</v>
      </c>
      <c r="AE1608" s="364" t="s">
        <v>88</v>
      </c>
      <c r="AF1608" s="364" t="s">
        <v>88</v>
      </c>
      <c r="AG1608" s="364" t="s">
        <v>88</v>
      </c>
      <c r="AH1608" s="364" t="s">
        <v>88</v>
      </c>
      <c r="AI1608" s="364" t="s">
        <v>88</v>
      </c>
      <c r="AJ1608" s="364" t="s">
        <v>648</v>
      </c>
      <c r="AK1608" s="364" t="s">
        <v>647</v>
      </c>
      <c r="AL1608" s="364" t="s">
        <v>646</v>
      </c>
      <c r="AM1608" s="364" t="s">
        <v>645</v>
      </c>
      <c r="AN1608" s="364" t="s">
        <v>644</v>
      </c>
    </row>
    <row r="1609" spans="1:40" x14ac:dyDescent="0.3">
      <c r="A1609" s="364" t="s">
        <v>1043</v>
      </c>
      <c r="B1609" s="364" t="s">
        <v>661</v>
      </c>
      <c r="C1609" s="364" t="s">
        <v>660</v>
      </c>
      <c r="D1609" s="364" t="s">
        <v>87</v>
      </c>
      <c r="E1609" s="364" t="s">
        <v>808</v>
      </c>
      <c r="F1609" s="364" t="s">
        <v>808</v>
      </c>
      <c r="G1609" s="364" t="s">
        <v>658</v>
      </c>
      <c r="H1609" s="364" t="s">
        <v>1042</v>
      </c>
      <c r="I1609" s="364" t="s">
        <v>1041</v>
      </c>
      <c r="J1609" s="364" t="s">
        <v>198</v>
      </c>
      <c r="K1609" s="364" t="s">
        <v>645</v>
      </c>
      <c r="L1609" s="364" t="s">
        <v>188</v>
      </c>
      <c r="M1609" s="364" t="s">
        <v>696</v>
      </c>
      <c r="N1609" s="364" t="s">
        <v>654</v>
      </c>
      <c r="O1609" s="364" t="s">
        <v>653</v>
      </c>
      <c r="P1609" s="364" t="s">
        <v>198</v>
      </c>
      <c r="Q1609" s="364" t="s">
        <v>652</v>
      </c>
      <c r="R1609" s="364" t="s">
        <v>88</v>
      </c>
      <c r="S1609" s="364" t="s">
        <v>88</v>
      </c>
      <c r="T1609" s="364" t="s">
        <v>88</v>
      </c>
      <c r="U1609" s="364" t="s">
        <v>88</v>
      </c>
      <c r="V1609" s="364" t="s">
        <v>88</v>
      </c>
      <c r="W1609" s="364" t="s">
        <v>88</v>
      </c>
      <c r="X1609" s="364" t="s">
        <v>88</v>
      </c>
      <c r="Y1609" s="364" t="s">
        <v>88</v>
      </c>
      <c r="Z1609" s="364" t="s">
        <v>695</v>
      </c>
      <c r="AA1609" s="364" t="s">
        <v>694</v>
      </c>
      <c r="AB1609" s="364" t="s">
        <v>649</v>
      </c>
      <c r="AC1609" s="364" t="s">
        <v>649</v>
      </c>
      <c r="AD1609" s="364" t="s">
        <v>649</v>
      </c>
      <c r="AE1609" s="364" t="s">
        <v>88</v>
      </c>
      <c r="AF1609" s="364" t="s">
        <v>88</v>
      </c>
      <c r="AG1609" s="364" t="s">
        <v>88</v>
      </c>
      <c r="AH1609" s="364" t="s">
        <v>88</v>
      </c>
      <c r="AI1609" s="364" t="s">
        <v>88</v>
      </c>
      <c r="AJ1609" s="364" t="s">
        <v>670</v>
      </c>
      <c r="AK1609" s="364" t="s">
        <v>669</v>
      </c>
      <c r="AL1609" s="364" t="s">
        <v>646</v>
      </c>
      <c r="AM1609" s="364" t="s">
        <v>645</v>
      </c>
      <c r="AN1609" s="364" t="s">
        <v>644</v>
      </c>
    </row>
    <row r="1610" spans="1:40" x14ac:dyDescent="0.3">
      <c r="A1610" s="364" t="s">
        <v>1040</v>
      </c>
      <c r="B1610" s="364" t="s">
        <v>661</v>
      </c>
      <c r="C1610" s="364" t="s">
        <v>660</v>
      </c>
      <c r="D1610" s="364" t="s">
        <v>87</v>
      </c>
      <c r="E1610" s="364" t="s">
        <v>898</v>
      </c>
      <c r="F1610" s="364" t="s">
        <v>898</v>
      </c>
      <c r="G1610" s="364" t="s">
        <v>658</v>
      </c>
      <c r="H1610" s="364" t="s">
        <v>1039</v>
      </c>
      <c r="I1610" s="364" t="s">
        <v>690</v>
      </c>
      <c r="J1610" s="364" t="s">
        <v>673</v>
      </c>
      <c r="K1610" s="364" t="s">
        <v>668</v>
      </c>
      <c r="L1610" s="364" t="s">
        <v>190</v>
      </c>
      <c r="M1610" s="364" t="s">
        <v>62</v>
      </c>
      <c r="N1610" s="364" t="s">
        <v>654</v>
      </c>
      <c r="O1610" s="364" t="s">
        <v>653</v>
      </c>
      <c r="P1610" s="364" t="s">
        <v>198</v>
      </c>
      <c r="Q1610" s="364" t="s">
        <v>652</v>
      </c>
      <c r="R1610" s="364" t="s">
        <v>88</v>
      </c>
      <c r="S1610" s="364" t="s">
        <v>88</v>
      </c>
      <c r="T1610" s="364" t="s">
        <v>88</v>
      </c>
      <c r="U1610" s="364" t="s">
        <v>88</v>
      </c>
      <c r="V1610" s="364" t="s">
        <v>88</v>
      </c>
      <c r="W1610" s="364" t="s">
        <v>88</v>
      </c>
      <c r="X1610" s="364" t="s">
        <v>88</v>
      </c>
      <c r="Y1610" s="364" t="s">
        <v>88</v>
      </c>
      <c r="Z1610" s="364" t="s">
        <v>689</v>
      </c>
      <c r="AA1610" s="364" t="s">
        <v>688</v>
      </c>
      <c r="AB1610" s="364" t="s">
        <v>649</v>
      </c>
      <c r="AC1610" s="364" t="s">
        <v>649</v>
      </c>
      <c r="AD1610" s="364" t="s">
        <v>649</v>
      </c>
      <c r="AE1610" s="364" t="s">
        <v>88</v>
      </c>
      <c r="AF1610" s="364" t="s">
        <v>88</v>
      </c>
      <c r="AG1610" s="364" t="s">
        <v>88</v>
      </c>
      <c r="AH1610" s="364" t="s">
        <v>88</v>
      </c>
      <c r="AI1610" s="364" t="s">
        <v>88</v>
      </c>
      <c r="AJ1610" s="364" t="s">
        <v>670</v>
      </c>
      <c r="AK1610" s="364" t="s">
        <v>687</v>
      </c>
      <c r="AL1610" s="364" t="s">
        <v>646</v>
      </c>
      <c r="AM1610" s="364" t="s">
        <v>668</v>
      </c>
      <c r="AN1610" s="364" t="s">
        <v>644</v>
      </c>
    </row>
    <row r="1611" spans="1:40" x14ac:dyDescent="0.3">
      <c r="A1611" s="364" t="s">
        <v>1038</v>
      </c>
      <c r="B1611" s="364" t="s">
        <v>661</v>
      </c>
      <c r="C1611" s="364" t="s">
        <v>660</v>
      </c>
      <c r="D1611" s="364" t="s">
        <v>90</v>
      </c>
      <c r="E1611" s="364" t="s">
        <v>755</v>
      </c>
      <c r="F1611" s="364" t="s">
        <v>755</v>
      </c>
      <c r="G1611" s="364" t="s">
        <v>658</v>
      </c>
      <c r="H1611" s="364" t="s">
        <v>1037</v>
      </c>
      <c r="I1611" s="364" t="s">
        <v>814</v>
      </c>
      <c r="J1611" s="364" t="s">
        <v>673</v>
      </c>
      <c r="K1611" s="364" t="s">
        <v>668</v>
      </c>
      <c r="L1611" s="364" t="s">
        <v>190</v>
      </c>
      <c r="M1611" s="364" t="s">
        <v>718</v>
      </c>
      <c r="N1611" s="364" t="s">
        <v>654</v>
      </c>
      <c r="O1611" s="364" t="s">
        <v>653</v>
      </c>
      <c r="P1611" s="364" t="s">
        <v>198</v>
      </c>
      <c r="Q1611" s="364" t="s">
        <v>652</v>
      </c>
      <c r="R1611" s="364" t="s">
        <v>88</v>
      </c>
      <c r="S1611" s="364" t="s">
        <v>88</v>
      </c>
      <c r="T1611" s="364" t="s">
        <v>88</v>
      </c>
      <c r="U1611" s="364" t="s">
        <v>88</v>
      </c>
      <c r="V1611" s="364" t="s">
        <v>88</v>
      </c>
      <c r="W1611" s="364" t="s">
        <v>88</v>
      </c>
      <c r="X1611" s="364" t="s">
        <v>88</v>
      </c>
      <c r="Y1611" s="364" t="s">
        <v>88</v>
      </c>
      <c r="Z1611" s="364" t="s">
        <v>717</v>
      </c>
      <c r="AA1611" s="364" t="s">
        <v>649</v>
      </c>
      <c r="AB1611" s="364" t="s">
        <v>649</v>
      </c>
      <c r="AC1611" s="364" t="s">
        <v>649</v>
      </c>
      <c r="AD1611" s="364" t="s">
        <v>649</v>
      </c>
      <c r="AE1611" s="364" t="s">
        <v>88</v>
      </c>
      <c r="AF1611" s="364" t="s">
        <v>88</v>
      </c>
      <c r="AG1611" s="364" t="s">
        <v>88</v>
      </c>
      <c r="AH1611" s="364" t="s">
        <v>88</v>
      </c>
      <c r="AI1611" s="364" t="s">
        <v>88</v>
      </c>
      <c r="AJ1611" s="364" t="s">
        <v>648</v>
      </c>
      <c r="AK1611" s="364" t="s">
        <v>647</v>
      </c>
      <c r="AL1611" s="364" t="s">
        <v>646</v>
      </c>
      <c r="AM1611" s="364" t="s">
        <v>668</v>
      </c>
      <c r="AN1611" s="364" t="s">
        <v>644</v>
      </c>
    </row>
    <row r="1612" spans="1:40" x14ac:dyDescent="0.3">
      <c r="A1612" s="364" t="s">
        <v>1038</v>
      </c>
      <c r="B1612" s="364" t="s">
        <v>661</v>
      </c>
      <c r="C1612" s="364" t="s">
        <v>660</v>
      </c>
      <c r="D1612" s="364" t="s">
        <v>90</v>
      </c>
      <c r="E1612" s="364" t="s">
        <v>755</v>
      </c>
      <c r="F1612" s="364" t="s">
        <v>755</v>
      </c>
      <c r="G1612" s="364" t="s">
        <v>658</v>
      </c>
      <c r="H1612" s="364" t="s">
        <v>1037</v>
      </c>
      <c r="I1612" s="364" t="s">
        <v>814</v>
      </c>
      <c r="J1612" s="364" t="s">
        <v>673</v>
      </c>
      <c r="K1612" s="364" t="s">
        <v>668</v>
      </c>
      <c r="L1612" s="364" t="s">
        <v>190</v>
      </c>
      <c r="M1612" s="364" t="s">
        <v>725</v>
      </c>
      <c r="N1612" s="364" t="s">
        <v>654</v>
      </c>
      <c r="O1612" s="364" t="s">
        <v>653</v>
      </c>
      <c r="P1612" s="364" t="s">
        <v>198</v>
      </c>
      <c r="Q1612" s="364" t="s">
        <v>652</v>
      </c>
      <c r="R1612" s="364" t="s">
        <v>88</v>
      </c>
      <c r="S1612" s="364" t="s">
        <v>88</v>
      </c>
      <c r="T1612" s="364" t="s">
        <v>88</v>
      </c>
      <c r="U1612" s="364" t="s">
        <v>88</v>
      </c>
      <c r="V1612" s="364" t="s">
        <v>88</v>
      </c>
      <c r="W1612" s="364" t="s">
        <v>88</v>
      </c>
      <c r="X1612" s="364" t="s">
        <v>88</v>
      </c>
      <c r="Y1612" s="364" t="s">
        <v>88</v>
      </c>
      <c r="Z1612" s="364" t="s">
        <v>724</v>
      </c>
      <c r="AA1612" s="364" t="s">
        <v>649</v>
      </c>
      <c r="AB1612" s="364" t="s">
        <v>649</v>
      </c>
      <c r="AC1612" s="364" t="s">
        <v>649</v>
      </c>
      <c r="AD1612" s="364" t="s">
        <v>649</v>
      </c>
      <c r="AE1612" s="364" t="s">
        <v>88</v>
      </c>
      <c r="AF1612" s="364" t="s">
        <v>88</v>
      </c>
      <c r="AG1612" s="364" t="s">
        <v>88</v>
      </c>
      <c r="AH1612" s="364" t="s">
        <v>88</v>
      </c>
      <c r="AI1612" s="364" t="s">
        <v>88</v>
      </c>
      <c r="AJ1612" s="364" t="s">
        <v>648</v>
      </c>
      <c r="AK1612" s="364" t="s">
        <v>647</v>
      </c>
      <c r="AL1612" s="364" t="s">
        <v>646</v>
      </c>
      <c r="AM1612" s="364" t="s">
        <v>668</v>
      </c>
      <c r="AN1612" s="364" t="s">
        <v>644</v>
      </c>
    </row>
    <row r="1613" spans="1:40" x14ac:dyDescent="0.3">
      <c r="A1613" s="364" t="s">
        <v>1038</v>
      </c>
      <c r="B1613" s="364" t="s">
        <v>661</v>
      </c>
      <c r="C1613" s="364" t="s">
        <v>660</v>
      </c>
      <c r="D1613" s="364" t="s">
        <v>90</v>
      </c>
      <c r="E1613" s="364" t="s">
        <v>755</v>
      </c>
      <c r="F1613" s="364" t="s">
        <v>755</v>
      </c>
      <c r="G1613" s="364" t="s">
        <v>658</v>
      </c>
      <c r="H1613" s="364" t="s">
        <v>1037</v>
      </c>
      <c r="I1613" s="364" t="s">
        <v>814</v>
      </c>
      <c r="J1613" s="364" t="s">
        <v>673</v>
      </c>
      <c r="K1613" s="364" t="s">
        <v>668</v>
      </c>
      <c r="L1613" s="364" t="s">
        <v>190</v>
      </c>
      <c r="M1613" s="364" t="s">
        <v>55</v>
      </c>
      <c r="N1613" s="364" t="s">
        <v>654</v>
      </c>
      <c r="O1613" s="364" t="s">
        <v>653</v>
      </c>
      <c r="P1613" s="364" t="s">
        <v>198</v>
      </c>
      <c r="Q1613" s="364" t="s">
        <v>652</v>
      </c>
      <c r="R1613" s="364" t="s">
        <v>88</v>
      </c>
      <c r="S1613" s="364" t="s">
        <v>88</v>
      </c>
      <c r="T1613" s="364" t="s">
        <v>88</v>
      </c>
      <c r="U1613" s="364" t="s">
        <v>88</v>
      </c>
      <c r="V1613" s="364" t="s">
        <v>88</v>
      </c>
      <c r="W1613" s="364" t="s">
        <v>88</v>
      </c>
      <c r="X1613" s="364" t="s">
        <v>88</v>
      </c>
      <c r="Y1613" s="364" t="s">
        <v>88</v>
      </c>
      <c r="Z1613" s="364" t="s">
        <v>719</v>
      </c>
      <c r="AA1613" s="364" t="s">
        <v>649</v>
      </c>
      <c r="AB1613" s="364" t="s">
        <v>649</v>
      </c>
      <c r="AC1613" s="364" t="s">
        <v>649</v>
      </c>
      <c r="AD1613" s="364" t="s">
        <v>649</v>
      </c>
      <c r="AE1613" s="364" t="s">
        <v>88</v>
      </c>
      <c r="AF1613" s="364" t="s">
        <v>88</v>
      </c>
      <c r="AG1613" s="364" t="s">
        <v>88</v>
      </c>
      <c r="AH1613" s="364" t="s">
        <v>88</v>
      </c>
      <c r="AI1613" s="364" t="s">
        <v>88</v>
      </c>
      <c r="AJ1613" s="364" t="s">
        <v>648</v>
      </c>
      <c r="AK1613" s="364" t="s">
        <v>647</v>
      </c>
      <c r="AL1613" s="364" t="s">
        <v>646</v>
      </c>
      <c r="AM1613" s="364" t="s">
        <v>668</v>
      </c>
      <c r="AN1613" s="364" t="s">
        <v>644</v>
      </c>
    </row>
    <row r="1614" spans="1:40" x14ac:dyDescent="0.3">
      <c r="A1614" s="364" t="s">
        <v>1036</v>
      </c>
      <c r="B1614" s="364" t="s">
        <v>661</v>
      </c>
      <c r="C1614" s="364" t="s">
        <v>660</v>
      </c>
      <c r="D1614" s="364" t="s">
        <v>87</v>
      </c>
      <c r="E1614" s="364" t="s">
        <v>1035</v>
      </c>
      <c r="F1614" s="364" t="s">
        <v>1035</v>
      </c>
      <c r="G1614" s="364" t="s">
        <v>658</v>
      </c>
      <c r="H1614" s="364" t="s">
        <v>1034</v>
      </c>
      <c r="I1614" s="364" t="s">
        <v>987</v>
      </c>
      <c r="J1614" s="364" t="s">
        <v>198</v>
      </c>
      <c r="K1614" s="364" t="s">
        <v>645</v>
      </c>
      <c r="L1614" s="364" t="s">
        <v>188</v>
      </c>
      <c r="M1614" s="364" t="s">
        <v>696</v>
      </c>
      <c r="N1614" s="364" t="s">
        <v>654</v>
      </c>
      <c r="O1614" s="364" t="s">
        <v>653</v>
      </c>
      <c r="P1614" s="364" t="s">
        <v>198</v>
      </c>
      <c r="Q1614" s="364" t="s">
        <v>652</v>
      </c>
      <c r="R1614" s="364" t="s">
        <v>88</v>
      </c>
      <c r="S1614" s="364" t="s">
        <v>88</v>
      </c>
      <c r="T1614" s="364" t="s">
        <v>88</v>
      </c>
      <c r="U1614" s="364" t="s">
        <v>88</v>
      </c>
      <c r="V1614" s="364" t="s">
        <v>88</v>
      </c>
      <c r="W1614" s="364" t="s">
        <v>88</v>
      </c>
      <c r="X1614" s="364" t="s">
        <v>88</v>
      </c>
      <c r="Y1614" s="364" t="s">
        <v>88</v>
      </c>
      <c r="Z1614" s="364" t="s">
        <v>695</v>
      </c>
      <c r="AA1614" s="364" t="s">
        <v>694</v>
      </c>
      <c r="AB1614" s="364" t="s">
        <v>649</v>
      </c>
      <c r="AC1614" s="364" t="s">
        <v>649</v>
      </c>
      <c r="AD1614" s="364" t="s">
        <v>649</v>
      </c>
      <c r="AE1614" s="364" t="s">
        <v>88</v>
      </c>
      <c r="AF1614" s="364" t="s">
        <v>88</v>
      </c>
      <c r="AG1614" s="364" t="s">
        <v>88</v>
      </c>
      <c r="AH1614" s="364" t="s">
        <v>88</v>
      </c>
      <c r="AI1614" s="364" t="s">
        <v>88</v>
      </c>
      <c r="AJ1614" s="364" t="s">
        <v>670</v>
      </c>
      <c r="AK1614" s="364" t="s">
        <v>669</v>
      </c>
      <c r="AL1614" s="364" t="s">
        <v>646</v>
      </c>
      <c r="AM1614" s="364" t="s">
        <v>645</v>
      </c>
      <c r="AN1614" s="364" t="s">
        <v>644</v>
      </c>
    </row>
    <row r="1615" spans="1:40" x14ac:dyDescent="0.3">
      <c r="A1615" s="364" t="s">
        <v>1033</v>
      </c>
      <c r="B1615" s="364" t="s">
        <v>661</v>
      </c>
      <c r="C1615" s="364" t="s">
        <v>660</v>
      </c>
      <c r="D1615" s="364" t="s">
        <v>87</v>
      </c>
      <c r="E1615" s="364" t="s">
        <v>1001</v>
      </c>
      <c r="F1615" s="364" t="s">
        <v>1001</v>
      </c>
      <c r="G1615" s="364" t="s">
        <v>658</v>
      </c>
      <c r="H1615" s="364" t="s">
        <v>1032</v>
      </c>
      <c r="I1615" s="364" t="s">
        <v>1031</v>
      </c>
      <c r="J1615" s="364" t="s">
        <v>198</v>
      </c>
      <c r="K1615" s="364" t="s">
        <v>645</v>
      </c>
      <c r="L1615" s="364" t="s">
        <v>188</v>
      </c>
      <c r="M1615" s="364" t="s">
        <v>696</v>
      </c>
      <c r="N1615" s="364" t="s">
        <v>654</v>
      </c>
      <c r="O1615" s="364" t="s">
        <v>653</v>
      </c>
      <c r="P1615" s="364" t="s">
        <v>198</v>
      </c>
      <c r="Q1615" s="364" t="s">
        <v>652</v>
      </c>
      <c r="R1615" s="364" t="s">
        <v>88</v>
      </c>
      <c r="S1615" s="364" t="s">
        <v>88</v>
      </c>
      <c r="T1615" s="364" t="s">
        <v>88</v>
      </c>
      <c r="U1615" s="364" t="s">
        <v>88</v>
      </c>
      <c r="V1615" s="364" t="s">
        <v>88</v>
      </c>
      <c r="W1615" s="364" t="s">
        <v>88</v>
      </c>
      <c r="X1615" s="364" t="s">
        <v>88</v>
      </c>
      <c r="Y1615" s="364" t="s">
        <v>88</v>
      </c>
      <c r="Z1615" s="364" t="s">
        <v>695</v>
      </c>
      <c r="AA1615" s="364" t="s">
        <v>694</v>
      </c>
      <c r="AB1615" s="364" t="s">
        <v>649</v>
      </c>
      <c r="AC1615" s="364" t="s">
        <v>649</v>
      </c>
      <c r="AD1615" s="364" t="s">
        <v>649</v>
      </c>
      <c r="AE1615" s="364" t="s">
        <v>88</v>
      </c>
      <c r="AF1615" s="364" t="s">
        <v>88</v>
      </c>
      <c r="AG1615" s="364" t="s">
        <v>88</v>
      </c>
      <c r="AH1615" s="364" t="s">
        <v>88</v>
      </c>
      <c r="AI1615" s="364" t="s">
        <v>88</v>
      </c>
      <c r="AJ1615" s="364" t="s">
        <v>670</v>
      </c>
      <c r="AK1615" s="364" t="s">
        <v>669</v>
      </c>
      <c r="AL1615" s="364" t="s">
        <v>646</v>
      </c>
      <c r="AM1615" s="364" t="s">
        <v>645</v>
      </c>
      <c r="AN1615" s="364" t="s">
        <v>644</v>
      </c>
    </row>
    <row r="1616" spans="1:40" x14ac:dyDescent="0.3">
      <c r="A1616" s="364" t="s">
        <v>1030</v>
      </c>
      <c r="B1616" s="364" t="s">
        <v>661</v>
      </c>
      <c r="C1616" s="364" t="s">
        <v>660</v>
      </c>
      <c r="D1616" s="364" t="s">
        <v>87</v>
      </c>
      <c r="E1616" s="364" t="s">
        <v>967</v>
      </c>
      <c r="F1616" s="364" t="s">
        <v>967</v>
      </c>
      <c r="G1616" s="364" t="s">
        <v>658</v>
      </c>
      <c r="H1616" s="364" t="s">
        <v>735</v>
      </c>
      <c r="I1616" s="364" t="s">
        <v>966</v>
      </c>
      <c r="J1616" s="364" t="s">
        <v>198</v>
      </c>
      <c r="K1616" s="364" t="s">
        <v>645</v>
      </c>
      <c r="L1616" s="364" t="s">
        <v>188</v>
      </c>
      <c r="M1616" s="364" t="s">
        <v>696</v>
      </c>
      <c r="N1616" s="364" t="s">
        <v>654</v>
      </c>
      <c r="O1616" s="364" t="s">
        <v>653</v>
      </c>
      <c r="P1616" s="364" t="s">
        <v>198</v>
      </c>
      <c r="Q1616" s="364" t="s">
        <v>652</v>
      </c>
      <c r="R1616" s="364" t="s">
        <v>88</v>
      </c>
      <c r="S1616" s="364" t="s">
        <v>88</v>
      </c>
      <c r="T1616" s="364" t="s">
        <v>88</v>
      </c>
      <c r="U1616" s="364" t="s">
        <v>88</v>
      </c>
      <c r="V1616" s="364" t="s">
        <v>88</v>
      </c>
      <c r="W1616" s="364" t="s">
        <v>88</v>
      </c>
      <c r="X1616" s="364" t="s">
        <v>88</v>
      </c>
      <c r="Y1616" s="364" t="s">
        <v>88</v>
      </c>
      <c r="Z1616" s="364" t="s">
        <v>695</v>
      </c>
      <c r="AA1616" s="364" t="s">
        <v>694</v>
      </c>
      <c r="AB1616" s="364" t="s">
        <v>649</v>
      </c>
      <c r="AC1616" s="364" t="s">
        <v>649</v>
      </c>
      <c r="AD1616" s="364" t="s">
        <v>649</v>
      </c>
      <c r="AE1616" s="364" t="s">
        <v>88</v>
      </c>
      <c r="AF1616" s="364" t="s">
        <v>88</v>
      </c>
      <c r="AG1616" s="364" t="s">
        <v>88</v>
      </c>
      <c r="AH1616" s="364" t="s">
        <v>88</v>
      </c>
      <c r="AI1616" s="364" t="s">
        <v>88</v>
      </c>
      <c r="AJ1616" s="364" t="s">
        <v>670</v>
      </c>
      <c r="AK1616" s="364" t="s">
        <v>669</v>
      </c>
      <c r="AL1616" s="364" t="s">
        <v>646</v>
      </c>
      <c r="AM1616" s="364" t="s">
        <v>645</v>
      </c>
      <c r="AN1616" s="364" t="s">
        <v>644</v>
      </c>
    </row>
    <row r="1617" spans="1:40" x14ac:dyDescent="0.3">
      <c r="A1617" s="364" t="s">
        <v>1029</v>
      </c>
      <c r="B1617" s="364" t="s">
        <v>661</v>
      </c>
      <c r="C1617" s="364" t="s">
        <v>660</v>
      </c>
      <c r="D1617" s="364" t="s">
        <v>87</v>
      </c>
      <c r="E1617" s="364" t="s">
        <v>786</v>
      </c>
      <c r="F1617" s="364" t="s">
        <v>786</v>
      </c>
      <c r="G1617" s="364" t="s">
        <v>658</v>
      </c>
      <c r="H1617" s="364" t="s">
        <v>1028</v>
      </c>
      <c r="I1617" s="364" t="s">
        <v>765</v>
      </c>
      <c r="J1617" s="364" t="s">
        <v>198</v>
      </c>
      <c r="K1617" s="364" t="s">
        <v>645</v>
      </c>
      <c r="L1617" s="364" t="s">
        <v>188</v>
      </c>
      <c r="M1617" s="364" t="s">
        <v>696</v>
      </c>
      <c r="N1617" s="364" t="s">
        <v>654</v>
      </c>
      <c r="O1617" s="364" t="s">
        <v>653</v>
      </c>
      <c r="P1617" s="364" t="s">
        <v>198</v>
      </c>
      <c r="Q1617" s="364" t="s">
        <v>652</v>
      </c>
      <c r="R1617" s="364" t="s">
        <v>88</v>
      </c>
      <c r="S1617" s="364" t="s">
        <v>88</v>
      </c>
      <c r="T1617" s="364" t="s">
        <v>88</v>
      </c>
      <c r="U1617" s="364" t="s">
        <v>88</v>
      </c>
      <c r="V1617" s="364" t="s">
        <v>88</v>
      </c>
      <c r="W1617" s="364" t="s">
        <v>88</v>
      </c>
      <c r="X1617" s="364" t="s">
        <v>88</v>
      </c>
      <c r="Y1617" s="364" t="s">
        <v>88</v>
      </c>
      <c r="Z1617" s="364" t="s">
        <v>695</v>
      </c>
      <c r="AA1617" s="364" t="s">
        <v>694</v>
      </c>
      <c r="AB1617" s="364" t="s">
        <v>649</v>
      </c>
      <c r="AC1617" s="364" t="s">
        <v>649</v>
      </c>
      <c r="AD1617" s="364" t="s">
        <v>649</v>
      </c>
      <c r="AE1617" s="364" t="s">
        <v>88</v>
      </c>
      <c r="AF1617" s="364" t="s">
        <v>88</v>
      </c>
      <c r="AG1617" s="364" t="s">
        <v>88</v>
      </c>
      <c r="AH1617" s="364" t="s">
        <v>88</v>
      </c>
      <c r="AI1617" s="364" t="s">
        <v>88</v>
      </c>
      <c r="AJ1617" s="364" t="s">
        <v>663</v>
      </c>
      <c r="AK1617" s="364" t="s">
        <v>687</v>
      </c>
      <c r="AL1617" s="364" t="s">
        <v>646</v>
      </c>
      <c r="AM1617" s="364" t="s">
        <v>645</v>
      </c>
      <c r="AN1617" s="364" t="s">
        <v>644</v>
      </c>
    </row>
    <row r="1618" spans="1:40" x14ac:dyDescent="0.3">
      <c r="A1618" s="364" t="s">
        <v>1027</v>
      </c>
      <c r="B1618" s="364" t="s">
        <v>661</v>
      </c>
      <c r="C1618" s="364" t="s">
        <v>660</v>
      </c>
      <c r="D1618" s="364" t="s">
        <v>87</v>
      </c>
      <c r="E1618" s="364" t="s">
        <v>1026</v>
      </c>
      <c r="F1618" s="364" t="s">
        <v>1026</v>
      </c>
      <c r="G1618" s="364" t="s">
        <v>658</v>
      </c>
      <c r="H1618" s="364" t="s">
        <v>698</v>
      </c>
      <c r="I1618" s="364" t="s">
        <v>1025</v>
      </c>
      <c r="J1618" s="364" t="s">
        <v>198</v>
      </c>
      <c r="K1618" s="364" t="s">
        <v>645</v>
      </c>
      <c r="L1618" s="364" t="s">
        <v>188</v>
      </c>
      <c r="M1618" s="364" t="s">
        <v>696</v>
      </c>
      <c r="N1618" s="364" t="s">
        <v>654</v>
      </c>
      <c r="O1618" s="364" t="s">
        <v>653</v>
      </c>
      <c r="P1618" s="364" t="s">
        <v>198</v>
      </c>
      <c r="Q1618" s="364" t="s">
        <v>652</v>
      </c>
      <c r="R1618" s="364" t="s">
        <v>88</v>
      </c>
      <c r="S1618" s="364" t="s">
        <v>88</v>
      </c>
      <c r="T1618" s="364" t="s">
        <v>88</v>
      </c>
      <c r="U1618" s="364" t="s">
        <v>88</v>
      </c>
      <c r="V1618" s="364" t="s">
        <v>88</v>
      </c>
      <c r="W1618" s="364" t="s">
        <v>88</v>
      </c>
      <c r="X1618" s="364" t="s">
        <v>88</v>
      </c>
      <c r="Y1618" s="364" t="s">
        <v>88</v>
      </c>
      <c r="Z1618" s="364" t="s">
        <v>695</v>
      </c>
      <c r="AA1618" s="364" t="s">
        <v>694</v>
      </c>
      <c r="AB1618" s="364" t="s">
        <v>649</v>
      </c>
      <c r="AC1618" s="364" t="s">
        <v>649</v>
      </c>
      <c r="AD1618" s="364" t="s">
        <v>649</v>
      </c>
      <c r="AE1618" s="364" t="s">
        <v>88</v>
      </c>
      <c r="AF1618" s="364" t="s">
        <v>88</v>
      </c>
      <c r="AG1618" s="364" t="s">
        <v>88</v>
      </c>
      <c r="AH1618" s="364" t="s">
        <v>88</v>
      </c>
      <c r="AI1618" s="364" t="s">
        <v>88</v>
      </c>
      <c r="AJ1618" s="364" t="s">
        <v>648</v>
      </c>
      <c r="AK1618" s="364" t="s">
        <v>669</v>
      </c>
      <c r="AL1618" s="364" t="s">
        <v>646</v>
      </c>
      <c r="AM1618" s="364" t="s">
        <v>645</v>
      </c>
      <c r="AN1618" s="364" t="s">
        <v>644</v>
      </c>
    </row>
    <row r="1619" spans="1:40" x14ac:dyDescent="0.3">
      <c r="A1619" s="364" t="s">
        <v>1024</v>
      </c>
      <c r="B1619" s="364" t="s">
        <v>661</v>
      </c>
      <c r="C1619" s="364" t="s">
        <v>660</v>
      </c>
      <c r="D1619" s="364" t="s">
        <v>87</v>
      </c>
      <c r="E1619" s="364" t="s">
        <v>1023</v>
      </c>
      <c r="F1619" s="364" t="s">
        <v>1023</v>
      </c>
      <c r="G1619" s="364" t="s">
        <v>658</v>
      </c>
      <c r="H1619" s="364" t="s">
        <v>735</v>
      </c>
      <c r="I1619" s="364" t="s">
        <v>1022</v>
      </c>
      <c r="J1619" s="364" t="s">
        <v>198</v>
      </c>
      <c r="K1619" s="364" t="s">
        <v>645</v>
      </c>
      <c r="L1619" s="364" t="s">
        <v>188</v>
      </c>
      <c r="M1619" s="364" t="s">
        <v>696</v>
      </c>
      <c r="N1619" s="364" t="s">
        <v>654</v>
      </c>
      <c r="O1619" s="364" t="s">
        <v>653</v>
      </c>
      <c r="P1619" s="364" t="s">
        <v>198</v>
      </c>
      <c r="Q1619" s="364" t="s">
        <v>652</v>
      </c>
      <c r="R1619" s="364" t="s">
        <v>88</v>
      </c>
      <c r="S1619" s="364" t="s">
        <v>88</v>
      </c>
      <c r="T1619" s="364" t="s">
        <v>88</v>
      </c>
      <c r="U1619" s="364" t="s">
        <v>88</v>
      </c>
      <c r="V1619" s="364" t="s">
        <v>88</v>
      </c>
      <c r="W1619" s="364" t="s">
        <v>88</v>
      </c>
      <c r="X1619" s="364" t="s">
        <v>88</v>
      </c>
      <c r="Y1619" s="364" t="s">
        <v>88</v>
      </c>
      <c r="Z1619" s="364" t="s">
        <v>695</v>
      </c>
      <c r="AA1619" s="364" t="s">
        <v>694</v>
      </c>
      <c r="AB1619" s="364" t="s">
        <v>649</v>
      </c>
      <c r="AC1619" s="364" t="s">
        <v>649</v>
      </c>
      <c r="AD1619" s="364" t="s">
        <v>649</v>
      </c>
      <c r="AE1619" s="364" t="s">
        <v>88</v>
      </c>
      <c r="AF1619" s="364" t="s">
        <v>88</v>
      </c>
      <c r="AG1619" s="364" t="s">
        <v>88</v>
      </c>
      <c r="AH1619" s="364" t="s">
        <v>88</v>
      </c>
      <c r="AI1619" s="364" t="s">
        <v>88</v>
      </c>
      <c r="AJ1619" s="364" t="s">
        <v>670</v>
      </c>
      <c r="AK1619" s="364" t="s">
        <v>669</v>
      </c>
      <c r="AL1619" s="364" t="s">
        <v>646</v>
      </c>
      <c r="AM1619" s="364" t="s">
        <v>645</v>
      </c>
      <c r="AN1619" s="364" t="s">
        <v>644</v>
      </c>
    </row>
    <row r="1620" spans="1:40" x14ac:dyDescent="0.3">
      <c r="A1620" s="364" t="s">
        <v>1020</v>
      </c>
      <c r="B1620" s="364" t="s">
        <v>661</v>
      </c>
      <c r="C1620" s="364" t="s">
        <v>660</v>
      </c>
      <c r="D1620" s="364" t="s">
        <v>90</v>
      </c>
      <c r="E1620" s="364" t="s">
        <v>1019</v>
      </c>
      <c r="F1620" s="364" t="s">
        <v>1019</v>
      </c>
      <c r="G1620" s="364" t="s">
        <v>658</v>
      </c>
      <c r="H1620" s="364" t="s">
        <v>1018</v>
      </c>
      <c r="I1620" s="364" t="s">
        <v>1017</v>
      </c>
      <c r="J1620" s="364" t="s">
        <v>673</v>
      </c>
      <c r="K1620" s="364" t="s">
        <v>668</v>
      </c>
      <c r="L1620" s="364" t="s">
        <v>190</v>
      </c>
      <c r="M1620" s="364" t="s">
        <v>61</v>
      </c>
      <c r="N1620" s="364" t="s">
        <v>654</v>
      </c>
      <c r="O1620" s="364" t="s">
        <v>653</v>
      </c>
      <c r="P1620" s="364" t="s">
        <v>198</v>
      </c>
      <c r="Q1620" s="364" t="s">
        <v>652</v>
      </c>
      <c r="R1620" s="364" t="s">
        <v>88</v>
      </c>
      <c r="S1620" s="364" t="s">
        <v>88</v>
      </c>
      <c r="T1620" s="364" t="s">
        <v>88</v>
      </c>
      <c r="U1620" s="364" t="s">
        <v>88</v>
      </c>
      <c r="V1620" s="364" t="s">
        <v>88</v>
      </c>
      <c r="W1620" s="364" t="s">
        <v>88</v>
      </c>
      <c r="X1620" s="364" t="s">
        <v>88</v>
      </c>
      <c r="Y1620" s="364" t="s">
        <v>88</v>
      </c>
      <c r="Z1620" s="364" t="s">
        <v>1021</v>
      </c>
      <c r="AA1620" s="364" t="s">
        <v>671</v>
      </c>
      <c r="AB1620" s="364" t="s">
        <v>649</v>
      </c>
      <c r="AC1620" s="364" t="s">
        <v>649</v>
      </c>
      <c r="AD1620" s="364" t="s">
        <v>649</v>
      </c>
      <c r="AE1620" s="364" t="s">
        <v>88</v>
      </c>
      <c r="AF1620" s="364" t="s">
        <v>88</v>
      </c>
      <c r="AG1620" s="364" t="s">
        <v>88</v>
      </c>
      <c r="AH1620" s="364" t="s">
        <v>88</v>
      </c>
      <c r="AI1620" s="364" t="s">
        <v>88</v>
      </c>
      <c r="AJ1620" s="364" t="s">
        <v>710</v>
      </c>
      <c r="AK1620" s="364" t="s">
        <v>1016</v>
      </c>
      <c r="AL1620" s="364" t="s">
        <v>646</v>
      </c>
      <c r="AM1620" s="364" t="s">
        <v>668</v>
      </c>
      <c r="AN1620" s="364" t="s">
        <v>644</v>
      </c>
    </row>
    <row r="1621" spans="1:40" x14ac:dyDescent="0.3">
      <c r="A1621" s="364" t="s">
        <v>1020</v>
      </c>
      <c r="B1621" s="364" t="s">
        <v>661</v>
      </c>
      <c r="C1621" s="364" t="s">
        <v>660</v>
      </c>
      <c r="D1621" s="364" t="s">
        <v>90</v>
      </c>
      <c r="E1621" s="364" t="s">
        <v>1019</v>
      </c>
      <c r="F1621" s="364" t="s">
        <v>1019</v>
      </c>
      <c r="G1621" s="364" t="s">
        <v>658</v>
      </c>
      <c r="H1621" s="364" t="s">
        <v>1018</v>
      </c>
      <c r="I1621" s="364" t="s">
        <v>1017</v>
      </c>
      <c r="J1621" s="364" t="s">
        <v>673</v>
      </c>
      <c r="K1621" s="364" t="s">
        <v>668</v>
      </c>
      <c r="L1621" s="364" t="s">
        <v>190</v>
      </c>
      <c r="M1621" s="364" t="s">
        <v>725</v>
      </c>
      <c r="N1621" s="364" t="s">
        <v>654</v>
      </c>
      <c r="O1621" s="364" t="s">
        <v>653</v>
      </c>
      <c r="P1621" s="364" t="s">
        <v>198</v>
      </c>
      <c r="Q1621" s="364" t="s">
        <v>652</v>
      </c>
      <c r="R1621" s="364" t="s">
        <v>88</v>
      </c>
      <c r="S1621" s="364" t="s">
        <v>88</v>
      </c>
      <c r="T1621" s="364" t="s">
        <v>88</v>
      </c>
      <c r="U1621" s="364" t="s">
        <v>88</v>
      </c>
      <c r="V1621" s="364" t="s">
        <v>88</v>
      </c>
      <c r="W1621" s="364" t="s">
        <v>88</v>
      </c>
      <c r="X1621" s="364" t="s">
        <v>88</v>
      </c>
      <c r="Y1621" s="364" t="s">
        <v>88</v>
      </c>
      <c r="Z1621" s="364" t="s">
        <v>724</v>
      </c>
      <c r="AA1621" s="364" t="s">
        <v>649</v>
      </c>
      <c r="AB1621" s="364" t="s">
        <v>649</v>
      </c>
      <c r="AC1621" s="364" t="s">
        <v>649</v>
      </c>
      <c r="AD1621" s="364" t="s">
        <v>649</v>
      </c>
      <c r="AE1621" s="364" t="s">
        <v>88</v>
      </c>
      <c r="AF1621" s="364" t="s">
        <v>88</v>
      </c>
      <c r="AG1621" s="364" t="s">
        <v>88</v>
      </c>
      <c r="AH1621" s="364" t="s">
        <v>88</v>
      </c>
      <c r="AI1621" s="364" t="s">
        <v>88</v>
      </c>
      <c r="AJ1621" s="364" t="s">
        <v>710</v>
      </c>
      <c r="AK1621" s="364" t="s">
        <v>1016</v>
      </c>
      <c r="AL1621" s="364" t="s">
        <v>646</v>
      </c>
      <c r="AM1621" s="364" t="s">
        <v>668</v>
      </c>
      <c r="AN1621" s="364" t="s">
        <v>644</v>
      </c>
    </row>
    <row r="1622" spans="1:40" x14ac:dyDescent="0.3">
      <c r="A1622" s="364" t="s">
        <v>1020</v>
      </c>
      <c r="B1622" s="364" t="s">
        <v>661</v>
      </c>
      <c r="C1622" s="364" t="s">
        <v>660</v>
      </c>
      <c r="D1622" s="364" t="s">
        <v>90</v>
      </c>
      <c r="E1622" s="364" t="s">
        <v>1019</v>
      </c>
      <c r="F1622" s="364" t="s">
        <v>1019</v>
      </c>
      <c r="G1622" s="364" t="s">
        <v>658</v>
      </c>
      <c r="H1622" s="364" t="s">
        <v>1018</v>
      </c>
      <c r="I1622" s="364" t="s">
        <v>1017</v>
      </c>
      <c r="J1622" s="364" t="s">
        <v>673</v>
      </c>
      <c r="K1622" s="364" t="s">
        <v>668</v>
      </c>
      <c r="L1622" s="364" t="s">
        <v>190</v>
      </c>
      <c r="M1622" s="364" t="s">
        <v>723</v>
      </c>
      <c r="N1622" s="364" t="s">
        <v>654</v>
      </c>
      <c r="O1622" s="364" t="s">
        <v>653</v>
      </c>
      <c r="P1622" s="364" t="s">
        <v>198</v>
      </c>
      <c r="Q1622" s="364" t="s">
        <v>652</v>
      </c>
      <c r="R1622" s="364" t="s">
        <v>88</v>
      </c>
      <c r="S1622" s="364" t="s">
        <v>88</v>
      </c>
      <c r="T1622" s="364" t="s">
        <v>88</v>
      </c>
      <c r="U1622" s="364" t="s">
        <v>88</v>
      </c>
      <c r="V1622" s="364" t="s">
        <v>88</v>
      </c>
      <c r="W1622" s="364" t="s">
        <v>88</v>
      </c>
      <c r="X1622" s="364" t="s">
        <v>88</v>
      </c>
      <c r="Y1622" s="364" t="s">
        <v>88</v>
      </c>
      <c r="Z1622" s="364" t="s">
        <v>722</v>
      </c>
      <c r="AA1622" s="364" t="s">
        <v>649</v>
      </c>
      <c r="AB1622" s="364" t="s">
        <v>649</v>
      </c>
      <c r="AC1622" s="364" t="s">
        <v>649</v>
      </c>
      <c r="AD1622" s="364" t="s">
        <v>649</v>
      </c>
      <c r="AE1622" s="364" t="s">
        <v>88</v>
      </c>
      <c r="AF1622" s="364" t="s">
        <v>88</v>
      </c>
      <c r="AG1622" s="364" t="s">
        <v>88</v>
      </c>
      <c r="AH1622" s="364" t="s">
        <v>88</v>
      </c>
      <c r="AI1622" s="364" t="s">
        <v>88</v>
      </c>
      <c r="AJ1622" s="364" t="s">
        <v>710</v>
      </c>
      <c r="AK1622" s="364" t="s">
        <v>1016</v>
      </c>
      <c r="AL1622" s="364" t="s">
        <v>646</v>
      </c>
      <c r="AM1622" s="364" t="s">
        <v>668</v>
      </c>
      <c r="AN1622" s="364" t="s">
        <v>644</v>
      </c>
    </row>
    <row r="1623" spans="1:40" x14ac:dyDescent="0.3">
      <c r="A1623" s="364" t="s">
        <v>1020</v>
      </c>
      <c r="B1623" s="364" t="s">
        <v>661</v>
      </c>
      <c r="C1623" s="364" t="s">
        <v>660</v>
      </c>
      <c r="D1623" s="364" t="s">
        <v>90</v>
      </c>
      <c r="E1623" s="364" t="s">
        <v>1019</v>
      </c>
      <c r="F1623" s="364" t="s">
        <v>1019</v>
      </c>
      <c r="G1623" s="364" t="s">
        <v>658</v>
      </c>
      <c r="H1623" s="364" t="s">
        <v>1018</v>
      </c>
      <c r="I1623" s="364" t="s">
        <v>1017</v>
      </c>
      <c r="J1623" s="364" t="s">
        <v>673</v>
      </c>
      <c r="K1623" s="364" t="s">
        <v>668</v>
      </c>
      <c r="L1623" s="364" t="s">
        <v>190</v>
      </c>
      <c r="M1623" s="364" t="s">
        <v>721</v>
      </c>
      <c r="N1623" s="364" t="s">
        <v>654</v>
      </c>
      <c r="O1623" s="364" t="s">
        <v>653</v>
      </c>
      <c r="P1623" s="364" t="s">
        <v>198</v>
      </c>
      <c r="Q1623" s="364" t="s">
        <v>652</v>
      </c>
      <c r="R1623" s="364" t="s">
        <v>88</v>
      </c>
      <c r="S1623" s="364" t="s">
        <v>88</v>
      </c>
      <c r="T1623" s="364" t="s">
        <v>88</v>
      </c>
      <c r="U1623" s="364" t="s">
        <v>88</v>
      </c>
      <c r="V1623" s="364" t="s">
        <v>88</v>
      </c>
      <c r="W1623" s="364" t="s">
        <v>88</v>
      </c>
      <c r="X1623" s="364" t="s">
        <v>88</v>
      </c>
      <c r="Y1623" s="364" t="s">
        <v>88</v>
      </c>
      <c r="Z1623" s="364" t="s">
        <v>720</v>
      </c>
      <c r="AA1623" s="364" t="s">
        <v>649</v>
      </c>
      <c r="AB1623" s="364" t="s">
        <v>649</v>
      </c>
      <c r="AC1623" s="364" t="s">
        <v>649</v>
      </c>
      <c r="AD1623" s="364" t="s">
        <v>649</v>
      </c>
      <c r="AE1623" s="364" t="s">
        <v>88</v>
      </c>
      <c r="AF1623" s="364" t="s">
        <v>88</v>
      </c>
      <c r="AG1623" s="364" t="s">
        <v>88</v>
      </c>
      <c r="AH1623" s="364" t="s">
        <v>88</v>
      </c>
      <c r="AI1623" s="364" t="s">
        <v>88</v>
      </c>
      <c r="AJ1623" s="364" t="s">
        <v>710</v>
      </c>
      <c r="AK1623" s="364" t="s">
        <v>1016</v>
      </c>
      <c r="AL1623" s="364" t="s">
        <v>646</v>
      </c>
      <c r="AM1623" s="364" t="s">
        <v>668</v>
      </c>
      <c r="AN1623" s="364" t="s">
        <v>644</v>
      </c>
    </row>
    <row r="1624" spans="1:40" x14ac:dyDescent="0.3">
      <c r="A1624" s="364" t="s">
        <v>1020</v>
      </c>
      <c r="B1624" s="364" t="s">
        <v>661</v>
      </c>
      <c r="C1624" s="364" t="s">
        <v>660</v>
      </c>
      <c r="D1624" s="364" t="s">
        <v>90</v>
      </c>
      <c r="E1624" s="364" t="s">
        <v>1019</v>
      </c>
      <c r="F1624" s="364" t="s">
        <v>1019</v>
      </c>
      <c r="G1624" s="364" t="s">
        <v>658</v>
      </c>
      <c r="H1624" s="364" t="s">
        <v>1018</v>
      </c>
      <c r="I1624" s="364" t="s">
        <v>1017</v>
      </c>
      <c r="J1624" s="364" t="s">
        <v>673</v>
      </c>
      <c r="K1624" s="364" t="s">
        <v>668</v>
      </c>
      <c r="L1624" s="364" t="s">
        <v>190</v>
      </c>
      <c r="M1624" s="364" t="s">
        <v>55</v>
      </c>
      <c r="N1624" s="364" t="s">
        <v>654</v>
      </c>
      <c r="O1624" s="364" t="s">
        <v>653</v>
      </c>
      <c r="P1624" s="364" t="s">
        <v>198</v>
      </c>
      <c r="Q1624" s="364" t="s">
        <v>652</v>
      </c>
      <c r="R1624" s="364" t="s">
        <v>88</v>
      </c>
      <c r="S1624" s="364" t="s">
        <v>88</v>
      </c>
      <c r="T1624" s="364" t="s">
        <v>88</v>
      </c>
      <c r="U1624" s="364" t="s">
        <v>88</v>
      </c>
      <c r="V1624" s="364" t="s">
        <v>88</v>
      </c>
      <c r="W1624" s="364" t="s">
        <v>88</v>
      </c>
      <c r="X1624" s="364" t="s">
        <v>88</v>
      </c>
      <c r="Y1624" s="364" t="s">
        <v>88</v>
      </c>
      <c r="Z1624" s="364" t="s">
        <v>719</v>
      </c>
      <c r="AA1624" s="364" t="s">
        <v>649</v>
      </c>
      <c r="AB1624" s="364" t="s">
        <v>649</v>
      </c>
      <c r="AC1624" s="364" t="s">
        <v>649</v>
      </c>
      <c r="AD1624" s="364" t="s">
        <v>649</v>
      </c>
      <c r="AE1624" s="364" t="s">
        <v>88</v>
      </c>
      <c r="AF1624" s="364" t="s">
        <v>88</v>
      </c>
      <c r="AG1624" s="364" t="s">
        <v>88</v>
      </c>
      <c r="AH1624" s="364" t="s">
        <v>88</v>
      </c>
      <c r="AI1624" s="364" t="s">
        <v>88</v>
      </c>
      <c r="AJ1624" s="364" t="s">
        <v>710</v>
      </c>
      <c r="AK1624" s="364" t="s">
        <v>1016</v>
      </c>
      <c r="AL1624" s="364" t="s">
        <v>646</v>
      </c>
      <c r="AM1624" s="364" t="s">
        <v>668</v>
      </c>
      <c r="AN1624" s="364" t="s">
        <v>644</v>
      </c>
    </row>
    <row r="1625" spans="1:40" x14ac:dyDescent="0.3">
      <c r="A1625" s="364" t="s">
        <v>1020</v>
      </c>
      <c r="B1625" s="364" t="s">
        <v>661</v>
      </c>
      <c r="C1625" s="364" t="s">
        <v>660</v>
      </c>
      <c r="D1625" s="364" t="s">
        <v>90</v>
      </c>
      <c r="E1625" s="364" t="s">
        <v>1019</v>
      </c>
      <c r="F1625" s="364" t="s">
        <v>1019</v>
      </c>
      <c r="G1625" s="364" t="s">
        <v>658</v>
      </c>
      <c r="H1625" s="364" t="s">
        <v>1018</v>
      </c>
      <c r="I1625" s="364" t="s">
        <v>1017</v>
      </c>
      <c r="J1625" s="364" t="s">
        <v>673</v>
      </c>
      <c r="K1625" s="364" t="s">
        <v>668</v>
      </c>
      <c r="L1625" s="364" t="s">
        <v>190</v>
      </c>
      <c r="M1625" s="364" t="s">
        <v>718</v>
      </c>
      <c r="N1625" s="364" t="s">
        <v>654</v>
      </c>
      <c r="O1625" s="364" t="s">
        <v>653</v>
      </c>
      <c r="P1625" s="364" t="s">
        <v>198</v>
      </c>
      <c r="Q1625" s="364" t="s">
        <v>652</v>
      </c>
      <c r="R1625" s="364" t="s">
        <v>88</v>
      </c>
      <c r="S1625" s="364" t="s">
        <v>88</v>
      </c>
      <c r="T1625" s="364" t="s">
        <v>88</v>
      </c>
      <c r="U1625" s="364" t="s">
        <v>88</v>
      </c>
      <c r="V1625" s="364" t="s">
        <v>88</v>
      </c>
      <c r="W1625" s="364" t="s">
        <v>88</v>
      </c>
      <c r="X1625" s="364" t="s">
        <v>88</v>
      </c>
      <c r="Y1625" s="364" t="s">
        <v>88</v>
      </c>
      <c r="Z1625" s="364" t="s">
        <v>717</v>
      </c>
      <c r="AA1625" s="364" t="s">
        <v>649</v>
      </c>
      <c r="AB1625" s="364" t="s">
        <v>649</v>
      </c>
      <c r="AC1625" s="364" t="s">
        <v>649</v>
      </c>
      <c r="AD1625" s="364" t="s">
        <v>649</v>
      </c>
      <c r="AE1625" s="364" t="s">
        <v>88</v>
      </c>
      <c r="AF1625" s="364" t="s">
        <v>88</v>
      </c>
      <c r="AG1625" s="364" t="s">
        <v>88</v>
      </c>
      <c r="AH1625" s="364" t="s">
        <v>88</v>
      </c>
      <c r="AI1625" s="364" t="s">
        <v>88</v>
      </c>
      <c r="AJ1625" s="364" t="s">
        <v>710</v>
      </c>
      <c r="AK1625" s="364" t="s">
        <v>1016</v>
      </c>
      <c r="AL1625" s="364" t="s">
        <v>646</v>
      </c>
      <c r="AM1625" s="364" t="s">
        <v>668</v>
      </c>
      <c r="AN1625" s="364" t="s">
        <v>644</v>
      </c>
    </row>
    <row r="1626" spans="1:40" x14ac:dyDescent="0.3">
      <c r="A1626" s="364" t="s">
        <v>1020</v>
      </c>
      <c r="B1626" s="364" t="s">
        <v>661</v>
      </c>
      <c r="C1626" s="364" t="s">
        <v>660</v>
      </c>
      <c r="D1626" s="364" t="s">
        <v>90</v>
      </c>
      <c r="E1626" s="364" t="s">
        <v>1019</v>
      </c>
      <c r="F1626" s="364" t="s">
        <v>1019</v>
      </c>
      <c r="G1626" s="364" t="s">
        <v>658</v>
      </c>
      <c r="H1626" s="364" t="s">
        <v>1018</v>
      </c>
      <c r="I1626" s="364" t="s">
        <v>1017</v>
      </c>
      <c r="J1626" s="364" t="s">
        <v>673</v>
      </c>
      <c r="K1626" s="364" t="s">
        <v>668</v>
      </c>
      <c r="L1626" s="364" t="s">
        <v>190</v>
      </c>
      <c r="M1626" s="364" t="s">
        <v>713</v>
      </c>
      <c r="N1626" s="364" t="s">
        <v>654</v>
      </c>
      <c r="O1626" s="364" t="s">
        <v>653</v>
      </c>
      <c r="P1626" s="364" t="s">
        <v>198</v>
      </c>
      <c r="Q1626" s="364" t="s">
        <v>652</v>
      </c>
      <c r="R1626" s="364" t="s">
        <v>88</v>
      </c>
      <c r="S1626" s="364" t="s">
        <v>88</v>
      </c>
      <c r="T1626" s="364" t="s">
        <v>88</v>
      </c>
      <c r="U1626" s="364" t="s">
        <v>88</v>
      </c>
      <c r="V1626" s="364" t="s">
        <v>88</v>
      </c>
      <c r="W1626" s="364" t="s">
        <v>88</v>
      </c>
      <c r="X1626" s="364" t="s">
        <v>88</v>
      </c>
      <c r="Y1626" s="364" t="s">
        <v>88</v>
      </c>
      <c r="Z1626" s="364" t="s">
        <v>712</v>
      </c>
      <c r="AA1626" s="364" t="s">
        <v>711</v>
      </c>
      <c r="AB1626" s="364" t="s">
        <v>649</v>
      </c>
      <c r="AC1626" s="364" t="s">
        <v>649</v>
      </c>
      <c r="AD1626" s="364" t="s">
        <v>649</v>
      </c>
      <c r="AE1626" s="364" t="s">
        <v>88</v>
      </c>
      <c r="AF1626" s="364" t="s">
        <v>88</v>
      </c>
      <c r="AG1626" s="364" t="s">
        <v>88</v>
      </c>
      <c r="AH1626" s="364" t="s">
        <v>88</v>
      </c>
      <c r="AI1626" s="364" t="s">
        <v>88</v>
      </c>
      <c r="AJ1626" s="364" t="s">
        <v>710</v>
      </c>
      <c r="AK1626" s="364" t="s">
        <v>1016</v>
      </c>
      <c r="AL1626" s="364" t="s">
        <v>646</v>
      </c>
      <c r="AM1626" s="364" t="s">
        <v>668</v>
      </c>
      <c r="AN1626" s="364" t="s">
        <v>644</v>
      </c>
    </row>
    <row r="1627" spans="1:40" x14ac:dyDescent="0.3">
      <c r="A1627" s="364" t="s">
        <v>1015</v>
      </c>
      <c r="B1627" s="364" t="s">
        <v>661</v>
      </c>
      <c r="C1627" s="364" t="s">
        <v>660</v>
      </c>
      <c r="D1627" s="364" t="s">
        <v>87</v>
      </c>
      <c r="E1627" s="364" t="s">
        <v>759</v>
      </c>
      <c r="F1627" s="364" t="s">
        <v>759</v>
      </c>
      <c r="G1627" s="364" t="s">
        <v>658</v>
      </c>
      <c r="H1627" s="364" t="s">
        <v>1014</v>
      </c>
      <c r="I1627" s="364" t="s">
        <v>690</v>
      </c>
      <c r="J1627" s="364" t="s">
        <v>673</v>
      </c>
      <c r="K1627" s="364" t="s">
        <v>668</v>
      </c>
      <c r="L1627" s="364" t="s">
        <v>190</v>
      </c>
      <c r="M1627" s="364" t="s">
        <v>62</v>
      </c>
      <c r="N1627" s="364" t="s">
        <v>654</v>
      </c>
      <c r="O1627" s="364" t="s">
        <v>653</v>
      </c>
      <c r="P1627" s="364" t="s">
        <v>198</v>
      </c>
      <c r="Q1627" s="364" t="s">
        <v>652</v>
      </c>
      <c r="R1627" s="364" t="s">
        <v>88</v>
      </c>
      <c r="S1627" s="364" t="s">
        <v>88</v>
      </c>
      <c r="T1627" s="364" t="s">
        <v>88</v>
      </c>
      <c r="U1627" s="364" t="s">
        <v>88</v>
      </c>
      <c r="V1627" s="364" t="s">
        <v>88</v>
      </c>
      <c r="W1627" s="364" t="s">
        <v>88</v>
      </c>
      <c r="X1627" s="364" t="s">
        <v>88</v>
      </c>
      <c r="Y1627" s="364" t="s">
        <v>88</v>
      </c>
      <c r="Z1627" s="364" t="s">
        <v>689</v>
      </c>
      <c r="AA1627" s="364" t="s">
        <v>688</v>
      </c>
      <c r="AB1627" s="364" t="s">
        <v>649</v>
      </c>
      <c r="AC1627" s="364" t="s">
        <v>649</v>
      </c>
      <c r="AD1627" s="364" t="s">
        <v>649</v>
      </c>
      <c r="AE1627" s="364" t="s">
        <v>88</v>
      </c>
      <c r="AF1627" s="364" t="s">
        <v>88</v>
      </c>
      <c r="AG1627" s="364" t="s">
        <v>88</v>
      </c>
      <c r="AH1627" s="364" t="s">
        <v>88</v>
      </c>
      <c r="AI1627" s="364" t="s">
        <v>88</v>
      </c>
      <c r="AJ1627" s="364" t="s">
        <v>670</v>
      </c>
      <c r="AK1627" s="364" t="s">
        <v>687</v>
      </c>
      <c r="AL1627" s="364" t="s">
        <v>646</v>
      </c>
      <c r="AM1627" s="364" t="s">
        <v>668</v>
      </c>
      <c r="AN1627" s="364" t="s">
        <v>644</v>
      </c>
    </row>
    <row r="1628" spans="1:40" x14ac:dyDescent="0.3">
      <c r="A1628" s="364" t="s">
        <v>1013</v>
      </c>
      <c r="B1628" s="364" t="s">
        <v>661</v>
      </c>
      <c r="C1628" s="364" t="s">
        <v>660</v>
      </c>
      <c r="D1628" s="364" t="s">
        <v>87</v>
      </c>
      <c r="E1628" s="364" t="s">
        <v>1012</v>
      </c>
      <c r="F1628" s="364" t="s">
        <v>1012</v>
      </c>
      <c r="G1628" s="364" t="s">
        <v>658</v>
      </c>
      <c r="H1628" s="364" t="s">
        <v>1011</v>
      </c>
      <c r="I1628" s="364" t="s">
        <v>1010</v>
      </c>
      <c r="J1628" s="364" t="s">
        <v>198</v>
      </c>
      <c r="K1628" s="364" t="s">
        <v>645</v>
      </c>
      <c r="L1628" s="364" t="s">
        <v>188</v>
      </c>
      <c r="M1628" s="364" t="s">
        <v>696</v>
      </c>
      <c r="N1628" s="364" t="s">
        <v>654</v>
      </c>
      <c r="O1628" s="364" t="s">
        <v>653</v>
      </c>
      <c r="P1628" s="364" t="s">
        <v>198</v>
      </c>
      <c r="Q1628" s="364" t="s">
        <v>652</v>
      </c>
      <c r="R1628" s="364" t="s">
        <v>88</v>
      </c>
      <c r="S1628" s="364" t="s">
        <v>88</v>
      </c>
      <c r="T1628" s="364" t="s">
        <v>88</v>
      </c>
      <c r="U1628" s="364" t="s">
        <v>88</v>
      </c>
      <c r="V1628" s="364" t="s">
        <v>88</v>
      </c>
      <c r="W1628" s="364" t="s">
        <v>88</v>
      </c>
      <c r="X1628" s="364" t="s">
        <v>88</v>
      </c>
      <c r="Y1628" s="364" t="s">
        <v>88</v>
      </c>
      <c r="Z1628" s="364" t="s">
        <v>695</v>
      </c>
      <c r="AA1628" s="364" t="s">
        <v>694</v>
      </c>
      <c r="AB1628" s="364" t="s">
        <v>649</v>
      </c>
      <c r="AC1628" s="364" t="s">
        <v>649</v>
      </c>
      <c r="AD1628" s="364" t="s">
        <v>649</v>
      </c>
      <c r="AE1628" s="364" t="s">
        <v>88</v>
      </c>
      <c r="AF1628" s="364" t="s">
        <v>88</v>
      </c>
      <c r="AG1628" s="364" t="s">
        <v>88</v>
      </c>
      <c r="AH1628" s="364" t="s">
        <v>88</v>
      </c>
      <c r="AI1628" s="364" t="s">
        <v>88</v>
      </c>
      <c r="AJ1628" s="364" t="s">
        <v>670</v>
      </c>
      <c r="AK1628" s="364" t="s">
        <v>669</v>
      </c>
      <c r="AL1628" s="364" t="s">
        <v>646</v>
      </c>
      <c r="AM1628" s="364" t="s">
        <v>645</v>
      </c>
      <c r="AN1628" s="364" t="s">
        <v>644</v>
      </c>
    </row>
    <row r="1629" spans="1:40" x14ac:dyDescent="0.3">
      <c r="A1629" s="364" t="s">
        <v>1009</v>
      </c>
      <c r="B1629" s="364" t="s">
        <v>661</v>
      </c>
      <c r="C1629" s="364" t="s">
        <v>660</v>
      </c>
      <c r="D1629" s="364" t="s">
        <v>90</v>
      </c>
      <c r="E1629" s="364" t="s">
        <v>1008</v>
      </c>
      <c r="F1629" s="364" t="s">
        <v>1008</v>
      </c>
      <c r="G1629" s="364" t="s">
        <v>658</v>
      </c>
      <c r="H1629" s="364" t="s">
        <v>1007</v>
      </c>
      <c r="I1629" s="364" t="s">
        <v>1006</v>
      </c>
      <c r="J1629" s="364" t="s">
        <v>673</v>
      </c>
      <c r="K1629" s="364" t="s">
        <v>668</v>
      </c>
      <c r="L1629" s="364" t="s">
        <v>190</v>
      </c>
      <c r="M1629" s="364" t="s">
        <v>725</v>
      </c>
      <c r="N1629" s="364" t="s">
        <v>654</v>
      </c>
      <c r="O1629" s="364" t="s">
        <v>653</v>
      </c>
      <c r="P1629" s="364" t="s">
        <v>198</v>
      </c>
      <c r="Q1629" s="364" t="s">
        <v>652</v>
      </c>
      <c r="R1629" s="364" t="s">
        <v>88</v>
      </c>
      <c r="S1629" s="364" t="s">
        <v>88</v>
      </c>
      <c r="T1629" s="364" t="s">
        <v>88</v>
      </c>
      <c r="U1629" s="364" t="s">
        <v>88</v>
      </c>
      <c r="V1629" s="364" t="s">
        <v>88</v>
      </c>
      <c r="W1629" s="364" t="s">
        <v>88</v>
      </c>
      <c r="X1629" s="364" t="s">
        <v>88</v>
      </c>
      <c r="Y1629" s="364" t="s">
        <v>88</v>
      </c>
      <c r="Z1629" s="364" t="s">
        <v>724</v>
      </c>
      <c r="AA1629" s="364" t="s">
        <v>649</v>
      </c>
      <c r="AB1629" s="364" t="s">
        <v>649</v>
      </c>
      <c r="AC1629" s="364" t="s">
        <v>649</v>
      </c>
      <c r="AD1629" s="364" t="s">
        <v>649</v>
      </c>
      <c r="AE1629" s="364" t="s">
        <v>88</v>
      </c>
      <c r="AF1629" s="364" t="s">
        <v>88</v>
      </c>
      <c r="AG1629" s="364" t="s">
        <v>88</v>
      </c>
      <c r="AH1629" s="364" t="s">
        <v>88</v>
      </c>
      <c r="AI1629" s="364" t="s">
        <v>88</v>
      </c>
      <c r="AJ1629" s="364" t="s">
        <v>710</v>
      </c>
      <c r="AK1629" s="364" t="s">
        <v>647</v>
      </c>
      <c r="AL1629" s="364" t="s">
        <v>646</v>
      </c>
      <c r="AM1629" s="364" t="s">
        <v>668</v>
      </c>
      <c r="AN1629" s="364" t="s">
        <v>644</v>
      </c>
    </row>
    <row r="1630" spans="1:40" x14ac:dyDescent="0.3">
      <c r="A1630" s="364" t="s">
        <v>1009</v>
      </c>
      <c r="B1630" s="364" t="s">
        <v>661</v>
      </c>
      <c r="C1630" s="364" t="s">
        <v>660</v>
      </c>
      <c r="D1630" s="364" t="s">
        <v>90</v>
      </c>
      <c r="E1630" s="364" t="s">
        <v>1008</v>
      </c>
      <c r="F1630" s="364" t="s">
        <v>1008</v>
      </c>
      <c r="G1630" s="364" t="s">
        <v>658</v>
      </c>
      <c r="H1630" s="364" t="s">
        <v>1007</v>
      </c>
      <c r="I1630" s="364" t="s">
        <v>1006</v>
      </c>
      <c r="J1630" s="364" t="s">
        <v>673</v>
      </c>
      <c r="K1630" s="364" t="s">
        <v>668</v>
      </c>
      <c r="L1630" s="364" t="s">
        <v>190</v>
      </c>
      <c r="M1630" s="364" t="s">
        <v>723</v>
      </c>
      <c r="N1630" s="364" t="s">
        <v>654</v>
      </c>
      <c r="O1630" s="364" t="s">
        <v>653</v>
      </c>
      <c r="P1630" s="364" t="s">
        <v>198</v>
      </c>
      <c r="Q1630" s="364" t="s">
        <v>652</v>
      </c>
      <c r="R1630" s="364" t="s">
        <v>88</v>
      </c>
      <c r="S1630" s="364" t="s">
        <v>88</v>
      </c>
      <c r="T1630" s="364" t="s">
        <v>88</v>
      </c>
      <c r="U1630" s="364" t="s">
        <v>88</v>
      </c>
      <c r="V1630" s="364" t="s">
        <v>88</v>
      </c>
      <c r="W1630" s="364" t="s">
        <v>88</v>
      </c>
      <c r="X1630" s="364" t="s">
        <v>88</v>
      </c>
      <c r="Y1630" s="364" t="s">
        <v>88</v>
      </c>
      <c r="Z1630" s="364" t="s">
        <v>722</v>
      </c>
      <c r="AA1630" s="364" t="s">
        <v>649</v>
      </c>
      <c r="AB1630" s="364" t="s">
        <v>649</v>
      </c>
      <c r="AC1630" s="364" t="s">
        <v>649</v>
      </c>
      <c r="AD1630" s="364" t="s">
        <v>649</v>
      </c>
      <c r="AE1630" s="364" t="s">
        <v>88</v>
      </c>
      <c r="AF1630" s="364" t="s">
        <v>88</v>
      </c>
      <c r="AG1630" s="364" t="s">
        <v>88</v>
      </c>
      <c r="AH1630" s="364" t="s">
        <v>88</v>
      </c>
      <c r="AI1630" s="364" t="s">
        <v>88</v>
      </c>
      <c r="AJ1630" s="364" t="s">
        <v>710</v>
      </c>
      <c r="AK1630" s="364" t="s">
        <v>647</v>
      </c>
      <c r="AL1630" s="364" t="s">
        <v>646</v>
      </c>
      <c r="AM1630" s="364" t="s">
        <v>668</v>
      </c>
      <c r="AN1630" s="364" t="s">
        <v>644</v>
      </c>
    </row>
    <row r="1631" spans="1:40" x14ac:dyDescent="0.3">
      <c r="A1631" s="364" t="s">
        <v>1009</v>
      </c>
      <c r="B1631" s="364" t="s">
        <v>661</v>
      </c>
      <c r="C1631" s="364" t="s">
        <v>660</v>
      </c>
      <c r="D1631" s="364" t="s">
        <v>90</v>
      </c>
      <c r="E1631" s="364" t="s">
        <v>1008</v>
      </c>
      <c r="F1631" s="364" t="s">
        <v>1008</v>
      </c>
      <c r="G1631" s="364" t="s">
        <v>658</v>
      </c>
      <c r="H1631" s="364" t="s">
        <v>1007</v>
      </c>
      <c r="I1631" s="364" t="s">
        <v>1006</v>
      </c>
      <c r="J1631" s="364" t="s">
        <v>673</v>
      </c>
      <c r="K1631" s="364" t="s">
        <v>668</v>
      </c>
      <c r="L1631" s="364" t="s">
        <v>190</v>
      </c>
      <c r="M1631" s="364" t="s">
        <v>721</v>
      </c>
      <c r="N1631" s="364" t="s">
        <v>654</v>
      </c>
      <c r="O1631" s="364" t="s">
        <v>653</v>
      </c>
      <c r="P1631" s="364" t="s">
        <v>198</v>
      </c>
      <c r="Q1631" s="364" t="s">
        <v>652</v>
      </c>
      <c r="R1631" s="364" t="s">
        <v>88</v>
      </c>
      <c r="S1631" s="364" t="s">
        <v>88</v>
      </c>
      <c r="T1631" s="364" t="s">
        <v>88</v>
      </c>
      <c r="U1631" s="364" t="s">
        <v>88</v>
      </c>
      <c r="V1631" s="364" t="s">
        <v>88</v>
      </c>
      <c r="W1631" s="364" t="s">
        <v>88</v>
      </c>
      <c r="X1631" s="364" t="s">
        <v>88</v>
      </c>
      <c r="Y1631" s="364" t="s">
        <v>88</v>
      </c>
      <c r="Z1631" s="364" t="s">
        <v>720</v>
      </c>
      <c r="AA1631" s="364" t="s">
        <v>649</v>
      </c>
      <c r="AB1631" s="364" t="s">
        <v>649</v>
      </c>
      <c r="AC1631" s="364" t="s">
        <v>649</v>
      </c>
      <c r="AD1631" s="364" t="s">
        <v>649</v>
      </c>
      <c r="AE1631" s="364" t="s">
        <v>88</v>
      </c>
      <c r="AF1631" s="364" t="s">
        <v>88</v>
      </c>
      <c r="AG1631" s="364" t="s">
        <v>88</v>
      </c>
      <c r="AH1631" s="364" t="s">
        <v>88</v>
      </c>
      <c r="AI1631" s="364" t="s">
        <v>88</v>
      </c>
      <c r="AJ1631" s="364" t="s">
        <v>710</v>
      </c>
      <c r="AK1631" s="364" t="s">
        <v>647</v>
      </c>
      <c r="AL1631" s="364" t="s">
        <v>646</v>
      </c>
      <c r="AM1631" s="364" t="s">
        <v>668</v>
      </c>
      <c r="AN1631" s="364" t="s">
        <v>644</v>
      </c>
    </row>
    <row r="1632" spans="1:40" x14ac:dyDescent="0.3">
      <c r="A1632" s="364" t="s">
        <v>1009</v>
      </c>
      <c r="B1632" s="364" t="s">
        <v>661</v>
      </c>
      <c r="C1632" s="364" t="s">
        <v>660</v>
      </c>
      <c r="D1632" s="364" t="s">
        <v>90</v>
      </c>
      <c r="E1632" s="364" t="s">
        <v>1008</v>
      </c>
      <c r="F1632" s="364" t="s">
        <v>1008</v>
      </c>
      <c r="G1632" s="364" t="s">
        <v>658</v>
      </c>
      <c r="H1632" s="364" t="s">
        <v>1007</v>
      </c>
      <c r="I1632" s="364" t="s">
        <v>1006</v>
      </c>
      <c r="J1632" s="364" t="s">
        <v>673</v>
      </c>
      <c r="K1632" s="364" t="s">
        <v>668</v>
      </c>
      <c r="L1632" s="364" t="s">
        <v>190</v>
      </c>
      <c r="M1632" s="364" t="s">
        <v>55</v>
      </c>
      <c r="N1632" s="364" t="s">
        <v>654</v>
      </c>
      <c r="O1632" s="364" t="s">
        <v>653</v>
      </c>
      <c r="P1632" s="364" t="s">
        <v>198</v>
      </c>
      <c r="Q1632" s="364" t="s">
        <v>652</v>
      </c>
      <c r="R1632" s="364" t="s">
        <v>88</v>
      </c>
      <c r="S1632" s="364" t="s">
        <v>88</v>
      </c>
      <c r="T1632" s="364" t="s">
        <v>88</v>
      </c>
      <c r="U1632" s="364" t="s">
        <v>88</v>
      </c>
      <c r="V1632" s="364" t="s">
        <v>88</v>
      </c>
      <c r="W1632" s="364" t="s">
        <v>88</v>
      </c>
      <c r="X1632" s="364" t="s">
        <v>88</v>
      </c>
      <c r="Y1632" s="364" t="s">
        <v>88</v>
      </c>
      <c r="Z1632" s="364" t="s">
        <v>719</v>
      </c>
      <c r="AA1632" s="364" t="s">
        <v>649</v>
      </c>
      <c r="AB1632" s="364" t="s">
        <v>649</v>
      </c>
      <c r="AC1632" s="364" t="s">
        <v>649</v>
      </c>
      <c r="AD1632" s="364" t="s">
        <v>649</v>
      </c>
      <c r="AE1632" s="364" t="s">
        <v>88</v>
      </c>
      <c r="AF1632" s="364" t="s">
        <v>88</v>
      </c>
      <c r="AG1632" s="364" t="s">
        <v>88</v>
      </c>
      <c r="AH1632" s="364" t="s">
        <v>88</v>
      </c>
      <c r="AI1632" s="364" t="s">
        <v>88</v>
      </c>
      <c r="AJ1632" s="364" t="s">
        <v>710</v>
      </c>
      <c r="AK1632" s="364" t="s">
        <v>647</v>
      </c>
      <c r="AL1632" s="364" t="s">
        <v>646</v>
      </c>
      <c r="AM1632" s="364" t="s">
        <v>668</v>
      </c>
      <c r="AN1632" s="364" t="s">
        <v>644</v>
      </c>
    </row>
    <row r="1633" spans="1:40" x14ac:dyDescent="0.3">
      <c r="A1633" s="364" t="s">
        <v>1009</v>
      </c>
      <c r="B1633" s="364" t="s">
        <v>661</v>
      </c>
      <c r="C1633" s="364" t="s">
        <v>660</v>
      </c>
      <c r="D1633" s="364" t="s">
        <v>90</v>
      </c>
      <c r="E1633" s="364" t="s">
        <v>1008</v>
      </c>
      <c r="F1633" s="364" t="s">
        <v>1008</v>
      </c>
      <c r="G1633" s="364" t="s">
        <v>658</v>
      </c>
      <c r="H1633" s="364" t="s">
        <v>1007</v>
      </c>
      <c r="I1633" s="364" t="s">
        <v>1006</v>
      </c>
      <c r="J1633" s="364" t="s">
        <v>673</v>
      </c>
      <c r="K1633" s="364" t="s">
        <v>668</v>
      </c>
      <c r="L1633" s="364" t="s">
        <v>190</v>
      </c>
      <c r="M1633" s="364" t="s">
        <v>718</v>
      </c>
      <c r="N1633" s="364" t="s">
        <v>654</v>
      </c>
      <c r="O1633" s="364" t="s">
        <v>653</v>
      </c>
      <c r="P1633" s="364" t="s">
        <v>198</v>
      </c>
      <c r="Q1633" s="364" t="s">
        <v>652</v>
      </c>
      <c r="R1633" s="364" t="s">
        <v>88</v>
      </c>
      <c r="S1633" s="364" t="s">
        <v>88</v>
      </c>
      <c r="T1633" s="364" t="s">
        <v>88</v>
      </c>
      <c r="U1633" s="364" t="s">
        <v>88</v>
      </c>
      <c r="V1633" s="364" t="s">
        <v>88</v>
      </c>
      <c r="W1633" s="364" t="s">
        <v>88</v>
      </c>
      <c r="X1633" s="364" t="s">
        <v>88</v>
      </c>
      <c r="Y1633" s="364" t="s">
        <v>88</v>
      </c>
      <c r="Z1633" s="364" t="s">
        <v>717</v>
      </c>
      <c r="AA1633" s="364" t="s">
        <v>649</v>
      </c>
      <c r="AB1633" s="364" t="s">
        <v>649</v>
      </c>
      <c r="AC1633" s="364" t="s">
        <v>649</v>
      </c>
      <c r="AD1633" s="364" t="s">
        <v>649</v>
      </c>
      <c r="AE1633" s="364" t="s">
        <v>88</v>
      </c>
      <c r="AF1633" s="364" t="s">
        <v>88</v>
      </c>
      <c r="AG1633" s="364" t="s">
        <v>88</v>
      </c>
      <c r="AH1633" s="364" t="s">
        <v>88</v>
      </c>
      <c r="AI1633" s="364" t="s">
        <v>88</v>
      </c>
      <c r="AJ1633" s="364" t="s">
        <v>710</v>
      </c>
      <c r="AK1633" s="364" t="s">
        <v>647</v>
      </c>
      <c r="AL1633" s="364" t="s">
        <v>646</v>
      </c>
      <c r="AM1633" s="364" t="s">
        <v>668</v>
      </c>
      <c r="AN1633" s="364" t="s">
        <v>644</v>
      </c>
    </row>
    <row r="1634" spans="1:40" x14ac:dyDescent="0.3">
      <c r="A1634" s="364" t="s">
        <v>1009</v>
      </c>
      <c r="B1634" s="364" t="s">
        <v>661</v>
      </c>
      <c r="C1634" s="364" t="s">
        <v>660</v>
      </c>
      <c r="D1634" s="364" t="s">
        <v>90</v>
      </c>
      <c r="E1634" s="364" t="s">
        <v>1008</v>
      </c>
      <c r="F1634" s="364" t="s">
        <v>1008</v>
      </c>
      <c r="G1634" s="364" t="s">
        <v>658</v>
      </c>
      <c r="H1634" s="364" t="s">
        <v>1007</v>
      </c>
      <c r="I1634" s="364" t="s">
        <v>1006</v>
      </c>
      <c r="J1634" s="364" t="s">
        <v>673</v>
      </c>
      <c r="K1634" s="364" t="s">
        <v>668</v>
      </c>
      <c r="L1634" s="364" t="s">
        <v>190</v>
      </c>
      <c r="M1634" s="364" t="s">
        <v>713</v>
      </c>
      <c r="N1634" s="364" t="s">
        <v>654</v>
      </c>
      <c r="O1634" s="364" t="s">
        <v>653</v>
      </c>
      <c r="P1634" s="364" t="s">
        <v>198</v>
      </c>
      <c r="Q1634" s="364" t="s">
        <v>652</v>
      </c>
      <c r="R1634" s="364" t="s">
        <v>88</v>
      </c>
      <c r="S1634" s="364" t="s">
        <v>88</v>
      </c>
      <c r="T1634" s="364" t="s">
        <v>88</v>
      </c>
      <c r="U1634" s="364" t="s">
        <v>88</v>
      </c>
      <c r="V1634" s="364" t="s">
        <v>88</v>
      </c>
      <c r="W1634" s="364" t="s">
        <v>88</v>
      </c>
      <c r="X1634" s="364" t="s">
        <v>88</v>
      </c>
      <c r="Y1634" s="364" t="s">
        <v>88</v>
      </c>
      <c r="Z1634" s="364" t="s">
        <v>712</v>
      </c>
      <c r="AA1634" s="364" t="s">
        <v>711</v>
      </c>
      <c r="AB1634" s="364" t="s">
        <v>649</v>
      </c>
      <c r="AC1634" s="364" t="s">
        <v>649</v>
      </c>
      <c r="AD1634" s="364" t="s">
        <v>649</v>
      </c>
      <c r="AE1634" s="364" t="s">
        <v>88</v>
      </c>
      <c r="AF1634" s="364" t="s">
        <v>88</v>
      </c>
      <c r="AG1634" s="364" t="s">
        <v>88</v>
      </c>
      <c r="AH1634" s="364" t="s">
        <v>88</v>
      </c>
      <c r="AI1634" s="364" t="s">
        <v>88</v>
      </c>
      <c r="AJ1634" s="364" t="s">
        <v>710</v>
      </c>
      <c r="AK1634" s="364" t="s">
        <v>647</v>
      </c>
      <c r="AL1634" s="364" t="s">
        <v>646</v>
      </c>
      <c r="AM1634" s="364" t="s">
        <v>668</v>
      </c>
      <c r="AN1634" s="364" t="s">
        <v>644</v>
      </c>
    </row>
    <row r="1635" spans="1:40" x14ac:dyDescent="0.3">
      <c r="A1635" s="364" t="s">
        <v>1005</v>
      </c>
      <c r="B1635" s="364" t="s">
        <v>661</v>
      </c>
      <c r="C1635" s="364" t="s">
        <v>660</v>
      </c>
      <c r="D1635" s="364" t="s">
        <v>87</v>
      </c>
      <c r="E1635" s="364" t="s">
        <v>1004</v>
      </c>
      <c r="F1635" s="364" t="s">
        <v>1004</v>
      </c>
      <c r="G1635" s="364" t="s">
        <v>658</v>
      </c>
      <c r="H1635" s="364" t="s">
        <v>1003</v>
      </c>
      <c r="I1635" s="364" t="s">
        <v>802</v>
      </c>
      <c r="J1635" s="364" t="s">
        <v>198</v>
      </c>
      <c r="K1635" s="364" t="s">
        <v>645</v>
      </c>
      <c r="L1635" s="364" t="s">
        <v>188</v>
      </c>
      <c r="M1635" s="364" t="s">
        <v>696</v>
      </c>
      <c r="N1635" s="364" t="s">
        <v>654</v>
      </c>
      <c r="O1635" s="364" t="s">
        <v>653</v>
      </c>
      <c r="P1635" s="364" t="s">
        <v>198</v>
      </c>
      <c r="Q1635" s="364" t="s">
        <v>652</v>
      </c>
      <c r="R1635" s="364" t="s">
        <v>88</v>
      </c>
      <c r="S1635" s="364" t="s">
        <v>88</v>
      </c>
      <c r="T1635" s="364" t="s">
        <v>88</v>
      </c>
      <c r="U1635" s="364" t="s">
        <v>88</v>
      </c>
      <c r="V1635" s="364" t="s">
        <v>88</v>
      </c>
      <c r="W1635" s="364" t="s">
        <v>88</v>
      </c>
      <c r="X1635" s="364" t="s">
        <v>88</v>
      </c>
      <c r="Y1635" s="364" t="s">
        <v>88</v>
      </c>
      <c r="Z1635" s="364" t="s">
        <v>695</v>
      </c>
      <c r="AA1635" s="364" t="s">
        <v>694</v>
      </c>
      <c r="AB1635" s="364" t="s">
        <v>649</v>
      </c>
      <c r="AC1635" s="364" t="s">
        <v>649</v>
      </c>
      <c r="AD1635" s="364" t="s">
        <v>649</v>
      </c>
      <c r="AE1635" s="364" t="s">
        <v>88</v>
      </c>
      <c r="AF1635" s="364" t="s">
        <v>88</v>
      </c>
      <c r="AG1635" s="364" t="s">
        <v>88</v>
      </c>
      <c r="AH1635" s="364" t="s">
        <v>88</v>
      </c>
      <c r="AI1635" s="364" t="s">
        <v>88</v>
      </c>
      <c r="AJ1635" s="364" t="s">
        <v>648</v>
      </c>
      <c r="AK1635" s="364" t="s">
        <v>669</v>
      </c>
      <c r="AL1635" s="364" t="s">
        <v>646</v>
      </c>
      <c r="AM1635" s="364" t="s">
        <v>645</v>
      </c>
      <c r="AN1635" s="364" t="s">
        <v>644</v>
      </c>
    </row>
    <row r="1636" spans="1:40" x14ac:dyDescent="0.3">
      <c r="A1636" s="364" t="s">
        <v>1002</v>
      </c>
      <c r="B1636" s="364" t="s">
        <v>661</v>
      </c>
      <c r="C1636" s="364" t="s">
        <v>660</v>
      </c>
      <c r="D1636" s="364" t="s">
        <v>87</v>
      </c>
      <c r="E1636" s="364" t="s">
        <v>1001</v>
      </c>
      <c r="F1636" s="364" t="s">
        <v>1001</v>
      </c>
      <c r="G1636" s="364" t="s">
        <v>658</v>
      </c>
      <c r="H1636" s="364" t="s">
        <v>1000</v>
      </c>
      <c r="I1636" s="364" t="s">
        <v>952</v>
      </c>
      <c r="J1636" s="364" t="s">
        <v>673</v>
      </c>
      <c r="K1636" s="364" t="s">
        <v>668</v>
      </c>
      <c r="L1636" s="364" t="s">
        <v>190</v>
      </c>
      <c r="M1636" s="364" t="s">
        <v>62</v>
      </c>
      <c r="N1636" s="364" t="s">
        <v>654</v>
      </c>
      <c r="O1636" s="364" t="s">
        <v>653</v>
      </c>
      <c r="P1636" s="364" t="s">
        <v>198</v>
      </c>
      <c r="Q1636" s="364" t="s">
        <v>652</v>
      </c>
      <c r="R1636" s="364" t="s">
        <v>88</v>
      </c>
      <c r="S1636" s="364" t="s">
        <v>88</v>
      </c>
      <c r="T1636" s="364" t="s">
        <v>88</v>
      </c>
      <c r="U1636" s="364" t="s">
        <v>88</v>
      </c>
      <c r="V1636" s="364" t="s">
        <v>88</v>
      </c>
      <c r="W1636" s="364" t="s">
        <v>88</v>
      </c>
      <c r="X1636" s="364" t="s">
        <v>88</v>
      </c>
      <c r="Y1636" s="364" t="s">
        <v>88</v>
      </c>
      <c r="Z1636" s="364" t="s">
        <v>689</v>
      </c>
      <c r="AA1636" s="364" t="s">
        <v>688</v>
      </c>
      <c r="AB1636" s="364" t="s">
        <v>649</v>
      </c>
      <c r="AC1636" s="364" t="s">
        <v>649</v>
      </c>
      <c r="AD1636" s="364" t="s">
        <v>649</v>
      </c>
      <c r="AE1636" s="364" t="s">
        <v>88</v>
      </c>
      <c r="AF1636" s="364" t="s">
        <v>88</v>
      </c>
      <c r="AG1636" s="364" t="s">
        <v>88</v>
      </c>
      <c r="AH1636" s="364" t="s">
        <v>88</v>
      </c>
      <c r="AI1636" s="364" t="s">
        <v>88</v>
      </c>
      <c r="AJ1636" s="364" t="s">
        <v>670</v>
      </c>
      <c r="AK1636" s="364" t="s">
        <v>687</v>
      </c>
      <c r="AL1636" s="364" t="s">
        <v>646</v>
      </c>
      <c r="AM1636" s="364" t="s">
        <v>668</v>
      </c>
      <c r="AN1636" s="364" t="s">
        <v>644</v>
      </c>
    </row>
    <row r="1637" spans="1:40" x14ac:dyDescent="0.3">
      <c r="A1637" s="364" t="s">
        <v>999</v>
      </c>
      <c r="B1637" s="364" t="s">
        <v>661</v>
      </c>
      <c r="C1637" s="364" t="s">
        <v>660</v>
      </c>
      <c r="D1637" s="364" t="s">
        <v>87</v>
      </c>
      <c r="E1637" s="364" t="s">
        <v>998</v>
      </c>
      <c r="F1637" s="364" t="s">
        <v>998</v>
      </c>
      <c r="G1637" s="364" t="s">
        <v>658</v>
      </c>
      <c r="H1637" s="364" t="s">
        <v>997</v>
      </c>
      <c r="I1637" s="364" t="s">
        <v>996</v>
      </c>
      <c r="J1637" s="364" t="s">
        <v>198</v>
      </c>
      <c r="K1637" s="364" t="s">
        <v>645</v>
      </c>
      <c r="L1637" s="364" t="s">
        <v>188</v>
      </c>
      <c r="M1637" s="364" t="s">
        <v>696</v>
      </c>
      <c r="N1637" s="364" t="s">
        <v>654</v>
      </c>
      <c r="O1637" s="364" t="s">
        <v>653</v>
      </c>
      <c r="P1637" s="364" t="s">
        <v>198</v>
      </c>
      <c r="Q1637" s="364" t="s">
        <v>652</v>
      </c>
      <c r="R1637" s="364" t="s">
        <v>88</v>
      </c>
      <c r="S1637" s="364" t="s">
        <v>88</v>
      </c>
      <c r="T1637" s="364" t="s">
        <v>88</v>
      </c>
      <c r="U1637" s="364" t="s">
        <v>88</v>
      </c>
      <c r="V1637" s="364" t="s">
        <v>88</v>
      </c>
      <c r="W1637" s="364" t="s">
        <v>88</v>
      </c>
      <c r="X1637" s="364" t="s">
        <v>88</v>
      </c>
      <c r="Y1637" s="364" t="s">
        <v>88</v>
      </c>
      <c r="Z1637" s="364" t="s">
        <v>695</v>
      </c>
      <c r="AA1637" s="364" t="s">
        <v>694</v>
      </c>
      <c r="AB1637" s="364" t="s">
        <v>649</v>
      </c>
      <c r="AC1637" s="364" t="s">
        <v>649</v>
      </c>
      <c r="AD1637" s="364" t="s">
        <v>649</v>
      </c>
      <c r="AE1637" s="364" t="s">
        <v>88</v>
      </c>
      <c r="AF1637" s="364" t="s">
        <v>88</v>
      </c>
      <c r="AG1637" s="364" t="s">
        <v>88</v>
      </c>
      <c r="AH1637" s="364" t="s">
        <v>88</v>
      </c>
      <c r="AI1637" s="364" t="s">
        <v>88</v>
      </c>
      <c r="AJ1637" s="364" t="s">
        <v>995</v>
      </c>
      <c r="AK1637" s="364" t="s">
        <v>669</v>
      </c>
      <c r="AL1637" s="364" t="s">
        <v>646</v>
      </c>
      <c r="AM1637" s="364" t="s">
        <v>645</v>
      </c>
      <c r="AN1637" s="364" t="s">
        <v>644</v>
      </c>
    </row>
    <row r="1638" spans="1:40" x14ac:dyDescent="0.3">
      <c r="A1638" s="364" t="s">
        <v>994</v>
      </c>
      <c r="B1638" s="364" t="s">
        <v>661</v>
      </c>
      <c r="C1638" s="364" t="s">
        <v>677</v>
      </c>
      <c r="D1638" s="364" t="s">
        <v>87</v>
      </c>
      <c r="E1638" s="364" t="s">
        <v>993</v>
      </c>
      <c r="F1638" s="364" t="s">
        <v>993</v>
      </c>
      <c r="G1638" s="364" t="s">
        <v>658</v>
      </c>
      <c r="H1638" s="364" t="s">
        <v>992</v>
      </c>
      <c r="I1638" s="364" t="s">
        <v>991</v>
      </c>
      <c r="J1638" s="364" t="s">
        <v>673</v>
      </c>
      <c r="K1638" s="364" t="s">
        <v>668</v>
      </c>
      <c r="L1638" s="364" t="s">
        <v>190</v>
      </c>
      <c r="M1638" s="364" t="s">
        <v>58</v>
      </c>
      <c r="N1638" s="364" t="s">
        <v>654</v>
      </c>
      <c r="O1638" s="364" t="s">
        <v>653</v>
      </c>
      <c r="P1638" s="364" t="s">
        <v>198</v>
      </c>
      <c r="Q1638" s="364" t="s">
        <v>652</v>
      </c>
      <c r="R1638" s="364" t="s">
        <v>88</v>
      </c>
      <c r="S1638" s="364" t="s">
        <v>88</v>
      </c>
      <c r="T1638" s="364" t="s">
        <v>88</v>
      </c>
      <c r="U1638" s="364" t="s">
        <v>88</v>
      </c>
      <c r="V1638" s="364" t="s">
        <v>88</v>
      </c>
      <c r="W1638" s="364" t="s">
        <v>88</v>
      </c>
      <c r="X1638" s="364" t="s">
        <v>88</v>
      </c>
      <c r="Y1638" s="364" t="s">
        <v>88</v>
      </c>
      <c r="Z1638" s="364" t="s">
        <v>702</v>
      </c>
      <c r="AA1638" s="364" t="s">
        <v>701</v>
      </c>
      <c r="AB1638" s="364" t="s">
        <v>649</v>
      </c>
      <c r="AC1638" s="364" t="s">
        <v>649</v>
      </c>
      <c r="AD1638" s="364" t="s">
        <v>88</v>
      </c>
      <c r="AE1638" s="364" t="s">
        <v>88</v>
      </c>
      <c r="AF1638" s="364" t="s">
        <v>88</v>
      </c>
      <c r="AG1638" s="364" t="s">
        <v>88</v>
      </c>
      <c r="AH1638" s="364" t="s">
        <v>88</v>
      </c>
      <c r="AI1638" s="364" t="s">
        <v>88</v>
      </c>
      <c r="AJ1638" s="364" t="s">
        <v>670</v>
      </c>
      <c r="AK1638" s="364" t="s">
        <v>669</v>
      </c>
      <c r="AL1638" s="364" t="s">
        <v>88</v>
      </c>
      <c r="AM1638" s="364" t="s">
        <v>668</v>
      </c>
      <c r="AN1638" s="364" t="s">
        <v>644</v>
      </c>
    </row>
    <row r="1639" spans="1:40" x14ac:dyDescent="0.3">
      <c r="A1639" s="364" t="s">
        <v>994</v>
      </c>
      <c r="B1639" s="364" t="s">
        <v>661</v>
      </c>
      <c r="C1639" s="364" t="s">
        <v>677</v>
      </c>
      <c r="D1639" s="364" t="s">
        <v>87</v>
      </c>
      <c r="E1639" s="364" t="s">
        <v>993</v>
      </c>
      <c r="F1639" s="364" t="s">
        <v>993</v>
      </c>
      <c r="G1639" s="364" t="s">
        <v>658</v>
      </c>
      <c r="H1639" s="364" t="s">
        <v>992</v>
      </c>
      <c r="I1639" s="364" t="s">
        <v>991</v>
      </c>
      <c r="J1639" s="364" t="s">
        <v>673</v>
      </c>
      <c r="K1639" s="364" t="s">
        <v>668</v>
      </c>
      <c r="L1639" s="364" t="s">
        <v>190</v>
      </c>
      <c r="M1639" s="364" t="s">
        <v>166</v>
      </c>
      <c r="N1639" s="364" t="s">
        <v>654</v>
      </c>
      <c r="O1639" s="364" t="s">
        <v>653</v>
      </c>
      <c r="P1639" s="364" t="s">
        <v>198</v>
      </c>
      <c r="Q1639" s="364" t="s">
        <v>652</v>
      </c>
      <c r="R1639" s="364" t="s">
        <v>88</v>
      </c>
      <c r="S1639" s="364" t="s">
        <v>88</v>
      </c>
      <c r="T1639" s="364" t="s">
        <v>88</v>
      </c>
      <c r="U1639" s="364" t="s">
        <v>88</v>
      </c>
      <c r="V1639" s="364" t="s">
        <v>88</v>
      </c>
      <c r="W1639" s="364" t="s">
        <v>88</v>
      </c>
      <c r="X1639" s="364" t="s">
        <v>88</v>
      </c>
      <c r="Y1639" s="364" t="s">
        <v>88</v>
      </c>
      <c r="Z1639" s="364" t="s">
        <v>877</v>
      </c>
      <c r="AA1639" s="364" t="s">
        <v>876</v>
      </c>
      <c r="AB1639" s="364" t="s">
        <v>649</v>
      </c>
      <c r="AC1639" s="364" t="s">
        <v>649</v>
      </c>
      <c r="AD1639" s="364" t="s">
        <v>88</v>
      </c>
      <c r="AE1639" s="364" t="s">
        <v>88</v>
      </c>
      <c r="AF1639" s="364" t="s">
        <v>88</v>
      </c>
      <c r="AG1639" s="364" t="s">
        <v>88</v>
      </c>
      <c r="AH1639" s="364" t="s">
        <v>88</v>
      </c>
      <c r="AI1639" s="364" t="s">
        <v>88</v>
      </c>
      <c r="AJ1639" s="364" t="s">
        <v>670</v>
      </c>
      <c r="AK1639" s="364" t="s">
        <v>669</v>
      </c>
      <c r="AL1639" s="364" t="s">
        <v>88</v>
      </c>
      <c r="AM1639" s="364" t="s">
        <v>668</v>
      </c>
      <c r="AN1639" s="364" t="s">
        <v>644</v>
      </c>
    </row>
    <row r="1640" spans="1:40" x14ac:dyDescent="0.3">
      <c r="A1640" s="364" t="s">
        <v>990</v>
      </c>
      <c r="B1640" s="364" t="s">
        <v>661</v>
      </c>
      <c r="C1640" s="364" t="s">
        <v>660</v>
      </c>
      <c r="D1640" s="364" t="s">
        <v>87</v>
      </c>
      <c r="E1640" s="364" t="s">
        <v>989</v>
      </c>
      <c r="F1640" s="364" t="s">
        <v>989</v>
      </c>
      <c r="G1640" s="364" t="s">
        <v>658</v>
      </c>
      <c r="H1640" s="364" t="s">
        <v>988</v>
      </c>
      <c r="I1640" s="364" t="s">
        <v>987</v>
      </c>
      <c r="J1640" s="364" t="s">
        <v>198</v>
      </c>
      <c r="K1640" s="364" t="s">
        <v>645</v>
      </c>
      <c r="L1640" s="364" t="s">
        <v>188</v>
      </c>
      <c r="M1640" s="364" t="s">
        <v>696</v>
      </c>
      <c r="N1640" s="364" t="s">
        <v>654</v>
      </c>
      <c r="O1640" s="364" t="s">
        <v>653</v>
      </c>
      <c r="P1640" s="364" t="s">
        <v>198</v>
      </c>
      <c r="Q1640" s="364" t="s">
        <v>652</v>
      </c>
      <c r="R1640" s="364" t="s">
        <v>88</v>
      </c>
      <c r="S1640" s="364" t="s">
        <v>88</v>
      </c>
      <c r="T1640" s="364" t="s">
        <v>88</v>
      </c>
      <c r="U1640" s="364" t="s">
        <v>88</v>
      </c>
      <c r="V1640" s="364" t="s">
        <v>88</v>
      </c>
      <c r="W1640" s="364" t="s">
        <v>88</v>
      </c>
      <c r="X1640" s="364" t="s">
        <v>88</v>
      </c>
      <c r="Y1640" s="364" t="s">
        <v>88</v>
      </c>
      <c r="Z1640" s="364" t="s">
        <v>695</v>
      </c>
      <c r="AA1640" s="364" t="s">
        <v>694</v>
      </c>
      <c r="AB1640" s="364" t="s">
        <v>649</v>
      </c>
      <c r="AC1640" s="364" t="s">
        <v>649</v>
      </c>
      <c r="AD1640" s="364" t="s">
        <v>649</v>
      </c>
      <c r="AE1640" s="364" t="s">
        <v>88</v>
      </c>
      <c r="AF1640" s="364" t="s">
        <v>88</v>
      </c>
      <c r="AG1640" s="364" t="s">
        <v>88</v>
      </c>
      <c r="AH1640" s="364" t="s">
        <v>88</v>
      </c>
      <c r="AI1640" s="364" t="s">
        <v>88</v>
      </c>
      <c r="AJ1640" s="364" t="s">
        <v>670</v>
      </c>
      <c r="AK1640" s="364" t="s">
        <v>669</v>
      </c>
      <c r="AL1640" s="364" t="s">
        <v>646</v>
      </c>
      <c r="AM1640" s="364" t="s">
        <v>645</v>
      </c>
      <c r="AN1640" s="364" t="s">
        <v>644</v>
      </c>
    </row>
    <row r="1641" spans="1:40" x14ac:dyDescent="0.3">
      <c r="A1641" s="364" t="s">
        <v>986</v>
      </c>
      <c r="B1641" s="364" t="s">
        <v>661</v>
      </c>
      <c r="C1641" s="364" t="s">
        <v>660</v>
      </c>
      <c r="D1641" s="364" t="s">
        <v>87</v>
      </c>
      <c r="E1641" s="364" t="s">
        <v>681</v>
      </c>
      <c r="F1641" s="364" t="s">
        <v>681</v>
      </c>
      <c r="G1641" s="364" t="s">
        <v>658</v>
      </c>
      <c r="H1641" s="364" t="s">
        <v>985</v>
      </c>
      <c r="I1641" s="364" t="s">
        <v>984</v>
      </c>
      <c r="J1641" s="364" t="s">
        <v>673</v>
      </c>
      <c r="K1641" s="364" t="s">
        <v>668</v>
      </c>
      <c r="L1641" s="364" t="s">
        <v>190</v>
      </c>
      <c r="M1641" s="364" t="s">
        <v>62</v>
      </c>
      <c r="N1641" s="364" t="s">
        <v>654</v>
      </c>
      <c r="O1641" s="364" t="s">
        <v>653</v>
      </c>
      <c r="P1641" s="364" t="s">
        <v>198</v>
      </c>
      <c r="Q1641" s="364" t="s">
        <v>652</v>
      </c>
      <c r="R1641" s="364" t="s">
        <v>88</v>
      </c>
      <c r="S1641" s="364" t="s">
        <v>88</v>
      </c>
      <c r="T1641" s="364" t="s">
        <v>88</v>
      </c>
      <c r="U1641" s="364" t="s">
        <v>88</v>
      </c>
      <c r="V1641" s="364" t="s">
        <v>88</v>
      </c>
      <c r="W1641" s="364" t="s">
        <v>88</v>
      </c>
      <c r="X1641" s="364" t="s">
        <v>88</v>
      </c>
      <c r="Y1641" s="364" t="s">
        <v>88</v>
      </c>
      <c r="Z1641" s="364" t="s">
        <v>689</v>
      </c>
      <c r="AA1641" s="364" t="s">
        <v>688</v>
      </c>
      <c r="AB1641" s="364" t="s">
        <v>649</v>
      </c>
      <c r="AC1641" s="364" t="s">
        <v>649</v>
      </c>
      <c r="AD1641" s="364" t="s">
        <v>649</v>
      </c>
      <c r="AE1641" s="364" t="s">
        <v>88</v>
      </c>
      <c r="AF1641" s="364" t="s">
        <v>88</v>
      </c>
      <c r="AG1641" s="364" t="s">
        <v>88</v>
      </c>
      <c r="AH1641" s="364" t="s">
        <v>88</v>
      </c>
      <c r="AI1641" s="364" t="s">
        <v>88</v>
      </c>
      <c r="AJ1641" s="364" t="s">
        <v>670</v>
      </c>
      <c r="AK1641" s="364" t="s">
        <v>669</v>
      </c>
      <c r="AL1641" s="364" t="s">
        <v>646</v>
      </c>
      <c r="AM1641" s="364" t="s">
        <v>668</v>
      </c>
      <c r="AN1641" s="364" t="s">
        <v>644</v>
      </c>
    </row>
    <row r="1642" spans="1:40" x14ac:dyDescent="0.3">
      <c r="A1642" s="364" t="s">
        <v>983</v>
      </c>
      <c r="B1642" s="364" t="s">
        <v>661</v>
      </c>
      <c r="C1642" s="364" t="s">
        <v>660</v>
      </c>
      <c r="D1642" s="364" t="s">
        <v>87</v>
      </c>
      <c r="E1642" s="364" t="s">
        <v>775</v>
      </c>
      <c r="F1642" s="364" t="s">
        <v>775</v>
      </c>
      <c r="G1642" s="364" t="s">
        <v>658</v>
      </c>
      <c r="H1642" s="364" t="s">
        <v>982</v>
      </c>
      <c r="I1642" s="364" t="s">
        <v>765</v>
      </c>
      <c r="J1642" s="364" t="s">
        <v>198</v>
      </c>
      <c r="K1642" s="364" t="s">
        <v>645</v>
      </c>
      <c r="L1642" s="364" t="s">
        <v>188</v>
      </c>
      <c r="M1642" s="364" t="s">
        <v>696</v>
      </c>
      <c r="N1642" s="364" t="s">
        <v>654</v>
      </c>
      <c r="O1642" s="364" t="s">
        <v>653</v>
      </c>
      <c r="P1642" s="364" t="s">
        <v>198</v>
      </c>
      <c r="Q1642" s="364" t="s">
        <v>652</v>
      </c>
      <c r="R1642" s="364" t="s">
        <v>88</v>
      </c>
      <c r="S1642" s="364" t="s">
        <v>88</v>
      </c>
      <c r="T1642" s="364" t="s">
        <v>88</v>
      </c>
      <c r="U1642" s="364" t="s">
        <v>88</v>
      </c>
      <c r="V1642" s="364" t="s">
        <v>88</v>
      </c>
      <c r="W1642" s="364" t="s">
        <v>88</v>
      </c>
      <c r="X1642" s="364" t="s">
        <v>88</v>
      </c>
      <c r="Y1642" s="364" t="s">
        <v>88</v>
      </c>
      <c r="Z1642" s="364" t="s">
        <v>695</v>
      </c>
      <c r="AA1642" s="364" t="s">
        <v>694</v>
      </c>
      <c r="AB1642" s="364" t="s">
        <v>649</v>
      </c>
      <c r="AC1642" s="364" t="s">
        <v>649</v>
      </c>
      <c r="AD1642" s="364" t="s">
        <v>649</v>
      </c>
      <c r="AE1642" s="364" t="s">
        <v>88</v>
      </c>
      <c r="AF1642" s="364" t="s">
        <v>88</v>
      </c>
      <c r="AG1642" s="364" t="s">
        <v>88</v>
      </c>
      <c r="AH1642" s="364" t="s">
        <v>88</v>
      </c>
      <c r="AI1642" s="364" t="s">
        <v>88</v>
      </c>
      <c r="AJ1642" s="364" t="s">
        <v>663</v>
      </c>
      <c r="AK1642" s="364" t="s">
        <v>687</v>
      </c>
      <c r="AL1642" s="364" t="s">
        <v>646</v>
      </c>
      <c r="AM1642" s="364" t="s">
        <v>645</v>
      </c>
      <c r="AN1642" s="364" t="s">
        <v>644</v>
      </c>
    </row>
    <row r="1643" spans="1:40" x14ac:dyDescent="0.3">
      <c r="A1643" s="364" t="s">
        <v>981</v>
      </c>
      <c r="B1643" s="364" t="s">
        <v>661</v>
      </c>
      <c r="C1643" s="364" t="s">
        <v>660</v>
      </c>
      <c r="D1643" s="364" t="s">
        <v>90</v>
      </c>
      <c r="E1643" s="364" t="s">
        <v>881</v>
      </c>
      <c r="F1643" s="364" t="s">
        <v>881</v>
      </c>
      <c r="G1643" s="364" t="s">
        <v>658</v>
      </c>
      <c r="H1643" s="364" t="s">
        <v>980</v>
      </c>
      <c r="I1643" s="364" t="s">
        <v>979</v>
      </c>
      <c r="J1643" s="364" t="s">
        <v>198</v>
      </c>
      <c r="K1643" s="364" t="s">
        <v>645</v>
      </c>
      <c r="L1643" s="364" t="s">
        <v>188</v>
      </c>
      <c r="M1643" s="364" t="s">
        <v>655</v>
      </c>
      <c r="N1643" s="364" t="s">
        <v>654</v>
      </c>
      <c r="O1643" s="364" t="s">
        <v>653</v>
      </c>
      <c r="P1643" s="364" t="s">
        <v>198</v>
      </c>
      <c r="Q1643" s="364" t="s">
        <v>652</v>
      </c>
      <c r="R1643" s="364" t="s">
        <v>88</v>
      </c>
      <c r="S1643" s="364" t="s">
        <v>88</v>
      </c>
      <c r="T1643" s="364" t="s">
        <v>88</v>
      </c>
      <c r="U1643" s="364" t="s">
        <v>88</v>
      </c>
      <c r="V1643" s="364" t="s">
        <v>88</v>
      </c>
      <c r="W1643" s="364" t="s">
        <v>88</v>
      </c>
      <c r="X1643" s="364" t="s">
        <v>88</v>
      </c>
      <c r="Y1643" s="364" t="s">
        <v>88</v>
      </c>
      <c r="Z1643" s="364" t="s">
        <v>651</v>
      </c>
      <c r="AA1643" s="364" t="s">
        <v>650</v>
      </c>
      <c r="AB1643" s="364" t="s">
        <v>649</v>
      </c>
      <c r="AC1643" s="364" t="s">
        <v>649</v>
      </c>
      <c r="AD1643" s="364" t="s">
        <v>649</v>
      </c>
      <c r="AE1643" s="364" t="s">
        <v>88</v>
      </c>
      <c r="AF1643" s="364" t="s">
        <v>88</v>
      </c>
      <c r="AG1643" s="364" t="s">
        <v>88</v>
      </c>
      <c r="AH1643" s="364" t="s">
        <v>88</v>
      </c>
      <c r="AI1643" s="364" t="s">
        <v>88</v>
      </c>
      <c r="AJ1643" s="364" t="s">
        <v>648</v>
      </c>
      <c r="AK1643" s="364" t="s">
        <v>647</v>
      </c>
      <c r="AL1643" s="364" t="s">
        <v>646</v>
      </c>
      <c r="AM1643" s="364" t="s">
        <v>645</v>
      </c>
      <c r="AN1643" s="364" t="s">
        <v>644</v>
      </c>
    </row>
    <row r="1644" spans="1:40" x14ac:dyDescent="0.3">
      <c r="A1644" s="364" t="s">
        <v>978</v>
      </c>
      <c r="B1644" s="364" t="s">
        <v>661</v>
      </c>
      <c r="C1644" s="364" t="s">
        <v>660</v>
      </c>
      <c r="D1644" s="364" t="s">
        <v>87</v>
      </c>
      <c r="E1644" s="364" t="s">
        <v>977</v>
      </c>
      <c r="F1644" s="364" t="s">
        <v>977</v>
      </c>
      <c r="G1644" s="364" t="s">
        <v>658</v>
      </c>
      <c r="H1644" s="364" t="s">
        <v>735</v>
      </c>
      <c r="I1644" s="364" t="s">
        <v>976</v>
      </c>
      <c r="J1644" s="364" t="s">
        <v>198</v>
      </c>
      <c r="K1644" s="364" t="s">
        <v>645</v>
      </c>
      <c r="L1644" s="364" t="s">
        <v>188</v>
      </c>
      <c r="M1644" s="364" t="s">
        <v>696</v>
      </c>
      <c r="N1644" s="364" t="s">
        <v>654</v>
      </c>
      <c r="O1644" s="364" t="s">
        <v>653</v>
      </c>
      <c r="P1644" s="364" t="s">
        <v>198</v>
      </c>
      <c r="Q1644" s="364" t="s">
        <v>652</v>
      </c>
      <c r="R1644" s="364" t="s">
        <v>88</v>
      </c>
      <c r="S1644" s="364" t="s">
        <v>88</v>
      </c>
      <c r="T1644" s="364" t="s">
        <v>88</v>
      </c>
      <c r="U1644" s="364" t="s">
        <v>88</v>
      </c>
      <c r="V1644" s="364" t="s">
        <v>88</v>
      </c>
      <c r="W1644" s="364" t="s">
        <v>88</v>
      </c>
      <c r="X1644" s="364" t="s">
        <v>88</v>
      </c>
      <c r="Y1644" s="364" t="s">
        <v>88</v>
      </c>
      <c r="Z1644" s="364" t="s">
        <v>695</v>
      </c>
      <c r="AA1644" s="364" t="s">
        <v>694</v>
      </c>
      <c r="AB1644" s="364" t="s">
        <v>649</v>
      </c>
      <c r="AC1644" s="364" t="s">
        <v>649</v>
      </c>
      <c r="AD1644" s="364" t="s">
        <v>649</v>
      </c>
      <c r="AE1644" s="364" t="s">
        <v>88</v>
      </c>
      <c r="AF1644" s="364" t="s">
        <v>88</v>
      </c>
      <c r="AG1644" s="364" t="s">
        <v>88</v>
      </c>
      <c r="AH1644" s="364" t="s">
        <v>88</v>
      </c>
      <c r="AI1644" s="364" t="s">
        <v>88</v>
      </c>
      <c r="AJ1644" s="364" t="s">
        <v>670</v>
      </c>
      <c r="AK1644" s="364" t="s">
        <v>669</v>
      </c>
      <c r="AL1644" s="364" t="s">
        <v>646</v>
      </c>
      <c r="AM1644" s="364" t="s">
        <v>645</v>
      </c>
      <c r="AN1644" s="364" t="s">
        <v>644</v>
      </c>
    </row>
    <row r="1645" spans="1:40" x14ac:dyDescent="0.3">
      <c r="A1645" s="364" t="s">
        <v>975</v>
      </c>
      <c r="B1645" s="364" t="s">
        <v>661</v>
      </c>
      <c r="C1645" s="364" t="s">
        <v>660</v>
      </c>
      <c r="D1645" s="364" t="s">
        <v>87</v>
      </c>
      <c r="E1645" s="364" t="s">
        <v>974</v>
      </c>
      <c r="F1645" s="364" t="s">
        <v>974</v>
      </c>
      <c r="G1645" s="364" t="s">
        <v>658</v>
      </c>
      <c r="H1645" s="364" t="s">
        <v>973</v>
      </c>
      <c r="I1645" s="364" t="s">
        <v>690</v>
      </c>
      <c r="J1645" s="364" t="s">
        <v>198</v>
      </c>
      <c r="K1645" s="364" t="s">
        <v>645</v>
      </c>
      <c r="L1645" s="364" t="s">
        <v>188</v>
      </c>
      <c r="M1645" s="364" t="s">
        <v>696</v>
      </c>
      <c r="N1645" s="364" t="s">
        <v>654</v>
      </c>
      <c r="O1645" s="364" t="s">
        <v>653</v>
      </c>
      <c r="P1645" s="364" t="s">
        <v>198</v>
      </c>
      <c r="Q1645" s="364" t="s">
        <v>652</v>
      </c>
      <c r="R1645" s="364" t="s">
        <v>88</v>
      </c>
      <c r="S1645" s="364" t="s">
        <v>88</v>
      </c>
      <c r="T1645" s="364" t="s">
        <v>88</v>
      </c>
      <c r="U1645" s="364" t="s">
        <v>88</v>
      </c>
      <c r="V1645" s="364" t="s">
        <v>88</v>
      </c>
      <c r="W1645" s="364" t="s">
        <v>88</v>
      </c>
      <c r="X1645" s="364" t="s">
        <v>88</v>
      </c>
      <c r="Y1645" s="364" t="s">
        <v>88</v>
      </c>
      <c r="Z1645" s="364" t="s">
        <v>695</v>
      </c>
      <c r="AA1645" s="364" t="s">
        <v>694</v>
      </c>
      <c r="AB1645" s="364" t="s">
        <v>649</v>
      </c>
      <c r="AC1645" s="364" t="s">
        <v>649</v>
      </c>
      <c r="AD1645" s="364" t="s">
        <v>649</v>
      </c>
      <c r="AE1645" s="364" t="s">
        <v>88</v>
      </c>
      <c r="AF1645" s="364" t="s">
        <v>88</v>
      </c>
      <c r="AG1645" s="364" t="s">
        <v>88</v>
      </c>
      <c r="AH1645" s="364" t="s">
        <v>88</v>
      </c>
      <c r="AI1645" s="364" t="s">
        <v>88</v>
      </c>
      <c r="AJ1645" s="364" t="s">
        <v>670</v>
      </c>
      <c r="AK1645" s="364" t="s">
        <v>687</v>
      </c>
      <c r="AL1645" s="364" t="s">
        <v>646</v>
      </c>
      <c r="AM1645" s="364" t="s">
        <v>645</v>
      </c>
      <c r="AN1645" s="364" t="s">
        <v>644</v>
      </c>
    </row>
    <row r="1646" spans="1:40" x14ac:dyDescent="0.3">
      <c r="A1646" s="364" t="s">
        <v>972</v>
      </c>
      <c r="B1646" s="364" t="s">
        <v>661</v>
      </c>
      <c r="C1646" s="364" t="s">
        <v>660</v>
      </c>
      <c r="D1646" s="364" t="s">
        <v>87</v>
      </c>
      <c r="E1646" s="364" t="s">
        <v>971</v>
      </c>
      <c r="F1646" s="364" t="s">
        <v>971</v>
      </c>
      <c r="G1646" s="364" t="s">
        <v>658</v>
      </c>
      <c r="H1646" s="364" t="s">
        <v>970</v>
      </c>
      <c r="I1646" s="364" t="s">
        <v>969</v>
      </c>
      <c r="J1646" s="364" t="s">
        <v>198</v>
      </c>
      <c r="K1646" s="364" t="s">
        <v>645</v>
      </c>
      <c r="L1646" s="364" t="s">
        <v>188</v>
      </c>
      <c r="M1646" s="364" t="s">
        <v>696</v>
      </c>
      <c r="N1646" s="364" t="s">
        <v>654</v>
      </c>
      <c r="O1646" s="364" t="s">
        <v>653</v>
      </c>
      <c r="P1646" s="364" t="s">
        <v>198</v>
      </c>
      <c r="Q1646" s="364" t="s">
        <v>652</v>
      </c>
      <c r="R1646" s="364" t="s">
        <v>88</v>
      </c>
      <c r="S1646" s="364" t="s">
        <v>88</v>
      </c>
      <c r="T1646" s="364" t="s">
        <v>88</v>
      </c>
      <c r="U1646" s="364" t="s">
        <v>88</v>
      </c>
      <c r="V1646" s="364" t="s">
        <v>88</v>
      </c>
      <c r="W1646" s="364" t="s">
        <v>88</v>
      </c>
      <c r="X1646" s="364" t="s">
        <v>88</v>
      </c>
      <c r="Y1646" s="364" t="s">
        <v>88</v>
      </c>
      <c r="Z1646" s="364" t="s">
        <v>695</v>
      </c>
      <c r="AA1646" s="364" t="s">
        <v>694</v>
      </c>
      <c r="AB1646" s="364" t="s">
        <v>649</v>
      </c>
      <c r="AC1646" s="364" t="s">
        <v>649</v>
      </c>
      <c r="AD1646" s="364" t="s">
        <v>649</v>
      </c>
      <c r="AE1646" s="364" t="s">
        <v>88</v>
      </c>
      <c r="AF1646" s="364" t="s">
        <v>88</v>
      </c>
      <c r="AG1646" s="364" t="s">
        <v>88</v>
      </c>
      <c r="AH1646" s="364" t="s">
        <v>88</v>
      </c>
      <c r="AI1646" s="364" t="s">
        <v>88</v>
      </c>
      <c r="AJ1646" s="364" t="s">
        <v>648</v>
      </c>
      <c r="AK1646" s="364" t="s">
        <v>669</v>
      </c>
      <c r="AL1646" s="364" t="s">
        <v>646</v>
      </c>
      <c r="AM1646" s="364" t="s">
        <v>645</v>
      </c>
      <c r="AN1646" s="364" t="s">
        <v>644</v>
      </c>
    </row>
    <row r="1647" spans="1:40" x14ac:dyDescent="0.3">
      <c r="A1647" s="364" t="s">
        <v>968</v>
      </c>
      <c r="B1647" s="364" t="s">
        <v>661</v>
      </c>
      <c r="C1647" s="364" t="s">
        <v>660</v>
      </c>
      <c r="D1647" s="364" t="s">
        <v>87</v>
      </c>
      <c r="E1647" s="364" t="s">
        <v>967</v>
      </c>
      <c r="F1647" s="364" t="s">
        <v>967</v>
      </c>
      <c r="G1647" s="364" t="s">
        <v>658</v>
      </c>
      <c r="H1647" s="364" t="s">
        <v>680</v>
      </c>
      <c r="I1647" s="364" t="s">
        <v>966</v>
      </c>
      <c r="J1647" s="364" t="s">
        <v>673</v>
      </c>
      <c r="K1647" s="364" t="s">
        <v>668</v>
      </c>
      <c r="L1647" s="364" t="s">
        <v>190</v>
      </c>
      <c r="M1647" s="364" t="s">
        <v>59</v>
      </c>
      <c r="N1647" s="364" t="s">
        <v>654</v>
      </c>
      <c r="O1647" s="364" t="s">
        <v>653</v>
      </c>
      <c r="P1647" s="364" t="s">
        <v>198</v>
      </c>
      <c r="Q1647" s="364" t="s">
        <v>652</v>
      </c>
      <c r="R1647" s="364" t="s">
        <v>88</v>
      </c>
      <c r="S1647" s="364" t="s">
        <v>88</v>
      </c>
      <c r="T1647" s="364" t="s">
        <v>88</v>
      </c>
      <c r="U1647" s="364" t="s">
        <v>88</v>
      </c>
      <c r="V1647" s="364" t="s">
        <v>88</v>
      </c>
      <c r="W1647" s="364" t="s">
        <v>88</v>
      </c>
      <c r="X1647" s="364" t="s">
        <v>88</v>
      </c>
      <c r="Y1647" s="364" t="s">
        <v>88</v>
      </c>
      <c r="Z1647" s="364" t="s">
        <v>672</v>
      </c>
      <c r="AA1647" s="364" t="s">
        <v>671</v>
      </c>
      <c r="AB1647" s="364" t="s">
        <v>649</v>
      </c>
      <c r="AC1647" s="364" t="s">
        <v>649</v>
      </c>
      <c r="AD1647" s="364" t="s">
        <v>649</v>
      </c>
      <c r="AE1647" s="364" t="s">
        <v>88</v>
      </c>
      <c r="AF1647" s="364" t="s">
        <v>88</v>
      </c>
      <c r="AG1647" s="364" t="s">
        <v>88</v>
      </c>
      <c r="AH1647" s="364" t="s">
        <v>88</v>
      </c>
      <c r="AI1647" s="364" t="s">
        <v>88</v>
      </c>
      <c r="AJ1647" s="364" t="s">
        <v>670</v>
      </c>
      <c r="AK1647" s="364" t="s">
        <v>669</v>
      </c>
      <c r="AL1647" s="364" t="s">
        <v>646</v>
      </c>
      <c r="AM1647" s="364" t="s">
        <v>668</v>
      </c>
      <c r="AN1647" s="364" t="s">
        <v>644</v>
      </c>
    </row>
    <row r="1648" spans="1:40" x14ac:dyDescent="0.3">
      <c r="A1648" s="364" t="s">
        <v>965</v>
      </c>
      <c r="B1648" s="364" t="s">
        <v>661</v>
      </c>
      <c r="C1648" s="364" t="s">
        <v>660</v>
      </c>
      <c r="D1648" s="364" t="s">
        <v>87</v>
      </c>
      <c r="E1648" s="364" t="s">
        <v>782</v>
      </c>
      <c r="F1648" s="364" t="s">
        <v>782</v>
      </c>
      <c r="G1648" s="364" t="s">
        <v>658</v>
      </c>
      <c r="H1648" s="364" t="s">
        <v>964</v>
      </c>
      <c r="I1648" s="364" t="s">
        <v>963</v>
      </c>
      <c r="J1648" s="364" t="s">
        <v>673</v>
      </c>
      <c r="K1648" s="364" t="s">
        <v>668</v>
      </c>
      <c r="L1648" s="364" t="s">
        <v>190</v>
      </c>
      <c r="M1648" s="364" t="s">
        <v>59</v>
      </c>
      <c r="N1648" s="364" t="s">
        <v>654</v>
      </c>
      <c r="O1648" s="364" t="s">
        <v>653</v>
      </c>
      <c r="P1648" s="364" t="s">
        <v>198</v>
      </c>
      <c r="Q1648" s="364" t="s">
        <v>652</v>
      </c>
      <c r="R1648" s="364" t="s">
        <v>88</v>
      </c>
      <c r="S1648" s="364" t="s">
        <v>88</v>
      </c>
      <c r="T1648" s="364" t="s">
        <v>88</v>
      </c>
      <c r="U1648" s="364" t="s">
        <v>88</v>
      </c>
      <c r="V1648" s="364" t="s">
        <v>88</v>
      </c>
      <c r="W1648" s="364" t="s">
        <v>88</v>
      </c>
      <c r="X1648" s="364" t="s">
        <v>88</v>
      </c>
      <c r="Y1648" s="364" t="s">
        <v>88</v>
      </c>
      <c r="Z1648" s="364" t="s">
        <v>672</v>
      </c>
      <c r="AA1648" s="364" t="s">
        <v>671</v>
      </c>
      <c r="AB1648" s="364" t="s">
        <v>649</v>
      </c>
      <c r="AC1648" s="364" t="s">
        <v>649</v>
      </c>
      <c r="AD1648" s="364" t="s">
        <v>649</v>
      </c>
      <c r="AE1648" s="364" t="s">
        <v>88</v>
      </c>
      <c r="AF1648" s="364" t="s">
        <v>88</v>
      </c>
      <c r="AG1648" s="364" t="s">
        <v>88</v>
      </c>
      <c r="AH1648" s="364" t="s">
        <v>88</v>
      </c>
      <c r="AI1648" s="364" t="s">
        <v>88</v>
      </c>
      <c r="AJ1648" s="364" t="s">
        <v>670</v>
      </c>
      <c r="AK1648" s="364" t="s">
        <v>669</v>
      </c>
      <c r="AL1648" s="364" t="s">
        <v>646</v>
      </c>
      <c r="AM1648" s="364" t="s">
        <v>668</v>
      </c>
      <c r="AN1648" s="364" t="s">
        <v>644</v>
      </c>
    </row>
    <row r="1649" spans="1:40" x14ac:dyDescent="0.3">
      <c r="A1649" s="364" t="s">
        <v>962</v>
      </c>
      <c r="B1649" s="364" t="s">
        <v>661</v>
      </c>
      <c r="C1649" s="364" t="s">
        <v>660</v>
      </c>
      <c r="D1649" s="364" t="s">
        <v>87</v>
      </c>
      <c r="E1649" s="364" t="s">
        <v>829</v>
      </c>
      <c r="F1649" s="364" t="s">
        <v>829</v>
      </c>
      <c r="G1649" s="364" t="s">
        <v>658</v>
      </c>
      <c r="H1649" s="364" t="s">
        <v>680</v>
      </c>
      <c r="I1649" s="364" t="s">
        <v>961</v>
      </c>
      <c r="J1649" s="364" t="s">
        <v>673</v>
      </c>
      <c r="K1649" s="364" t="s">
        <v>668</v>
      </c>
      <c r="L1649" s="364" t="s">
        <v>190</v>
      </c>
      <c r="M1649" s="364" t="s">
        <v>59</v>
      </c>
      <c r="N1649" s="364" t="s">
        <v>654</v>
      </c>
      <c r="O1649" s="364" t="s">
        <v>653</v>
      </c>
      <c r="P1649" s="364" t="s">
        <v>198</v>
      </c>
      <c r="Q1649" s="364" t="s">
        <v>652</v>
      </c>
      <c r="R1649" s="364" t="s">
        <v>88</v>
      </c>
      <c r="S1649" s="364" t="s">
        <v>88</v>
      </c>
      <c r="T1649" s="364" t="s">
        <v>88</v>
      </c>
      <c r="U1649" s="364" t="s">
        <v>88</v>
      </c>
      <c r="V1649" s="364" t="s">
        <v>88</v>
      </c>
      <c r="W1649" s="364" t="s">
        <v>88</v>
      </c>
      <c r="X1649" s="364" t="s">
        <v>88</v>
      </c>
      <c r="Y1649" s="364" t="s">
        <v>88</v>
      </c>
      <c r="Z1649" s="364" t="s">
        <v>672</v>
      </c>
      <c r="AA1649" s="364" t="s">
        <v>671</v>
      </c>
      <c r="AB1649" s="364" t="s">
        <v>649</v>
      </c>
      <c r="AC1649" s="364" t="s">
        <v>649</v>
      </c>
      <c r="AD1649" s="364" t="s">
        <v>649</v>
      </c>
      <c r="AE1649" s="364" t="s">
        <v>88</v>
      </c>
      <c r="AF1649" s="364" t="s">
        <v>88</v>
      </c>
      <c r="AG1649" s="364" t="s">
        <v>88</v>
      </c>
      <c r="AH1649" s="364" t="s">
        <v>88</v>
      </c>
      <c r="AI1649" s="364" t="s">
        <v>88</v>
      </c>
      <c r="AJ1649" s="364" t="s">
        <v>670</v>
      </c>
      <c r="AK1649" s="364" t="s">
        <v>669</v>
      </c>
      <c r="AL1649" s="364" t="s">
        <v>646</v>
      </c>
      <c r="AM1649" s="364" t="s">
        <v>668</v>
      </c>
      <c r="AN1649" s="364" t="s">
        <v>644</v>
      </c>
    </row>
    <row r="1650" spans="1:40" x14ac:dyDescent="0.3">
      <c r="A1650" s="364" t="s">
        <v>960</v>
      </c>
      <c r="B1650" s="364" t="s">
        <v>661</v>
      </c>
      <c r="C1650" s="364" t="s">
        <v>660</v>
      </c>
      <c r="D1650" s="364" t="s">
        <v>87</v>
      </c>
      <c r="E1650" s="364" t="s">
        <v>859</v>
      </c>
      <c r="F1650" s="364" t="s">
        <v>859</v>
      </c>
      <c r="G1650" s="364" t="s">
        <v>658</v>
      </c>
      <c r="H1650" s="364" t="s">
        <v>959</v>
      </c>
      <c r="I1650" s="364" t="s">
        <v>690</v>
      </c>
      <c r="J1650" s="364" t="s">
        <v>673</v>
      </c>
      <c r="K1650" s="364" t="s">
        <v>668</v>
      </c>
      <c r="L1650" s="364" t="s">
        <v>190</v>
      </c>
      <c r="M1650" s="364" t="s">
        <v>62</v>
      </c>
      <c r="N1650" s="364" t="s">
        <v>654</v>
      </c>
      <c r="O1650" s="364" t="s">
        <v>653</v>
      </c>
      <c r="P1650" s="364" t="s">
        <v>198</v>
      </c>
      <c r="Q1650" s="364" t="s">
        <v>652</v>
      </c>
      <c r="R1650" s="364" t="s">
        <v>88</v>
      </c>
      <c r="S1650" s="364" t="s">
        <v>88</v>
      </c>
      <c r="T1650" s="364" t="s">
        <v>88</v>
      </c>
      <c r="U1650" s="364" t="s">
        <v>88</v>
      </c>
      <c r="V1650" s="364" t="s">
        <v>88</v>
      </c>
      <c r="W1650" s="364" t="s">
        <v>88</v>
      </c>
      <c r="X1650" s="364" t="s">
        <v>88</v>
      </c>
      <c r="Y1650" s="364" t="s">
        <v>88</v>
      </c>
      <c r="Z1650" s="364" t="s">
        <v>689</v>
      </c>
      <c r="AA1650" s="364" t="s">
        <v>688</v>
      </c>
      <c r="AB1650" s="364" t="s">
        <v>649</v>
      </c>
      <c r="AC1650" s="364" t="s">
        <v>649</v>
      </c>
      <c r="AD1650" s="364" t="s">
        <v>649</v>
      </c>
      <c r="AE1650" s="364" t="s">
        <v>88</v>
      </c>
      <c r="AF1650" s="364" t="s">
        <v>88</v>
      </c>
      <c r="AG1650" s="364" t="s">
        <v>88</v>
      </c>
      <c r="AH1650" s="364" t="s">
        <v>88</v>
      </c>
      <c r="AI1650" s="364" t="s">
        <v>88</v>
      </c>
      <c r="AJ1650" s="364" t="s">
        <v>670</v>
      </c>
      <c r="AK1650" s="364" t="s">
        <v>687</v>
      </c>
      <c r="AL1650" s="364" t="s">
        <v>646</v>
      </c>
      <c r="AM1650" s="364" t="s">
        <v>668</v>
      </c>
      <c r="AN1650" s="364" t="s">
        <v>644</v>
      </c>
    </row>
    <row r="1651" spans="1:40" x14ac:dyDescent="0.3">
      <c r="A1651" s="364" t="s">
        <v>958</v>
      </c>
      <c r="B1651" s="364" t="s">
        <v>661</v>
      </c>
      <c r="C1651" s="364" t="s">
        <v>660</v>
      </c>
      <c r="D1651" s="364" t="s">
        <v>87</v>
      </c>
      <c r="E1651" s="364" t="s">
        <v>957</v>
      </c>
      <c r="F1651" s="364" t="s">
        <v>957</v>
      </c>
      <c r="G1651" s="364" t="s">
        <v>658</v>
      </c>
      <c r="H1651" s="364" t="s">
        <v>956</v>
      </c>
      <c r="I1651" s="364" t="s">
        <v>955</v>
      </c>
      <c r="J1651" s="364" t="s">
        <v>198</v>
      </c>
      <c r="K1651" s="364" t="s">
        <v>645</v>
      </c>
      <c r="L1651" s="364" t="s">
        <v>188</v>
      </c>
      <c r="M1651" s="364" t="s">
        <v>696</v>
      </c>
      <c r="N1651" s="364" t="s">
        <v>654</v>
      </c>
      <c r="O1651" s="364" t="s">
        <v>653</v>
      </c>
      <c r="P1651" s="364" t="s">
        <v>198</v>
      </c>
      <c r="Q1651" s="364" t="s">
        <v>652</v>
      </c>
      <c r="R1651" s="364" t="s">
        <v>88</v>
      </c>
      <c r="S1651" s="364" t="s">
        <v>88</v>
      </c>
      <c r="T1651" s="364" t="s">
        <v>88</v>
      </c>
      <c r="U1651" s="364" t="s">
        <v>88</v>
      </c>
      <c r="V1651" s="364" t="s">
        <v>88</v>
      </c>
      <c r="W1651" s="364" t="s">
        <v>88</v>
      </c>
      <c r="X1651" s="364" t="s">
        <v>88</v>
      </c>
      <c r="Y1651" s="364" t="s">
        <v>88</v>
      </c>
      <c r="Z1651" s="364" t="s">
        <v>695</v>
      </c>
      <c r="AA1651" s="364" t="s">
        <v>694</v>
      </c>
      <c r="AB1651" s="364" t="s">
        <v>649</v>
      </c>
      <c r="AC1651" s="364" t="s">
        <v>649</v>
      </c>
      <c r="AD1651" s="364" t="s">
        <v>649</v>
      </c>
      <c r="AE1651" s="364" t="s">
        <v>88</v>
      </c>
      <c r="AF1651" s="364" t="s">
        <v>88</v>
      </c>
      <c r="AG1651" s="364" t="s">
        <v>88</v>
      </c>
      <c r="AH1651" s="364" t="s">
        <v>88</v>
      </c>
      <c r="AI1651" s="364" t="s">
        <v>88</v>
      </c>
      <c r="AJ1651" s="364" t="s">
        <v>670</v>
      </c>
      <c r="AK1651" s="364" t="s">
        <v>669</v>
      </c>
      <c r="AL1651" s="364" t="s">
        <v>646</v>
      </c>
      <c r="AM1651" s="364" t="s">
        <v>645</v>
      </c>
      <c r="AN1651" s="364" t="s">
        <v>644</v>
      </c>
    </row>
    <row r="1652" spans="1:40" x14ac:dyDescent="0.3">
      <c r="A1652" s="364" t="s">
        <v>954</v>
      </c>
      <c r="B1652" s="364" t="s">
        <v>661</v>
      </c>
      <c r="C1652" s="364" t="s">
        <v>660</v>
      </c>
      <c r="D1652" s="364" t="s">
        <v>87</v>
      </c>
      <c r="E1652" s="364" t="s">
        <v>808</v>
      </c>
      <c r="F1652" s="364" t="s">
        <v>808</v>
      </c>
      <c r="G1652" s="364" t="s">
        <v>658</v>
      </c>
      <c r="H1652" s="364" t="s">
        <v>953</v>
      </c>
      <c r="I1652" s="364" t="s">
        <v>952</v>
      </c>
      <c r="J1652" s="364" t="s">
        <v>673</v>
      </c>
      <c r="K1652" s="364" t="s">
        <v>668</v>
      </c>
      <c r="L1652" s="364" t="s">
        <v>190</v>
      </c>
      <c r="M1652" s="364" t="s">
        <v>62</v>
      </c>
      <c r="N1652" s="364" t="s">
        <v>654</v>
      </c>
      <c r="O1652" s="364" t="s">
        <v>653</v>
      </c>
      <c r="P1652" s="364" t="s">
        <v>198</v>
      </c>
      <c r="Q1652" s="364" t="s">
        <v>652</v>
      </c>
      <c r="R1652" s="364" t="s">
        <v>88</v>
      </c>
      <c r="S1652" s="364" t="s">
        <v>88</v>
      </c>
      <c r="T1652" s="364" t="s">
        <v>88</v>
      </c>
      <c r="U1652" s="364" t="s">
        <v>88</v>
      </c>
      <c r="V1652" s="364" t="s">
        <v>88</v>
      </c>
      <c r="W1652" s="364" t="s">
        <v>88</v>
      </c>
      <c r="X1652" s="364" t="s">
        <v>88</v>
      </c>
      <c r="Y1652" s="364" t="s">
        <v>88</v>
      </c>
      <c r="Z1652" s="364" t="s">
        <v>689</v>
      </c>
      <c r="AA1652" s="364" t="s">
        <v>688</v>
      </c>
      <c r="AB1652" s="364" t="s">
        <v>649</v>
      </c>
      <c r="AC1652" s="364" t="s">
        <v>649</v>
      </c>
      <c r="AD1652" s="364" t="s">
        <v>649</v>
      </c>
      <c r="AE1652" s="364" t="s">
        <v>88</v>
      </c>
      <c r="AF1652" s="364" t="s">
        <v>88</v>
      </c>
      <c r="AG1652" s="364" t="s">
        <v>88</v>
      </c>
      <c r="AH1652" s="364" t="s">
        <v>88</v>
      </c>
      <c r="AI1652" s="364" t="s">
        <v>88</v>
      </c>
      <c r="AJ1652" s="364" t="s">
        <v>670</v>
      </c>
      <c r="AK1652" s="364" t="s">
        <v>687</v>
      </c>
      <c r="AL1652" s="364" t="s">
        <v>646</v>
      </c>
      <c r="AM1652" s="364" t="s">
        <v>668</v>
      </c>
      <c r="AN1652" s="364" t="s">
        <v>644</v>
      </c>
    </row>
    <row r="1653" spans="1:40" x14ac:dyDescent="0.3">
      <c r="A1653" s="364" t="s">
        <v>951</v>
      </c>
      <c r="B1653" s="364" t="s">
        <v>661</v>
      </c>
      <c r="C1653" s="364" t="s">
        <v>660</v>
      </c>
      <c r="D1653" s="364" t="s">
        <v>87</v>
      </c>
      <c r="E1653" s="364" t="s">
        <v>851</v>
      </c>
      <c r="F1653" s="364" t="s">
        <v>851</v>
      </c>
      <c r="G1653" s="364" t="s">
        <v>658</v>
      </c>
      <c r="H1653" s="364" t="s">
        <v>950</v>
      </c>
      <c r="I1653" s="364" t="s">
        <v>949</v>
      </c>
      <c r="J1653" s="364" t="s">
        <v>198</v>
      </c>
      <c r="K1653" s="364" t="s">
        <v>645</v>
      </c>
      <c r="L1653" s="364" t="s">
        <v>188</v>
      </c>
      <c r="M1653" s="364" t="s">
        <v>696</v>
      </c>
      <c r="N1653" s="364" t="s">
        <v>654</v>
      </c>
      <c r="O1653" s="364" t="s">
        <v>653</v>
      </c>
      <c r="P1653" s="364" t="s">
        <v>198</v>
      </c>
      <c r="Q1653" s="364" t="s">
        <v>652</v>
      </c>
      <c r="R1653" s="364" t="s">
        <v>88</v>
      </c>
      <c r="S1653" s="364" t="s">
        <v>88</v>
      </c>
      <c r="T1653" s="364" t="s">
        <v>88</v>
      </c>
      <c r="U1653" s="364" t="s">
        <v>88</v>
      </c>
      <c r="V1653" s="364" t="s">
        <v>88</v>
      </c>
      <c r="W1653" s="364" t="s">
        <v>88</v>
      </c>
      <c r="X1653" s="364" t="s">
        <v>88</v>
      </c>
      <c r="Y1653" s="364" t="s">
        <v>88</v>
      </c>
      <c r="Z1653" s="364" t="s">
        <v>695</v>
      </c>
      <c r="AA1653" s="364" t="s">
        <v>694</v>
      </c>
      <c r="AB1653" s="364" t="s">
        <v>649</v>
      </c>
      <c r="AC1653" s="364" t="s">
        <v>649</v>
      </c>
      <c r="AD1653" s="364" t="s">
        <v>649</v>
      </c>
      <c r="AE1653" s="364" t="s">
        <v>88</v>
      </c>
      <c r="AF1653" s="364" t="s">
        <v>88</v>
      </c>
      <c r="AG1653" s="364" t="s">
        <v>88</v>
      </c>
      <c r="AH1653" s="364" t="s">
        <v>88</v>
      </c>
      <c r="AI1653" s="364" t="s">
        <v>88</v>
      </c>
      <c r="AJ1653" s="364" t="s">
        <v>670</v>
      </c>
      <c r="AK1653" s="364" t="s">
        <v>669</v>
      </c>
      <c r="AL1653" s="364" t="s">
        <v>646</v>
      </c>
      <c r="AM1653" s="364" t="s">
        <v>645</v>
      </c>
      <c r="AN1653" s="364" t="s">
        <v>644</v>
      </c>
    </row>
    <row r="1654" spans="1:40" x14ac:dyDescent="0.3">
      <c r="A1654" s="364" t="s">
        <v>948</v>
      </c>
      <c r="B1654" s="364" t="s">
        <v>661</v>
      </c>
      <c r="C1654" s="364" t="s">
        <v>660</v>
      </c>
      <c r="D1654" s="364" t="s">
        <v>87</v>
      </c>
      <c r="E1654" s="364" t="s">
        <v>947</v>
      </c>
      <c r="F1654" s="364" t="s">
        <v>947</v>
      </c>
      <c r="G1654" s="364" t="s">
        <v>658</v>
      </c>
      <c r="H1654" s="364" t="s">
        <v>946</v>
      </c>
      <c r="I1654" s="364" t="s">
        <v>802</v>
      </c>
      <c r="J1654" s="364" t="s">
        <v>198</v>
      </c>
      <c r="K1654" s="364" t="s">
        <v>645</v>
      </c>
      <c r="L1654" s="364" t="s">
        <v>188</v>
      </c>
      <c r="M1654" s="364" t="s">
        <v>696</v>
      </c>
      <c r="N1654" s="364" t="s">
        <v>654</v>
      </c>
      <c r="O1654" s="364" t="s">
        <v>653</v>
      </c>
      <c r="P1654" s="364" t="s">
        <v>198</v>
      </c>
      <c r="Q1654" s="364" t="s">
        <v>652</v>
      </c>
      <c r="R1654" s="364" t="s">
        <v>88</v>
      </c>
      <c r="S1654" s="364" t="s">
        <v>88</v>
      </c>
      <c r="T1654" s="364" t="s">
        <v>88</v>
      </c>
      <c r="U1654" s="364" t="s">
        <v>88</v>
      </c>
      <c r="V1654" s="364" t="s">
        <v>88</v>
      </c>
      <c r="W1654" s="364" t="s">
        <v>88</v>
      </c>
      <c r="X1654" s="364" t="s">
        <v>88</v>
      </c>
      <c r="Y1654" s="364" t="s">
        <v>88</v>
      </c>
      <c r="Z1654" s="364" t="s">
        <v>695</v>
      </c>
      <c r="AA1654" s="364" t="s">
        <v>694</v>
      </c>
      <c r="AB1654" s="364" t="s">
        <v>649</v>
      </c>
      <c r="AC1654" s="364" t="s">
        <v>649</v>
      </c>
      <c r="AD1654" s="364" t="s">
        <v>649</v>
      </c>
      <c r="AE1654" s="364" t="s">
        <v>88</v>
      </c>
      <c r="AF1654" s="364" t="s">
        <v>88</v>
      </c>
      <c r="AG1654" s="364" t="s">
        <v>88</v>
      </c>
      <c r="AH1654" s="364" t="s">
        <v>88</v>
      </c>
      <c r="AI1654" s="364" t="s">
        <v>88</v>
      </c>
      <c r="AJ1654" s="364" t="s">
        <v>648</v>
      </c>
      <c r="AK1654" s="364" t="s">
        <v>669</v>
      </c>
      <c r="AL1654" s="364" t="s">
        <v>646</v>
      </c>
      <c r="AM1654" s="364" t="s">
        <v>645</v>
      </c>
      <c r="AN1654" s="364" t="s">
        <v>644</v>
      </c>
    </row>
    <row r="1655" spans="1:40" x14ac:dyDescent="0.3">
      <c r="A1655" s="364" t="s">
        <v>945</v>
      </c>
      <c r="B1655" s="364" t="s">
        <v>661</v>
      </c>
      <c r="C1655" s="364" t="s">
        <v>677</v>
      </c>
      <c r="D1655" s="364" t="s">
        <v>87</v>
      </c>
      <c r="E1655" s="364" t="s">
        <v>944</v>
      </c>
      <c r="F1655" s="364" t="s">
        <v>944</v>
      </c>
      <c r="G1655" s="364" t="s">
        <v>658</v>
      </c>
      <c r="H1655" s="364" t="s">
        <v>684</v>
      </c>
      <c r="I1655" s="364" t="s">
        <v>943</v>
      </c>
      <c r="J1655" s="364" t="s">
        <v>673</v>
      </c>
      <c r="K1655" s="364" t="s">
        <v>668</v>
      </c>
      <c r="L1655" s="364" t="s">
        <v>190</v>
      </c>
      <c r="M1655" s="364" t="s">
        <v>60</v>
      </c>
      <c r="N1655" s="364" t="s">
        <v>654</v>
      </c>
      <c r="O1655" s="364" t="s">
        <v>653</v>
      </c>
      <c r="P1655" s="364" t="s">
        <v>198</v>
      </c>
      <c r="Q1655" s="364" t="s">
        <v>652</v>
      </c>
      <c r="R1655" s="364" t="s">
        <v>88</v>
      </c>
      <c r="S1655" s="364" t="s">
        <v>88</v>
      </c>
      <c r="T1655" s="364" t="s">
        <v>88</v>
      </c>
      <c r="U1655" s="364" t="s">
        <v>88</v>
      </c>
      <c r="V1655" s="364" t="s">
        <v>88</v>
      </c>
      <c r="W1655" s="364" t="s">
        <v>88</v>
      </c>
      <c r="X1655" s="364" t="s">
        <v>88</v>
      </c>
      <c r="Y1655" s="364" t="s">
        <v>88</v>
      </c>
      <c r="Z1655" s="364" t="s">
        <v>709</v>
      </c>
      <c r="AA1655" s="364" t="s">
        <v>708</v>
      </c>
      <c r="AB1655" s="364" t="s">
        <v>649</v>
      </c>
      <c r="AC1655" s="364" t="s">
        <v>649</v>
      </c>
      <c r="AD1655" s="364" t="s">
        <v>88</v>
      </c>
      <c r="AE1655" s="364" t="s">
        <v>88</v>
      </c>
      <c r="AF1655" s="364" t="s">
        <v>88</v>
      </c>
      <c r="AG1655" s="364" t="s">
        <v>88</v>
      </c>
      <c r="AH1655" s="364" t="s">
        <v>88</v>
      </c>
      <c r="AI1655" s="364" t="s">
        <v>88</v>
      </c>
      <c r="AJ1655" s="364" t="s">
        <v>670</v>
      </c>
      <c r="AK1655" s="364" t="s">
        <v>669</v>
      </c>
      <c r="AL1655" s="364" t="s">
        <v>88</v>
      </c>
      <c r="AM1655" s="364" t="s">
        <v>668</v>
      </c>
      <c r="AN1655" s="364" t="s">
        <v>644</v>
      </c>
    </row>
    <row r="1656" spans="1:40" x14ac:dyDescent="0.3">
      <c r="A1656" s="364" t="s">
        <v>942</v>
      </c>
      <c r="B1656" s="364" t="s">
        <v>661</v>
      </c>
      <c r="C1656" s="364" t="s">
        <v>677</v>
      </c>
      <c r="D1656" s="364" t="s">
        <v>87</v>
      </c>
      <c r="E1656" s="364" t="s">
        <v>941</v>
      </c>
      <c r="F1656" s="364" t="s">
        <v>941</v>
      </c>
      <c r="G1656" s="364" t="s">
        <v>658</v>
      </c>
      <c r="H1656" s="364" t="s">
        <v>940</v>
      </c>
      <c r="I1656" s="364" t="s">
        <v>939</v>
      </c>
      <c r="J1656" s="364" t="s">
        <v>673</v>
      </c>
      <c r="K1656" s="364" t="s">
        <v>668</v>
      </c>
      <c r="L1656" s="364" t="s">
        <v>190</v>
      </c>
      <c r="M1656" s="364" t="s">
        <v>58</v>
      </c>
      <c r="N1656" s="364" t="s">
        <v>654</v>
      </c>
      <c r="O1656" s="364" t="s">
        <v>653</v>
      </c>
      <c r="P1656" s="364" t="s">
        <v>198</v>
      </c>
      <c r="Q1656" s="364" t="s">
        <v>652</v>
      </c>
      <c r="R1656" s="364" t="s">
        <v>88</v>
      </c>
      <c r="S1656" s="364" t="s">
        <v>88</v>
      </c>
      <c r="T1656" s="364" t="s">
        <v>88</v>
      </c>
      <c r="U1656" s="364" t="s">
        <v>88</v>
      </c>
      <c r="V1656" s="364" t="s">
        <v>88</v>
      </c>
      <c r="W1656" s="364" t="s">
        <v>88</v>
      </c>
      <c r="X1656" s="364" t="s">
        <v>88</v>
      </c>
      <c r="Y1656" s="364" t="s">
        <v>88</v>
      </c>
      <c r="Z1656" s="364" t="s">
        <v>702</v>
      </c>
      <c r="AA1656" s="364" t="s">
        <v>701</v>
      </c>
      <c r="AB1656" s="364" t="s">
        <v>649</v>
      </c>
      <c r="AC1656" s="364" t="s">
        <v>649</v>
      </c>
      <c r="AD1656" s="364" t="s">
        <v>88</v>
      </c>
      <c r="AE1656" s="364" t="s">
        <v>88</v>
      </c>
      <c r="AF1656" s="364" t="s">
        <v>88</v>
      </c>
      <c r="AG1656" s="364" t="s">
        <v>88</v>
      </c>
      <c r="AH1656" s="364" t="s">
        <v>88</v>
      </c>
      <c r="AI1656" s="364" t="s">
        <v>88</v>
      </c>
      <c r="AJ1656" s="364" t="s">
        <v>670</v>
      </c>
      <c r="AK1656" s="364" t="s">
        <v>669</v>
      </c>
      <c r="AL1656" s="364" t="s">
        <v>88</v>
      </c>
      <c r="AM1656" s="364" t="s">
        <v>668</v>
      </c>
      <c r="AN1656" s="364" t="s">
        <v>644</v>
      </c>
    </row>
    <row r="1657" spans="1:40" x14ac:dyDescent="0.3">
      <c r="A1657" s="364" t="s">
        <v>938</v>
      </c>
      <c r="B1657" s="364" t="s">
        <v>661</v>
      </c>
      <c r="C1657" s="364" t="s">
        <v>796</v>
      </c>
      <c r="D1657" s="364" t="s">
        <v>87</v>
      </c>
      <c r="E1657" s="364" t="s">
        <v>878</v>
      </c>
      <c r="F1657" s="364" t="s">
        <v>878</v>
      </c>
      <c r="G1657" s="364" t="s">
        <v>658</v>
      </c>
      <c r="H1657" s="364" t="s">
        <v>88</v>
      </c>
      <c r="I1657" s="364" t="s">
        <v>88</v>
      </c>
      <c r="J1657" s="364" t="s">
        <v>673</v>
      </c>
      <c r="K1657" s="364" t="s">
        <v>668</v>
      </c>
      <c r="L1657" s="364" t="s">
        <v>190</v>
      </c>
      <c r="M1657" s="364" t="s">
        <v>60</v>
      </c>
      <c r="N1657" s="364" t="s">
        <v>654</v>
      </c>
      <c r="O1657" s="364" t="s">
        <v>653</v>
      </c>
      <c r="P1657" s="364" t="s">
        <v>198</v>
      </c>
      <c r="Q1657" s="364" t="s">
        <v>652</v>
      </c>
      <c r="R1657" s="364" t="s">
        <v>88</v>
      </c>
      <c r="S1657" s="364" t="s">
        <v>88</v>
      </c>
      <c r="T1657" s="364" t="s">
        <v>88</v>
      </c>
      <c r="U1657" s="364" t="s">
        <v>88</v>
      </c>
      <c r="V1657" s="364" t="s">
        <v>88</v>
      </c>
      <c r="W1657" s="364" t="s">
        <v>88</v>
      </c>
      <c r="X1657" s="364" t="s">
        <v>88</v>
      </c>
      <c r="Y1657" s="364" t="s">
        <v>88</v>
      </c>
      <c r="Z1657" s="364" t="s">
        <v>709</v>
      </c>
      <c r="AA1657" s="364" t="s">
        <v>708</v>
      </c>
      <c r="AB1657" s="364" t="s">
        <v>649</v>
      </c>
      <c r="AC1657" s="364" t="s">
        <v>88</v>
      </c>
      <c r="AD1657" s="364" t="s">
        <v>88</v>
      </c>
      <c r="AE1657" s="364" t="s">
        <v>88</v>
      </c>
      <c r="AF1657" s="364" t="s">
        <v>88</v>
      </c>
      <c r="AG1657" s="364" t="s">
        <v>88</v>
      </c>
      <c r="AH1657" s="364" t="s">
        <v>88</v>
      </c>
      <c r="AI1657" s="364" t="s">
        <v>88</v>
      </c>
      <c r="AJ1657" s="364" t="s">
        <v>670</v>
      </c>
      <c r="AK1657" s="364" t="s">
        <v>88</v>
      </c>
      <c r="AL1657" s="364" t="s">
        <v>88</v>
      </c>
      <c r="AM1657" s="364" t="s">
        <v>668</v>
      </c>
      <c r="AN1657" s="364" t="s">
        <v>644</v>
      </c>
    </row>
    <row r="1658" spans="1:40" x14ac:dyDescent="0.3">
      <c r="A1658" s="364" t="s">
        <v>937</v>
      </c>
      <c r="B1658" s="364" t="s">
        <v>661</v>
      </c>
      <c r="C1658" s="364" t="s">
        <v>660</v>
      </c>
      <c r="D1658" s="364" t="s">
        <v>87</v>
      </c>
      <c r="E1658" s="364" t="s">
        <v>736</v>
      </c>
      <c r="F1658" s="364" t="s">
        <v>736</v>
      </c>
      <c r="G1658" s="364" t="s">
        <v>658</v>
      </c>
      <c r="H1658" s="364" t="s">
        <v>680</v>
      </c>
      <c r="I1658" s="364" t="s">
        <v>734</v>
      </c>
      <c r="J1658" s="364" t="s">
        <v>673</v>
      </c>
      <c r="K1658" s="364" t="s">
        <v>668</v>
      </c>
      <c r="L1658" s="364" t="s">
        <v>190</v>
      </c>
      <c r="M1658" s="364" t="s">
        <v>59</v>
      </c>
      <c r="N1658" s="364" t="s">
        <v>654</v>
      </c>
      <c r="O1658" s="364" t="s">
        <v>653</v>
      </c>
      <c r="P1658" s="364" t="s">
        <v>198</v>
      </c>
      <c r="Q1658" s="364" t="s">
        <v>652</v>
      </c>
      <c r="R1658" s="364" t="s">
        <v>88</v>
      </c>
      <c r="S1658" s="364" t="s">
        <v>88</v>
      </c>
      <c r="T1658" s="364" t="s">
        <v>88</v>
      </c>
      <c r="U1658" s="364" t="s">
        <v>88</v>
      </c>
      <c r="V1658" s="364" t="s">
        <v>88</v>
      </c>
      <c r="W1658" s="364" t="s">
        <v>88</v>
      </c>
      <c r="X1658" s="364" t="s">
        <v>88</v>
      </c>
      <c r="Y1658" s="364" t="s">
        <v>88</v>
      </c>
      <c r="Z1658" s="364" t="s">
        <v>672</v>
      </c>
      <c r="AA1658" s="364" t="s">
        <v>671</v>
      </c>
      <c r="AB1658" s="364" t="s">
        <v>649</v>
      </c>
      <c r="AC1658" s="364" t="s">
        <v>649</v>
      </c>
      <c r="AD1658" s="364" t="s">
        <v>649</v>
      </c>
      <c r="AE1658" s="364" t="s">
        <v>88</v>
      </c>
      <c r="AF1658" s="364" t="s">
        <v>88</v>
      </c>
      <c r="AG1658" s="364" t="s">
        <v>88</v>
      </c>
      <c r="AH1658" s="364" t="s">
        <v>88</v>
      </c>
      <c r="AI1658" s="364" t="s">
        <v>88</v>
      </c>
      <c r="AJ1658" s="364" t="s">
        <v>670</v>
      </c>
      <c r="AK1658" s="364" t="s">
        <v>669</v>
      </c>
      <c r="AL1658" s="364" t="s">
        <v>646</v>
      </c>
      <c r="AM1658" s="364" t="s">
        <v>668</v>
      </c>
      <c r="AN1658" s="364" t="s">
        <v>644</v>
      </c>
    </row>
    <row r="1659" spans="1:40" x14ac:dyDescent="0.3">
      <c r="A1659" s="364" t="s">
        <v>936</v>
      </c>
      <c r="B1659" s="364" t="s">
        <v>661</v>
      </c>
      <c r="C1659" s="364" t="s">
        <v>660</v>
      </c>
      <c r="D1659" s="364" t="s">
        <v>87</v>
      </c>
      <c r="E1659" s="364" t="s">
        <v>935</v>
      </c>
      <c r="F1659" s="364" t="s">
        <v>935</v>
      </c>
      <c r="G1659" s="364" t="s">
        <v>658</v>
      </c>
      <c r="H1659" s="364" t="s">
        <v>934</v>
      </c>
      <c r="I1659" s="364" t="s">
        <v>933</v>
      </c>
      <c r="J1659" s="364" t="s">
        <v>673</v>
      </c>
      <c r="K1659" s="364" t="s">
        <v>668</v>
      </c>
      <c r="L1659" s="364" t="s">
        <v>190</v>
      </c>
      <c r="M1659" s="364" t="s">
        <v>59</v>
      </c>
      <c r="N1659" s="364" t="s">
        <v>654</v>
      </c>
      <c r="O1659" s="364" t="s">
        <v>653</v>
      </c>
      <c r="P1659" s="364" t="s">
        <v>198</v>
      </c>
      <c r="Q1659" s="364" t="s">
        <v>652</v>
      </c>
      <c r="R1659" s="364" t="s">
        <v>88</v>
      </c>
      <c r="S1659" s="364" t="s">
        <v>88</v>
      </c>
      <c r="T1659" s="364" t="s">
        <v>88</v>
      </c>
      <c r="U1659" s="364" t="s">
        <v>88</v>
      </c>
      <c r="V1659" s="364" t="s">
        <v>88</v>
      </c>
      <c r="W1659" s="364" t="s">
        <v>88</v>
      </c>
      <c r="X1659" s="364" t="s">
        <v>88</v>
      </c>
      <c r="Y1659" s="364" t="s">
        <v>88</v>
      </c>
      <c r="Z1659" s="364" t="s">
        <v>672</v>
      </c>
      <c r="AA1659" s="364" t="s">
        <v>671</v>
      </c>
      <c r="AB1659" s="364" t="s">
        <v>649</v>
      </c>
      <c r="AC1659" s="364" t="s">
        <v>649</v>
      </c>
      <c r="AD1659" s="364" t="s">
        <v>649</v>
      </c>
      <c r="AE1659" s="364" t="s">
        <v>88</v>
      </c>
      <c r="AF1659" s="364" t="s">
        <v>88</v>
      </c>
      <c r="AG1659" s="364" t="s">
        <v>88</v>
      </c>
      <c r="AH1659" s="364" t="s">
        <v>88</v>
      </c>
      <c r="AI1659" s="364" t="s">
        <v>88</v>
      </c>
      <c r="AJ1659" s="364" t="s">
        <v>670</v>
      </c>
      <c r="AK1659" s="364" t="s">
        <v>669</v>
      </c>
      <c r="AL1659" s="364" t="s">
        <v>646</v>
      </c>
      <c r="AM1659" s="364" t="s">
        <v>668</v>
      </c>
      <c r="AN1659" s="364" t="s">
        <v>644</v>
      </c>
    </row>
    <row r="1660" spans="1:40" x14ac:dyDescent="0.3">
      <c r="A1660" s="364" t="s">
        <v>932</v>
      </c>
      <c r="B1660" s="364" t="s">
        <v>661</v>
      </c>
      <c r="C1660" s="364" t="s">
        <v>660</v>
      </c>
      <c r="D1660" s="364" t="s">
        <v>87</v>
      </c>
      <c r="E1660" s="364" t="s">
        <v>752</v>
      </c>
      <c r="F1660" s="364" t="s">
        <v>752</v>
      </c>
      <c r="G1660" s="364" t="s">
        <v>658</v>
      </c>
      <c r="H1660" s="364" t="s">
        <v>823</v>
      </c>
      <c r="I1660" s="364" t="s">
        <v>931</v>
      </c>
      <c r="J1660" s="364" t="s">
        <v>673</v>
      </c>
      <c r="K1660" s="364" t="s">
        <v>668</v>
      </c>
      <c r="L1660" s="364" t="s">
        <v>190</v>
      </c>
      <c r="M1660" s="364" t="s">
        <v>62</v>
      </c>
      <c r="N1660" s="364" t="s">
        <v>654</v>
      </c>
      <c r="O1660" s="364" t="s">
        <v>653</v>
      </c>
      <c r="P1660" s="364" t="s">
        <v>198</v>
      </c>
      <c r="Q1660" s="364" t="s">
        <v>652</v>
      </c>
      <c r="R1660" s="364" t="s">
        <v>88</v>
      </c>
      <c r="S1660" s="364" t="s">
        <v>88</v>
      </c>
      <c r="T1660" s="364" t="s">
        <v>88</v>
      </c>
      <c r="U1660" s="364" t="s">
        <v>88</v>
      </c>
      <c r="V1660" s="364" t="s">
        <v>88</v>
      </c>
      <c r="W1660" s="364" t="s">
        <v>88</v>
      </c>
      <c r="X1660" s="364" t="s">
        <v>88</v>
      </c>
      <c r="Y1660" s="364" t="s">
        <v>88</v>
      </c>
      <c r="Z1660" s="364" t="s">
        <v>689</v>
      </c>
      <c r="AA1660" s="364" t="s">
        <v>688</v>
      </c>
      <c r="AB1660" s="364" t="s">
        <v>649</v>
      </c>
      <c r="AC1660" s="364" t="s">
        <v>649</v>
      </c>
      <c r="AD1660" s="364" t="s">
        <v>649</v>
      </c>
      <c r="AE1660" s="364" t="s">
        <v>88</v>
      </c>
      <c r="AF1660" s="364" t="s">
        <v>88</v>
      </c>
      <c r="AG1660" s="364" t="s">
        <v>88</v>
      </c>
      <c r="AH1660" s="364" t="s">
        <v>88</v>
      </c>
      <c r="AI1660" s="364" t="s">
        <v>88</v>
      </c>
      <c r="AJ1660" s="364" t="s">
        <v>670</v>
      </c>
      <c r="AK1660" s="364" t="s">
        <v>687</v>
      </c>
      <c r="AL1660" s="364" t="s">
        <v>646</v>
      </c>
      <c r="AM1660" s="364" t="s">
        <v>668</v>
      </c>
      <c r="AN1660" s="364" t="s">
        <v>644</v>
      </c>
    </row>
    <row r="1661" spans="1:40" x14ac:dyDescent="0.3">
      <c r="A1661" s="364" t="s">
        <v>930</v>
      </c>
      <c r="B1661" s="364" t="s">
        <v>661</v>
      </c>
      <c r="C1661" s="364" t="s">
        <v>660</v>
      </c>
      <c r="D1661" s="364" t="s">
        <v>87</v>
      </c>
      <c r="E1661" s="364" t="s">
        <v>929</v>
      </c>
      <c r="F1661" s="364" t="s">
        <v>929</v>
      </c>
      <c r="G1661" s="364" t="s">
        <v>658</v>
      </c>
      <c r="H1661" s="364" t="s">
        <v>928</v>
      </c>
      <c r="I1661" s="364" t="s">
        <v>927</v>
      </c>
      <c r="J1661" s="364" t="s">
        <v>198</v>
      </c>
      <c r="K1661" s="364" t="s">
        <v>645</v>
      </c>
      <c r="L1661" s="364" t="s">
        <v>188</v>
      </c>
      <c r="M1661" s="364" t="s">
        <v>696</v>
      </c>
      <c r="N1661" s="364" t="s">
        <v>654</v>
      </c>
      <c r="O1661" s="364" t="s">
        <v>653</v>
      </c>
      <c r="P1661" s="364" t="s">
        <v>198</v>
      </c>
      <c r="Q1661" s="364" t="s">
        <v>652</v>
      </c>
      <c r="R1661" s="364" t="s">
        <v>88</v>
      </c>
      <c r="S1661" s="364" t="s">
        <v>88</v>
      </c>
      <c r="T1661" s="364" t="s">
        <v>88</v>
      </c>
      <c r="U1661" s="364" t="s">
        <v>88</v>
      </c>
      <c r="V1661" s="364" t="s">
        <v>88</v>
      </c>
      <c r="W1661" s="364" t="s">
        <v>88</v>
      </c>
      <c r="X1661" s="364" t="s">
        <v>88</v>
      </c>
      <c r="Y1661" s="364" t="s">
        <v>88</v>
      </c>
      <c r="Z1661" s="364" t="s">
        <v>695</v>
      </c>
      <c r="AA1661" s="364" t="s">
        <v>694</v>
      </c>
      <c r="AB1661" s="364" t="s">
        <v>649</v>
      </c>
      <c r="AC1661" s="364" t="s">
        <v>649</v>
      </c>
      <c r="AD1661" s="364" t="s">
        <v>649</v>
      </c>
      <c r="AE1661" s="364" t="s">
        <v>88</v>
      </c>
      <c r="AF1661" s="364" t="s">
        <v>88</v>
      </c>
      <c r="AG1661" s="364" t="s">
        <v>88</v>
      </c>
      <c r="AH1661" s="364" t="s">
        <v>88</v>
      </c>
      <c r="AI1661" s="364" t="s">
        <v>88</v>
      </c>
      <c r="AJ1661" s="364" t="s">
        <v>648</v>
      </c>
      <c r="AK1661" s="364" t="s">
        <v>669</v>
      </c>
      <c r="AL1661" s="364" t="s">
        <v>646</v>
      </c>
      <c r="AM1661" s="364" t="s">
        <v>645</v>
      </c>
      <c r="AN1661" s="364" t="s">
        <v>644</v>
      </c>
    </row>
    <row r="1662" spans="1:40" x14ac:dyDescent="0.3">
      <c r="A1662" s="364" t="s">
        <v>926</v>
      </c>
      <c r="B1662" s="364" t="s">
        <v>661</v>
      </c>
      <c r="C1662" s="364" t="s">
        <v>660</v>
      </c>
      <c r="D1662" s="364" t="s">
        <v>87</v>
      </c>
      <c r="E1662" s="364" t="s">
        <v>925</v>
      </c>
      <c r="F1662" s="364" t="s">
        <v>925</v>
      </c>
      <c r="G1662" s="364" t="s">
        <v>658</v>
      </c>
      <c r="H1662" s="364" t="s">
        <v>924</v>
      </c>
      <c r="I1662" s="364" t="s">
        <v>802</v>
      </c>
      <c r="J1662" s="364" t="s">
        <v>198</v>
      </c>
      <c r="K1662" s="364" t="s">
        <v>645</v>
      </c>
      <c r="L1662" s="364" t="s">
        <v>188</v>
      </c>
      <c r="M1662" s="364" t="s">
        <v>696</v>
      </c>
      <c r="N1662" s="364" t="s">
        <v>654</v>
      </c>
      <c r="O1662" s="364" t="s">
        <v>653</v>
      </c>
      <c r="P1662" s="364" t="s">
        <v>198</v>
      </c>
      <c r="Q1662" s="364" t="s">
        <v>652</v>
      </c>
      <c r="R1662" s="364" t="s">
        <v>88</v>
      </c>
      <c r="S1662" s="364" t="s">
        <v>88</v>
      </c>
      <c r="T1662" s="364" t="s">
        <v>88</v>
      </c>
      <c r="U1662" s="364" t="s">
        <v>88</v>
      </c>
      <c r="V1662" s="364" t="s">
        <v>88</v>
      </c>
      <c r="W1662" s="364" t="s">
        <v>88</v>
      </c>
      <c r="X1662" s="364" t="s">
        <v>88</v>
      </c>
      <c r="Y1662" s="364" t="s">
        <v>88</v>
      </c>
      <c r="Z1662" s="364" t="s">
        <v>695</v>
      </c>
      <c r="AA1662" s="364" t="s">
        <v>694</v>
      </c>
      <c r="AB1662" s="364" t="s">
        <v>649</v>
      </c>
      <c r="AC1662" s="364" t="s">
        <v>649</v>
      </c>
      <c r="AD1662" s="364" t="s">
        <v>649</v>
      </c>
      <c r="AE1662" s="364" t="s">
        <v>88</v>
      </c>
      <c r="AF1662" s="364" t="s">
        <v>88</v>
      </c>
      <c r="AG1662" s="364" t="s">
        <v>88</v>
      </c>
      <c r="AH1662" s="364" t="s">
        <v>88</v>
      </c>
      <c r="AI1662" s="364" t="s">
        <v>88</v>
      </c>
      <c r="AJ1662" s="364" t="s">
        <v>648</v>
      </c>
      <c r="AK1662" s="364" t="s">
        <v>669</v>
      </c>
      <c r="AL1662" s="364" t="s">
        <v>646</v>
      </c>
      <c r="AM1662" s="364" t="s">
        <v>645</v>
      </c>
      <c r="AN1662" s="364" t="s">
        <v>644</v>
      </c>
    </row>
    <row r="1663" spans="1:40" x14ac:dyDescent="0.3">
      <c r="A1663" s="364" t="s">
        <v>923</v>
      </c>
      <c r="B1663" s="364" t="s">
        <v>661</v>
      </c>
      <c r="C1663" s="364" t="s">
        <v>660</v>
      </c>
      <c r="D1663" s="364" t="s">
        <v>87</v>
      </c>
      <c r="E1663" s="364" t="s">
        <v>744</v>
      </c>
      <c r="F1663" s="364" t="s">
        <v>744</v>
      </c>
      <c r="G1663" s="364" t="s">
        <v>658</v>
      </c>
      <c r="H1663" s="364" t="s">
        <v>922</v>
      </c>
      <c r="I1663" s="364" t="s">
        <v>765</v>
      </c>
      <c r="J1663" s="364" t="s">
        <v>198</v>
      </c>
      <c r="K1663" s="364" t="s">
        <v>645</v>
      </c>
      <c r="L1663" s="364" t="s">
        <v>188</v>
      </c>
      <c r="M1663" s="364" t="s">
        <v>696</v>
      </c>
      <c r="N1663" s="364" t="s">
        <v>654</v>
      </c>
      <c r="O1663" s="364" t="s">
        <v>653</v>
      </c>
      <c r="P1663" s="364" t="s">
        <v>198</v>
      </c>
      <c r="Q1663" s="364" t="s">
        <v>652</v>
      </c>
      <c r="R1663" s="364" t="s">
        <v>88</v>
      </c>
      <c r="S1663" s="364" t="s">
        <v>88</v>
      </c>
      <c r="T1663" s="364" t="s">
        <v>88</v>
      </c>
      <c r="U1663" s="364" t="s">
        <v>88</v>
      </c>
      <c r="V1663" s="364" t="s">
        <v>88</v>
      </c>
      <c r="W1663" s="364" t="s">
        <v>88</v>
      </c>
      <c r="X1663" s="364" t="s">
        <v>88</v>
      </c>
      <c r="Y1663" s="364" t="s">
        <v>88</v>
      </c>
      <c r="Z1663" s="364" t="s">
        <v>695</v>
      </c>
      <c r="AA1663" s="364" t="s">
        <v>694</v>
      </c>
      <c r="AB1663" s="364" t="s">
        <v>649</v>
      </c>
      <c r="AC1663" s="364" t="s">
        <v>649</v>
      </c>
      <c r="AD1663" s="364" t="s">
        <v>649</v>
      </c>
      <c r="AE1663" s="364" t="s">
        <v>88</v>
      </c>
      <c r="AF1663" s="364" t="s">
        <v>88</v>
      </c>
      <c r="AG1663" s="364" t="s">
        <v>88</v>
      </c>
      <c r="AH1663" s="364" t="s">
        <v>88</v>
      </c>
      <c r="AI1663" s="364" t="s">
        <v>88</v>
      </c>
      <c r="AJ1663" s="364" t="s">
        <v>663</v>
      </c>
      <c r="AK1663" s="364" t="s">
        <v>687</v>
      </c>
      <c r="AL1663" s="364" t="s">
        <v>646</v>
      </c>
      <c r="AM1663" s="364" t="s">
        <v>645</v>
      </c>
      <c r="AN1663" s="364" t="s">
        <v>644</v>
      </c>
    </row>
    <row r="1664" spans="1:40" x14ac:dyDescent="0.3">
      <c r="A1664" s="364" t="s">
        <v>921</v>
      </c>
      <c r="B1664" s="364" t="s">
        <v>661</v>
      </c>
      <c r="C1664" s="364" t="s">
        <v>660</v>
      </c>
      <c r="D1664" s="364" t="s">
        <v>87</v>
      </c>
      <c r="E1664" s="364" t="s">
        <v>905</v>
      </c>
      <c r="F1664" s="364" t="s">
        <v>905</v>
      </c>
      <c r="G1664" s="364" t="s">
        <v>658</v>
      </c>
      <c r="H1664" s="364" t="s">
        <v>920</v>
      </c>
      <c r="I1664" s="364" t="s">
        <v>780</v>
      </c>
      <c r="J1664" s="364" t="s">
        <v>673</v>
      </c>
      <c r="K1664" s="364" t="s">
        <v>668</v>
      </c>
      <c r="L1664" s="364" t="s">
        <v>190</v>
      </c>
      <c r="M1664" s="364" t="s">
        <v>62</v>
      </c>
      <c r="N1664" s="364" t="s">
        <v>654</v>
      </c>
      <c r="O1664" s="364" t="s">
        <v>653</v>
      </c>
      <c r="P1664" s="364" t="s">
        <v>198</v>
      </c>
      <c r="Q1664" s="364" t="s">
        <v>652</v>
      </c>
      <c r="R1664" s="364" t="s">
        <v>88</v>
      </c>
      <c r="S1664" s="364" t="s">
        <v>88</v>
      </c>
      <c r="T1664" s="364" t="s">
        <v>88</v>
      </c>
      <c r="U1664" s="364" t="s">
        <v>88</v>
      </c>
      <c r="V1664" s="364" t="s">
        <v>88</v>
      </c>
      <c r="W1664" s="364" t="s">
        <v>88</v>
      </c>
      <c r="X1664" s="364" t="s">
        <v>88</v>
      </c>
      <c r="Y1664" s="364" t="s">
        <v>88</v>
      </c>
      <c r="Z1664" s="364" t="s">
        <v>689</v>
      </c>
      <c r="AA1664" s="364" t="s">
        <v>688</v>
      </c>
      <c r="AB1664" s="364" t="s">
        <v>649</v>
      </c>
      <c r="AC1664" s="364" t="s">
        <v>649</v>
      </c>
      <c r="AD1664" s="364" t="s">
        <v>649</v>
      </c>
      <c r="AE1664" s="364" t="s">
        <v>88</v>
      </c>
      <c r="AF1664" s="364" t="s">
        <v>88</v>
      </c>
      <c r="AG1664" s="364" t="s">
        <v>88</v>
      </c>
      <c r="AH1664" s="364" t="s">
        <v>88</v>
      </c>
      <c r="AI1664" s="364" t="s">
        <v>88</v>
      </c>
      <c r="AJ1664" s="364" t="s">
        <v>670</v>
      </c>
      <c r="AK1664" s="364" t="s">
        <v>669</v>
      </c>
      <c r="AL1664" s="364" t="s">
        <v>646</v>
      </c>
      <c r="AM1664" s="364" t="s">
        <v>668</v>
      </c>
      <c r="AN1664" s="364" t="s">
        <v>644</v>
      </c>
    </row>
    <row r="1665" spans="1:40" x14ac:dyDescent="0.3">
      <c r="A1665" s="364" t="s">
        <v>919</v>
      </c>
      <c r="B1665" s="364" t="s">
        <v>661</v>
      </c>
      <c r="C1665" s="364" t="s">
        <v>660</v>
      </c>
      <c r="D1665" s="364" t="s">
        <v>90</v>
      </c>
      <c r="E1665" s="364" t="s">
        <v>749</v>
      </c>
      <c r="F1665" s="364" t="s">
        <v>749</v>
      </c>
      <c r="G1665" s="364" t="s">
        <v>658</v>
      </c>
      <c r="H1665" s="364" t="s">
        <v>918</v>
      </c>
      <c r="I1665" s="364" t="s">
        <v>917</v>
      </c>
      <c r="J1665" s="364" t="s">
        <v>198</v>
      </c>
      <c r="K1665" s="364" t="s">
        <v>645</v>
      </c>
      <c r="L1665" s="364" t="s">
        <v>188</v>
      </c>
      <c r="M1665" s="364" t="s">
        <v>655</v>
      </c>
      <c r="N1665" s="364" t="s">
        <v>654</v>
      </c>
      <c r="O1665" s="364" t="s">
        <v>653</v>
      </c>
      <c r="P1665" s="364" t="s">
        <v>198</v>
      </c>
      <c r="Q1665" s="364" t="s">
        <v>652</v>
      </c>
      <c r="R1665" s="364" t="s">
        <v>88</v>
      </c>
      <c r="S1665" s="364" t="s">
        <v>88</v>
      </c>
      <c r="T1665" s="364" t="s">
        <v>88</v>
      </c>
      <c r="U1665" s="364" t="s">
        <v>88</v>
      </c>
      <c r="V1665" s="364" t="s">
        <v>88</v>
      </c>
      <c r="W1665" s="364" t="s">
        <v>88</v>
      </c>
      <c r="X1665" s="364" t="s">
        <v>88</v>
      </c>
      <c r="Y1665" s="364" t="s">
        <v>88</v>
      </c>
      <c r="Z1665" s="364" t="s">
        <v>651</v>
      </c>
      <c r="AA1665" s="364" t="s">
        <v>650</v>
      </c>
      <c r="AB1665" s="364" t="s">
        <v>649</v>
      </c>
      <c r="AC1665" s="364" t="s">
        <v>649</v>
      </c>
      <c r="AD1665" s="364" t="s">
        <v>649</v>
      </c>
      <c r="AE1665" s="364" t="s">
        <v>88</v>
      </c>
      <c r="AF1665" s="364" t="s">
        <v>88</v>
      </c>
      <c r="AG1665" s="364" t="s">
        <v>88</v>
      </c>
      <c r="AH1665" s="364" t="s">
        <v>88</v>
      </c>
      <c r="AI1665" s="364" t="s">
        <v>88</v>
      </c>
      <c r="AJ1665" s="364" t="s">
        <v>648</v>
      </c>
      <c r="AK1665" s="364" t="s">
        <v>647</v>
      </c>
      <c r="AL1665" s="364" t="s">
        <v>646</v>
      </c>
      <c r="AM1665" s="364" t="s">
        <v>645</v>
      </c>
      <c r="AN1665" s="364" t="s">
        <v>644</v>
      </c>
    </row>
    <row r="1666" spans="1:40" x14ac:dyDescent="0.3">
      <c r="A1666" s="364" t="s">
        <v>916</v>
      </c>
      <c r="B1666" s="364" t="s">
        <v>661</v>
      </c>
      <c r="C1666" s="364" t="s">
        <v>660</v>
      </c>
      <c r="D1666" s="364" t="s">
        <v>87</v>
      </c>
      <c r="E1666" s="364" t="s">
        <v>915</v>
      </c>
      <c r="F1666" s="364" t="s">
        <v>915</v>
      </c>
      <c r="G1666" s="364" t="s">
        <v>658</v>
      </c>
      <c r="H1666" s="364" t="s">
        <v>914</v>
      </c>
      <c r="I1666" s="364" t="s">
        <v>913</v>
      </c>
      <c r="J1666" s="364" t="s">
        <v>198</v>
      </c>
      <c r="K1666" s="364" t="s">
        <v>645</v>
      </c>
      <c r="L1666" s="364" t="s">
        <v>188</v>
      </c>
      <c r="M1666" s="364" t="s">
        <v>696</v>
      </c>
      <c r="N1666" s="364" t="s">
        <v>654</v>
      </c>
      <c r="O1666" s="364" t="s">
        <v>653</v>
      </c>
      <c r="P1666" s="364" t="s">
        <v>198</v>
      </c>
      <c r="Q1666" s="364" t="s">
        <v>652</v>
      </c>
      <c r="R1666" s="364" t="s">
        <v>88</v>
      </c>
      <c r="S1666" s="364" t="s">
        <v>88</v>
      </c>
      <c r="T1666" s="364" t="s">
        <v>88</v>
      </c>
      <c r="U1666" s="364" t="s">
        <v>88</v>
      </c>
      <c r="V1666" s="364" t="s">
        <v>88</v>
      </c>
      <c r="W1666" s="364" t="s">
        <v>88</v>
      </c>
      <c r="X1666" s="364" t="s">
        <v>88</v>
      </c>
      <c r="Y1666" s="364" t="s">
        <v>88</v>
      </c>
      <c r="Z1666" s="364" t="s">
        <v>695</v>
      </c>
      <c r="AA1666" s="364" t="s">
        <v>694</v>
      </c>
      <c r="AB1666" s="364" t="s">
        <v>649</v>
      </c>
      <c r="AC1666" s="364" t="s">
        <v>649</v>
      </c>
      <c r="AD1666" s="364" t="s">
        <v>649</v>
      </c>
      <c r="AE1666" s="364" t="s">
        <v>88</v>
      </c>
      <c r="AF1666" s="364" t="s">
        <v>88</v>
      </c>
      <c r="AG1666" s="364" t="s">
        <v>88</v>
      </c>
      <c r="AH1666" s="364" t="s">
        <v>88</v>
      </c>
      <c r="AI1666" s="364" t="s">
        <v>88</v>
      </c>
      <c r="AJ1666" s="364" t="s">
        <v>670</v>
      </c>
      <c r="AK1666" s="364" t="s">
        <v>669</v>
      </c>
      <c r="AL1666" s="364" t="s">
        <v>646</v>
      </c>
      <c r="AM1666" s="364" t="s">
        <v>645</v>
      </c>
      <c r="AN1666" s="364" t="s">
        <v>644</v>
      </c>
    </row>
    <row r="1667" spans="1:40" x14ac:dyDescent="0.3">
      <c r="A1667" s="364" t="s">
        <v>912</v>
      </c>
      <c r="B1667" s="364" t="s">
        <v>661</v>
      </c>
      <c r="C1667" s="364" t="s">
        <v>660</v>
      </c>
      <c r="D1667" s="364" t="s">
        <v>87</v>
      </c>
      <c r="E1667" s="364" t="s">
        <v>782</v>
      </c>
      <c r="F1667" s="364" t="s">
        <v>782</v>
      </c>
      <c r="G1667" s="364" t="s">
        <v>658</v>
      </c>
      <c r="H1667" s="364" t="s">
        <v>911</v>
      </c>
      <c r="I1667" s="364" t="s">
        <v>910</v>
      </c>
      <c r="J1667" s="364" t="s">
        <v>673</v>
      </c>
      <c r="K1667" s="364" t="s">
        <v>668</v>
      </c>
      <c r="L1667" s="364" t="s">
        <v>190</v>
      </c>
      <c r="M1667" s="364" t="s">
        <v>62</v>
      </c>
      <c r="N1667" s="364" t="s">
        <v>654</v>
      </c>
      <c r="O1667" s="364" t="s">
        <v>653</v>
      </c>
      <c r="P1667" s="364" t="s">
        <v>198</v>
      </c>
      <c r="Q1667" s="364" t="s">
        <v>652</v>
      </c>
      <c r="R1667" s="364" t="s">
        <v>88</v>
      </c>
      <c r="S1667" s="364" t="s">
        <v>88</v>
      </c>
      <c r="T1667" s="364" t="s">
        <v>88</v>
      </c>
      <c r="U1667" s="364" t="s">
        <v>88</v>
      </c>
      <c r="V1667" s="364" t="s">
        <v>88</v>
      </c>
      <c r="W1667" s="364" t="s">
        <v>88</v>
      </c>
      <c r="X1667" s="364" t="s">
        <v>88</v>
      </c>
      <c r="Y1667" s="364" t="s">
        <v>88</v>
      </c>
      <c r="Z1667" s="364" t="s">
        <v>689</v>
      </c>
      <c r="AA1667" s="364" t="s">
        <v>688</v>
      </c>
      <c r="AB1667" s="364" t="s">
        <v>649</v>
      </c>
      <c r="AC1667" s="364" t="s">
        <v>649</v>
      </c>
      <c r="AD1667" s="364" t="s">
        <v>649</v>
      </c>
      <c r="AE1667" s="364" t="s">
        <v>88</v>
      </c>
      <c r="AF1667" s="364" t="s">
        <v>88</v>
      </c>
      <c r="AG1667" s="364" t="s">
        <v>88</v>
      </c>
      <c r="AH1667" s="364" t="s">
        <v>88</v>
      </c>
      <c r="AI1667" s="364" t="s">
        <v>88</v>
      </c>
      <c r="AJ1667" s="364" t="s">
        <v>670</v>
      </c>
      <c r="AK1667" s="364" t="s">
        <v>687</v>
      </c>
      <c r="AL1667" s="364" t="s">
        <v>646</v>
      </c>
      <c r="AM1667" s="364" t="s">
        <v>668</v>
      </c>
      <c r="AN1667" s="364" t="s">
        <v>644</v>
      </c>
    </row>
    <row r="1668" spans="1:40" x14ac:dyDescent="0.3">
      <c r="A1668" s="364" t="s">
        <v>909</v>
      </c>
      <c r="B1668" s="364" t="s">
        <v>661</v>
      </c>
      <c r="C1668" s="364" t="s">
        <v>908</v>
      </c>
      <c r="D1668" s="364" t="s">
        <v>87</v>
      </c>
      <c r="E1668" s="364" t="s">
        <v>795</v>
      </c>
      <c r="F1668" s="364" t="s">
        <v>795</v>
      </c>
      <c r="G1668" s="364" t="s">
        <v>658</v>
      </c>
      <c r="H1668" s="364" t="s">
        <v>907</v>
      </c>
      <c r="I1668" s="364" t="s">
        <v>88</v>
      </c>
      <c r="J1668" s="364" t="s">
        <v>88</v>
      </c>
      <c r="K1668" s="364" t="s">
        <v>88</v>
      </c>
      <c r="L1668" s="364" t="s">
        <v>88</v>
      </c>
      <c r="M1668" s="364" t="s">
        <v>138</v>
      </c>
      <c r="N1668" s="364" t="s">
        <v>654</v>
      </c>
      <c r="O1668" s="364" t="s">
        <v>653</v>
      </c>
      <c r="P1668" s="364" t="s">
        <v>88</v>
      </c>
      <c r="Q1668" s="364" t="s">
        <v>88</v>
      </c>
      <c r="R1668" s="364" t="s">
        <v>88</v>
      </c>
      <c r="S1668" s="364" t="s">
        <v>88</v>
      </c>
      <c r="T1668" s="364" t="s">
        <v>88</v>
      </c>
      <c r="U1668" s="364" t="s">
        <v>88</v>
      </c>
      <c r="V1668" s="364" t="s">
        <v>88</v>
      </c>
      <c r="W1668" s="364" t="s">
        <v>88</v>
      </c>
      <c r="X1668" s="364" t="s">
        <v>88</v>
      </c>
      <c r="Y1668" s="364" t="s">
        <v>88</v>
      </c>
      <c r="Z1668" s="364" t="s">
        <v>88</v>
      </c>
      <c r="AA1668" s="364" t="s">
        <v>649</v>
      </c>
      <c r="AB1668" s="364" t="s">
        <v>88</v>
      </c>
      <c r="AC1668" s="364" t="s">
        <v>88</v>
      </c>
      <c r="AD1668" s="364" t="s">
        <v>88</v>
      </c>
      <c r="AE1668" s="364" t="s">
        <v>88</v>
      </c>
      <c r="AF1668" s="364" t="s">
        <v>88</v>
      </c>
      <c r="AG1668" s="364" t="s">
        <v>88</v>
      </c>
      <c r="AH1668" s="364" t="s">
        <v>88</v>
      </c>
      <c r="AI1668" s="364" t="s">
        <v>88</v>
      </c>
      <c r="AJ1668" s="364" t="s">
        <v>793</v>
      </c>
      <c r="AK1668" s="364" t="s">
        <v>88</v>
      </c>
      <c r="AL1668" s="364" t="s">
        <v>88</v>
      </c>
      <c r="AM1668" s="364" t="s">
        <v>88</v>
      </c>
      <c r="AN1668" s="364" t="s">
        <v>792</v>
      </c>
    </row>
    <row r="1669" spans="1:40" x14ac:dyDescent="0.3">
      <c r="A1669" s="364" t="s">
        <v>906</v>
      </c>
      <c r="B1669" s="364" t="s">
        <v>661</v>
      </c>
      <c r="C1669" s="364" t="s">
        <v>660</v>
      </c>
      <c r="D1669" s="364" t="s">
        <v>87</v>
      </c>
      <c r="E1669" s="364" t="s">
        <v>905</v>
      </c>
      <c r="F1669" s="364" t="s">
        <v>905</v>
      </c>
      <c r="G1669" s="364" t="s">
        <v>658</v>
      </c>
      <c r="H1669" s="364" t="s">
        <v>904</v>
      </c>
      <c r="I1669" s="364" t="s">
        <v>780</v>
      </c>
      <c r="J1669" s="364" t="s">
        <v>198</v>
      </c>
      <c r="K1669" s="364" t="s">
        <v>645</v>
      </c>
      <c r="L1669" s="364" t="s">
        <v>188</v>
      </c>
      <c r="M1669" s="364" t="s">
        <v>696</v>
      </c>
      <c r="N1669" s="364" t="s">
        <v>654</v>
      </c>
      <c r="O1669" s="364" t="s">
        <v>653</v>
      </c>
      <c r="P1669" s="364" t="s">
        <v>198</v>
      </c>
      <c r="Q1669" s="364" t="s">
        <v>652</v>
      </c>
      <c r="R1669" s="364" t="s">
        <v>88</v>
      </c>
      <c r="S1669" s="364" t="s">
        <v>88</v>
      </c>
      <c r="T1669" s="364" t="s">
        <v>88</v>
      </c>
      <c r="U1669" s="364" t="s">
        <v>88</v>
      </c>
      <c r="V1669" s="364" t="s">
        <v>88</v>
      </c>
      <c r="W1669" s="364" t="s">
        <v>88</v>
      </c>
      <c r="X1669" s="364" t="s">
        <v>88</v>
      </c>
      <c r="Y1669" s="364" t="s">
        <v>88</v>
      </c>
      <c r="Z1669" s="364" t="s">
        <v>695</v>
      </c>
      <c r="AA1669" s="364" t="s">
        <v>694</v>
      </c>
      <c r="AB1669" s="364" t="s">
        <v>649</v>
      </c>
      <c r="AC1669" s="364" t="s">
        <v>649</v>
      </c>
      <c r="AD1669" s="364" t="s">
        <v>649</v>
      </c>
      <c r="AE1669" s="364" t="s">
        <v>88</v>
      </c>
      <c r="AF1669" s="364" t="s">
        <v>88</v>
      </c>
      <c r="AG1669" s="364" t="s">
        <v>88</v>
      </c>
      <c r="AH1669" s="364" t="s">
        <v>88</v>
      </c>
      <c r="AI1669" s="364" t="s">
        <v>88</v>
      </c>
      <c r="AJ1669" s="364" t="s">
        <v>670</v>
      </c>
      <c r="AK1669" s="364" t="s">
        <v>669</v>
      </c>
      <c r="AL1669" s="364" t="s">
        <v>646</v>
      </c>
      <c r="AM1669" s="364" t="s">
        <v>645</v>
      </c>
      <c r="AN1669" s="364" t="s">
        <v>644</v>
      </c>
    </row>
    <row r="1670" spans="1:40" x14ac:dyDescent="0.3">
      <c r="A1670" s="364" t="s">
        <v>903</v>
      </c>
      <c r="B1670" s="364" t="s">
        <v>661</v>
      </c>
      <c r="C1670" s="364" t="s">
        <v>660</v>
      </c>
      <c r="D1670" s="364" t="s">
        <v>87</v>
      </c>
      <c r="E1670" s="364" t="s">
        <v>902</v>
      </c>
      <c r="F1670" s="364" t="s">
        <v>902</v>
      </c>
      <c r="G1670" s="364" t="s">
        <v>658</v>
      </c>
      <c r="H1670" s="364" t="s">
        <v>901</v>
      </c>
      <c r="I1670" s="364" t="s">
        <v>900</v>
      </c>
      <c r="J1670" s="364" t="s">
        <v>198</v>
      </c>
      <c r="K1670" s="364" t="s">
        <v>645</v>
      </c>
      <c r="L1670" s="364" t="s">
        <v>188</v>
      </c>
      <c r="M1670" s="364" t="s">
        <v>696</v>
      </c>
      <c r="N1670" s="364" t="s">
        <v>654</v>
      </c>
      <c r="O1670" s="364" t="s">
        <v>653</v>
      </c>
      <c r="P1670" s="364" t="s">
        <v>198</v>
      </c>
      <c r="Q1670" s="364" t="s">
        <v>652</v>
      </c>
      <c r="R1670" s="364" t="s">
        <v>88</v>
      </c>
      <c r="S1670" s="364" t="s">
        <v>88</v>
      </c>
      <c r="T1670" s="364" t="s">
        <v>88</v>
      </c>
      <c r="U1670" s="364" t="s">
        <v>88</v>
      </c>
      <c r="V1670" s="364" t="s">
        <v>88</v>
      </c>
      <c r="W1670" s="364" t="s">
        <v>88</v>
      </c>
      <c r="X1670" s="364" t="s">
        <v>88</v>
      </c>
      <c r="Y1670" s="364" t="s">
        <v>88</v>
      </c>
      <c r="Z1670" s="364" t="s">
        <v>695</v>
      </c>
      <c r="AA1670" s="364" t="s">
        <v>694</v>
      </c>
      <c r="AB1670" s="364" t="s">
        <v>649</v>
      </c>
      <c r="AC1670" s="364" t="s">
        <v>649</v>
      </c>
      <c r="AD1670" s="364" t="s">
        <v>649</v>
      </c>
      <c r="AE1670" s="364" t="s">
        <v>88</v>
      </c>
      <c r="AF1670" s="364" t="s">
        <v>88</v>
      </c>
      <c r="AG1670" s="364" t="s">
        <v>88</v>
      </c>
      <c r="AH1670" s="364" t="s">
        <v>88</v>
      </c>
      <c r="AI1670" s="364" t="s">
        <v>88</v>
      </c>
      <c r="AJ1670" s="364" t="s">
        <v>670</v>
      </c>
      <c r="AK1670" s="364" t="s">
        <v>669</v>
      </c>
      <c r="AL1670" s="364" t="s">
        <v>646</v>
      </c>
      <c r="AM1670" s="364" t="s">
        <v>645</v>
      </c>
      <c r="AN1670" s="364" t="s">
        <v>644</v>
      </c>
    </row>
    <row r="1671" spans="1:40" x14ac:dyDescent="0.3">
      <c r="A1671" s="364" t="s">
        <v>899</v>
      </c>
      <c r="B1671" s="364" t="s">
        <v>661</v>
      </c>
      <c r="C1671" s="364" t="s">
        <v>660</v>
      </c>
      <c r="D1671" s="364" t="s">
        <v>87</v>
      </c>
      <c r="E1671" s="364" t="s">
        <v>898</v>
      </c>
      <c r="F1671" s="364" t="s">
        <v>898</v>
      </c>
      <c r="G1671" s="364" t="s">
        <v>658</v>
      </c>
      <c r="H1671" s="364" t="s">
        <v>897</v>
      </c>
      <c r="I1671" s="364" t="s">
        <v>690</v>
      </c>
      <c r="J1671" s="364" t="s">
        <v>198</v>
      </c>
      <c r="K1671" s="364" t="s">
        <v>645</v>
      </c>
      <c r="L1671" s="364" t="s">
        <v>188</v>
      </c>
      <c r="M1671" s="364" t="s">
        <v>696</v>
      </c>
      <c r="N1671" s="364" t="s">
        <v>654</v>
      </c>
      <c r="O1671" s="364" t="s">
        <v>653</v>
      </c>
      <c r="P1671" s="364" t="s">
        <v>198</v>
      </c>
      <c r="Q1671" s="364" t="s">
        <v>652</v>
      </c>
      <c r="R1671" s="364" t="s">
        <v>88</v>
      </c>
      <c r="S1671" s="364" t="s">
        <v>88</v>
      </c>
      <c r="T1671" s="364" t="s">
        <v>88</v>
      </c>
      <c r="U1671" s="364" t="s">
        <v>88</v>
      </c>
      <c r="V1671" s="364" t="s">
        <v>88</v>
      </c>
      <c r="W1671" s="364" t="s">
        <v>88</v>
      </c>
      <c r="X1671" s="364" t="s">
        <v>88</v>
      </c>
      <c r="Y1671" s="364" t="s">
        <v>88</v>
      </c>
      <c r="Z1671" s="364" t="s">
        <v>695</v>
      </c>
      <c r="AA1671" s="364" t="s">
        <v>694</v>
      </c>
      <c r="AB1671" s="364" t="s">
        <v>649</v>
      </c>
      <c r="AC1671" s="364" t="s">
        <v>649</v>
      </c>
      <c r="AD1671" s="364" t="s">
        <v>649</v>
      </c>
      <c r="AE1671" s="364" t="s">
        <v>88</v>
      </c>
      <c r="AF1671" s="364" t="s">
        <v>88</v>
      </c>
      <c r="AG1671" s="364" t="s">
        <v>88</v>
      </c>
      <c r="AH1671" s="364" t="s">
        <v>88</v>
      </c>
      <c r="AI1671" s="364" t="s">
        <v>88</v>
      </c>
      <c r="AJ1671" s="364" t="s">
        <v>670</v>
      </c>
      <c r="AK1671" s="364" t="s">
        <v>687</v>
      </c>
      <c r="AL1671" s="364" t="s">
        <v>646</v>
      </c>
      <c r="AM1671" s="364" t="s">
        <v>645</v>
      </c>
      <c r="AN1671" s="364" t="s">
        <v>644</v>
      </c>
    </row>
    <row r="1672" spans="1:40" x14ac:dyDescent="0.3">
      <c r="A1672" s="364" t="s">
        <v>896</v>
      </c>
      <c r="B1672" s="364" t="s">
        <v>661</v>
      </c>
      <c r="C1672" s="364" t="s">
        <v>796</v>
      </c>
      <c r="D1672" s="364" t="s">
        <v>90</v>
      </c>
      <c r="E1672" s="364" t="s">
        <v>820</v>
      </c>
      <c r="F1672" s="364" t="s">
        <v>820</v>
      </c>
      <c r="G1672" s="364" t="s">
        <v>658</v>
      </c>
      <c r="H1672" s="364" t="s">
        <v>895</v>
      </c>
      <c r="I1672" s="364" t="s">
        <v>88</v>
      </c>
      <c r="J1672" s="364" t="s">
        <v>88</v>
      </c>
      <c r="K1672" s="364" t="s">
        <v>88</v>
      </c>
      <c r="L1672" s="364" t="s">
        <v>88</v>
      </c>
      <c r="M1672" s="364" t="s">
        <v>88</v>
      </c>
      <c r="N1672" s="364" t="s">
        <v>654</v>
      </c>
      <c r="O1672" s="364" t="s">
        <v>653</v>
      </c>
      <c r="P1672" s="364" t="s">
        <v>88</v>
      </c>
      <c r="Q1672" s="364" t="s">
        <v>88</v>
      </c>
      <c r="R1672" s="364" t="s">
        <v>88</v>
      </c>
      <c r="S1672" s="364" t="s">
        <v>88</v>
      </c>
      <c r="T1672" s="364" t="s">
        <v>88</v>
      </c>
      <c r="U1672" s="364" t="s">
        <v>88</v>
      </c>
      <c r="V1672" s="364" t="s">
        <v>88</v>
      </c>
      <c r="W1672" s="364" t="s">
        <v>88</v>
      </c>
      <c r="X1672" s="364" t="s">
        <v>88</v>
      </c>
      <c r="Y1672" s="364" t="s">
        <v>88</v>
      </c>
      <c r="Z1672" s="364" t="s">
        <v>88</v>
      </c>
      <c r="AA1672" s="364" t="s">
        <v>649</v>
      </c>
      <c r="AB1672" s="364" t="s">
        <v>88</v>
      </c>
      <c r="AC1672" s="364" t="s">
        <v>88</v>
      </c>
      <c r="AD1672" s="364" t="s">
        <v>88</v>
      </c>
      <c r="AE1672" s="364" t="s">
        <v>88</v>
      </c>
      <c r="AF1672" s="364" t="s">
        <v>88</v>
      </c>
      <c r="AG1672" s="364" t="s">
        <v>88</v>
      </c>
      <c r="AH1672" s="364" t="s">
        <v>88</v>
      </c>
      <c r="AI1672" s="364" t="s">
        <v>88</v>
      </c>
      <c r="AJ1672" s="364" t="s">
        <v>793</v>
      </c>
      <c r="AK1672" s="364" t="s">
        <v>88</v>
      </c>
      <c r="AL1672" s="364" t="s">
        <v>88</v>
      </c>
      <c r="AM1672" s="364" t="s">
        <v>88</v>
      </c>
      <c r="AN1672" s="364" t="s">
        <v>792</v>
      </c>
    </row>
    <row r="1673" spans="1:40" x14ac:dyDescent="0.3">
      <c r="A1673" s="364" t="s">
        <v>894</v>
      </c>
      <c r="B1673" s="364" t="s">
        <v>661</v>
      </c>
      <c r="C1673" s="364" t="s">
        <v>660</v>
      </c>
      <c r="D1673" s="364" t="s">
        <v>87</v>
      </c>
      <c r="E1673" s="364" t="s">
        <v>666</v>
      </c>
      <c r="F1673" s="364" t="s">
        <v>666</v>
      </c>
      <c r="G1673" s="364" t="s">
        <v>658</v>
      </c>
      <c r="H1673" s="364" t="s">
        <v>893</v>
      </c>
      <c r="I1673" s="364" t="s">
        <v>765</v>
      </c>
      <c r="J1673" s="364" t="s">
        <v>198</v>
      </c>
      <c r="K1673" s="364" t="s">
        <v>645</v>
      </c>
      <c r="L1673" s="364" t="s">
        <v>188</v>
      </c>
      <c r="M1673" s="364" t="s">
        <v>696</v>
      </c>
      <c r="N1673" s="364" t="s">
        <v>654</v>
      </c>
      <c r="O1673" s="364" t="s">
        <v>653</v>
      </c>
      <c r="P1673" s="364" t="s">
        <v>198</v>
      </c>
      <c r="Q1673" s="364" t="s">
        <v>652</v>
      </c>
      <c r="R1673" s="364" t="s">
        <v>88</v>
      </c>
      <c r="S1673" s="364" t="s">
        <v>88</v>
      </c>
      <c r="T1673" s="364" t="s">
        <v>88</v>
      </c>
      <c r="U1673" s="364" t="s">
        <v>88</v>
      </c>
      <c r="V1673" s="364" t="s">
        <v>88</v>
      </c>
      <c r="W1673" s="364" t="s">
        <v>88</v>
      </c>
      <c r="X1673" s="364" t="s">
        <v>88</v>
      </c>
      <c r="Y1673" s="364" t="s">
        <v>88</v>
      </c>
      <c r="Z1673" s="364" t="s">
        <v>695</v>
      </c>
      <c r="AA1673" s="364" t="s">
        <v>694</v>
      </c>
      <c r="AB1673" s="364" t="s">
        <v>649</v>
      </c>
      <c r="AC1673" s="364" t="s">
        <v>649</v>
      </c>
      <c r="AD1673" s="364" t="s">
        <v>649</v>
      </c>
      <c r="AE1673" s="364" t="s">
        <v>88</v>
      </c>
      <c r="AF1673" s="364" t="s">
        <v>88</v>
      </c>
      <c r="AG1673" s="364" t="s">
        <v>88</v>
      </c>
      <c r="AH1673" s="364" t="s">
        <v>88</v>
      </c>
      <c r="AI1673" s="364" t="s">
        <v>88</v>
      </c>
      <c r="AJ1673" s="364" t="s">
        <v>663</v>
      </c>
      <c r="AK1673" s="364" t="s">
        <v>687</v>
      </c>
      <c r="AL1673" s="364" t="s">
        <v>646</v>
      </c>
      <c r="AM1673" s="364" t="s">
        <v>645</v>
      </c>
      <c r="AN1673" s="364" t="s">
        <v>644</v>
      </c>
    </row>
    <row r="1674" spans="1:40" x14ac:dyDescent="0.3">
      <c r="A1674" s="364" t="s">
        <v>892</v>
      </c>
      <c r="B1674" s="364" t="s">
        <v>661</v>
      </c>
      <c r="C1674" s="364" t="s">
        <v>660</v>
      </c>
      <c r="D1674" s="364" t="s">
        <v>90</v>
      </c>
      <c r="E1674" s="364" t="s">
        <v>778</v>
      </c>
      <c r="F1674" s="364" t="s">
        <v>778</v>
      </c>
      <c r="G1674" s="364" t="s">
        <v>658</v>
      </c>
      <c r="H1674" s="364" t="s">
        <v>891</v>
      </c>
      <c r="I1674" s="364" t="s">
        <v>656</v>
      </c>
      <c r="J1674" s="364" t="s">
        <v>198</v>
      </c>
      <c r="K1674" s="364" t="s">
        <v>645</v>
      </c>
      <c r="L1674" s="364" t="s">
        <v>188</v>
      </c>
      <c r="M1674" s="364" t="s">
        <v>655</v>
      </c>
      <c r="N1674" s="364" t="s">
        <v>654</v>
      </c>
      <c r="O1674" s="364" t="s">
        <v>653</v>
      </c>
      <c r="P1674" s="364" t="s">
        <v>198</v>
      </c>
      <c r="Q1674" s="364" t="s">
        <v>652</v>
      </c>
      <c r="R1674" s="364" t="s">
        <v>88</v>
      </c>
      <c r="S1674" s="364" t="s">
        <v>88</v>
      </c>
      <c r="T1674" s="364" t="s">
        <v>88</v>
      </c>
      <c r="U1674" s="364" t="s">
        <v>88</v>
      </c>
      <c r="V1674" s="364" t="s">
        <v>88</v>
      </c>
      <c r="W1674" s="364" t="s">
        <v>88</v>
      </c>
      <c r="X1674" s="364" t="s">
        <v>88</v>
      </c>
      <c r="Y1674" s="364" t="s">
        <v>88</v>
      </c>
      <c r="Z1674" s="364" t="s">
        <v>651</v>
      </c>
      <c r="AA1674" s="364" t="s">
        <v>650</v>
      </c>
      <c r="AB1674" s="364" t="s">
        <v>649</v>
      </c>
      <c r="AC1674" s="364" t="s">
        <v>649</v>
      </c>
      <c r="AD1674" s="364" t="s">
        <v>649</v>
      </c>
      <c r="AE1674" s="364" t="s">
        <v>88</v>
      </c>
      <c r="AF1674" s="364" t="s">
        <v>88</v>
      </c>
      <c r="AG1674" s="364" t="s">
        <v>88</v>
      </c>
      <c r="AH1674" s="364" t="s">
        <v>88</v>
      </c>
      <c r="AI1674" s="364" t="s">
        <v>88</v>
      </c>
      <c r="AJ1674" s="364" t="s">
        <v>648</v>
      </c>
      <c r="AK1674" s="364" t="s">
        <v>647</v>
      </c>
      <c r="AL1674" s="364" t="s">
        <v>646</v>
      </c>
      <c r="AM1674" s="364" t="s">
        <v>645</v>
      </c>
      <c r="AN1674" s="364" t="s">
        <v>644</v>
      </c>
    </row>
    <row r="1675" spans="1:40" x14ac:dyDescent="0.3">
      <c r="A1675" s="364" t="s">
        <v>890</v>
      </c>
      <c r="B1675" s="364" t="s">
        <v>661</v>
      </c>
      <c r="C1675" s="364" t="s">
        <v>677</v>
      </c>
      <c r="D1675" s="364" t="s">
        <v>170</v>
      </c>
      <c r="E1675" s="364" t="s">
        <v>889</v>
      </c>
      <c r="F1675" s="364" t="s">
        <v>889</v>
      </c>
      <c r="G1675" s="364" t="s">
        <v>658</v>
      </c>
      <c r="H1675" s="364" t="s">
        <v>888</v>
      </c>
      <c r="I1675" s="364" t="s">
        <v>887</v>
      </c>
      <c r="J1675" s="364" t="s">
        <v>673</v>
      </c>
      <c r="K1675" s="364" t="s">
        <v>668</v>
      </c>
      <c r="L1675" s="364" t="s">
        <v>190</v>
      </c>
      <c r="M1675" s="364" t="s">
        <v>164</v>
      </c>
      <c r="N1675" s="364" t="s">
        <v>654</v>
      </c>
      <c r="O1675" s="364" t="s">
        <v>653</v>
      </c>
      <c r="P1675" s="364" t="s">
        <v>198</v>
      </c>
      <c r="Q1675" s="364" t="s">
        <v>652</v>
      </c>
      <c r="R1675" s="364" t="s">
        <v>88</v>
      </c>
      <c r="S1675" s="364" t="s">
        <v>88</v>
      </c>
      <c r="T1675" s="364" t="s">
        <v>88</v>
      </c>
      <c r="U1675" s="364" t="s">
        <v>88</v>
      </c>
      <c r="V1675" s="364" t="s">
        <v>88</v>
      </c>
      <c r="W1675" s="364" t="s">
        <v>88</v>
      </c>
      <c r="X1675" s="364" t="s">
        <v>88</v>
      </c>
      <c r="Y1675" s="364" t="s">
        <v>88</v>
      </c>
      <c r="Z1675" s="364" t="s">
        <v>825</v>
      </c>
      <c r="AA1675" s="364" t="s">
        <v>649</v>
      </c>
      <c r="AB1675" s="364" t="s">
        <v>649</v>
      </c>
      <c r="AC1675" s="364" t="s">
        <v>649</v>
      </c>
      <c r="AD1675" s="364" t="s">
        <v>88</v>
      </c>
      <c r="AE1675" s="364" t="s">
        <v>88</v>
      </c>
      <c r="AF1675" s="364" t="s">
        <v>88</v>
      </c>
      <c r="AG1675" s="364" t="s">
        <v>88</v>
      </c>
      <c r="AH1675" s="364" t="s">
        <v>88</v>
      </c>
      <c r="AI1675" s="364" t="s">
        <v>88</v>
      </c>
      <c r="AJ1675" s="364" t="s">
        <v>670</v>
      </c>
      <c r="AK1675" s="364" t="s">
        <v>687</v>
      </c>
      <c r="AL1675" s="364" t="s">
        <v>88</v>
      </c>
      <c r="AM1675" s="364" t="s">
        <v>668</v>
      </c>
      <c r="AN1675" s="364" t="s">
        <v>644</v>
      </c>
    </row>
    <row r="1676" spans="1:40" x14ac:dyDescent="0.3">
      <c r="A1676" s="364" t="s">
        <v>886</v>
      </c>
      <c r="B1676" s="364" t="s">
        <v>661</v>
      </c>
      <c r="C1676" s="364" t="s">
        <v>660</v>
      </c>
      <c r="D1676" s="364" t="s">
        <v>87</v>
      </c>
      <c r="E1676" s="364" t="s">
        <v>795</v>
      </c>
      <c r="F1676" s="364" t="s">
        <v>795</v>
      </c>
      <c r="G1676" s="364" t="s">
        <v>658</v>
      </c>
      <c r="H1676" s="364" t="s">
        <v>885</v>
      </c>
      <c r="I1676" s="364" t="s">
        <v>780</v>
      </c>
      <c r="J1676" s="364" t="s">
        <v>198</v>
      </c>
      <c r="K1676" s="364" t="s">
        <v>645</v>
      </c>
      <c r="L1676" s="364" t="s">
        <v>188</v>
      </c>
      <c r="M1676" s="364" t="s">
        <v>696</v>
      </c>
      <c r="N1676" s="364" t="s">
        <v>654</v>
      </c>
      <c r="O1676" s="364" t="s">
        <v>653</v>
      </c>
      <c r="P1676" s="364" t="s">
        <v>198</v>
      </c>
      <c r="Q1676" s="364" t="s">
        <v>652</v>
      </c>
      <c r="R1676" s="364" t="s">
        <v>88</v>
      </c>
      <c r="S1676" s="364" t="s">
        <v>88</v>
      </c>
      <c r="T1676" s="364" t="s">
        <v>88</v>
      </c>
      <c r="U1676" s="364" t="s">
        <v>88</v>
      </c>
      <c r="V1676" s="364" t="s">
        <v>88</v>
      </c>
      <c r="W1676" s="364" t="s">
        <v>88</v>
      </c>
      <c r="X1676" s="364" t="s">
        <v>88</v>
      </c>
      <c r="Y1676" s="364" t="s">
        <v>88</v>
      </c>
      <c r="Z1676" s="364" t="s">
        <v>695</v>
      </c>
      <c r="AA1676" s="364" t="s">
        <v>694</v>
      </c>
      <c r="AB1676" s="364" t="s">
        <v>649</v>
      </c>
      <c r="AC1676" s="364" t="s">
        <v>649</v>
      </c>
      <c r="AD1676" s="364" t="s">
        <v>649</v>
      </c>
      <c r="AE1676" s="364" t="s">
        <v>88</v>
      </c>
      <c r="AF1676" s="364" t="s">
        <v>88</v>
      </c>
      <c r="AG1676" s="364" t="s">
        <v>88</v>
      </c>
      <c r="AH1676" s="364" t="s">
        <v>88</v>
      </c>
      <c r="AI1676" s="364" t="s">
        <v>88</v>
      </c>
      <c r="AJ1676" s="364" t="s">
        <v>670</v>
      </c>
      <c r="AK1676" s="364" t="s">
        <v>669</v>
      </c>
      <c r="AL1676" s="364" t="s">
        <v>646</v>
      </c>
      <c r="AM1676" s="364" t="s">
        <v>645</v>
      </c>
      <c r="AN1676" s="364" t="s">
        <v>644</v>
      </c>
    </row>
    <row r="1677" spans="1:40" x14ac:dyDescent="0.3">
      <c r="A1677" s="364" t="s">
        <v>884</v>
      </c>
      <c r="B1677" s="364" t="s">
        <v>661</v>
      </c>
      <c r="C1677" s="364" t="s">
        <v>660</v>
      </c>
      <c r="D1677" s="364" t="s">
        <v>87</v>
      </c>
      <c r="E1677" s="364" t="s">
        <v>837</v>
      </c>
      <c r="F1677" s="364" t="s">
        <v>837</v>
      </c>
      <c r="G1677" s="364" t="s">
        <v>658</v>
      </c>
      <c r="H1677" s="364" t="s">
        <v>883</v>
      </c>
      <c r="I1677" s="364" t="s">
        <v>765</v>
      </c>
      <c r="J1677" s="364" t="s">
        <v>673</v>
      </c>
      <c r="K1677" s="364" t="s">
        <v>668</v>
      </c>
      <c r="L1677" s="364" t="s">
        <v>190</v>
      </c>
      <c r="M1677" s="364" t="s">
        <v>59</v>
      </c>
      <c r="N1677" s="364" t="s">
        <v>654</v>
      </c>
      <c r="O1677" s="364" t="s">
        <v>653</v>
      </c>
      <c r="P1677" s="364" t="s">
        <v>198</v>
      </c>
      <c r="Q1677" s="364" t="s">
        <v>652</v>
      </c>
      <c r="R1677" s="364" t="s">
        <v>88</v>
      </c>
      <c r="S1677" s="364" t="s">
        <v>88</v>
      </c>
      <c r="T1677" s="364" t="s">
        <v>88</v>
      </c>
      <c r="U1677" s="364" t="s">
        <v>88</v>
      </c>
      <c r="V1677" s="364" t="s">
        <v>88</v>
      </c>
      <c r="W1677" s="364" t="s">
        <v>88</v>
      </c>
      <c r="X1677" s="364" t="s">
        <v>88</v>
      </c>
      <c r="Y1677" s="364" t="s">
        <v>88</v>
      </c>
      <c r="Z1677" s="364" t="s">
        <v>672</v>
      </c>
      <c r="AA1677" s="364" t="s">
        <v>671</v>
      </c>
      <c r="AB1677" s="364" t="s">
        <v>649</v>
      </c>
      <c r="AC1677" s="364" t="s">
        <v>649</v>
      </c>
      <c r="AD1677" s="364" t="s">
        <v>649</v>
      </c>
      <c r="AE1677" s="364" t="s">
        <v>88</v>
      </c>
      <c r="AF1677" s="364" t="s">
        <v>88</v>
      </c>
      <c r="AG1677" s="364" t="s">
        <v>88</v>
      </c>
      <c r="AH1677" s="364" t="s">
        <v>88</v>
      </c>
      <c r="AI1677" s="364" t="s">
        <v>88</v>
      </c>
      <c r="AJ1677" s="364" t="s">
        <v>648</v>
      </c>
      <c r="AK1677" s="364" t="s">
        <v>687</v>
      </c>
      <c r="AL1677" s="364" t="s">
        <v>646</v>
      </c>
      <c r="AM1677" s="364" t="s">
        <v>668</v>
      </c>
      <c r="AN1677" s="364" t="s">
        <v>644</v>
      </c>
    </row>
    <row r="1678" spans="1:40" x14ac:dyDescent="0.3">
      <c r="A1678" s="364" t="s">
        <v>882</v>
      </c>
      <c r="B1678" s="364" t="s">
        <v>661</v>
      </c>
      <c r="C1678" s="364" t="s">
        <v>660</v>
      </c>
      <c r="D1678" s="364" t="s">
        <v>87</v>
      </c>
      <c r="E1678" s="364" t="s">
        <v>881</v>
      </c>
      <c r="F1678" s="364" t="s">
        <v>881</v>
      </c>
      <c r="G1678" s="364" t="s">
        <v>658</v>
      </c>
      <c r="H1678" s="364" t="s">
        <v>880</v>
      </c>
      <c r="I1678" s="364" t="s">
        <v>802</v>
      </c>
      <c r="J1678" s="364" t="s">
        <v>198</v>
      </c>
      <c r="K1678" s="364" t="s">
        <v>645</v>
      </c>
      <c r="L1678" s="364" t="s">
        <v>188</v>
      </c>
      <c r="M1678" s="364" t="s">
        <v>696</v>
      </c>
      <c r="N1678" s="364" t="s">
        <v>654</v>
      </c>
      <c r="O1678" s="364" t="s">
        <v>653</v>
      </c>
      <c r="P1678" s="364" t="s">
        <v>198</v>
      </c>
      <c r="Q1678" s="364" t="s">
        <v>652</v>
      </c>
      <c r="R1678" s="364" t="s">
        <v>88</v>
      </c>
      <c r="S1678" s="364" t="s">
        <v>88</v>
      </c>
      <c r="T1678" s="364" t="s">
        <v>88</v>
      </c>
      <c r="U1678" s="364" t="s">
        <v>88</v>
      </c>
      <c r="V1678" s="364" t="s">
        <v>88</v>
      </c>
      <c r="W1678" s="364" t="s">
        <v>88</v>
      </c>
      <c r="X1678" s="364" t="s">
        <v>88</v>
      </c>
      <c r="Y1678" s="364" t="s">
        <v>88</v>
      </c>
      <c r="Z1678" s="364" t="s">
        <v>695</v>
      </c>
      <c r="AA1678" s="364" t="s">
        <v>694</v>
      </c>
      <c r="AB1678" s="364" t="s">
        <v>649</v>
      </c>
      <c r="AC1678" s="364" t="s">
        <v>649</v>
      </c>
      <c r="AD1678" s="364" t="s">
        <v>649</v>
      </c>
      <c r="AE1678" s="364" t="s">
        <v>88</v>
      </c>
      <c r="AF1678" s="364" t="s">
        <v>88</v>
      </c>
      <c r="AG1678" s="364" t="s">
        <v>88</v>
      </c>
      <c r="AH1678" s="364" t="s">
        <v>88</v>
      </c>
      <c r="AI1678" s="364" t="s">
        <v>88</v>
      </c>
      <c r="AJ1678" s="364" t="s">
        <v>648</v>
      </c>
      <c r="AK1678" s="364" t="s">
        <v>669</v>
      </c>
      <c r="AL1678" s="364" t="s">
        <v>646</v>
      </c>
      <c r="AM1678" s="364" t="s">
        <v>645</v>
      </c>
      <c r="AN1678" s="364" t="s">
        <v>644</v>
      </c>
    </row>
    <row r="1679" spans="1:40" x14ac:dyDescent="0.3">
      <c r="A1679" s="364" t="s">
        <v>879</v>
      </c>
      <c r="B1679" s="364" t="s">
        <v>661</v>
      </c>
      <c r="C1679" s="364" t="s">
        <v>796</v>
      </c>
      <c r="D1679" s="364" t="s">
        <v>87</v>
      </c>
      <c r="E1679" s="364" t="s">
        <v>878</v>
      </c>
      <c r="F1679" s="364" t="s">
        <v>878</v>
      </c>
      <c r="G1679" s="364" t="s">
        <v>658</v>
      </c>
      <c r="H1679" s="364" t="s">
        <v>88</v>
      </c>
      <c r="I1679" s="364" t="s">
        <v>88</v>
      </c>
      <c r="J1679" s="364" t="s">
        <v>673</v>
      </c>
      <c r="K1679" s="364" t="s">
        <v>668</v>
      </c>
      <c r="L1679" s="364" t="s">
        <v>190</v>
      </c>
      <c r="M1679" s="364" t="s">
        <v>58</v>
      </c>
      <c r="N1679" s="364" t="s">
        <v>654</v>
      </c>
      <c r="O1679" s="364" t="s">
        <v>653</v>
      </c>
      <c r="P1679" s="364" t="s">
        <v>198</v>
      </c>
      <c r="Q1679" s="364" t="s">
        <v>652</v>
      </c>
      <c r="R1679" s="364" t="s">
        <v>88</v>
      </c>
      <c r="S1679" s="364" t="s">
        <v>88</v>
      </c>
      <c r="T1679" s="364" t="s">
        <v>88</v>
      </c>
      <c r="U1679" s="364" t="s">
        <v>88</v>
      </c>
      <c r="V1679" s="364" t="s">
        <v>88</v>
      </c>
      <c r="W1679" s="364" t="s">
        <v>88</v>
      </c>
      <c r="X1679" s="364" t="s">
        <v>88</v>
      </c>
      <c r="Y1679" s="364" t="s">
        <v>88</v>
      </c>
      <c r="Z1679" s="364" t="s">
        <v>702</v>
      </c>
      <c r="AA1679" s="364" t="s">
        <v>701</v>
      </c>
      <c r="AB1679" s="364" t="s">
        <v>649</v>
      </c>
      <c r="AC1679" s="364" t="s">
        <v>88</v>
      </c>
      <c r="AD1679" s="364" t="s">
        <v>88</v>
      </c>
      <c r="AE1679" s="364" t="s">
        <v>88</v>
      </c>
      <c r="AF1679" s="364" t="s">
        <v>88</v>
      </c>
      <c r="AG1679" s="364" t="s">
        <v>88</v>
      </c>
      <c r="AH1679" s="364" t="s">
        <v>88</v>
      </c>
      <c r="AI1679" s="364" t="s">
        <v>88</v>
      </c>
      <c r="AJ1679" s="364" t="s">
        <v>670</v>
      </c>
      <c r="AK1679" s="364" t="s">
        <v>88</v>
      </c>
      <c r="AL1679" s="364" t="s">
        <v>88</v>
      </c>
      <c r="AM1679" s="364" t="s">
        <v>668</v>
      </c>
      <c r="AN1679" s="364" t="s">
        <v>644</v>
      </c>
    </row>
    <row r="1680" spans="1:40" x14ac:dyDescent="0.3">
      <c r="A1680" s="364" t="s">
        <v>879</v>
      </c>
      <c r="B1680" s="364" t="s">
        <v>661</v>
      </c>
      <c r="C1680" s="364" t="s">
        <v>796</v>
      </c>
      <c r="D1680" s="364" t="s">
        <v>87</v>
      </c>
      <c r="E1680" s="364" t="s">
        <v>878</v>
      </c>
      <c r="F1680" s="364" t="s">
        <v>878</v>
      </c>
      <c r="G1680" s="364" t="s">
        <v>658</v>
      </c>
      <c r="H1680" s="364" t="s">
        <v>88</v>
      </c>
      <c r="I1680" s="364" t="s">
        <v>88</v>
      </c>
      <c r="J1680" s="364" t="s">
        <v>673</v>
      </c>
      <c r="K1680" s="364" t="s">
        <v>668</v>
      </c>
      <c r="L1680" s="364" t="s">
        <v>190</v>
      </c>
      <c r="M1680" s="364" t="s">
        <v>166</v>
      </c>
      <c r="N1680" s="364" t="s">
        <v>654</v>
      </c>
      <c r="O1680" s="364" t="s">
        <v>653</v>
      </c>
      <c r="P1680" s="364" t="s">
        <v>198</v>
      </c>
      <c r="Q1680" s="364" t="s">
        <v>652</v>
      </c>
      <c r="R1680" s="364" t="s">
        <v>88</v>
      </c>
      <c r="S1680" s="364" t="s">
        <v>88</v>
      </c>
      <c r="T1680" s="364" t="s">
        <v>88</v>
      </c>
      <c r="U1680" s="364" t="s">
        <v>88</v>
      </c>
      <c r="V1680" s="364" t="s">
        <v>88</v>
      </c>
      <c r="W1680" s="364" t="s">
        <v>88</v>
      </c>
      <c r="X1680" s="364" t="s">
        <v>88</v>
      </c>
      <c r="Y1680" s="364" t="s">
        <v>88</v>
      </c>
      <c r="Z1680" s="364" t="s">
        <v>877</v>
      </c>
      <c r="AA1680" s="364" t="s">
        <v>876</v>
      </c>
      <c r="AB1680" s="364" t="s">
        <v>649</v>
      </c>
      <c r="AC1680" s="364" t="s">
        <v>88</v>
      </c>
      <c r="AD1680" s="364" t="s">
        <v>88</v>
      </c>
      <c r="AE1680" s="364" t="s">
        <v>88</v>
      </c>
      <c r="AF1680" s="364" t="s">
        <v>88</v>
      </c>
      <c r="AG1680" s="364" t="s">
        <v>88</v>
      </c>
      <c r="AH1680" s="364" t="s">
        <v>88</v>
      </c>
      <c r="AI1680" s="364" t="s">
        <v>88</v>
      </c>
      <c r="AJ1680" s="364" t="s">
        <v>670</v>
      </c>
      <c r="AK1680" s="364" t="s">
        <v>88</v>
      </c>
      <c r="AL1680" s="364" t="s">
        <v>88</v>
      </c>
      <c r="AM1680" s="364" t="s">
        <v>668</v>
      </c>
      <c r="AN1680" s="364" t="s">
        <v>644</v>
      </c>
    </row>
    <row r="1681" spans="1:40" x14ac:dyDescent="0.3">
      <c r="A1681" s="364" t="s">
        <v>875</v>
      </c>
      <c r="B1681" s="364" t="s">
        <v>661</v>
      </c>
      <c r="C1681" s="364" t="s">
        <v>660</v>
      </c>
      <c r="D1681" s="364" t="s">
        <v>87</v>
      </c>
      <c r="E1681" s="364" t="s">
        <v>681</v>
      </c>
      <c r="F1681" s="364" t="s">
        <v>681</v>
      </c>
      <c r="G1681" s="364" t="s">
        <v>658</v>
      </c>
      <c r="H1681" s="364" t="s">
        <v>735</v>
      </c>
      <c r="I1681" s="364" t="s">
        <v>874</v>
      </c>
      <c r="J1681" s="364" t="s">
        <v>198</v>
      </c>
      <c r="K1681" s="364" t="s">
        <v>645</v>
      </c>
      <c r="L1681" s="364" t="s">
        <v>188</v>
      </c>
      <c r="M1681" s="364" t="s">
        <v>696</v>
      </c>
      <c r="N1681" s="364" t="s">
        <v>654</v>
      </c>
      <c r="O1681" s="364" t="s">
        <v>653</v>
      </c>
      <c r="P1681" s="364" t="s">
        <v>198</v>
      </c>
      <c r="Q1681" s="364" t="s">
        <v>652</v>
      </c>
      <c r="R1681" s="364" t="s">
        <v>88</v>
      </c>
      <c r="S1681" s="364" t="s">
        <v>88</v>
      </c>
      <c r="T1681" s="364" t="s">
        <v>88</v>
      </c>
      <c r="U1681" s="364" t="s">
        <v>88</v>
      </c>
      <c r="V1681" s="364" t="s">
        <v>88</v>
      </c>
      <c r="W1681" s="364" t="s">
        <v>88</v>
      </c>
      <c r="X1681" s="364" t="s">
        <v>88</v>
      </c>
      <c r="Y1681" s="364" t="s">
        <v>88</v>
      </c>
      <c r="Z1681" s="364" t="s">
        <v>695</v>
      </c>
      <c r="AA1681" s="364" t="s">
        <v>694</v>
      </c>
      <c r="AB1681" s="364" t="s">
        <v>649</v>
      </c>
      <c r="AC1681" s="364" t="s">
        <v>649</v>
      </c>
      <c r="AD1681" s="364" t="s">
        <v>649</v>
      </c>
      <c r="AE1681" s="364" t="s">
        <v>88</v>
      </c>
      <c r="AF1681" s="364" t="s">
        <v>88</v>
      </c>
      <c r="AG1681" s="364" t="s">
        <v>88</v>
      </c>
      <c r="AH1681" s="364" t="s">
        <v>88</v>
      </c>
      <c r="AI1681" s="364" t="s">
        <v>88</v>
      </c>
      <c r="AJ1681" s="364" t="s">
        <v>670</v>
      </c>
      <c r="AK1681" s="364" t="s">
        <v>669</v>
      </c>
      <c r="AL1681" s="364" t="s">
        <v>646</v>
      </c>
      <c r="AM1681" s="364" t="s">
        <v>645</v>
      </c>
      <c r="AN1681" s="364" t="s">
        <v>644</v>
      </c>
    </row>
    <row r="1682" spans="1:40" x14ac:dyDescent="0.3">
      <c r="A1682" s="364" t="s">
        <v>873</v>
      </c>
      <c r="B1682" s="364" t="s">
        <v>661</v>
      </c>
      <c r="C1682" s="364" t="s">
        <v>660</v>
      </c>
      <c r="D1682" s="364" t="s">
        <v>87</v>
      </c>
      <c r="E1682" s="364" t="s">
        <v>837</v>
      </c>
      <c r="F1682" s="364" t="s">
        <v>837</v>
      </c>
      <c r="G1682" s="364" t="s">
        <v>658</v>
      </c>
      <c r="H1682" s="364" t="s">
        <v>872</v>
      </c>
      <c r="I1682" s="364" t="s">
        <v>765</v>
      </c>
      <c r="J1682" s="364" t="s">
        <v>673</v>
      </c>
      <c r="K1682" s="364" t="s">
        <v>668</v>
      </c>
      <c r="L1682" s="364" t="s">
        <v>190</v>
      </c>
      <c r="M1682" s="364" t="s">
        <v>62</v>
      </c>
      <c r="N1682" s="364" t="s">
        <v>654</v>
      </c>
      <c r="O1682" s="364" t="s">
        <v>653</v>
      </c>
      <c r="P1682" s="364" t="s">
        <v>198</v>
      </c>
      <c r="Q1682" s="364" t="s">
        <v>652</v>
      </c>
      <c r="R1682" s="364" t="s">
        <v>88</v>
      </c>
      <c r="S1682" s="364" t="s">
        <v>88</v>
      </c>
      <c r="T1682" s="364" t="s">
        <v>88</v>
      </c>
      <c r="U1682" s="364" t="s">
        <v>88</v>
      </c>
      <c r="V1682" s="364" t="s">
        <v>88</v>
      </c>
      <c r="W1682" s="364" t="s">
        <v>88</v>
      </c>
      <c r="X1682" s="364" t="s">
        <v>88</v>
      </c>
      <c r="Y1682" s="364" t="s">
        <v>88</v>
      </c>
      <c r="Z1682" s="364" t="s">
        <v>689</v>
      </c>
      <c r="AA1682" s="364" t="s">
        <v>688</v>
      </c>
      <c r="AB1682" s="364" t="s">
        <v>649</v>
      </c>
      <c r="AC1682" s="364" t="s">
        <v>649</v>
      </c>
      <c r="AD1682" s="364" t="s">
        <v>649</v>
      </c>
      <c r="AE1682" s="364" t="s">
        <v>88</v>
      </c>
      <c r="AF1682" s="364" t="s">
        <v>88</v>
      </c>
      <c r="AG1682" s="364" t="s">
        <v>88</v>
      </c>
      <c r="AH1682" s="364" t="s">
        <v>88</v>
      </c>
      <c r="AI1682" s="364" t="s">
        <v>88</v>
      </c>
      <c r="AJ1682" s="364" t="s">
        <v>648</v>
      </c>
      <c r="AK1682" s="364" t="s">
        <v>687</v>
      </c>
      <c r="AL1682" s="364" t="s">
        <v>646</v>
      </c>
      <c r="AM1682" s="364" t="s">
        <v>668</v>
      </c>
      <c r="AN1682" s="364" t="s">
        <v>644</v>
      </c>
    </row>
    <row r="1683" spans="1:40" x14ac:dyDescent="0.3">
      <c r="A1683" s="364" t="s">
        <v>871</v>
      </c>
      <c r="B1683" s="364" t="s">
        <v>661</v>
      </c>
      <c r="C1683" s="364" t="s">
        <v>660</v>
      </c>
      <c r="D1683" s="364" t="s">
        <v>87</v>
      </c>
      <c r="E1683" s="364" t="s">
        <v>659</v>
      </c>
      <c r="F1683" s="364" t="s">
        <v>659</v>
      </c>
      <c r="G1683" s="364" t="s">
        <v>658</v>
      </c>
      <c r="H1683" s="364" t="s">
        <v>840</v>
      </c>
      <c r="I1683" s="364" t="s">
        <v>870</v>
      </c>
      <c r="J1683" s="364" t="s">
        <v>198</v>
      </c>
      <c r="K1683" s="364" t="s">
        <v>645</v>
      </c>
      <c r="L1683" s="364" t="s">
        <v>188</v>
      </c>
      <c r="M1683" s="364" t="s">
        <v>696</v>
      </c>
      <c r="N1683" s="364" t="s">
        <v>654</v>
      </c>
      <c r="O1683" s="364" t="s">
        <v>653</v>
      </c>
      <c r="P1683" s="364" t="s">
        <v>198</v>
      </c>
      <c r="Q1683" s="364" t="s">
        <v>652</v>
      </c>
      <c r="R1683" s="364" t="s">
        <v>88</v>
      </c>
      <c r="S1683" s="364" t="s">
        <v>88</v>
      </c>
      <c r="T1683" s="364" t="s">
        <v>88</v>
      </c>
      <c r="U1683" s="364" t="s">
        <v>88</v>
      </c>
      <c r="V1683" s="364" t="s">
        <v>88</v>
      </c>
      <c r="W1683" s="364" t="s">
        <v>88</v>
      </c>
      <c r="X1683" s="364" t="s">
        <v>88</v>
      </c>
      <c r="Y1683" s="364" t="s">
        <v>88</v>
      </c>
      <c r="Z1683" s="364" t="s">
        <v>695</v>
      </c>
      <c r="AA1683" s="364" t="s">
        <v>694</v>
      </c>
      <c r="AB1683" s="364" t="s">
        <v>649</v>
      </c>
      <c r="AC1683" s="364" t="s">
        <v>649</v>
      </c>
      <c r="AD1683" s="364" t="s">
        <v>649</v>
      </c>
      <c r="AE1683" s="364" t="s">
        <v>88</v>
      </c>
      <c r="AF1683" s="364" t="s">
        <v>88</v>
      </c>
      <c r="AG1683" s="364" t="s">
        <v>88</v>
      </c>
      <c r="AH1683" s="364" t="s">
        <v>88</v>
      </c>
      <c r="AI1683" s="364" t="s">
        <v>88</v>
      </c>
      <c r="AJ1683" s="364" t="s">
        <v>648</v>
      </c>
      <c r="AK1683" s="364" t="s">
        <v>669</v>
      </c>
      <c r="AL1683" s="364" t="s">
        <v>646</v>
      </c>
      <c r="AM1683" s="364" t="s">
        <v>645</v>
      </c>
      <c r="AN1683" s="364" t="s">
        <v>644</v>
      </c>
    </row>
    <row r="1684" spans="1:40" x14ac:dyDescent="0.3">
      <c r="A1684" s="364" t="s">
        <v>869</v>
      </c>
      <c r="B1684" s="364" t="s">
        <v>661</v>
      </c>
      <c r="C1684" s="364" t="s">
        <v>660</v>
      </c>
      <c r="D1684" s="364" t="s">
        <v>87</v>
      </c>
      <c r="E1684" s="364" t="s">
        <v>868</v>
      </c>
      <c r="F1684" s="364" t="s">
        <v>868</v>
      </c>
      <c r="G1684" s="364" t="s">
        <v>658</v>
      </c>
      <c r="H1684" s="364" t="s">
        <v>867</v>
      </c>
      <c r="I1684" s="364" t="s">
        <v>802</v>
      </c>
      <c r="J1684" s="364" t="s">
        <v>198</v>
      </c>
      <c r="K1684" s="364" t="s">
        <v>645</v>
      </c>
      <c r="L1684" s="364" t="s">
        <v>188</v>
      </c>
      <c r="M1684" s="364" t="s">
        <v>696</v>
      </c>
      <c r="N1684" s="364" t="s">
        <v>654</v>
      </c>
      <c r="O1684" s="364" t="s">
        <v>653</v>
      </c>
      <c r="P1684" s="364" t="s">
        <v>198</v>
      </c>
      <c r="Q1684" s="364" t="s">
        <v>652</v>
      </c>
      <c r="R1684" s="364" t="s">
        <v>88</v>
      </c>
      <c r="S1684" s="364" t="s">
        <v>88</v>
      </c>
      <c r="T1684" s="364" t="s">
        <v>88</v>
      </c>
      <c r="U1684" s="364" t="s">
        <v>88</v>
      </c>
      <c r="V1684" s="364" t="s">
        <v>88</v>
      </c>
      <c r="W1684" s="364" t="s">
        <v>88</v>
      </c>
      <c r="X1684" s="364" t="s">
        <v>88</v>
      </c>
      <c r="Y1684" s="364" t="s">
        <v>88</v>
      </c>
      <c r="Z1684" s="364" t="s">
        <v>695</v>
      </c>
      <c r="AA1684" s="364" t="s">
        <v>694</v>
      </c>
      <c r="AB1684" s="364" t="s">
        <v>649</v>
      </c>
      <c r="AC1684" s="364" t="s">
        <v>649</v>
      </c>
      <c r="AD1684" s="364" t="s">
        <v>649</v>
      </c>
      <c r="AE1684" s="364" t="s">
        <v>88</v>
      </c>
      <c r="AF1684" s="364" t="s">
        <v>88</v>
      </c>
      <c r="AG1684" s="364" t="s">
        <v>88</v>
      </c>
      <c r="AH1684" s="364" t="s">
        <v>88</v>
      </c>
      <c r="AI1684" s="364" t="s">
        <v>88</v>
      </c>
      <c r="AJ1684" s="364" t="s">
        <v>648</v>
      </c>
      <c r="AK1684" s="364" t="s">
        <v>669</v>
      </c>
      <c r="AL1684" s="364" t="s">
        <v>646</v>
      </c>
      <c r="AM1684" s="364" t="s">
        <v>645</v>
      </c>
      <c r="AN1684" s="364" t="s">
        <v>644</v>
      </c>
    </row>
    <row r="1685" spans="1:40" x14ac:dyDescent="0.3">
      <c r="A1685" s="364" t="s">
        <v>866</v>
      </c>
      <c r="B1685" s="364" t="s">
        <v>661</v>
      </c>
      <c r="C1685" s="364" t="s">
        <v>660</v>
      </c>
      <c r="D1685" s="364" t="s">
        <v>87</v>
      </c>
      <c r="E1685" s="364" t="s">
        <v>865</v>
      </c>
      <c r="F1685" s="364" t="s">
        <v>865</v>
      </c>
      <c r="G1685" s="364" t="s">
        <v>658</v>
      </c>
      <c r="H1685" s="364" t="s">
        <v>864</v>
      </c>
      <c r="I1685" s="364" t="s">
        <v>863</v>
      </c>
      <c r="J1685" s="364" t="s">
        <v>673</v>
      </c>
      <c r="K1685" s="364" t="s">
        <v>668</v>
      </c>
      <c r="L1685" s="364" t="s">
        <v>190</v>
      </c>
      <c r="M1685" s="364" t="s">
        <v>58</v>
      </c>
      <c r="N1685" s="364" t="s">
        <v>654</v>
      </c>
      <c r="O1685" s="364" t="s">
        <v>653</v>
      </c>
      <c r="P1685" s="364" t="s">
        <v>198</v>
      </c>
      <c r="Q1685" s="364" t="s">
        <v>652</v>
      </c>
      <c r="R1685" s="364" t="s">
        <v>88</v>
      </c>
      <c r="S1685" s="364" t="s">
        <v>88</v>
      </c>
      <c r="T1685" s="364" t="s">
        <v>88</v>
      </c>
      <c r="U1685" s="364" t="s">
        <v>88</v>
      </c>
      <c r="V1685" s="364" t="s">
        <v>88</v>
      </c>
      <c r="W1685" s="364" t="s">
        <v>88</v>
      </c>
      <c r="X1685" s="364" t="s">
        <v>88</v>
      </c>
      <c r="Y1685" s="364" t="s">
        <v>88</v>
      </c>
      <c r="Z1685" s="364" t="s">
        <v>702</v>
      </c>
      <c r="AA1685" s="364" t="s">
        <v>701</v>
      </c>
      <c r="AB1685" s="364" t="s">
        <v>649</v>
      </c>
      <c r="AC1685" s="364" t="s">
        <v>649</v>
      </c>
      <c r="AD1685" s="364" t="s">
        <v>649</v>
      </c>
      <c r="AE1685" s="364" t="s">
        <v>88</v>
      </c>
      <c r="AF1685" s="364" t="s">
        <v>88</v>
      </c>
      <c r="AG1685" s="364" t="s">
        <v>88</v>
      </c>
      <c r="AH1685" s="364" t="s">
        <v>88</v>
      </c>
      <c r="AI1685" s="364" t="s">
        <v>88</v>
      </c>
      <c r="AJ1685" s="364" t="s">
        <v>648</v>
      </c>
      <c r="AK1685" s="364" t="s">
        <v>669</v>
      </c>
      <c r="AL1685" s="364" t="s">
        <v>646</v>
      </c>
      <c r="AM1685" s="364" t="s">
        <v>668</v>
      </c>
      <c r="AN1685" s="364" t="s">
        <v>644</v>
      </c>
    </row>
    <row r="1686" spans="1:40" x14ac:dyDescent="0.3">
      <c r="A1686" s="364" t="s">
        <v>862</v>
      </c>
      <c r="B1686" s="364" t="s">
        <v>661</v>
      </c>
      <c r="C1686" s="364" t="s">
        <v>660</v>
      </c>
      <c r="D1686" s="364" t="s">
        <v>87</v>
      </c>
      <c r="E1686" s="364" t="s">
        <v>812</v>
      </c>
      <c r="F1686" s="364" t="s">
        <v>812</v>
      </c>
      <c r="G1686" s="364" t="s">
        <v>658</v>
      </c>
      <c r="H1686" s="364" t="s">
        <v>861</v>
      </c>
      <c r="I1686" s="364" t="s">
        <v>765</v>
      </c>
      <c r="J1686" s="364" t="s">
        <v>198</v>
      </c>
      <c r="K1686" s="364" t="s">
        <v>645</v>
      </c>
      <c r="L1686" s="364" t="s">
        <v>188</v>
      </c>
      <c r="M1686" s="364" t="s">
        <v>696</v>
      </c>
      <c r="N1686" s="364" t="s">
        <v>654</v>
      </c>
      <c r="O1686" s="364" t="s">
        <v>653</v>
      </c>
      <c r="P1686" s="364" t="s">
        <v>198</v>
      </c>
      <c r="Q1686" s="364" t="s">
        <v>652</v>
      </c>
      <c r="R1686" s="364" t="s">
        <v>88</v>
      </c>
      <c r="S1686" s="364" t="s">
        <v>88</v>
      </c>
      <c r="T1686" s="364" t="s">
        <v>88</v>
      </c>
      <c r="U1686" s="364" t="s">
        <v>88</v>
      </c>
      <c r="V1686" s="364" t="s">
        <v>88</v>
      </c>
      <c r="W1686" s="364" t="s">
        <v>88</v>
      </c>
      <c r="X1686" s="364" t="s">
        <v>88</v>
      </c>
      <c r="Y1686" s="364" t="s">
        <v>88</v>
      </c>
      <c r="Z1686" s="364" t="s">
        <v>695</v>
      </c>
      <c r="AA1686" s="364" t="s">
        <v>694</v>
      </c>
      <c r="AB1686" s="364" t="s">
        <v>649</v>
      </c>
      <c r="AC1686" s="364" t="s">
        <v>649</v>
      </c>
      <c r="AD1686" s="364" t="s">
        <v>649</v>
      </c>
      <c r="AE1686" s="364" t="s">
        <v>88</v>
      </c>
      <c r="AF1686" s="364" t="s">
        <v>88</v>
      </c>
      <c r="AG1686" s="364" t="s">
        <v>88</v>
      </c>
      <c r="AH1686" s="364" t="s">
        <v>88</v>
      </c>
      <c r="AI1686" s="364" t="s">
        <v>88</v>
      </c>
      <c r="AJ1686" s="364" t="s">
        <v>648</v>
      </c>
      <c r="AK1686" s="364" t="s">
        <v>687</v>
      </c>
      <c r="AL1686" s="364" t="s">
        <v>646</v>
      </c>
      <c r="AM1686" s="364" t="s">
        <v>645</v>
      </c>
      <c r="AN1686" s="364" t="s">
        <v>644</v>
      </c>
    </row>
    <row r="1687" spans="1:40" x14ac:dyDescent="0.3">
      <c r="A1687" s="364" t="s">
        <v>860</v>
      </c>
      <c r="B1687" s="364" t="s">
        <v>661</v>
      </c>
      <c r="C1687" s="364" t="s">
        <v>660</v>
      </c>
      <c r="D1687" s="364" t="s">
        <v>87</v>
      </c>
      <c r="E1687" s="364" t="s">
        <v>859</v>
      </c>
      <c r="F1687" s="364" t="s">
        <v>859</v>
      </c>
      <c r="G1687" s="364" t="s">
        <v>658</v>
      </c>
      <c r="H1687" s="364" t="s">
        <v>858</v>
      </c>
      <c r="I1687" s="364" t="s">
        <v>857</v>
      </c>
      <c r="J1687" s="364" t="s">
        <v>673</v>
      </c>
      <c r="K1687" s="364" t="s">
        <v>668</v>
      </c>
      <c r="L1687" s="364" t="s">
        <v>190</v>
      </c>
      <c r="M1687" s="364" t="s">
        <v>59</v>
      </c>
      <c r="N1687" s="364" t="s">
        <v>654</v>
      </c>
      <c r="O1687" s="364" t="s">
        <v>653</v>
      </c>
      <c r="P1687" s="364" t="s">
        <v>198</v>
      </c>
      <c r="Q1687" s="364" t="s">
        <v>652</v>
      </c>
      <c r="R1687" s="364" t="s">
        <v>88</v>
      </c>
      <c r="S1687" s="364" t="s">
        <v>88</v>
      </c>
      <c r="T1687" s="364" t="s">
        <v>88</v>
      </c>
      <c r="U1687" s="364" t="s">
        <v>88</v>
      </c>
      <c r="V1687" s="364" t="s">
        <v>88</v>
      </c>
      <c r="W1687" s="364" t="s">
        <v>88</v>
      </c>
      <c r="X1687" s="364" t="s">
        <v>88</v>
      </c>
      <c r="Y1687" s="364" t="s">
        <v>88</v>
      </c>
      <c r="Z1687" s="364" t="s">
        <v>672</v>
      </c>
      <c r="AA1687" s="364" t="s">
        <v>671</v>
      </c>
      <c r="AB1687" s="364" t="s">
        <v>649</v>
      </c>
      <c r="AC1687" s="364" t="s">
        <v>649</v>
      </c>
      <c r="AD1687" s="364" t="s">
        <v>649</v>
      </c>
      <c r="AE1687" s="364" t="s">
        <v>88</v>
      </c>
      <c r="AF1687" s="364" t="s">
        <v>88</v>
      </c>
      <c r="AG1687" s="364" t="s">
        <v>88</v>
      </c>
      <c r="AH1687" s="364" t="s">
        <v>88</v>
      </c>
      <c r="AI1687" s="364" t="s">
        <v>88</v>
      </c>
      <c r="AJ1687" s="364" t="s">
        <v>670</v>
      </c>
      <c r="AK1687" s="364" t="s">
        <v>669</v>
      </c>
      <c r="AL1687" s="364" t="s">
        <v>646</v>
      </c>
      <c r="AM1687" s="364" t="s">
        <v>668</v>
      </c>
      <c r="AN1687" s="364" t="s">
        <v>644</v>
      </c>
    </row>
    <row r="1688" spans="1:40" x14ac:dyDescent="0.3">
      <c r="A1688" s="364" t="s">
        <v>856</v>
      </c>
      <c r="B1688" s="364" t="s">
        <v>661</v>
      </c>
      <c r="C1688" s="364" t="s">
        <v>660</v>
      </c>
      <c r="D1688" s="364" t="s">
        <v>87</v>
      </c>
      <c r="E1688" s="364" t="s">
        <v>855</v>
      </c>
      <c r="F1688" s="364" t="s">
        <v>855</v>
      </c>
      <c r="G1688" s="364" t="s">
        <v>658</v>
      </c>
      <c r="H1688" s="364" t="s">
        <v>854</v>
      </c>
      <c r="I1688" s="364" t="s">
        <v>853</v>
      </c>
      <c r="J1688" s="364" t="s">
        <v>198</v>
      </c>
      <c r="K1688" s="364" t="s">
        <v>645</v>
      </c>
      <c r="L1688" s="364" t="s">
        <v>188</v>
      </c>
      <c r="M1688" s="364" t="s">
        <v>696</v>
      </c>
      <c r="N1688" s="364" t="s">
        <v>654</v>
      </c>
      <c r="O1688" s="364" t="s">
        <v>653</v>
      </c>
      <c r="P1688" s="364" t="s">
        <v>198</v>
      </c>
      <c r="Q1688" s="364" t="s">
        <v>652</v>
      </c>
      <c r="R1688" s="364" t="s">
        <v>88</v>
      </c>
      <c r="S1688" s="364" t="s">
        <v>88</v>
      </c>
      <c r="T1688" s="364" t="s">
        <v>88</v>
      </c>
      <c r="U1688" s="364" t="s">
        <v>88</v>
      </c>
      <c r="V1688" s="364" t="s">
        <v>88</v>
      </c>
      <c r="W1688" s="364" t="s">
        <v>88</v>
      </c>
      <c r="X1688" s="364" t="s">
        <v>88</v>
      </c>
      <c r="Y1688" s="364" t="s">
        <v>88</v>
      </c>
      <c r="Z1688" s="364" t="s">
        <v>695</v>
      </c>
      <c r="AA1688" s="364" t="s">
        <v>694</v>
      </c>
      <c r="AB1688" s="364" t="s">
        <v>649</v>
      </c>
      <c r="AC1688" s="364" t="s">
        <v>649</v>
      </c>
      <c r="AD1688" s="364" t="s">
        <v>649</v>
      </c>
      <c r="AE1688" s="364" t="s">
        <v>88</v>
      </c>
      <c r="AF1688" s="364" t="s">
        <v>88</v>
      </c>
      <c r="AG1688" s="364" t="s">
        <v>88</v>
      </c>
      <c r="AH1688" s="364" t="s">
        <v>88</v>
      </c>
      <c r="AI1688" s="364" t="s">
        <v>88</v>
      </c>
      <c r="AJ1688" s="364" t="s">
        <v>648</v>
      </c>
      <c r="AK1688" s="364" t="s">
        <v>669</v>
      </c>
      <c r="AL1688" s="364" t="s">
        <v>646</v>
      </c>
      <c r="AM1688" s="364" t="s">
        <v>645</v>
      </c>
      <c r="AN1688" s="364" t="s">
        <v>644</v>
      </c>
    </row>
    <row r="1689" spans="1:40" x14ac:dyDescent="0.3">
      <c r="A1689" s="364" t="s">
        <v>852</v>
      </c>
      <c r="B1689" s="364" t="s">
        <v>661</v>
      </c>
      <c r="C1689" s="364" t="s">
        <v>660</v>
      </c>
      <c r="D1689" s="364" t="s">
        <v>87</v>
      </c>
      <c r="E1689" s="364" t="s">
        <v>851</v>
      </c>
      <c r="F1689" s="364" t="s">
        <v>851</v>
      </c>
      <c r="G1689" s="364" t="s">
        <v>658</v>
      </c>
      <c r="H1689" s="364" t="s">
        <v>850</v>
      </c>
      <c r="I1689" s="364" t="s">
        <v>849</v>
      </c>
      <c r="J1689" s="364" t="s">
        <v>673</v>
      </c>
      <c r="K1689" s="364" t="s">
        <v>668</v>
      </c>
      <c r="L1689" s="364" t="s">
        <v>190</v>
      </c>
      <c r="M1689" s="364" t="s">
        <v>59</v>
      </c>
      <c r="N1689" s="364" t="s">
        <v>654</v>
      </c>
      <c r="O1689" s="364" t="s">
        <v>653</v>
      </c>
      <c r="P1689" s="364" t="s">
        <v>198</v>
      </c>
      <c r="Q1689" s="364" t="s">
        <v>652</v>
      </c>
      <c r="R1689" s="364" t="s">
        <v>88</v>
      </c>
      <c r="S1689" s="364" t="s">
        <v>88</v>
      </c>
      <c r="T1689" s="364" t="s">
        <v>88</v>
      </c>
      <c r="U1689" s="364" t="s">
        <v>88</v>
      </c>
      <c r="V1689" s="364" t="s">
        <v>88</v>
      </c>
      <c r="W1689" s="364" t="s">
        <v>88</v>
      </c>
      <c r="X1689" s="364" t="s">
        <v>88</v>
      </c>
      <c r="Y1689" s="364" t="s">
        <v>88</v>
      </c>
      <c r="Z1689" s="364" t="s">
        <v>672</v>
      </c>
      <c r="AA1689" s="364" t="s">
        <v>671</v>
      </c>
      <c r="AB1689" s="364" t="s">
        <v>649</v>
      </c>
      <c r="AC1689" s="364" t="s">
        <v>649</v>
      </c>
      <c r="AD1689" s="364" t="s">
        <v>649</v>
      </c>
      <c r="AE1689" s="364" t="s">
        <v>88</v>
      </c>
      <c r="AF1689" s="364" t="s">
        <v>88</v>
      </c>
      <c r="AG1689" s="364" t="s">
        <v>88</v>
      </c>
      <c r="AH1689" s="364" t="s">
        <v>88</v>
      </c>
      <c r="AI1689" s="364" t="s">
        <v>88</v>
      </c>
      <c r="AJ1689" s="364" t="s">
        <v>670</v>
      </c>
      <c r="AK1689" s="364" t="s">
        <v>669</v>
      </c>
      <c r="AL1689" s="364" t="s">
        <v>646</v>
      </c>
      <c r="AM1689" s="364" t="s">
        <v>668</v>
      </c>
      <c r="AN1689" s="364" t="s">
        <v>644</v>
      </c>
    </row>
    <row r="1690" spans="1:40" x14ac:dyDescent="0.3">
      <c r="A1690" s="364" t="s">
        <v>848</v>
      </c>
      <c r="B1690" s="364" t="s">
        <v>661</v>
      </c>
      <c r="C1690" s="364" t="s">
        <v>660</v>
      </c>
      <c r="D1690" s="364" t="s">
        <v>87</v>
      </c>
      <c r="E1690" s="364" t="s">
        <v>837</v>
      </c>
      <c r="F1690" s="364" t="s">
        <v>837</v>
      </c>
      <c r="G1690" s="364" t="s">
        <v>658</v>
      </c>
      <c r="H1690" s="364" t="s">
        <v>847</v>
      </c>
      <c r="I1690" s="364" t="s">
        <v>765</v>
      </c>
      <c r="J1690" s="364" t="s">
        <v>198</v>
      </c>
      <c r="K1690" s="364" t="s">
        <v>645</v>
      </c>
      <c r="L1690" s="364" t="s">
        <v>188</v>
      </c>
      <c r="M1690" s="364" t="s">
        <v>696</v>
      </c>
      <c r="N1690" s="364" t="s">
        <v>654</v>
      </c>
      <c r="O1690" s="364" t="s">
        <v>653</v>
      </c>
      <c r="P1690" s="364" t="s">
        <v>198</v>
      </c>
      <c r="Q1690" s="364" t="s">
        <v>652</v>
      </c>
      <c r="R1690" s="364" t="s">
        <v>88</v>
      </c>
      <c r="S1690" s="364" t="s">
        <v>88</v>
      </c>
      <c r="T1690" s="364" t="s">
        <v>88</v>
      </c>
      <c r="U1690" s="364" t="s">
        <v>88</v>
      </c>
      <c r="V1690" s="364" t="s">
        <v>88</v>
      </c>
      <c r="W1690" s="364" t="s">
        <v>88</v>
      </c>
      <c r="X1690" s="364" t="s">
        <v>88</v>
      </c>
      <c r="Y1690" s="364" t="s">
        <v>88</v>
      </c>
      <c r="Z1690" s="364" t="s">
        <v>695</v>
      </c>
      <c r="AA1690" s="364" t="s">
        <v>694</v>
      </c>
      <c r="AB1690" s="364" t="s">
        <v>649</v>
      </c>
      <c r="AC1690" s="364" t="s">
        <v>649</v>
      </c>
      <c r="AD1690" s="364" t="s">
        <v>649</v>
      </c>
      <c r="AE1690" s="364" t="s">
        <v>88</v>
      </c>
      <c r="AF1690" s="364" t="s">
        <v>88</v>
      </c>
      <c r="AG1690" s="364" t="s">
        <v>88</v>
      </c>
      <c r="AH1690" s="364" t="s">
        <v>88</v>
      </c>
      <c r="AI1690" s="364" t="s">
        <v>88</v>
      </c>
      <c r="AJ1690" s="364" t="s">
        <v>648</v>
      </c>
      <c r="AK1690" s="364" t="s">
        <v>687</v>
      </c>
      <c r="AL1690" s="364" t="s">
        <v>646</v>
      </c>
      <c r="AM1690" s="364" t="s">
        <v>645</v>
      </c>
      <c r="AN1690" s="364" t="s">
        <v>644</v>
      </c>
    </row>
    <row r="1691" spans="1:40" x14ac:dyDescent="0.3">
      <c r="A1691" s="364" t="s">
        <v>846</v>
      </c>
      <c r="B1691" s="364" t="s">
        <v>661</v>
      </c>
      <c r="C1691" s="364" t="s">
        <v>660</v>
      </c>
      <c r="D1691" s="364" t="s">
        <v>87</v>
      </c>
      <c r="E1691" s="364" t="s">
        <v>845</v>
      </c>
      <c r="F1691" s="364" t="s">
        <v>845</v>
      </c>
      <c r="G1691" s="364" t="s">
        <v>658</v>
      </c>
      <c r="H1691" s="364" t="s">
        <v>844</v>
      </c>
      <c r="I1691" s="364" t="s">
        <v>843</v>
      </c>
      <c r="J1691" s="364" t="s">
        <v>673</v>
      </c>
      <c r="K1691" s="364" t="s">
        <v>668</v>
      </c>
      <c r="L1691" s="364" t="s">
        <v>190</v>
      </c>
      <c r="M1691" s="364" t="s">
        <v>59</v>
      </c>
      <c r="N1691" s="364" t="s">
        <v>654</v>
      </c>
      <c r="O1691" s="364" t="s">
        <v>653</v>
      </c>
      <c r="P1691" s="364" t="s">
        <v>198</v>
      </c>
      <c r="Q1691" s="364" t="s">
        <v>652</v>
      </c>
      <c r="R1691" s="364" t="s">
        <v>88</v>
      </c>
      <c r="S1691" s="364" t="s">
        <v>88</v>
      </c>
      <c r="T1691" s="364" t="s">
        <v>88</v>
      </c>
      <c r="U1691" s="364" t="s">
        <v>88</v>
      </c>
      <c r="V1691" s="364" t="s">
        <v>88</v>
      </c>
      <c r="W1691" s="364" t="s">
        <v>88</v>
      </c>
      <c r="X1691" s="364" t="s">
        <v>88</v>
      </c>
      <c r="Y1691" s="364" t="s">
        <v>88</v>
      </c>
      <c r="Z1691" s="364" t="s">
        <v>672</v>
      </c>
      <c r="AA1691" s="364" t="s">
        <v>671</v>
      </c>
      <c r="AB1691" s="364" t="s">
        <v>649</v>
      </c>
      <c r="AC1691" s="364" t="s">
        <v>649</v>
      </c>
      <c r="AD1691" s="364" t="s">
        <v>649</v>
      </c>
      <c r="AE1691" s="364" t="s">
        <v>88</v>
      </c>
      <c r="AF1691" s="364" t="s">
        <v>88</v>
      </c>
      <c r="AG1691" s="364" t="s">
        <v>88</v>
      </c>
      <c r="AH1691" s="364" t="s">
        <v>88</v>
      </c>
      <c r="AI1691" s="364" t="s">
        <v>88</v>
      </c>
      <c r="AJ1691" s="364" t="s">
        <v>670</v>
      </c>
      <c r="AK1691" s="364" t="s">
        <v>669</v>
      </c>
      <c r="AL1691" s="364" t="s">
        <v>646</v>
      </c>
      <c r="AM1691" s="364" t="s">
        <v>668</v>
      </c>
      <c r="AN1691" s="364" t="s">
        <v>644</v>
      </c>
    </row>
    <row r="1692" spans="1:40" x14ac:dyDescent="0.3">
      <c r="A1692" s="364" t="s">
        <v>842</v>
      </c>
      <c r="B1692" s="364" t="s">
        <v>661</v>
      </c>
      <c r="C1692" s="364" t="s">
        <v>660</v>
      </c>
      <c r="D1692" s="364" t="s">
        <v>87</v>
      </c>
      <c r="E1692" s="364" t="s">
        <v>841</v>
      </c>
      <c r="F1692" s="364" t="s">
        <v>841</v>
      </c>
      <c r="G1692" s="364" t="s">
        <v>658</v>
      </c>
      <c r="H1692" s="364" t="s">
        <v>840</v>
      </c>
      <c r="I1692" s="364" t="s">
        <v>839</v>
      </c>
      <c r="J1692" s="364" t="s">
        <v>198</v>
      </c>
      <c r="K1692" s="364" t="s">
        <v>645</v>
      </c>
      <c r="L1692" s="364" t="s">
        <v>188</v>
      </c>
      <c r="M1692" s="364" t="s">
        <v>696</v>
      </c>
      <c r="N1692" s="364" t="s">
        <v>654</v>
      </c>
      <c r="O1692" s="364" t="s">
        <v>653</v>
      </c>
      <c r="P1692" s="364" t="s">
        <v>198</v>
      </c>
      <c r="Q1692" s="364" t="s">
        <v>652</v>
      </c>
      <c r="R1692" s="364" t="s">
        <v>88</v>
      </c>
      <c r="S1692" s="364" t="s">
        <v>88</v>
      </c>
      <c r="T1692" s="364" t="s">
        <v>88</v>
      </c>
      <c r="U1692" s="364" t="s">
        <v>88</v>
      </c>
      <c r="V1692" s="364" t="s">
        <v>88</v>
      </c>
      <c r="W1692" s="364" t="s">
        <v>88</v>
      </c>
      <c r="X1692" s="364" t="s">
        <v>88</v>
      </c>
      <c r="Y1692" s="364" t="s">
        <v>88</v>
      </c>
      <c r="Z1692" s="364" t="s">
        <v>695</v>
      </c>
      <c r="AA1692" s="364" t="s">
        <v>694</v>
      </c>
      <c r="AB1692" s="364" t="s">
        <v>649</v>
      </c>
      <c r="AC1692" s="364" t="s">
        <v>649</v>
      </c>
      <c r="AD1692" s="364" t="s">
        <v>649</v>
      </c>
      <c r="AE1692" s="364" t="s">
        <v>88</v>
      </c>
      <c r="AF1692" s="364" t="s">
        <v>88</v>
      </c>
      <c r="AG1692" s="364" t="s">
        <v>88</v>
      </c>
      <c r="AH1692" s="364" t="s">
        <v>88</v>
      </c>
      <c r="AI1692" s="364" t="s">
        <v>88</v>
      </c>
      <c r="AJ1692" s="364" t="s">
        <v>648</v>
      </c>
      <c r="AK1692" s="364" t="s">
        <v>669</v>
      </c>
      <c r="AL1692" s="364" t="s">
        <v>646</v>
      </c>
      <c r="AM1692" s="364" t="s">
        <v>645</v>
      </c>
      <c r="AN1692" s="364" t="s">
        <v>644</v>
      </c>
    </row>
    <row r="1693" spans="1:40" x14ac:dyDescent="0.3">
      <c r="A1693" s="364" t="s">
        <v>838</v>
      </c>
      <c r="B1693" s="364" t="s">
        <v>661</v>
      </c>
      <c r="C1693" s="364" t="s">
        <v>660</v>
      </c>
      <c r="D1693" s="364" t="s">
        <v>90</v>
      </c>
      <c r="E1693" s="364" t="s">
        <v>837</v>
      </c>
      <c r="F1693" s="364" t="s">
        <v>837</v>
      </c>
      <c r="G1693" s="364" t="s">
        <v>658</v>
      </c>
      <c r="H1693" s="364" t="s">
        <v>836</v>
      </c>
      <c r="I1693" s="364" t="s">
        <v>835</v>
      </c>
      <c r="J1693" s="364" t="s">
        <v>673</v>
      </c>
      <c r="K1693" s="364" t="s">
        <v>668</v>
      </c>
      <c r="L1693" s="364" t="s">
        <v>190</v>
      </c>
      <c r="M1693" s="364" t="s">
        <v>725</v>
      </c>
      <c r="N1693" s="364" t="s">
        <v>654</v>
      </c>
      <c r="O1693" s="364" t="s">
        <v>653</v>
      </c>
      <c r="P1693" s="364" t="s">
        <v>198</v>
      </c>
      <c r="Q1693" s="364" t="s">
        <v>652</v>
      </c>
      <c r="R1693" s="364" t="s">
        <v>88</v>
      </c>
      <c r="S1693" s="364" t="s">
        <v>88</v>
      </c>
      <c r="T1693" s="364" t="s">
        <v>88</v>
      </c>
      <c r="U1693" s="364" t="s">
        <v>88</v>
      </c>
      <c r="V1693" s="364" t="s">
        <v>88</v>
      </c>
      <c r="W1693" s="364" t="s">
        <v>88</v>
      </c>
      <c r="X1693" s="364" t="s">
        <v>88</v>
      </c>
      <c r="Y1693" s="364" t="s">
        <v>88</v>
      </c>
      <c r="Z1693" s="364" t="s">
        <v>724</v>
      </c>
      <c r="AA1693" s="364" t="s">
        <v>649</v>
      </c>
      <c r="AB1693" s="364" t="s">
        <v>649</v>
      </c>
      <c r="AC1693" s="364" t="s">
        <v>649</v>
      </c>
      <c r="AD1693" s="364" t="s">
        <v>649</v>
      </c>
      <c r="AE1693" s="364" t="s">
        <v>88</v>
      </c>
      <c r="AF1693" s="364" t="s">
        <v>88</v>
      </c>
      <c r="AG1693" s="364" t="s">
        <v>88</v>
      </c>
      <c r="AH1693" s="364" t="s">
        <v>88</v>
      </c>
      <c r="AI1693" s="364" t="s">
        <v>88</v>
      </c>
      <c r="AJ1693" s="364" t="s">
        <v>710</v>
      </c>
      <c r="AK1693" s="364" t="s">
        <v>647</v>
      </c>
      <c r="AL1693" s="364" t="s">
        <v>646</v>
      </c>
      <c r="AM1693" s="364" t="s">
        <v>668</v>
      </c>
      <c r="AN1693" s="364" t="s">
        <v>644</v>
      </c>
    </row>
    <row r="1694" spans="1:40" x14ac:dyDescent="0.3">
      <c r="A1694" s="364" t="s">
        <v>838</v>
      </c>
      <c r="B1694" s="364" t="s">
        <v>661</v>
      </c>
      <c r="C1694" s="364" t="s">
        <v>660</v>
      </c>
      <c r="D1694" s="364" t="s">
        <v>90</v>
      </c>
      <c r="E1694" s="364" t="s">
        <v>837</v>
      </c>
      <c r="F1694" s="364" t="s">
        <v>837</v>
      </c>
      <c r="G1694" s="364" t="s">
        <v>658</v>
      </c>
      <c r="H1694" s="364" t="s">
        <v>836</v>
      </c>
      <c r="I1694" s="364" t="s">
        <v>835</v>
      </c>
      <c r="J1694" s="364" t="s">
        <v>673</v>
      </c>
      <c r="K1694" s="364" t="s">
        <v>668</v>
      </c>
      <c r="L1694" s="364" t="s">
        <v>190</v>
      </c>
      <c r="M1694" s="364" t="s">
        <v>723</v>
      </c>
      <c r="N1694" s="364" t="s">
        <v>654</v>
      </c>
      <c r="O1694" s="364" t="s">
        <v>653</v>
      </c>
      <c r="P1694" s="364" t="s">
        <v>198</v>
      </c>
      <c r="Q1694" s="364" t="s">
        <v>652</v>
      </c>
      <c r="R1694" s="364" t="s">
        <v>88</v>
      </c>
      <c r="S1694" s="364" t="s">
        <v>88</v>
      </c>
      <c r="T1694" s="364" t="s">
        <v>88</v>
      </c>
      <c r="U1694" s="364" t="s">
        <v>88</v>
      </c>
      <c r="V1694" s="364" t="s">
        <v>88</v>
      </c>
      <c r="W1694" s="364" t="s">
        <v>88</v>
      </c>
      <c r="X1694" s="364" t="s">
        <v>88</v>
      </c>
      <c r="Y1694" s="364" t="s">
        <v>88</v>
      </c>
      <c r="Z1694" s="364" t="s">
        <v>722</v>
      </c>
      <c r="AA1694" s="364" t="s">
        <v>649</v>
      </c>
      <c r="AB1694" s="364" t="s">
        <v>649</v>
      </c>
      <c r="AC1694" s="364" t="s">
        <v>649</v>
      </c>
      <c r="AD1694" s="364" t="s">
        <v>649</v>
      </c>
      <c r="AE1694" s="364" t="s">
        <v>88</v>
      </c>
      <c r="AF1694" s="364" t="s">
        <v>88</v>
      </c>
      <c r="AG1694" s="364" t="s">
        <v>88</v>
      </c>
      <c r="AH1694" s="364" t="s">
        <v>88</v>
      </c>
      <c r="AI1694" s="364" t="s">
        <v>88</v>
      </c>
      <c r="AJ1694" s="364" t="s">
        <v>710</v>
      </c>
      <c r="AK1694" s="364" t="s">
        <v>647</v>
      </c>
      <c r="AL1694" s="364" t="s">
        <v>646</v>
      </c>
      <c r="AM1694" s="364" t="s">
        <v>668</v>
      </c>
      <c r="AN1694" s="364" t="s">
        <v>644</v>
      </c>
    </row>
    <row r="1695" spans="1:40" x14ac:dyDescent="0.3">
      <c r="A1695" s="364" t="s">
        <v>838</v>
      </c>
      <c r="B1695" s="364" t="s">
        <v>661</v>
      </c>
      <c r="C1695" s="364" t="s">
        <v>660</v>
      </c>
      <c r="D1695" s="364" t="s">
        <v>90</v>
      </c>
      <c r="E1695" s="364" t="s">
        <v>837</v>
      </c>
      <c r="F1695" s="364" t="s">
        <v>837</v>
      </c>
      <c r="G1695" s="364" t="s">
        <v>658</v>
      </c>
      <c r="H1695" s="364" t="s">
        <v>836</v>
      </c>
      <c r="I1695" s="364" t="s">
        <v>835</v>
      </c>
      <c r="J1695" s="364" t="s">
        <v>673</v>
      </c>
      <c r="K1695" s="364" t="s">
        <v>668</v>
      </c>
      <c r="L1695" s="364" t="s">
        <v>190</v>
      </c>
      <c r="M1695" s="364" t="s">
        <v>721</v>
      </c>
      <c r="N1695" s="364" t="s">
        <v>654</v>
      </c>
      <c r="O1695" s="364" t="s">
        <v>653</v>
      </c>
      <c r="P1695" s="364" t="s">
        <v>198</v>
      </c>
      <c r="Q1695" s="364" t="s">
        <v>652</v>
      </c>
      <c r="R1695" s="364" t="s">
        <v>88</v>
      </c>
      <c r="S1695" s="364" t="s">
        <v>88</v>
      </c>
      <c r="T1695" s="364" t="s">
        <v>88</v>
      </c>
      <c r="U1695" s="364" t="s">
        <v>88</v>
      </c>
      <c r="V1695" s="364" t="s">
        <v>88</v>
      </c>
      <c r="W1695" s="364" t="s">
        <v>88</v>
      </c>
      <c r="X1695" s="364" t="s">
        <v>88</v>
      </c>
      <c r="Y1695" s="364" t="s">
        <v>88</v>
      </c>
      <c r="Z1695" s="364" t="s">
        <v>720</v>
      </c>
      <c r="AA1695" s="364" t="s">
        <v>649</v>
      </c>
      <c r="AB1695" s="364" t="s">
        <v>649</v>
      </c>
      <c r="AC1695" s="364" t="s">
        <v>649</v>
      </c>
      <c r="AD1695" s="364" t="s">
        <v>649</v>
      </c>
      <c r="AE1695" s="364" t="s">
        <v>88</v>
      </c>
      <c r="AF1695" s="364" t="s">
        <v>88</v>
      </c>
      <c r="AG1695" s="364" t="s">
        <v>88</v>
      </c>
      <c r="AH1695" s="364" t="s">
        <v>88</v>
      </c>
      <c r="AI1695" s="364" t="s">
        <v>88</v>
      </c>
      <c r="AJ1695" s="364" t="s">
        <v>710</v>
      </c>
      <c r="AK1695" s="364" t="s">
        <v>647</v>
      </c>
      <c r="AL1695" s="364" t="s">
        <v>646</v>
      </c>
      <c r="AM1695" s="364" t="s">
        <v>668</v>
      </c>
      <c r="AN1695" s="364" t="s">
        <v>644</v>
      </c>
    </row>
    <row r="1696" spans="1:40" x14ac:dyDescent="0.3">
      <c r="A1696" s="364" t="s">
        <v>838</v>
      </c>
      <c r="B1696" s="364" t="s">
        <v>661</v>
      </c>
      <c r="C1696" s="364" t="s">
        <v>660</v>
      </c>
      <c r="D1696" s="364" t="s">
        <v>90</v>
      </c>
      <c r="E1696" s="364" t="s">
        <v>837</v>
      </c>
      <c r="F1696" s="364" t="s">
        <v>837</v>
      </c>
      <c r="G1696" s="364" t="s">
        <v>658</v>
      </c>
      <c r="H1696" s="364" t="s">
        <v>836</v>
      </c>
      <c r="I1696" s="364" t="s">
        <v>835</v>
      </c>
      <c r="J1696" s="364" t="s">
        <v>673</v>
      </c>
      <c r="K1696" s="364" t="s">
        <v>668</v>
      </c>
      <c r="L1696" s="364" t="s">
        <v>190</v>
      </c>
      <c r="M1696" s="364" t="s">
        <v>55</v>
      </c>
      <c r="N1696" s="364" t="s">
        <v>654</v>
      </c>
      <c r="O1696" s="364" t="s">
        <v>653</v>
      </c>
      <c r="P1696" s="364" t="s">
        <v>198</v>
      </c>
      <c r="Q1696" s="364" t="s">
        <v>652</v>
      </c>
      <c r="R1696" s="364" t="s">
        <v>88</v>
      </c>
      <c r="S1696" s="364" t="s">
        <v>88</v>
      </c>
      <c r="T1696" s="364" t="s">
        <v>88</v>
      </c>
      <c r="U1696" s="364" t="s">
        <v>88</v>
      </c>
      <c r="V1696" s="364" t="s">
        <v>88</v>
      </c>
      <c r="W1696" s="364" t="s">
        <v>88</v>
      </c>
      <c r="X1696" s="364" t="s">
        <v>88</v>
      </c>
      <c r="Y1696" s="364" t="s">
        <v>88</v>
      </c>
      <c r="Z1696" s="364" t="s">
        <v>719</v>
      </c>
      <c r="AA1696" s="364" t="s">
        <v>649</v>
      </c>
      <c r="AB1696" s="364" t="s">
        <v>649</v>
      </c>
      <c r="AC1696" s="364" t="s">
        <v>649</v>
      </c>
      <c r="AD1696" s="364" t="s">
        <v>649</v>
      </c>
      <c r="AE1696" s="364" t="s">
        <v>88</v>
      </c>
      <c r="AF1696" s="364" t="s">
        <v>88</v>
      </c>
      <c r="AG1696" s="364" t="s">
        <v>88</v>
      </c>
      <c r="AH1696" s="364" t="s">
        <v>88</v>
      </c>
      <c r="AI1696" s="364" t="s">
        <v>88</v>
      </c>
      <c r="AJ1696" s="364" t="s">
        <v>710</v>
      </c>
      <c r="AK1696" s="364" t="s">
        <v>647</v>
      </c>
      <c r="AL1696" s="364" t="s">
        <v>646</v>
      </c>
      <c r="AM1696" s="364" t="s">
        <v>668</v>
      </c>
      <c r="AN1696" s="364" t="s">
        <v>644</v>
      </c>
    </row>
    <row r="1697" spans="1:40" x14ac:dyDescent="0.3">
      <c r="A1697" s="364" t="s">
        <v>838</v>
      </c>
      <c r="B1697" s="364" t="s">
        <v>661</v>
      </c>
      <c r="C1697" s="364" t="s">
        <v>660</v>
      </c>
      <c r="D1697" s="364" t="s">
        <v>90</v>
      </c>
      <c r="E1697" s="364" t="s">
        <v>837</v>
      </c>
      <c r="F1697" s="364" t="s">
        <v>837</v>
      </c>
      <c r="G1697" s="364" t="s">
        <v>658</v>
      </c>
      <c r="H1697" s="364" t="s">
        <v>836</v>
      </c>
      <c r="I1697" s="364" t="s">
        <v>835</v>
      </c>
      <c r="J1697" s="364" t="s">
        <v>673</v>
      </c>
      <c r="K1697" s="364" t="s">
        <v>668</v>
      </c>
      <c r="L1697" s="364" t="s">
        <v>190</v>
      </c>
      <c r="M1697" s="364" t="s">
        <v>718</v>
      </c>
      <c r="N1697" s="364" t="s">
        <v>654</v>
      </c>
      <c r="O1697" s="364" t="s">
        <v>653</v>
      </c>
      <c r="P1697" s="364" t="s">
        <v>198</v>
      </c>
      <c r="Q1697" s="364" t="s">
        <v>652</v>
      </c>
      <c r="R1697" s="364" t="s">
        <v>88</v>
      </c>
      <c r="S1697" s="364" t="s">
        <v>88</v>
      </c>
      <c r="T1697" s="364" t="s">
        <v>88</v>
      </c>
      <c r="U1697" s="364" t="s">
        <v>88</v>
      </c>
      <c r="V1697" s="364" t="s">
        <v>88</v>
      </c>
      <c r="W1697" s="364" t="s">
        <v>88</v>
      </c>
      <c r="X1697" s="364" t="s">
        <v>88</v>
      </c>
      <c r="Y1697" s="364" t="s">
        <v>88</v>
      </c>
      <c r="Z1697" s="364" t="s">
        <v>717</v>
      </c>
      <c r="AA1697" s="364" t="s">
        <v>649</v>
      </c>
      <c r="AB1697" s="364" t="s">
        <v>649</v>
      </c>
      <c r="AC1697" s="364" t="s">
        <v>649</v>
      </c>
      <c r="AD1697" s="364" t="s">
        <v>649</v>
      </c>
      <c r="AE1697" s="364" t="s">
        <v>88</v>
      </c>
      <c r="AF1697" s="364" t="s">
        <v>88</v>
      </c>
      <c r="AG1697" s="364" t="s">
        <v>88</v>
      </c>
      <c r="AH1697" s="364" t="s">
        <v>88</v>
      </c>
      <c r="AI1697" s="364" t="s">
        <v>88</v>
      </c>
      <c r="AJ1697" s="364" t="s">
        <v>710</v>
      </c>
      <c r="AK1697" s="364" t="s">
        <v>647</v>
      </c>
      <c r="AL1697" s="364" t="s">
        <v>646</v>
      </c>
      <c r="AM1697" s="364" t="s">
        <v>668</v>
      </c>
      <c r="AN1697" s="364" t="s">
        <v>644</v>
      </c>
    </row>
    <row r="1698" spans="1:40" x14ac:dyDescent="0.3">
      <c r="A1698" s="364" t="s">
        <v>838</v>
      </c>
      <c r="B1698" s="364" t="s">
        <v>661</v>
      </c>
      <c r="C1698" s="364" t="s">
        <v>660</v>
      </c>
      <c r="D1698" s="364" t="s">
        <v>90</v>
      </c>
      <c r="E1698" s="364" t="s">
        <v>837</v>
      </c>
      <c r="F1698" s="364" t="s">
        <v>837</v>
      </c>
      <c r="G1698" s="364" t="s">
        <v>658</v>
      </c>
      <c r="H1698" s="364" t="s">
        <v>836</v>
      </c>
      <c r="I1698" s="364" t="s">
        <v>835</v>
      </c>
      <c r="J1698" s="364" t="s">
        <v>673</v>
      </c>
      <c r="K1698" s="364" t="s">
        <v>668</v>
      </c>
      <c r="L1698" s="364" t="s">
        <v>190</v>
      </c>
      <c r="M1698" s="364" t="s">
        <v>713</v>
      </c>
      <c r="N1698" s="364" t="s">
        <v>654</v>
      </c>
      <c r="O1698" s="364" t="s">
        <v>653</v>
      </c>
      <c r="P1698" s="364" t="s">
        <v>198</v>
      </c>
      <c r="Q1698" s="364" t="s">
        <v>652</v>
      </c>
      <c r="R1698" s="364" t="s">
        <v>88</v>
      </c>
      <c r="S1698" s="364" t="s">
        <v>88</v>
      </c>
      <c r="T1698" s="364" t="s">
        <v>88</v>
      </c>
      <c r="U1698" s="364" t="s">
        <v>88</v>
      </c>
      <c r="V1698" s="364" t="s">
        <v>88</v>
      </c>
      <c r="W1698" s="364" t="s">
        <v>88</v>
      </c>
      <c r="X1698" s="364" t="s">
        <v>88</v>
      </c>
      <c r="Y1698" s="364" t="s">
        <v>88</v>
      </c>
      <c r="Z1698" s="364" t="s">
        <v>712</v>
      </c>
      <c r="AA1698" s="364" t="s">
        <v>711</v>
      </c>
      <c r="AB1698" s="364" t="s">
        <v>649</v>
      </c>
      <c r="AC1698" s="364" t="s">
        <v>649</v>
      </c>
      <c r="AD1698" s="364" t="s">
        <v>649</v>
      </c>
      <c r="AE1698" s="364" t="s">
        <v>88</v>
      </c>
      <c r="AF1698" s="364" t="s">
        <v>88</v>
      </c>
      <c r="AG1698" s="364" t="s">
        <v>88</v>
      </c>
      <c r="AH1698" s="364" t="s">
        <v>88</v>
      </c>
      <c r="AI1698" s="364" t="s">
        <v>88</v>
      </c>
      <c r="AJ1698" s="364" t="s">
        <v>710</v>
      </c>
      <c r="AK1698" s="364" t="s">
        <v>647</v>
      </c>
      <c r="AL1698" s="364" t="s">
        <v>646</v>
      </c>
      <c r="AM1698" s="364" t="s">
        <v>668</v>
      </c>
      <c r="AN1698" s="364" t="s">
        <v>644</v>
      </c>
    </row>
    <row r="1699" spans="1:40" x14ac:dyDescent="0.3">
      <c r="A1699" s="364" t="s">
        <v>834</v>
      </c>
      <c r="B1699" s="364" t="s">
        <v>661</v>
      </c>
      <c r="C1699" s="364" t="s">
        <v>660</v>
      </c>
      <c r="D1699" s="364" t="s">
        <v>87</v>
      </c>
      <c r="E1699" s="364" t="s">
        <v>833</v>
      </c>
      <c r="F1699" s="364" t="s">
        <v>833</v>
      </c>
      <c r="G1699" s="364" t="s">
        <v>658</v>
      </c>
      <c r="H1699" s="364" t="s">
        <v>832</v>
      </c>
      <c r="I1699" s="364" t="s">
        <v>831</v>
      </c>
      <c r="J1699" s="364" t="s">
        <v>198</v>
      </c>
      <c r="K1699" s="364" t="s">
        <v>645</v>
      </c>
      <c r="L1699" s="364" t="s">
        <v>188</v>
      </c>
      <c r="M1699" s="364" t="s">
        <v>696</v>
      </c>
      <c r="N1699" s="364" t="s">
        <v>654</v>
      </c>
      <c r="O1699" s="364" t="s">
        <v>653</v>
      </c>
      <c r="P1699" s="364" t="s">
        <v>198</v>
      </c>
      <c r="Q1699" s="364" t="s">
        <v>652</v>
      </c>
      <c r="R1699" s="364" t="s">
        <v>88</v>
      </c>
      <c r="S1699" s="364" t="s">
        <v>88</v>
      </c>
      <c r="T1699" s="364" t="s">
        <v>88</v>
      </c>
      <c r="U1699" s="364" t="s">
        <v>88</v>
      </c>
      <c r="V1699" s="364" t="s">
        <v>88</v>
      </c>
      <c r="W1699" s="364" t="s">
        <v>88</v>
      </c>
      <c r="X1699" s="364" t="s">
        <v>88</v>
      </c>
      <c r="Y1699" s="364" t="s">
        <v>88</v>
      </c>
      <c r="Z1699" s="364" t="s">
        <v>695</v>
      </c>
      <c r="AA1699" s="364" t="s">
        <v>694</v>
      </c>
      <c r="AB1699" s="364" t="s">
        <v>649</v>
      </c>
      <c r="AC1699" s="364" t="s">
        <v>649</v>
      </c>
      <c r="AD1699" s="364" t="s">
        <v>649</v>
      </c>
      <c r="AE1699" s="364" t="s">
        <v>88</v>
      </c>
      <c r="AF1699" s="364" t="s">
        <v>88</v>
      </c>
      <c r="AG1699" s="364" t="s">
        <v>88</v>
      </c>
      <c r="AH1699" s="364" t="s">
        <v>88</v>
      </c>
      <c r="AI1699" s="364" t="s">
        <v>88</v>
      </c>
      <c r="AJ1699" s="364" t="s">
        <v>670</v>
      </c>
      <c r="AK1699" s="364" t="s">
        <v>669</v>
      </c>
      <c r="AL1699" s="364" t="s">
        <v>646</v>
      </c>
      <c r="AM1699" s="364" t="s">
        <v>645</v>
      </c>
      <c r="AN1699" s="364" t="s">
        <v>644</v>
      </c>
    </row>
    <row r="1700" spans="1:40" x14ac:dyDescent="0.3">
      <c r="A1700" s="364" t="s">
        <v>830</v>
      </c>
      <c r="B1700" s="364" t="s">
        <v>661</v>
      </c>
      <c r="C1700" s="364" t="s">
        <v>660</v>
      </c>
      <c r="D1700" s="364" t="s">
        <v>87</v>
      </c>
      <c r="E1700" s="364" t="s">
        <v>829</v>
      </c>
      <c r="F1700" s="364" t="s">
        <v>829</v>
      </c>
      <c r="G1700" s="364" t="s">
        <v>658</v>
      </c>
      <c r="H1700" s="364" t="s">
        <v>735</v>
      </c>
      <c r="I1700" s="364" t="s">
        <v>828</v>
      </c>
      <c r="J1700" s="364" t="s">
        <v>198</v>
      </c>
      <c r="K1700" s="364" t="s">
        <v>645</v>
      </c>
      <c r="L1700" s="364" t="s">
        <v>188</v>
      </c>
      <c r="M1700" s="364" t="s">
        <v>696</v>
      </c>
      <c r="N1700" s="364" t="s">
        <v>654</v>
      </c>
      <c r="O1700" s="364" t="s">
        <v>653</v>
      </c>
      <c r="P1700" s="364" t="s">
        <v>198</v>
      </c>
      <c r="Q1700" s="364" t="s">
        <v>652</v>
      </c>
      <c r="R1700" s="364" t="s">
        <v>88</v>
      </c>
      <c r="S1700" s="364" t="s">
        <v>88</v>
      </c>
      <c r="T1700" s="364" t="s">
        <v>88</v>
      </c>
      <c r="U1700" s="364" t="s">
        <v>88</v>
      </c>
      <c r="V1700" s="364" t="s">
        <v>88</v>
      </c>
      <c r="W1700" s="364" t="s">
        <v>88</v>
      </c>
      <c r="X1700" s="364" t="s">
        <v>88</v>
      </c>
      <c r="Y1700" s="364" t="s">
        <v>88</v>
      </c>
      <c r="Z1700" s="364" t="s">
        <v>695</v>
      </c>
      <c r="AA1700" s="364" t="s">
        <v>694</v>
      </c>
      <c r="AB1700" s="364" t="s">
        <v>649</v>
      </c>
      <c r="AC1700" s="364" t="s">
        <v>649</v>
      </c>
      <c r="AD1700" s="364" t="s">
        <v>649</v>
      </c>
      <c r="AE1700" s="364" t="s">
        <v>88</v>
      </c>
      <c r="AF1700" s="364" t="s">
        <v>88</v>
      </c>
      <c r="AG1700" s="364" t="s">
        <v>88</v>
      </c>
      <c r="AH1700" s="364" t="s">
        <v>88</v>
      </c>
      <c r="AI1700" s="364" t="s">
        <v>88</v>
      </c>
      <c r="AJ1700" s="364" t="s">
        <v>670</v>
      </c>
      <c r="AK1700" s="364" t="s">
        <v>669</v>
      </c>
      <c r="AL1700" s="364" t="s">
        <v>646</v>
      </c>
      <c r="AM1700" s="364" t="s">
        <v>645</v>
      </c>
      <c r="AN1700" s="364" t="s">
        <v>644</v>
      </c>
    </row>
    <row r="1701" spans="1:40" x14ac:dyDescent="0.3">
      <c r="A1701" s="364" t="s">
        <v>827</v>
      </c>
      <c r="B1701" s="364" t="s">
        <v>661</v>
      </c>
      <c r="C1701" s="364" t="s">
        <v>677</v>
      </c>
      <c r="D1701" s="364" t="s">
        <v>170</v>
      </c>
      <c r="E1701" s="364" t="s">
        <v>706</v>
      </c>
      <c r="F1701" s="364" t="s">
        <v>705</v>
      </c>
      <c r="G1701" s="364" t="s">
        <v>658</v>
      </c>
      <c r="H1701" s="364" t="s">
        <v>704</v>
      </c>
      <c r="I1701" s="364" t="s">
        <v>826</v>
      </c>
      <c r="J1701" s="364" t="s">
        <v>673</v>
      </c>
      <c r="K1701" s="364" t="s">
        <v>668</v>
      </c>
      <c r="L1701" s="364" t="s">
        <v>190</v>
      </c>
      <c r="M1701" s="364" t="s">
        <v>164</v>
      </c>
      <c r="N1701" s="364" t="s">
        <v>654</v>
      </c>
      <c r="O1701" s="364" t="s">
        <v>653</v>
      </c>
      <c r="P1701" s="364" t="s">
        <v>198</v>
      </c>
      <c r="Q1701" s="364" t="s">
        <v>652</v>
      </c>
      <c r="R1701" s="364" t="s">
        <v>88</v>
      </c>
      <c r="S1701" s="364" t="s">
        <v>88</v>
      </c>
      <c r="T1701" s="364" t="s">
        <v>88</v>
      </c>
      <c r="U1701" s="364" t="s">
        <v>88</v>
      </c>
      <c r="V1701" s="364" t="s">
        <v>88</v>
      </c>
      <c r="W1701" s="364" t="s">
        <v>88</v>
      </c>
      <c r="X1701" s="364" t="s">
        <v>88</v>
      </c>
      <c r="Y1701" s="364" t="s">
        <v>88</v>
      </c>
      <c r="Z1701" s="364" t="s">
        <v>825</v>
      </c>
      <c r="AA1701" s="364" t="s">
        <v>649</v>
      </c>
      <c r="AB1701" s="364" t="s">
        <v>649</v>
      </c>
      <c r="AC1701" s="364" t="s">
        <v>649</v>
      </c>
      <c r="AD1701" s="364" t="s">
        <v>88</v>
      </c>
      <c r="AE1701" s="364" t="s">
        <v>88</v>
      </c>
      <c r="AF1701" s="364" t="s">
        <v>88</v>
      </c>
      <c r="AG1701" s="364" t="s">
        <v>88</v>
      </c>
      <c r="AH1701" s="364" t="s">
        <v>88</v>
      </c>
      <c r="AI1701" s="364" t="s">
        <v>88</v>
      </c>
      <c r="AJ1701" s="364" t="s">
        <v>670</v>
      </c>
      <c r="AK1701" s="364" t="s">
        <v>687</v>
      </c>
      <c r="AL1701" s="364" t="s">
        <v>88</v>
      </c>
      <c r="AM1701" s="364" t="s">
        <v>668</v>
      </c>
      <c r="AN1701" s="364" t="s">
        <v>644</v>
      </c>
    </row>
    <row r="1702" spans="1:40" x14ac:dyDescent="0.3">
      <c r="A1702" s="364" t="s">
        <v>824</v>
      </c>
      <c r="B1702" s="364" t="s">
        <v>661</v>
      </c>
      <c r="C1702" s="364" t="s">
        <v>660</v>
      </c>
      <c r="D1702" s="364" t="s">
        <v>87</v>
      </c>
      <c r="E1702" s="364" t="s">
        <v>736</v>
      </c>
      <c r="F1702" s="364" t="s">
        <v>736</v>
      </c>
      <c r="G1702" s="364" t="s">
        <v>658</v>
      </c>
      <c r="H1702" s="364" t="s">
        <v>823</v>
      </c>
      <c r="I1702" s="364" t="s">
        <v>822</v>
      </c>
      <c r="J1702" s="364" t="s">
        <v>673</v>
      </c>
      <c r="K1702" s="364" t="s">
        <v>668</v>
      </c>
      <c r="L1702" s="364" t="s">
        <v>190</v>
      </c>
      <c r="M1702" s="364" t="s">
        <v>62</v>
      </c>
      <c r="N1702" s="364" t="s">
        <v>654</v>
      </c>
      <c r="O1702" s="364" t="s">
        <v>653</v>
      </c>
      <c r="P1702" s="364" t="s">
        <v>198</v>
      </c>
      <c r="Q1702" s="364" t="s">
        <v>652</v>
      </c>
      <c r="R1702" s="364" t="s">
        <v>88</v>
      </c>
      <c r="S1702" s="364" t="s">
        <v>88</v>
      </c>
      <c r="T1702" s="364" t="s">
        <v>88</v>
      </c>
      <c r="U1702" s="364" t="s">
        <v>88</v>
      </c>
      <c r="V1702" s="364" t="s">
        <v>88</v>
      </c>
      <c r="W1702" s="364" t="s">
        <v>88</v>
      </c>
      <c r="X1702" s="364" t="s">
        <v>88</v>
      </c>
      <c r="Y1702" s="364" t="s">
        <v>88</v>
      </c>
      <c r="Z1702" s="364" t="s">
        <v>689</v>
      </c>
      <c r="AA1702" s="364" t="s">
        <v>688</v>
      </c>
      <c r="AB1702" s="364" t="s">
        <v>649</v>
      </c>
      <c r="AC1702" s="364" t="s">
        <v>649</v>
      </c>
      <c r="AD1702" s="364" t="s">
        <v>649</v>
      </c>
      <c r="AE1702" s="364" t="s">
        <v>88</v>
      </c>
      <c r="AF1702" s="364" t="s">
        <v>88</v>
      </c>
      <c r="AG1702" s="364" t="s">
        <v>88</v>
      </c>
      <c r="AH1702" s="364" t="s">
        <v>88</v>
      </c>
      <c r="AI1702" s="364" t="s">
        <v>88</v>
      </c>
      <c r="AJ1702" s="364" t="s">
        <v>670</v>
      </c>
      <c r="AK1702" s="364" t="s">
        <v>687</v>
      </c>
      <c r="AL1702" s="364" t="s">
        <v>646</v>
      </c>
      <c r="AM1702" s="364" t="s">
        <v>668</v>
      </c>
      <c r="AN1702" s="364" t="s">
        <v>644</v>
      </c>
    </row>
    <row r="1703" spans="1:40" x14ac:dyDescent="0.3">
      <c r="A1703" s="364" t="s">
        <v>821</v>
      </c>
      <c r="B1703" s="364" t="s">
        <v>661</v>
      </c>
      <c r="C1703" s="364" t="s">
        <v>660</v>
      </c>
      <c r="D1703" s="364" t="s">
        <v>87</v>
      </c>
      <c r="E1703" s="364" t="s">
        <v>820</v>
      </c>
      <c r="F1703" s="364" t="s">
        <v>820</v>
      </c>
      <c r="G1703" s="364" t="s">
        <v>658</v>
      </c>
      <c r="H1703" s="364" t="s">
        <v>819</v>
      </c>
      <c r="I1703" s="364" t="s">
        <v>818</v>
      </c>
      <c r="J1703" s="364" t="s">
        <v>198</v>
      </c>
      <c r="K1703" s="364" t="s">
        <v>645</v>
      </c>
      <c r="L1703" s="364" t="s">
        <v>188</v>
      </c>
      <c r="M1703" s="364" t="s">
        <v>696</v>
      </c>
      <c r="N1703" s="364" t="s">
        <v>654</v>
      </c>
      <c r="O1703" s="364" t="s">
        <v>653</v>
      </c>
      <c r="P1703" s="364" t="s">
        <v>198</v>
      </c>
      <c r="Q1703" s="364" t="s">
        <v>652</v>
      </c>
      <c r="R1703" s="364" t="s">
        <v>88</v>
      </c>
      <c r="S1703" s="364" t="s">
        <v>88</v>
      </c>
      <c r="T1703" s="364" t="s">
        <v>88</v>
      </c>
      <c r="U1703" s="364" t="s">
        <v>88</v>
      </c>
      <c r="V1703" s="364" t="s">
        <v>88</v>
      </c>
      <c r="W1703" s="364" t="s">
        <v>88</v>
      </c>
      <c r="X1703" s="364" t="s">
        <v>88</v>
      </c>
      <c r="Y1703" s="364" t="s">
        <v>88</v>
      </c>
      <c r="Z1703" s="364" t="s">
        <v>695</v>
      </c>
      <c r="AA1703" s="364" t="s">
        <v>694</v>
      </c>
      <c r="AB1703" s="364" t="s">
        <v>649</v>
      </c>
      <c r="AC1703" s="364" t="s">
        <v>649</v>
      </c>
      <c r="AD1703" s="364" t="s">
        <v>649</v>
      </c>
      <c r="AE1703" s="364" t="s">
        <v>88</v>
      </c>
      <c r="AF1703" s="364" t="s">
        <v>88</v>
      </c>
      <c r="AG1703" s="364" t="s">
        <v>88</v>
      </c>
      <c r="AH1703" s="364" t="s">
        <v>88</v>
      </c>
      <c r="AI1703" s="364" t="s">
        <v>88</v>
      </c>
      <c r="AJ1703" s="364" t="s">
        <v>670</v>
      </c>
      <c r="AK1703" s="364" t="s">
        <v>669</v>
      </c>
      <c r="AL1703" s="364" t="s">
        <v>646</v>
      </c>
      <c r="AM1703" s="364" t="s">
        <v>645</v>
      </c>
      <c r="AN1703" s="364" t="s">
        <v>644</v>
      </c>
    </row>
    <row r="1704" spans="1:40" x14ac:dyDescent="0.3">
      <c r="A1704" s="364" t="s">
        <v>817</v>
      </c>
      <c r="B1704" s="364" t="s">
        <v>661</v>
      </c>
      <c r="C1704" s="364" t="s">
        <v>660</v>
      </c>
      <c r="D1704" s="364" t="s">
        <v>90</v>
      </c>
      <c r="E1704" s="364" t="s">
        <v>816</v>
      </c>
      <c r="F1704" s="364" t="s">
        <v>816</v>
      </c>
      <c r="G1704" s="364" t="s">
        <v>658</v>
      </c>
      <c r="H1704" s="364" t="s">
        <v>815</v>
      </c>
      <c r="I1704" s="364" t="s">
        <v>814</v>
      </c>
      <c r="J1704" s="364" t="s">
        <v>673</v>
      </c>
      <c r="K1704" s="364" t="s">
        <v>668</v>
      </c>
      <c r="L1704" s="364" t="s">
        <v>190</v>
      </c>
      <c r="M1704" s="364" t="s">
        <v>718</v>
      </c>
      <c r="N1704" s="364" t="s">
        <v>654</v>
      </c>
      <c r="O1704" s="364" t="s">
        <v>653</v>
      </c>
      <c r="P1704" s="364" t="s">
        <v>198</v>
      </c>
      <c r="Q1704" s="364" t="s">
        <v>652</v>
      </c>
      <c r="R1704" s="364" t="s">
        <v>88</v>
      </c>
      <c r="S1704" s="364" t="s">
        <v>88</v>
      </c>
      <c r="T1704" s="364" t="s">
        <v>88</v>
      </c>
      <c r="U1704" s="364" t="s">
        <v>88</v>
      </c>
      <c r="V1704" s="364" t="s">
        <v>88</v>
      </c>
      <c r="W1704" s="364" t="s">
        <v>88</v>
      </c>
      <c r="X1704" s="364" t="s">
        <v>88</v>
      </c>
      <c r="Y1704" s="364" t="s">
        <v>88</v>
      </c>
      <c r="Z1704" s="364" t="s">
        <v>717</v>
      </c>
      <c r="AA1704" s="364" t="s">
        <v>649</v>
      </c>
      <c r="AB1704" s="364" t="s">
        <v>649</v>
      </c>
      <c r="AC1704" s="364" t="s">
        <v>649</v>
      </c>
      <c r="AD1704" s="364" t="s">
        <v>649</v>
      </c>
      <c r="AE1704" s="364" t="s">
        <v>88</v>
      </c>
      <c r="AF1704" s="364" t="s">
        <v>88</v>
      </c>
      <c r="AG1704" s="364" t="s">
        <v>88</v>
      </c>
      <c r="AH1704" s="364" t="s">
        <v>88</v>
      </c>
      <c r="AI1704" s="364" t="s">
        <v>88</v>
      </c>
      <c r="AJ1704" s="364" t="s">
        <v>648</v>
      </c>
      <c r="AK1704" s="364" t="s">
        <v>647</v>
      </c>
      <c r="AL1704" s="364" t="s">
        <v>646</v>
      </c>
      <c r="AM1704" s="364" t="s">
        <v>668</v>
      </c>
      <c r="AN1704" s="364" t="s">
        <v>644</v>
      </c>
    </row>
    <row r="1705" spans="1:40" x14ac:dyDescent="0.3">
      <c r="A1705" s="364" t="s">
        <v>817</v>
      </c>
      <c r="B1705" s="364" t="s">
        <v>661</v>
      </c>
      <c r="C1705" s="364" t="s">
        <v>660</v>
      </c>
      <c r="D1705" s="364" t="s">
        <v>90</v>
      </c>
      <c r="E1705" s="364" t="s">
        <v>816</v>
      </c>
      <c r="F1705" s="364" t="s">
        <v>816</v>
      </c>
      <c r="G1705" s="364" t="s">
        <v>658</v>
      </c>
      <c r="H1705" s="364" t="s">
        <v>815</v>
      </c>
      <c r="I1705" s="364" t="s">
        <v>814</v>
      </c>
      <c r="J1705" s="364" t="s">
        <v>673</v>
      </c>
      <c r="K1705" s="364" t="s">
        <v>668</v>
      </c>
      <c r="L1705" s="364" t="s">
        <v>190</v>
      </c>
      <c r="M1705" s="364" t="s">
        <v>725</v>
      </c>
      <c r="N1705" s="364" t="s">
        <v>654</v>
      </c>
      <c r="O1705" s="364" t="s">
        <v>653</v>
      </c>
      <c r="P1705" s="364" t="s">
        <v>198</v>
      </c>
      <c r="Q1705" s="364" t="s">
        <v>652</v>
      </c>
      <c r="R1705" s="364" t="s">
        <v>88</v>
      </c>
      <c r="S1705" s="364" t="s">
        <v>88</v>
      </c>
      <c r="T1705" s="364" t="s">
        <v>88</v>
      </c>
      <c r="U1705" s="364" t="s">
        <v>88</v>
      </c>
      <c r="V1705" s="364" t="s">
        <v>88</v>
      </c>
      <c r="W1705" s="364" t="s">
        <v>88</v>
      </c>
      <c r="X1705" s="364" t="s">
        <v>88</v>
      </c>
      <c r="Y1705" s="364" t="s">
        <v>88</v>
      </c>
      <c r="Z1705" s="364" t="s">
        <v>724</v>
      </c>
      <c r="AA1705" s="364" t="s">
        <v>649</v>
      </c>
      <c r="AB1705" s="364" t="s">
        <v>649</v>
      </c>
      <c r="AC1705" s="364" t="s">
        <v>649</v>
      </c>
      <c r="AD1705" s="364" t="s">
        <v>649</v>
      </c>
      <c r="AE1705" s="364" t="s">
        <v>88</v>
      </c>
      <c r="AF1705" s="364" t="s">
        <v>88</v>
      </c>
      <c r="AG1705" s="364" t="s">
        <v>88</v>
      </c>
      <c r="AH1705" s="364" t="s">
        <v>88</v>
      </c>
      <c r="AI1705" s="364" t="s">
        <v>88</v>
      </c>
      <c r="AJ1705" s="364" t="s">
        <v>648</v>
      </c>
      <c r="AK1705" s="364" t="s">
        <v>647</v>
      </c>
      <c r="AL1705" s="364" t="s">
        <v>646</v>
      </c>
      <c r="AM1705" s="364" t="s">
        <v>668</v>
      </c>
      <c r="AN1705" s="364" t="s">
        <v>644</v>
      </c>
    </row>
    <row r="1706" spans="1:40" x14ac:dyDescent="0.3">
      <c r="A1706" s="364" t="s">
        <v>817</v>
      </c>
      <c r="B1706" s="364" t="s">
        <v>661</v>
      </c>
      <c r="C1706" s="364" t="s">
        <v>660</v>
      </c>
      <c r="D1706" s="364" t="s">
        <v>90</v>
      </c>
      <c r="E1706" s="364" t="s">
        <v>816</v>
      </c>
      <c r="F1706" s="364" t="s">
        <v>816</v>
      </c>
      <c r="G1706" s="364" t="s">
        <v>658</v>
      </c>
      <c r="H1706" s="364" t="s">
        <v>815</v>
      </c>
      <c r="I1706" s="364" t="s">
        <v>814</v>
      </c>
      <c r="J1706" s="364" t="s">
        <v>673</v>
      </c>
      <c r="K1706" s="364" t="s">
        <v>668</v>
      </c>
      <c r="L1706" s="364" t="s">
        <v>190</v>
      </c>
      <c r="M1706" s="364" t="s">
        <v>55</v>
      </c>
      <c r="N1706" s="364" t="s">
        <v>654</v>
      </c>
      <c r="O1706" s="364" t="s">
        <v>653</v>
      </c>
      <c r="P1706" s="364" t="s">
        <v>198</v>
      </c>
      <c r="Q1706" s="364" t="s">
        <v>652</v>
      </c>
      <c r="R1706" s="364" t="s">
        <v>88</v>
      </c>
      <c r="S1706" s="364" t="s">
        <v>88</v>
      </c>
      <c r="T1706" s="364" t="s">
        <v>88</v>
      </c>
      <c r="U1706" s="364" t="s">
        <v>88</v>
      </c>
      <c r="V1706" s="364" t="s">
        <v>88</v>
      </c>
      <c r="W1706" s="364" t="s">
        <v>88</v>
      </c>
      <c r="X1706" s="364" t="s">
        <v>88</v>
      </c>
      <c r="Y1706" s="364" t="s">
        <v>88</v>
      </c>
      <c r="Z1706" s="364" t="s">
        <v>719</v>
      </c>
      <c r="AA1706" s="364" t="s">
        <v>649</v>
      </c>
      <c r="AB1706" s="364" t="s">
        <v>649</v>
      </c>
      <c r="AC1706" s="364" t="s">
        <v>649</v>
      </c>
      <c r="AD1706" s="364" t="s">
        <v>649</v>
      </c>
      <c r="AE1706" s="364" t="s">
        <v>88</v>
      </c>
      <c r="AF1706" s="364" t="s">
        <v>88</v>
      </c>
      <c r="AG1706" s="364" t="s">
        <v>88</v>
      </c>
      <c r="AH1706" s="364" t="s">
        <v>88</v>
      </c>
      <c r="AI1706" s="364" t="s">
        <v>88</v>
      </c>
      <c r="AJ1706" s="364" t="s">
        <v>648</v>
      </c>
      <c r="AK1706" s="364" t="s">
        <v>647</v>
      </c>
      <c r="AL1706" s="364" t="s">
        <v>646</v>
      </c>
      <c r="AM1706" s="364" t="s">
        <v>668</v>
      </c>
      <c r="AN1706" s="364" t="s">
        <v>644</v>
      </c>
    </row>
    <row r="1707" spans="1:40" x14ac:dyDescent="0.3">
      <c r="A1707" s="364" t="s">
        <v>813</v>
      </c>
      <c r="B1707" s="364" t="s">
        <v>661</v>
      </c>
      <c r="C1707" s="364" t="s">
        <v>660</v>
      </c>
      <c r="D1707" s="364" t="s">
        <v>90</v>
      </c>
      <c r="E1707" s="364" t="s">
        <v>812</v>
      </c>
      <c r="F1707" s="364" t="s">
        <v>812</v>
      </c>
      <c r="G1707" s="364" t="s">
        <v>658</v>
      </c>
      <c r="H1707" s="364" t="s">
        <v>811</v>
      </c>
      <c r="I1707" s="364" t="s">
        <v>810</v>
      </c>
      <c r="J1707" s="364" t="s">
        <v>198</v>
      </c>
      <c r="K1707" s="364" t="s">
        <v>645</v>
      </c>
      <c r="L1707" s="364" t="s">
        <v>188</v>
      </c>
      <c r="M1707" s="364" t="s">
        <v>655</v>
      </c>
      <c r="N1707" s="364" t="s">
        <v>654</v>
      </c>
      <c r="O1707" s="364" t="s">
        <v>653</v>
      </c>
      <c r="P1707" s="364" t="s">
        <v>198</v>
      </c>
      <c r="Q1707" s="364" t="s">
        <v>652</v>
      </c>
      <c r="R1707" s="364" t="s">
        <v>88</v>
      </c>
      <c r="S1707" s="364" t="s">
        <v>88</v>
      </c>
      <c r="T1707" s="364" t="s">
        <v>88</v>
      </c>
      <c r="U1707" s="364" t="s">
        <v>88</v>
      </c>
      <c r="V1707" s="364" t="s">
        <v>88</v>
      </c>
      <c r="W1707" s="364" t="s">
        <v>88</v>
      </c>
      <c r="X1707" s="364" t="s">
        <v>88</v>
      </c>
      <c r="Y1707" s="364" t="s">
        <v>88</v>
      </c>
      <c r="Z1707" s="364" t="s">
        <v>651</v>
      </c>
      <c r="AA1707" s="364" t="s">
        <v>650</v>
      </c>
      <c r="AB1707" s="364" t="s">
        <v>649</v>
      </c>
      <c r="AC1707" s="364" t="s">
        <v>649</v>
      </c>
      <c r="AD1707" s="364" t="s">
        <v>649</v>
      </c>
      <c r="AE1707" s="364" t="s">
        <v>88</v>
      </c>
      <c r="AF1707" s="364" t="s">
        <v>88</v>
      </c>
      <c r="AG1707" s="364" t="s">
        <v>88</v>
      </c>
      <c r="AH1707" s="364" t="s">
        <v>88</v>
      </c>
      <c r="AI1707" s="364" t="s">
        <v>88</v>
      </c>
      <c r="AJ1707" s="364" t="s">
        <v>648</v>
      </c>
      <c r="AK1707" s="364" t="s">
        <v>647</v>
      </c>
      <c r="AL1707" s="364" t="s">
        <v>646</v>
      </c>
      <c r="AM1707" s="364" t="s">
        <v>645</v>
      </c>
      <c r="AN1707" s="364" t="s">
        <v>644</v>
      </c>
    </row>
    <row r="1708" spans="1:40" x14ac:dyDescent="0.3">
      <c r="A1708" s="364" t="s">
        <v>809</v>
      </c>
      <c r="B1708" s="364" t="s">
        <v>661</v>
      </c>
      <c r="C1708" s="364" t="s">
        <v>660</v>
      </c>
      <c r="D1708" s="364" t="s">
        <v>87</v>
      </c>
      <c r="E1708" s="364" t="s">
        <v>808</v>
      </c>
      <c r="F1708" s="364" t="s">
        <v>808</v>
      </c>
      <c r="G1708" s="364" t="s">
        <v>658</v>
      </c>
      <c r="H1708" s="364" t="s">
        <v>807</v>
      </c>
      <c r="I1708" s="364" t="s">
        <v>806</v>
      </c>
      <c r="J1708" s="364" t="s">
        <v>673</v>
      </c>
      <c r="K1708" s="364" t="s">
        <v>668</v>
      </c>
      <c r="L1708" s="364" t="s">
        <v>190</v>
      </c>
      <c r="M1708" s="364" t="s">
        <v>59</v>
      </c>
      <c r="N1708" s="364" t="s">
        <v>654</v>
      </c>
      <c r="O1708" s="364" t="s">
        <v>653</v>
      </c>
      <c r="P1708" s="364" t="s">
        <v>198</v>
      </c>
      <c r="Q1708" s="364" t="s">
        <v>652</v>
      </c>
      <c r="R1708" s="364" t="s">
        <v>88</v>
      </c>
      <c r="S1708" s="364" t="s">
        <v>88</v>
      </c>
      <c r="T1708" s="364" t="s">
        <v>88</v>
      </c>
      <c r="U1708" s="364" t="s">
        <v>88</v>
      </c>
      <c r="V1708" s="364" t="s">
        <v>88</v>
      </c>
      <c r="W1708" s="364" t="s">
        <v>88</v>
      </c>
      <c r="X1708" s="364" t="s">
        <v>88</v>
      </c>
      <c r="Y1708" s="364" t="s">
        <v>88</v>
      </c>
      <c r="Z1708" s="364" t="s">
        <v>672</v>
      </c>
      <c r="AA1708" s="364" t="s">
        <v>671</v>
      </c>
      <c r="AB1708" s="364" t="s">
        <v>649</v>
      </c>
      <c r="AC1708" s="364" t="s">
        <v>649</v>
      </c>
      <c r="AD1708" s="364" t="s">
        <v>649</v>
      </c>
      <c r="AE1708" s="364" t="s">
        <v>88</v>
      </c>
      <c r="AF1708" s="364" t="s">
        <v>88</v>
      </c>
      <c r="AG1708" s="364" t="s">
        <v>88</v>
      </c>
      <c r="AH1708" s="364" t="s">
        <v>88</v>
      </c>
      <c r="AI1708" s="364" t="s">
        <v>88</v>
      </c>
      <c r="AJ1708" s="364" t="s">
        <v>670</v>
      </c>
      <c r="AK1708" s="364" t="s">
        <v>669</v>
      </c>
      <c r="AL1708" s="364" t="s">
        <v>646</v>
      </c>
      <c r="AM1708" s="364" t="s">
        <v>668</v>
      </c>
      <c r="AN1708" s="364" t="s">
        <v>644</v>
      </c>
    </row>
    <row r="1709" spans="1:40" x14ac:dyDescent="0.3">
      <c r="A1709" s="364" t="s">
        <v>805</v>
      </c>
      <c r="B1709" s="364" t="s">
        <v>661</v>
      </c>
      <c r="C1709" s="364" t="s">
        <v>660</v>
      </c>
      <c r="D1709" s="364" t="s">
        <v>87</v>
      </c>
      <c r="E1709" s="364" t="s">
        <v>804</v>
      </c>
      <c r="F1709" s="364" t="s">
        <v>804</v>
      </c>
      <c r="G1709" s="364" t="s">
        <v>658</v>
      </c>
      <c r="H1709" s="364" t="s">
        <v>803</v>
      </c>
      <c r="I1709" s="364" t="s">
        <v>802</v>
      </c>
      <c r="J1709" s="364" t="s">
        <v>198</v>
      </c>
      <c r="K1709" s="364" t="s">
        <v>645</v>
      </c>
      <c r="L1709" s="364" t="s">
        <v>188</v>
      </c>
      <c r="M1709" s="364" t="s">
        <v>696</v>
      </c>
      <c r="N1709" s="364" t="s">
        <v>654</v>
      </c>
      <c r="O1709" s="364" t="s">
        <v>653</v>
      </c>
      <c r="P1709" s="364" t="s">
        <v>198</v>
      </c>
      <c r="Q1709" s="364" t="s">
        <v>652</v>
      </c>
      <c r="R1709" s="364" t="s">
        <v>88</v>
      </c>
      <c r="S1709" s="364" t="s">
        <v>88</v>
      </c>
      <c r="T1709" s="364" t="s">
        <v>88</v>
      </c>
      <c r="U1709" s="364" t="s">
        <v>88</v>
      </c>
      <c r="V1709" s="364" t="s">
        <v>88</v>
      </c>
      <c r="W1709" s="364" t="s">
        <v>88</v>
      </c>
      <c r="X1709" s="364" t="s">
        <v>88</v>
      </c>
      <c r="Y1709" s="364" t="s">
        <v>88</v>
      </c>
      <c r="Z1709" s="364" t="s">
        <v>695</v>
      </c>
      <c r="AA1709" s="364" t="s">
        <v>694</v>
      </c>
      <c r="AB1709" s="364" t="s">
        <v>649</v>
      </c>
      <c r="AC1709" s="364" t="s">
        <v>649</v>
      </c>
      <c r="AD1709" s="364" t="s">
        <v>649</v>
      </c>
      <c r="AE1709" s="364" t="s">
        <v>88</v>
      </c>
      <c r="AF1709" s="364" t="s">
        <v>88</v>
      </c>
      <c r="AG1709" s="364" t="s">
        <v>88</v>
      </c>
      <c r="AH1709" s="364" t="s">
        <v>88</v>
      </c>
      <c r="AI1709" s="364" t="s">
        <v>88</v>
      </c>
      <c r="AJ1709" s="364" t="s">
        <v>648</v>
      </c>
      <c r="AK1709" s="364" t="s">
        <v>669</v>
      </c>
      <c r="AL1709" s="364" t="s">
        <v>646</v>
      </c>
      <c r="AM1709" s="364" t="s">
        <v>645</v>
      </c>
      <c r="AN1709" s="364" t="s">
        <v>644</v>
      </c>
    </row>
    <row r="1710" spans="1:40" x14ac:dyDescent="0.3">
      <c r="A1710" s="364" t="s">
        <v>801</v>
      </c>
      <c r="B1710" s="364" t="s">
        <v>661</v>
      </c>
      <c r="C1710" s="364" t="s">
        <v>796</v>
      </c>
      <c r="D1710" s="364" t="s">
        <v>87</v>
      </c>
      <c r="E1710" s="364" t="s">
        <v>800</v>
      </c>
      <c r="F1710" s="364" t="s">
        <v>800</v>
      </c>
      <c r="G1710" s="364" t="s">
        <v>658</v>
      </c>
      <c r="H1710" s="364" t="s">
        <v>799</v>
      </c>
      <c r="I1710" s="364" t="s">
        <v>88</v>
      </c>
      <c r="J1710" s="364" t="s">
        <v>88</v>
      </c>
      <c r="K1710" s="364" t="s">
        <v>88</v>
      </c>
      <c r="L1710" s="364" t="s">
        <v>88</v>
      </c>
      <c r="M1710" s="364" t="s">
        <v>138</v>
      </c>
      <c r="N1710" s="364" t="s">
        <v>654</v>
      </c>
      <c r="O1710" s="364" t="s">
        <v>653</v>
      </c>
      <c r="P1710" s="364" t="s">
        <v>88</v>
      </c>
      <c r="Q1710" s="364" t="s">
        <v>88</v>
      </c>
      <c r="R1710" s="364" t="s">
        <v>88</v>
      </c>
      <c r="S1710" s="364" t="s">
        <v>88</v>
      </c>
      <c r="T1710" s="364" t="s">
        <v>88</v>
      </c>
      <c r="U1710" s="364" t="s">
        <v>88</v>
      </c>
      <c r="V1710" s="364" t="s">
        <v>88</v>
      </c>
      <c r="W1710" s="364" t="s">
        <v>88</v>
      </c>
      <c r="X1710" s="364" t="s">
        <v>88</v>
      </c>
      <c r="Y1710" s="364" t="s">
        <v>88</v>
      </c>
      <c r="Z1710" s="364" t="s">
        <v>88</v>
      </c>
      <c r="AA1710" s="364" t="s">
        <v>649</v>
      </c>
      <c r="AB1710" s="364" t="s">
        <v>88</v>
      </c>
      <c r="AC1710" s="364" t="s">
        <v>88</v>
      </c>
      <c r="AD1710" s="364" t="s">
        <v>88</v>
      </c>
      <c r="AE1710" s="364" t="s">
        <v>88</v>
      </c>
      <c r="AF1710" s="364" t="s">
        <v>88</v>
      </c>
      <c r="AG1710" s="364" t="s">
        <v>88</v>
      </c>
      <c r="AH1710" s="364" t="s">
        <v>88</v>
      </c>
      <c r="AI1710" s="364" t="s">
        <v>88</v>
      </c>
      <c r="AJ1710" s="364" t="s">
        <v>798</v>
      </c>
      <c r="AK1710" s="364" t="s">
        <v>88</v>
      </c>
      <c r="AL1710" s="364" t="s">
        <v>88</v>
      </c>
      <c r="AM1710" s="364" t="s">
        <v>88</v>
      </c>
      <c r="AN1710" s="364" t="s">
        <v>792</v>
      </c>
    </row>
    <row r="1711" spans="1:40" x14ac:dyDescent="0.3">
      <c r="A1711" s="364" t="s">
        <v>797</v>
      </c>
      <c r="B1711" s="364" t="s">
        <v>661</v>
      </c>
      <c r="C1711" s="364" t="s">
        <v>796</v>
      </c>
      <c r="D1711" s="364" t="s">
        <v>87</v>
      </c>
      <c r="E1711" s="364" t="s">
        <v>795</v>
      </c>
      <c r="F1711" s="364" t="s">
        <v>795</v>
      </c>
      <c r="G1711" s="364" t="s">
        <v>658</v>
      </c>
      <c r="H1711" s="364" t="s">
        <v>794</v>
      </c>
      <c r="I1711" s="364" t="s">
        <v>88</v>
      </c>
      <c r="J1711" s="364" t="s">
        <v>88</v>
      </c>
      <c r="K1711" s="364" t="s">
        <v>88</v>
      </c>
      <c r="L1711" s="364" t="s">
        <v>88</v>
      </c>
      <c r="M1711" s="364" t="s">
        <v>88</v>
      </c>
      <c r="N1711" s="364" t="s">
        <v>654</v>
      </c>
      <c r="O1711" s="364" t="s">
        <v>653</v>
      </c>
      <c r="P1711" s="364" t="s">
        <v>88</v>
      </c>
      <c r="Q1711" s="364" t="s">
        <v>88</v>
      </c>
      <c r="R1711" s="364" t="s">
        <v>88</v>
      </c>
      <c r="S1711" s="364" t="s">
        <v>88</v>
      </c>
      <c r="T1711" s="364" t="s">
        <v>88</v>
      </c>
      <c r="U1711" s="364" t="s">
        <v>88</v>
      </c>
      <c r="V1711" s="364" t="s">
        <v>88</v>
      </c>
      <c r="W1711" s="364" t="s">
        <v>88</v>
      </c>
      <c r="X1711" s="364" t="s">
        <v>88</v>
      </c>
      <c r="Y1711" s="364" t="s">
        <v>88</v>
      </c>
      <c r="Z1711" s="364" t="s">
        <v>88</v>
      </c>
      <c r="AA1711" s="364" t="s">
        <v>649</v>
      </c>
      <c r="AB1711" s="364" t="s">
        <v>88</v>
      </c>
      <c r="AC1711" s="364" t="s">
        <v>88</v>
      </c>
      <c r="AD1711" s="364" t="s">
        <v>88</v>
      </c>
      <c r="AE1711" s="364" t="s">
        <v>88</v>
      </c>
      <c r="AF1711" s="364" t="s">
        <v>88</v>
      </c>
      <c r="AG1711" s="364" t="s">
        <v>88</v>
      </c>
      <c r="AH1711" s="364" t="s">
        <v>88</v>
      </c>
      <c r="AI1711" s="364" t="s">
        <v>88</v>
      </c>
      <c r="AJ1711" s="364" t="s">
        <v>793</v>
      </c>
      <c r="AK1711" s="364" t="s">
        <v>88</v>
      </c>
      <c r="AL1711" s="364" t="s">
        <v>88</v>
      </c>
      <c r="AM1711" s="364" t="s">
        <v>88</v>
      </c>
      <c r="AN1711" s="364" t="s">
        <v>792</v>
      </c>
    </row>
    <row r="1712" spans="1:40" x14ac:dyDescent="0.3">
      <c r="A1712" s="364" t="s">
        <v>791</v>
      </c>
      <c r="B1712" s="364" t="s">
        <v>661</v>
      </c>
      <c r="C1712" s="364" t="s">
        <v>660</v>
      </c>
      <c r="D1712" s="364" t="s">
        <v>87</v>
      </c>
      <c r="E1712" s="364" t="s">
        <v>790</v>
      </c>
      <c r="F1712" s="364" t="s">
        <v>790</v>
      </c>
      <c r="G1712" s="364" t="s">
        <v>658</v>
      </c>
      <c r="H1712" s="364" t="s">
        <v>789</v>
      </c>
      <c r="I1712" s="364" t="s">
        <v>788</v>
      </c>
      <c r="J1712" s="364" t="s">
        <v>673</v>
      </c>
      <c r="K1712" s="364" t="s">
        <v>668</v>
      </c>
      <c r="L1712" s="364" t="s">
        <v>190</v>
      </c>
      <c r="M1712" s="364" t="s">
        <v>62</v>
      </c>
      <c r="N1712" s="364" t="s">
        <v>654</v>
      </c>
      <c r="O1712" s="364" t="s">
        <v>653</v>
      </c>
      <c r="P1712" s="364" t="s">
        <v>198</v>
      </c>
      <c r="Q1712" s="364" t="s">
        <v>652</v>
      </c>
      <c r="R1712" s="364" t="s">
        <v>88</v>
      </c>
      <c r="S1712" s="364" t="s">
        <v>88</v>
      </c>
      <c r="T1712" s="364" t="s">
        <v>88</v>
      </c>
      <c r="U1712" s="364" t="s">
        <v>88</v>
      </c>
      <c r="V1712" s="364" t="s">
        <v>88</v>
      </c>
      <c r="W1712" s="364" t="s">
        <v>88</v>
      </c>
      <c r="X1712" s="364" t="s">
        <v>88</v>
      </c>
      <c r="Y1712" s="364" t="s">
        <v>88</v>
      </c>
      <c r="Z1712" s="364" t="s">
        <v>689</v>
      </c>
      <c r="AA1712" s="364" t="s">
        <v>688</v>
      </c>
      <c r="AB1712" s="364" t="s">
        <v>649</v>
      </c>
      <c r="AC1712" s="364" t="s">
        <v>649</v>
      </c>
      <c r="AD1712" s="364" t="s">
        <v>649</v>
      </c>
      <c r="AE1712" s="364" t="s">
        <v>88</v>
      </c>
      <c r="AF1712" s="364" t="s">
        <v>88</v>
      </c>
      <c r="AG1712" s="364" t="s">
        <v>88</v>
      </c>
      <c r="AH1712" s="364" t="s">
        <v>88</v>
      </c>
      <c r="AI1712" s="364" t="s">
        <v>88</v>
      </c>
      <c r="AJ1712" s="364" t="s">
        <v>648</v>
      </c>
      <c r="AK1712" s="364" t="s">
        <v>669</v>
      </c>
      <c r="AL1712" s="364" t="s">
        <v>646</v>
      </c>
      <c r="AM1712" s="364" t="s">
        <v>668</v>
      </c>
      <c r="AN1712" s="364" t="s">
        <v>644</v>
      </c>
    </row>
    <row r="1713" spans="1:40" x14ac:dyDescent="0.3">
      <c r="A1713" s="364" t="s">
        <v>787</v>
      </c>
      <c r="B1713" s="364" t="s">
        <v>661</v>
      </c>
      <c r="C1713" s="364" t="s">
        <v>660</v>
      </c>
      <c r="D1713" s="364" t="s">
        <v>90</v>
      </c>
      <c r="E1713" s="364" t="s">
        <v>786</v>
      </c>
      <c r="F1713" s="364" t="s">
        <v>786</v>
      </c>
      <c r="G1713" s="364" t="s">
        <v>658</v>
      </c>
      <c r="H1713" s="364" t="s">
        <v>785</v>
      </c>
      <c r="I1713" s="364" t="s">
        <v>784</v>
      </c>
      <c r="J1713" s="364" t="s">
        <v>198</v>
      </c>
      <c r="K1713" s="364" t="s">
        <v>645</v>
      </c>
      <c r="L1713" s="364" t="s">
        <v>188</v>
      </c>
      <c r="M1713" s="364" t="s">
        <v>655</v>
      </c>
      <c r="N1713" s="364" t="s">
        <v>654</v>
      </c>
      <c r="O1713" s="364" t="s">
        <v>653</v>
      </c>
      <c r="P1713" s="364" t="s">
        <v>198</v>
      </c>
      <c r="Q1713" s="364" t="s">
        <v>652</v>
      </c>
      <c r="R1713" s="364" t="s">
        <v>88</v>
      </c>
      <c r="S1713" s="364" t="s">
        <v>88</v>
      </c>
      <c r="T1713" s="364" t="s">
        <v>88</v>
      </c>
      <c r="U1713" s="364" t="s">
        <v>88</v>
      </c>
      <c r="V1713" s="364" t="s">
        <v>88</v>
      </c>
      <c r="W1713" s="364" t="s">
        <v>88</v>
      </c>
      <c r="X1713" s="364" t="s">
        <v>88</v>
      </c>
      <c r="Y1713" s="364" t="s">
        <v>88</v>
      </c>
      <c r="Z1713" s="364" t="s">
        <v>651</v>
      </c>
      <c r="AA1713" s="364" t="s">
        <v>650</v>
      </c>
      <c r="AB1713" s="364" t="s">
        <v>649</v>
      </c>
      <c r="AC1713" s="364" t="s">
        <v>649</v>
      </c>
      <c r="AD1713" s="364" t="s">
        <v>649</v>
      </c>
      <c r="AE1713" s="364" t="s">
        <v>88</v>
      </c>
      <c r="AF1713" s="364" t="s">
        <v>88</v>
      </c>
      <c r="AG1713" s="364" t="s">
        <v>88</v>
      </c>
      <c r="AH1713" s="364" t="s">
        <v>88</v>
      </c>
      <c r="AI1713" s="364" t="s">
        <v>88</v>
      </c>
      <c r="AJ1713" s="364" t="s">
        <v>663</v>
      </c>
      <c r="AK1713" s="364" t="s">
        <v>647</v>
      </c>
      <c r="AL1713" s="364" t="s">
        <v>646</v>
      </c>
      <c r="AM1713" s="364" t="s">
        <v>645</v>
      </c>
      <c r="AN1713" s="364" t="s">
        <v>644</v>
      </c>
    </row>
    <row r="1714" spans="1:40" x14ac:dyDescent="0.3">
      <c r="A1714" s="364" t="s">
        <v>783</v>
      </c>
      <c r="B1714" s="364" t="s">
        <v>661</v>
      </c>
      <c r="C1714" s="364" t="s">
        <v>660</v>
      </c>
      <c r="D1714" s="364" t="s">
        <v>87</v>
      </c>
      <c r="E1714" s="364" t="s">
        <v>782</v>
      </c>
      <c r="F1714" s="364" t="s">
        <v>782</v>
      </c>
      <c r="G1714" s="364" t="s">
        <v>658</v>
      </c>
      <c r="H1714" s="364" t="s">
        <v>781</v>
      </c>
      <c r="I1714" s="364" t="s">
        <v>780</v>
      </c>
      <c r="J1714" s="364" t="s">
        <v>198</v>
      </c>
      <c r="K1714" s="364" t="s">
        <v>645</v>
      </c>
      <c r="L1714" s="364" t="s">
        <v>188</v>
      </c>
      <c r="M1714" s="364" t="s">
        <v>696</v>
      </c>
      <c r="N1714" s="364" t="s">
        <v>654</v>
      </c>
      <c r="O1714" s="364" t="s">
        <v>653</v>
      </c>
      <c r="P1714" s="364" t="s">
        <v>198</v>
      </c>
      <c r="Q1714" s="364" t="s">
        <v>652</v>
      </c>
      <c r="R1714" s="364" t="s">
        <v>88</v>
      </c>
      <c r="S1714" s="364" t="s">
        <v>88</v>
      </c>
      <c r="T1714" s="364" t="s">
        <v>88</v>
      </c>
      <c r="U1714" s="364" t="s">
        <v>88</v>
      </c>
      <c r="V1714" s="364" t="s">
        <v>88</v>
      </c>
      <c r="W1714" s="364" t="s">
        <v>88</v>
      </c>
      <c r="X1714" s="364" t="s">
        <v>88</v>
      </c>
      <c r="Y1714" s="364" t="s">
        <v>88</v>
      </c>
      <c r="Z1714" s="364" t="s">
        <v>695</v>
      </c>
      <c r="AA1714" s="364" t="s">
        <v>694</v>
      </c>
      <c r="AB1714" s="364" t="s">
        <v>649</v>
      </c>
      <c r="AC1714" s="364" t="s">
        <v>649</v>
      </c>
      <c r="AD1714" s="364" t="s">
        <v>649</v>
      </c>
      <c r="AE1714" s="364" t="s">
        <v>88</v>
      </c>
      <c r="AF1714" s="364" t="s">
        <v>88</v>
      </c>
      <c r="AG1714" s="364" t="s">
        <v>88</v>
      </c>
      <c r="AH1714" s="364" t="s">
        <v>88</v>
      </c>
      <c r="AI1714" s="364" t="s">
        <v>88</v>
      </c>
      <c r="AJ1714" s="364" t="s">
        <v>670</v>
      </c>
      <c r="AK1714" s="364" t="s">
        <v>669</v>
      </c>
      <c r="AL1714" s="364" t="s">
        <v>646</v>
      </c>
      <c r="AM1714" s="364" t="s">
        <v>645</v>
      </c>
      <c r="AN1714" s="364" t="s">
        <v>644</v>
      </c>
    </row>
    <row r="1715" spans="1:40" x14ac:dyDescent="0.3">
      <c r="A1715" s="364" t="s">
        <v>779</v>
      </c>
      <c r="B1715" s="364" t="s">
        <v>661</v>
      </c>
      <c r="C1715" s="364" t="s">
        <v>660</v>
      </c>
      <c r="D1715" s="364" t="s">
        <v>87</v>
      </c>
      <c r="E1715" s="364" t="s">
        <v>778</v>
      </c>
      <c r="F1715" s="364" t="s">
        <v>778</v>
      </c>
      <c r="G1715" s="364" t="s">
        <v>658</v>
      </c>
      <c r="H1715" s="364" t="s">
        <v>766</v>
      </c>
      <c r="I1715" s="364" t="s">
        <v>777</v>
      </c>
      <c r="J1715" s="364" t="s">
        <v>198</v>
      </c>
      <c r="K1715" s="364" t="s">
        <v>645</v>
      </c>
      <c r="L1715" s="364" t="s">
        <v>188</v>
      </c>
      <c r="M1715" s="364" t="s">
        <v>696</v>
      </c>
      <c r="N1715" s="364" t="s">
        <v>654</v>
      </c>
      <c r="O1715" s="364" t="s">
        <v>653</v>
      </c>
      <c r="P1715" s="364" t="s">
        <v>198</v>
      </c>
      <c r="Q1715" s="364" t="s">
        <v>652</v>
      </c>
      <c r="R1715" s="364" t="s">
        <v>88</v>
      </c>
      <c r="S1715" s="364" t="s">
        <v>88</v>
      </c>
      <c r="T1715" s="364" t="s">
        <v>88</v>
      </c>
      <c r="U1715" s="364" t="s">
        <v>88</v>
      </c>
      <c r="V1715" s="364" t="s">
        <v>88</v>
      </c>
      <c r="W1715" s="364" t="s">
        <v>88</v>
      </c>
      <c r="X1715" s="364" t="s">
        <v>88</v>
      </c>
      <c r="Y1715" s="364" t="s">
        <v>88</v>
      </c>
      <c r="Z1715" s="364" t="s">
        <v>695</v>
      </c>
      <c r="AA1715" s="364" t="s">
        <v>694</v>
      </c>
      <c r="AB1715" s="364" t="s">
        <v>649</v>
      </c>
      <c r="AC1715" s="364" t="s">
        <v>649</v>
      </c>
      <c r="AD1715" s="364" t="s">
        <v>649</v>
      </c>
      <c r="AE1715" s="364" t="s">
        <v>88</v>
      </c>
      <c r="AF1715" s="364" t="s">
        <v>88</v>
      </c>
      <c r="AG1715" s="364" t="s">
        <v>88</v>
      </c>
      <c r="AH1715" s="364" t="s">
        <v>88</v>
      </c>
      <c r="AI1715" s="364" t="s">
        <v>88</v>
      </c>
      <c r="AJ1715" s="364" t="s">
        <v>648</v>
      </c>
      <c r="AK1715" s="364" t="s">
        <v>687</v>
      </c>
      <c r="AL1715" s="364" t="s">
        <v>646</v>
      </c>
      <c r="AM1715" s="364" t="s">
        <v>645</v>
      </c>
      <c r="AN1715" s="364" t="s">
        <v>644</v>
      </c>
    </row>
    <row r="1716" spans="1:40" x14ac:dyDescent="0.3">
      <c r="A1716" s="364" t="s">
        <v>776</v>
      </c>
      <c r="B1716" s="364" t="s">
        <v>661</v>
      </c>
      <c r="C1716" s="364" t="s">
        <v>660</v>
      </c>
      <c r="D1716" s="364" t="s">
        <v>90</v>
      </c>
      <c r="E1716" s="364" t="s">
        <v>775</v>
      </c>
      <c r="F1716" s="364" t="s">
        <v>775</v>
      </c>
      <c r="G1716" s="364" t="s">
        <v>658</v>
      </c>
      <c r="H1716" s="364" t="s">
        <v>774</v>
      </c>
      <c r="I1716" s="364" t="s">
        <v>773</v>
      </c>
      <c r="J1716" s="364" t="s">
        <v>198</v>
      </c>
      <c r="K1716" s="364" t="s">
        <v>645</v>
      </c>
      <c r="L1716" s="364" t="s">
        <v>188</v>
      </c>
      <c r="M1716" s="364" t="s">
        <v>655</v>
      </c>
      <c r="N1716" s="364" t="s">
        <v>654</v>
      </c>
      <c r="O1716" s="364" t="s">
        <v>653</v>
      </c>
      <c r="P1716" s="364" t="s">
        <v>198</v>
      </c>
      <c r="Q1716" s="364" t="s">
        <v>652</v>
      </c>
      <c r="R1716" s="364" t="s">
        <v>88</v>
      </c>
      <c r="S1716" s="364" t="s">
        <v>88</v>
      </c>
      <c r="T1716" s="364" t="s">
        <v>88</v>
      </c>
      <c r="U1716" s="364" t="s">
        <v>88</v>
      </c>
      <c r="V1716" s="364" t="s">
        <v>88</v>
      </c>
      <c r="W1716" s="364" t="s">
        <v>88</v>
      </c>
      <c r="X1716" s="364" t="s">
        <v>88</v>
      </c>
      <c r="Y1716" s="364" t="s">
        <v>88</v>
      </c>
      <c r="Z1716" s="364" t="s">
        <v>651</v>
      </c>
      <c r="AA1716" s="364" t="s">
        <v>650</v>
      </c>
      <c r="AB1716" s="364" t="s">
        <v>649</v>
      </c>
      <c r="AC1716" s="364" t="s">
        <v>649</v>
      </c>
      <c r="AD1716" s="364" t="s">
        <v>649</v>
      </c>
      <c r="AE1716" s="364" t="s">
        <v>88</v>
      </c>
      <c r="AF1716" s="364" t="s">
        <v>88</v>
      </c>
      <c r="AG1716" s="364" t="s">
        <v>88</v>
      </c>
      <c r="AH1716" s="364" t="s">
        <v>88</v>
      </c>
      <c r="AI1716" s="364" t="s">
        <v>88</v>
      </c>
      <c r="AJ1716" s="364" t="s">
        <v>663</v>
      </c>
      <c r="AK1716" s="364" t="s">
        <v>647</v>
      </c>
      <c r="AL1716" s="364" t="s">
        <v>646</v>
      </c>
      <c r="AM1716" s="364" t="s">
        <v>645</v>
      </c>
      <c r="AN1716" s="364" t="s">
        <v>644</v>
      </c>
    </row>
    <row r="1717" spans="1:40" x14ac:dyDescent="0.3">
      <c r="A1717" s="364" t="s">
        <v>772</v>
      </c>
      <c r="B1717" s="364" t="s">
        <v>661</v>
      </c>
      <c r="C1717" s="364" t="s">
        <v>660</v>
      </c>
      <c r="D1717" s="364" t="s">
        <v>87</v>
      </c>
      <c r="E1717" s="364" t="s">
        <v>771</v>
      </c>
      <c r="F1717" s="364" t="s">
        <v>771</v>
      </c>
      <c r="G1717" s="364" t="s">
        <v>658</v>
      </c>
      <c r="H1717" s="364" t="s">
        <v>770</v>
      </c>
      <c r="I1717" s="364" t="s">
        <v>769</v>
      </c>
      <c r="J1717" s="364" t="s">
        <v>198</v>
      </c>
      <c r="K1717" s="364" t="s">
        <v>645</v>
      </c>
      <c r="L1717" s="364" t="s">
        <v>188</v>
      </c>
      <c r="M1717" s="364" t="s">
        <v>696</v>
      </c>
      <c r="N1717" s="364" t="s">
        <v>654</v>
      </c>
      <c r="O1717" s="364" t="s">
        <v>653</v>
      </c>
      <c r="P1717" s="364" t="s">
        <v>198</v>
      </c>
      <c r="Q1717" s="364" t="s">
        <v>652</v>
      </c>
      <c r="R1717" s="364" t="s">
        <v>88</v>
      </c>
      <c r="S1717" s="364" t="s">
        <v>88</v>
      </c>
      <c r="T1717" s="364" t="s">
        <v>88</v>
      </c>
      <c r="U1717" s="364" t="s">
        <v>88</v>
      </c>
      <c r="V1717" s="364" t="s">
        <v>88</v>
      </c>
      <c r="W1717" s="364" t="s">
        <v>88</v>
      </c>
      <c r="X1717" s="364" t="s">
        <v>88</v>
      </c>
      <c r="Y1717" s="364" t="s">
        <v>88</v>
      </c>
      <c r="Z1717" s="364" t="s">
        <v>695</v>
      </c>
      <c r="AA1717" s="364" t="s">
        <v>694</v>
      </c>
      <c r="AB1717" s="364" t="s">
        <v>649</v>
      </c>
      <c r="AC1717" s="364" t="s">
        <v>649</v>
      </c>
      <c r="AD1717" s="364" t="s">
        <v>649</v>
      </c>
      <c r="AE1717" s="364" t="s">
        <v>88</v>
      </c>
      <c r="AF1717" s="364" t="s">
        <v>88</v>
      </c>
      <c r="AG1717" s="364" t="s">
        <v>88</v>
      </c>
      <c r="AH1717" s="364" t="s">
        <v>88</v>
      </c>
      <c r="AI1717" s="364" t="s">
        <v>88</v>
      </c>
      <c r="AJ1717" s="364" t="s">
        <v>670</v>
      </c>
      <c r="AK1717" s="364" t="s">
        <v>669</v>
      </c>
      <c r="AL1717" s="364" t="s">
        <v>646</v>
      </c>
      <c r="AM1717" s="364" t="s">
        <v>645</v>
      </c>
      <c r="AN1717" s="364" t="s">
        <v>644</v>
      </c>
    </row>
    <row r="1718" spans="1:40" x14ac:dyDescent="0.3">
      <c r="A1718" s="364" t="s">
        <v>768</v>
      </c>
      <c r="B1718" s="364" t="s">
        <v>661</v>
      </c>
      <c r="C1718" s="364" t="s">
        <v>660</v>
      </c>
      <c r="D1718" s="364" t="s">
        <v>87</v>
      </c>
      <c r="E1718" s="364" t="s">
        <v>767</v>
      </c>
      <c r="F1718" s="364" t="s">
        <v>767</v>
      </c>
      <c r="G1718" s="364" t="s">
        <v>658</v>
      </c>
      <c r="H1718" s="364" t="s">
        <v>766</v>
      </c>
      <c r="I1718" s="364" t="s">
        <v>765</v>
      </c>
      <c r="J1718" s="364" t="s">
        <v>198</v>
      </c>
      <c r="K1718" s="364" t="s">
        <v>645</v>
      </c>
      <c r="L1718" s="364" t="s">
        <v>188</v>
      </c>
      <c r="M1718" s="364" t="s">
        <v>696</v>
      </c>
      <c r="N1718" s="364" t="s">
        <v>654</v>
      </c>
      <c r="O1718" s="364" t="s">
        <v>653</v>
      </c>
      <c r="P1718" s="364" t="s">
        <v>198</v>
      </c>
      <c r="Q1718" s="364" t="s">
        <v>652</v>
      </c>
      <c r="R1718" s="364" t="s">
        <v>88</v>
      </c>
      <c r="S1718" s="364" t="s">
        <v>88</v>
      </c>
      <c r="T1718" s="364" t="s">
        <v>88</v>
      </c>
      <c r="U1718" s="364" t="s">
        <v>88</v>
      </c>
      <c r="V1718" s="364" t="s">
        <v>88</v>
      </c>
      <c r="W1718" s="364" t="s">
        <v>88</v>
      </c>
      <c r="X1718" s="364" t="s">
        <v>88</v>
      </c>
      <c r="Y1718" s="364" t="s">
        <v>88</v>
      </c>
      <c r="Z1718" s="364" t="s">
        <v>695</v>
      </c>
      <c r="AA1718" s="364" t="s">
        <v>694</v>
      </c>
      <c r="AB1718" s="364" t="s">
        <v>649</v>
      </c>
      <c r="AC1718" s="364" t="s">
        <v>649</v>
      </c>
      <c r="AD1718" s="364" t="s">
        <v>649</v>
      </c>
      <c r="AE1718" s="364" t="s">
        <v>88</v>
      </c>
      <c r="AF1718" s="364" t="s">
        <v>88</v>
      </c>
      <c r="AG1718" s="364" t="s">
        <v>88</v>
      </c>
      <c r="AH1718" s="364" t="s">
        <v>88</v>
      </c>
      <c r="AI1718" s="364" t="s">
        <v>88</v>
      </c>
      <c r="AJ1718" s="364" t="s">
        <v>648</v>
      </c>
      <c r="AK1718" s="364" t="s">
        <v>687</v>
      </c>
      <c r="AL1718" s="364" t="s">
        <v>646</v>
      </c>
      <c r="AM1718" s="364" t="s">
        <v>645</v>
      </c>
      <c r="AN1718" s="364" t="s">
        <v>644</v>
      </c>
    </row>
    <row r="1719" spans="1:40" x14ac:dyDescent="0.3">
      <c r="A1719" s="364" t="s">
        <v>764</v>
      </c>
      <c r="B1719" s="364" t="s">
        <v>661</v>
      </c>
      <c r="C1719" s="364" t="s">
        <v>660</v>
      </c>
      <c r="D1719" s="364" t="s">
        <v>90</v>
      </c>
      <c r="E1719" s="364" t="s">
        <v>763</v>
      </c>
      <c r="F1719" s="364" t="s">
        <v>763</v>
      </c>
      <c r="G1719" s="364" t="s">
        <v>658</v>
      </c>
      <c r="H1719" s="364" t="s">
        <v>762</v>
      </c>
      <c r="I1719" s="364" t="s">
        <v>761</v>
      </c>
      <c r="J1719" s="364" t="s">
        <v>198</v>
      </c>
      <c r="K1719" s="364" t="s">
        <v>645</v>
      </c>
      <c r="L1719" s="364" t="s">
        <v>188</v>
      </c>
      <c r="M1719" s="364" t="s">
        <v>655</v>
      </c>
      <c r="N1719" s="364" t="s">
        <v>654</v>
      </c>
      <c r="O1719" s="364" t="s">
        <v>653</v>
      </c>
      <c r="P1719" s="364" t="s">
        <v>198</v>
      </c>
      <c r="Q1719" s="364" t="s">
        <v>652</v>
      </c>
      <c r="R1719" s="364" t="s">
        <v>88</v>
      </c>
      <c r="S1719" s="364" t="s">
        <v>88</v>
      </c>
      <c r="T1719" s="364" t="s">
        <v>88</v>
      </c>
      <c r="U1719" s="364" t="s">
        <v>88</v>
      </c>
      <c r="V1719" s="364" t="s">
        <v>88</v>
      </c>
      <c r="W1719" s="364" t="s">
        <v>88</v>
      </c>
      <c r="X1719" s="364" t="s">
        <v>88</v>
      </c>
      <c r="Y1719" s="364" t="s">
        <v>88</v>
      </c>
      <c r="Z1719" s="364" t="s">
        <v>651</v>
      </c>
      <c r="AA1719" s="364" t="s">
        <v>650</v>
      </c>
      <c r="AB1719" s="364" t="s">
        <v>649</v>
      </c>
      <c r="AC1719" s="364" t="s">
        <v>649</v>
      </c>
      <c r="AD1719" s="364" t="s">
        <v>649</v>
      </c>
      <c r="AE1719" s="364" t="s">
        <v>88</v>
      </c>
      <c r="AF1719" s="364" t="s">
        <v>88</v>
      </c>
      <c r="AG1719" s="364" t="s">
        <v>88</v>
      </c>
      <c r="AH1719" s="364" t="s">
        <v>88</v>
      </c>
      <c r="AI1719" s="364" t="s">
        <v>88</v>
      </c>
      <c r="AJ1719" s="364" t="s">
        <v>648</v>
      </c>
      <c r="AK1719" s="364" t="s">
        <v>647</v>
      </c>
      <c r="AL1719" s="364" t="s">
        <v>646</v>
      </c>
      <c r="AM1719" s="364" t="s">
        <v>645</v>
      </c>
      <c r="AN1719" s="364" t="s">
        <v>644</v>
      </c>
    </row>
    <row r="1720" spans="1:40" x14ac:dyDescent="0.3">
      <c r="A1720" s="364" t="s">
        <v>760</v>
      </c>
      <c r="B1720" s="364" t="s">
        <v>661</v>
      </c>
      <c r="C1720" s="364" t="s">
        <v>660</v>
      </c>
      <c r="D1720" s="364" t="s">
        <v>87</v>
      </c>
      <c r="E1720" s="364" t="s">
        <v>759</v>
      </c>
      <c r="F1720" s="364" t="s">
        <v>759</v>
      </c>
      <c r="G1720" s="364" t="s">
        <v>658</v>
      </c>
      <c r="H1720" s="364" t="s">
        <v>758</v>
      </c>
      <c r="I1720" s="364" t="s">
        <v>757</v>
      </c>
      <c r="J1720" s="364" t="s">
        <v>198</v>
      </c>
      <c r="K1720" s="364" t="s">
        <v>645</v>
      </c>
      <c r="L1720" s="364" t="s">
        <v>188</v>
      </c>
      <c r="M1720" s="364" t="s">
        <v>696</v>
      </c>
      <c r="N1720" s="364" t="s">
        <v>654</v>
      </c>
      <c r="O1720" s="364" t="s">
        <v>653</v>
      </c>
      <c r="P1720" s="364" t="s">
        <v>198</v>
      </c>
      <c r="Q1720" s="364" t="s">
        <v>652</v>
      </c>
      <c r="R1720" s="364" t="s">
        <v>88</v>
      </c>
      <c r="S1720" s="364" t="s">
        <v>88</v>
      </c>
      <c r="T1720" s="364" t="s">
        <v>88</v>
      </c>
      <c r="U1720" s="364" t="s">
        <v>88</v>
      </c>
      <c r="V1720" s="364" t="s">
        <v>88</v>
      </c>
      <c r="W1720" s="364" t="s">
        <v>88</v>
      </c>
      <c r="X1720" s="364" t="s">
        <v>88</v>
      </c>
      <c r="Y1720" s="364" t="s">
        <v>88</v>
      </c>
      <c r="Z1720" s="364" t="s">
        <v>695</v>
      </c>
      <c r="AA1720" s="364" t="s">
        <v>694</v>
      </c>
      <c r="AB1720" s="364" t="s">
        <v>649</v>
      </c>
      <c r="AC1720" s="364" t="s">
        <v>649</v>
      </c>
      <c r="AD1720" s="364" t="s">
        <v>649</v>
      </c>
      <c r="AE1720" s="364" t="s">
        <v>88</v>
      </c>
      <c r="AF1720" s="364" t="s">
        <v>88</v>
      </c>
      <c r="AG1720" s="364" t="s">
        <v>88</v>
      </c>
      <c r="AH1720" s="364" t="s">
        <v>88</v>
      </c>
      <c r="AI1720" s="364" t="s">
        <v>88</v>
      </c>
      <c r="AJ1720" s="364" t="s">
        <v>670</v>
      </c>
      <c r="AK1720" s="364" t="s">
        <v>669</v>
      </c>
      <c r="AL1720" s="364" t="s">
        <v>646</v>
      </c>
      <c r="AM1720" s="364" t="s">
        <v>645</v>
      </c>
      <c r="AN1720" s="364" t="s">
        <v>644</v>
      </c>
    </row>
    <row r="1721" spans="1:40" x14ac:dyDescent="0.3">
      <c r="A1721" s="364" t="s">
        <v>756</v>
      </c>
      <c r="B1721" s="364" t="s">
        <v>661</v>
      </c>
      <c r="C1721" s="364" t="s">
        <v>660</v>
      </c>
      <c r="D1721" s="364" t="s">
        <v>87</v>
      </c>
      <c r="E1721" s="364" t="s">
        <v>755</v>
      </c>
      <c r="F1721" s="364" t="s">
        <v>755</v>
      </c>
      <c r="G1721" s="364" t="s">
        <v>658</v>
      </c>
      <c r="H1721" s="364" t="s">
        <v>698</v>
      </c>
      <c r="I1721" s="364" t="s">
        <v>754</v>
      </c>
      <c r="J1721" s="364" t="s">
        <v>198</v>
      </c>
      <c r="K1721" s="364" t="s">
        <v>645</v>
      </c>
      <c r="L1721" s="364" t="s">
        <v>188</v>
      </c>
      <c r="M1721" s="364" t="s">
        <v>696</v>
      </c>
      <c r="N1721" s="364" t="s">
        <v>654</v>
      </c>
      <c r="O1721" s="364" t="s">
        <v>653</v>
      </c>
      <c r="P1721" s="364" t="s">
        <v>198</v>
      </c>
      <c r="Q1721" s="364" t="s">
        <v>652</v>
      </c>
      <c r="R1721" s="364" t="s">
        <v>88</v>
      </c>
      <c r="S1721" s="364" t="s">
        <v>88</v>
      </c>
      <c r="T1721" s="364" t="s">
        <v>88</v>
      </c>
      <c r="U1721" s="364" t="s">
        <v>88</v>
      </c>
      <c r="V1721" s="364" t="s">
        <v>88</v>
      </c>
      <c r="W1721" s="364" t="s">
        <v>88</v>
      </c>
      <c r="X1721" s="364" t="s">
        <v>88</v>
      </c>
      <c r="Y1721" s="364" t="s">
        <v>88</v>
      </c>
      <c r="Z1721" s="364" t="s">
        <v>695</v>
      </c>
      <c r="AA1721" s="364" t="s">
        <v>694</v>
      </c>
      <c r="AB1721" s="364" t="s">
        <v>649</v>
      </c>
      <c r="AC1721" s="364" t="s">
        <v>649</v>
      </c>
      <c r="AD1721" s="364" t="s">
        <v>649</v>
      </c>
      <c r="AE1721" s="364" t="s">
        <v>88</v>
      </c>
      <c r="AF1721" s="364" t="s">
        <v>88</v>
      </c>
      <c r="AG1721" s="364" t="s">
        <v>88</v>
      </c>
      <c r="AH1721" s="364" t="s">
        <v>88</v>
      </c>
      <c r="AI1721" s="364" t="s">
        <v>88</v>
      </c>
      <c r="AJ1721" s="364" t="s">
        <v>648</v>
      </c>
      <c r="AK1721" s="364" t="s">
        <v>669</v>
      </c>
      <c r="AL1721" s="364" t="s">
        <v>646</v>
      </c>
      <c r="AM1721" s="364" t="s">
        <v>645</v>
      </c>
      <c r="AN1721" s="364" t="s">
        <v>644</v>
      </c>
    </row>
    <row r="1722" spans="1:40" x14ac:dyDescent="0.3">
      <c r="A1722" s="364" t="s">
        <v>753</v>
      </c>
      <c r="B1722" s="364" t="s">
        <v>661</v>
      </c>
      <c r="C1722" s="364" t="s">
        <v>660</v>
      </c>
      <c r="D1722" s="364" t="s">
        <v>87</v>
      </c>
      <c r="E1722" s="364" t="s">
        <v>752</v>
      </c>
      <c r="F1722" s="364" t="s">
        <v>752</v>
      </c>
      <c r="G1722" s="364" t="s">
        <v>658</v>
      </c>
      <c r="H1722" s="364" t="s">
        <v>735</v>
      </c>
      <c r="I1722" s="364" t="s">
        <v>751</v>
      </c>
      <c r="J1722" s="364" t="s">
        <v>198</v>
      </c>
      <c r="K1722" s="364" t="s">
        <v>645</v>
      </c>
      <c r="L1722" s="364" t="s">
        <v>188</v>
      </c>
      <c r="M1722" s="364" t="s">
        <v>696</v>
      </c>
      <c r="N1722" s="364" t="s">
        <v>654</v>
      </c>
      <c r="O1722" s="364" t="s">
        <v>653</v>
      </c>
      <c r="P1722" s="364" t="s">
        <v>198</v>
      </c>
      <c r="Q1722" s="364" t="s">
        <v>652</v>
      </c>
      <c r="R1722" s="364" t="s">
        <v>88</v>
      </c>
      <c r="S1722" s="364" t="s">
        <v>88</v>
      </c>
      <c r="T1722" s="364" t="s">
        <v>88</v>
      </c>
      <c r="U1722" s="364" t="s">
        <v>88</v>
      </c>
      <c r="V1722" s="364" t="s">
        <v>88</v>
      </c>
      <c r="W1722" s="364" t="s">
        <v>88</v>
      </c>
      <c r="X1722" s="364" t="s">
        <v>88</v>
      </c>
      <c r="Y1722" s="364" t="s">
        <v>88</v>
      </c>
      <c r="Z1722" s="364" t="s">
        <v>695</v>
      </c>
      <c r="AA1722" s="364" t="s">
        <v>694</v>
      </c>
      <c r="AB1722" s="364" t="s">
        <v>649</v>
      </c>
      <c r="AC1722" s="364" t="s">
        <v>649</v>
      </c>
      <c r="AD1722" s="364" t="s">
        <v>649</v>
      </c>
      <c r="AE1722" s="364" t="s">
        <v>88</v>
      </c>
      <c r="AF1722" s="364" t="s">
        <v>88</v>
      </c>
      <c r="AG1722" s="364" t="s">
        <v>88</v>
      </c>
      <c r="AH1722" s="364" t="s">
        <v>88</v>
      </c>
      <c r="AI1722" s="364" t="s">
        <v>88</v>
      </c>
      <c r="AJ1722" s="364" t="s">
        <v>670</v>
      </c>
      <c r="AK1722" s="364" t="s">
        <v>669</v>
      </c>
      <c r="AL1722" s="364" t="s">
        <v>646</v>
      </c>
      <c r="AM1722" s="364" t="s">
        <v>645</v>
      </c>
      <c r="AN1722" s="364" t="s">
        <v>644</v>
      </c>
    </row>
    <row r="1723" spans="1:40" x14ac:dyDescent="0.3">
      <c r="A1723" s="364" t="s">
        <v>750</v>
      </c>
      <c r="B1723" s="364" t="s">
        <v>661</v>
      </c>
      <c r="C1723" s="364" t="s">
        <v>660</v>
      </c>
      <c r="D1723" s="364" t="s">
        <v>87</v>
      </c>
      <c r="E1723" s="364" t="s">
        <v>749</v>
      </c>
      <c r="F1723" s="364" t="s">
        <v>749</v>
      </c>
      <c r="G1723" s="364" t="s">
        <v>658</v>
      </c>
      <c r="H1723" s="364" t="s">
        <v>748</v>
      </c>
      <c r="I1723" s="364" t="s">
        <v>747</v>
      </c>
      <c r="J1723" s="364" t="s">
        <v>198</v>
      </c>
      <c r="K1723" s="364" t="s">
        <v>645</v>
      </c>
      <c r="L1723" s="364" t="s">
        <v>188</v>
      </c>
      <c r="M1723" s="364" t="s">
        <v>696</v>
      </c>
      <c r="N1723" s="364" t="s">
        <v>654</v>
      </c>
      <c r="O1723" s="364" t="s">
        <v>653</v>
      </c>
      <c r="P1723" s="364" t="s">
        <v>198</v>
      </c>
      <c r="Q1723" s="364" t="s">
        <v>652</v>
      </c>
      <c r="R1723" s="364" t="s">
        <v>88</v>
      </c>
      <c r="S1723" s="364" t="s">
        <v>88</v>
      </c>
      <c r="T1723" s="364" t="s">
        <v>88</v>
      </c>
      <c r="U1723" s="364" t="s">
        <v>88</v>
      </c>
      <c r="V1723" s="364" t="s">
        <v>88</v>
      </c>
      <c r="W1723" s="364" t="s">
        <v>88</v>
      </c>
      <c r="X1723" s="364" t="s">
        <v>88</v>
      </c>
      <c r="Y1723" s="364" t="s">
        <v>88</v>
      </c>
      <c r="Z1723" s="364" t="s">
        <v>695</v>
      </c>
      <c r="AA1723" s="364" t="s">
        <v>694</v>
      </c>
      <c r="AB1723" s="364" t="s">
        <v>649</v>
      </c>
      <c r="AC1723" s="364" t="s">
        <v>649</v>
      </c>
      <c r="AD1723" s="364" t="s">
        <v>649</v>
      </c>
      <c r="AE1723" s="364" t="s">
        <v>88</v>
      </c>
      <c r="AF1723" s="364" t="s">
        <v>88</v>
      </c>
      <c r="AG1723" s="364" t="s">
        <v>88</v>
      </c>
      <c r="AH1723" s="364" t="s">
        <v>88</v>
      </c>
      <c r="AI1723" s="364" t="s">
        <v>88</v>
      </c>
      <c r="AJ1723" s="364" t="s">
        <v>648</v>
      </c>
      <c r="AK1723" s="364" t="s">
        <v>669</v>
      </c>
      <c r="AL1723" s="364" t="s">
        <v>646</v>
      </c>
      <c r="AM1723" s="364" t="s">
        <v>645</v>
      </c>
      <c r="AN1723" s="364" t="s">
        <v>644</v>
      </c>
    </row>
    <row r="1724" spans="1:40" x14ac:dyDescent="0.3">
      <c r="A1724" s="364" t="s">
        <v>746</v>
      </c>
      <c r="B1724" s="364" t="s">
        <v>661</v>
      </c>
      <c r="C1724" s="364" t="s">
        <v>677</v>
      </c>
      <c r="D1724" s="364" t="s">
        <v>87</v>
      </c>
      <c r="E1724" s="364" t="s">
        <v>685</v>
      </c>
      <c r="F1724" s="364" t="s">
        <v>685</v>
      </c>
      <c r="G1724" s="364" t="s">
        <v>658</v>
      </c>
      <c r="H1724" s="364" t="s">
        <v>684</v>
      </c>
      <c r="I1724" s="364" t="s">
        <v>683</v>
      </c>
      <c r="J1724" s="364" t="s">
        <v>673</v>
      </c>
      <c r="K1724" s="364" t="s">
        <v>668</v>
      </c>
      <c r="L1724" s="364" t="s">
        <v>190</v>
      </c>
      <c r="M1724" s="364" t="s">
        <v>60</v>
      </c>
      <c r="N1724" s="364" t="s">
        <v>654</v>
      </c>
      <c r="O1724" s="364" t="s">
        <v>653</v>
      </c>
      <c r="P1724" s="364" t="s">
        <v>198</v>
      </c>
      <c r="Q1724" s="364" t="s">
        <v>652</v>
      </c>
      <c r="R1724" s="364" t="s">
        <v>88</v>
      </c>
      <c r="S1724" s="364" t="s">
        <v>88</v>
      </c>
      <c r="T1724" s="364" t="s">
        <v>88</v>
      </c>
      <c r="U1724" s="364" t="s">
        <v>88</v>
      </c>
      <c r="V1724" s="364" t="s">
        <v>88</v>
      </c>
      <c r="W1724" s="364" t="s">
        <v>88</v>
      </c>
      <c r="X1724" s="364" t="s">
        <v>88</v>
      </c>
      <c r="Y1724" s="364" t="s">
        <v>88</v>
      </c>
      <c r="Z1724" s="364" t="s">
        <v>709</v>
      </c>
      <c r="AA1724" s="364" t="s">
        <v>708</v>
      </c>
      <c r="AB1724" s="364" t="s">
        <v>649</v>
      </c>
      <c r="AC1724" s="364" t="s">
        <v>649</v>
      </c>
      <c r="AD1724" s="364" t="s">
        <v>88</v>
      </c>
      <c r="AE1724" s="364" t="s">
        <v>88</v>
      </c>
      <c r="AF1724" s="364" t="s">
        <v>88</v>
      </c>
      <c r="AG1724" s="364" t="s">
        <v>88</v>
      </c>
      <c r="AH1724" s="364" t="s">
        <v>88</v>
      </c>
      <c r="AI1724" s="364" t="s">
        <v>88</v>
      </c>
      <c r="AJ1724" s="364" t="s">
        <v>670</v>
      </c>
      <c r="AK1724" s="364" t="s">
        <v>669</v>
      </c>
      <c r="AL1724" s="364" t="s">
        <v>88</v>
      </c>
      <c r="AM1724" s="364" t="s">
        <v>668</v>
      </c>
      <c r="AN1724" s="364" t="s">
        <v>644</v>
      </c>
    </row>
    <row r="1725" spans="1:40" x14ac:dyDescent="0.3">
      <c r="A1725" s="364" t="s">
        <v>745</v>
      </c>
      <c r="B1725" s="364" t="s">
        <v>661</v>
      </c>
      <c r="C1725" s="364" t="s">
        <v>660</v>
      </c>
      <c r="D1725" s="364" t="s">
        <v>90</v>
      </c>
      <c r="E1725" s="364" t="s">
        <v>744</v>
      </c>
      <c r="F1725" s="364" t="s">
        <v>744</v>
      </c>
      <c r="G1725" s="364" t="s">
        <v>658</v>
      </c>
      <c r="H1725" s="364" t="s">
        <v>743</v>
      </c>
      <c r="I1725" s="364" t="s">
        <v>742</v>
      </c>
      <c r="J1725" s="364" t="s">
        <v>198</v>
      </c>
      <c r="K1725" s="364" t="s">
        <v>645</v>
      </c>
      <c r="L1725" s="364" t="s">
        <v>188</v>
      </c>
      <c r="M1725" s="364" t="s">
        <v>655</v>
      </c>
      <c r="N1725" s="364" t="s">
        <v>654</v>
      </c>
      <c r="O1725" s="364" t="s">
        <v>653</v>
      </c>
      <c r="P1725" s="364" t="s">
        <v>198</v>
      </c>
      <c r="Q1725" s="364" t="s">
        <v>652</v>
      </c>
      <c r="R1725" s="364" t="s">
        <v>88</v>
      </c>
      <c r="S1725" s="364" t="s">
        <v>88</v>
      </c>
      <c r="T1725" s="364" t="s">
        <v>88</v>
      </c>
      <c r="U1725" s="364" t="s">
        <v>88</v>
      </c>
      <c r="V1725" s="364" t="s">
        <v>88</v>
      </c>
      <c r="W1725" s="364" t="s">
        <v>88</v>
      </c>
      <c r="X1725" s="364" t="s">
        <v>88</v>
      </c>
      <c r="Y1725" s="364" t="s">
        <v>88</v>
      </c>
      <c r="Z1725" s="364" t="s">
        <v>651</v>
      </c>
      <c r="AA1725" s="364" t="s">
        <v>650</v>
      </c>
      <c r="AB1725" s="364" t="s">
        <v>649</v>
      </c>
      <c r="AC1725" s="364" t="s">
        <v>649</v>
      </c>
      <c r="AD1725" s="364" t="s">
        <v>649</v>
      </c>
      <c r="AE1725" s="364" t="s">
        <v>88</v>
      </c>
      <c r="AF1725" s="364" t="s">
        <v>88</v>
      </c>
      <c r="AG1725" s="364" t="s">
        <v>88</v>
      </c>
      <c r="AH1725" s="364" t="s">
        <v>88</v>
      </c>
      <c r="AI1725" s="364" t="s">
        <v>88</v>
      </c>
      <c r="AJ1725" s="364" t="s">
        <v>663</v>
      </c>
      <c r="AK1725" s="364" t="s">
        <v>647</v>
      </c>
      <c r="AL1725" s="364" t="s">
        <v>646</v>
      </c>
      <c r="AM1725" s="364" t="s">
        <v>645</v>
      </c>
      <c r="AN1725" s="364" t="s">
        <v>644</v>
      </c>
    </row>
    <row r="1726" spans="1:40" x14ac:dyDescent="0.3">
      <c r="A1726" s="364" t="s">
        <v>741</v>
      </c>
      <c r="B1726" s="364" t="s">
        <v>661</v>
      </c>
      <c r="C1726" s="364" t="s">
        <v>660</v>
      </c>
      <c r="D1726" s="364" t="s">
        <v>87</v>
      </c>
      <c r="E1726" s="364" t="s">
        <v>740</v>
      </c>
      <c r="F1726" s="364" t="s">
        <v>740</v>
      </c>
      <c r="G1726" s="364" t="s">
        <v>658</v>
      </c>
      <c r="H1726" s="364" t="s">
        <v>739</v>
      </c>
      <c r="I1726" s="364" t="s">
        <v>738</v>
      </c>
      <c r="J1726" s="364" t="s">
        <v>198</v>
      </c>
      <c r="K1726" s="364" t="s">
        <v>645</v>
      </c>
      <c r="L1726" s="364" t="s">
        <v>188</v>
      </c>
      <c r="M1726" s="364" t="s">
        <v>696</v>
      </c>
      <c r="N1726" s="364" t="s">
        <v>654</v>
      </c>
      <c r="O1726" s="364" t="s">
        <v>653</v>
      </c>
      <c r="P1726" s="364" t="s">
        <v>198</v>
      </c>
      <c r="Q1726" s="364" t="s">
        <v>652</v>
      </c>
      <c r="R1726" s="364" t="s">
        <v>88</v>
      </c>
      <c r="S1726" s="364" t="s">
        <v>88</v>
      </c>
      <c r="T1726" s="364" t="s">
        <v>88</v>
      </c>
      <c r="U1726" s="364" t="s">
        <v>88</v>
      </c>
      <c r="V1726" s="364" t="s">
        <v>88</v>
      </c>
      <c r="W1726" s="364" t="s">
        <v>88</v>
      </c>
      <c r="X1726" s="364" t="s">
        <v>88</v>
      </c>
      <c r="Y1726" s="364" t="s">
        <v>88</v>
      </c>
      <c r="Z1726" s="364" t="s">
        <v>695</v>
      </c>
      <c r="AA1726" s="364" t="s">
        <v>694</v>
      </c>
      <c r="AB1726" s="364" t="s">
        <v>649</v>
      </c>
      <c r="AC1726" s="364" t="s">
        <v>649</v>
      </c>
      <c r="AD1726" s="364" t="s">
        <v>649</v>
      </c>
      <c r="AE1726" s="364" t="s">
        <v>88</v>
      </c>
      <c r="AF1726" s="364" t="s">
        <v>88</v>
      </c>
      <c r="AG1726" s="364" t="s">
        <v>88</v>
      </c>
      <c r="AH1726" s="364" t="s">
        <v>88</v>
      </c>
      <c r="AI1726" s="364" t="s">
        <v>88</v>
      </c>
      <c r="AJ1726" s="364" t="s">
        <v>648</v>
      </c>
      <c r="AK1726" s="364" t="s">
        <v>669</v>
      </c>
      <c r="AL1726" s="364" t="s">
        <v>646</v>
      </c>
      <c r="AM1726" s="364" t="s">
        <v>645</v>
      </c>
      <c r="AN1726" s="364" t="s">
        <v>644</v>
      </c>
    </row>
    <row r="1727" spans="1:40" x14ac:dyDescent="0.3">
      <c r="A1727" s="364" t="s">
        <v>737</v>
      </c>
      <c r="B1727" s="364" t="s">
        <v>661</v>
      </c>
      <c r="C1727" s="364" t="s">
        <v>660</v>
      </c>
      <c r="D1727" s="364" t="s">
        <v>87</v>
      </c>
      <c r="E1727" s="364" t="s">
        <v>736</v>
      </c>
      <c r="F1727" s="364" t="s">
        <v>736</v>
      </c>
      <c r="G1727" s="364" t="s">
        <v>658</v>
      </c>
      <c r="H1727" s="364" t="s">
        <v>735</v>
      </c>
      <c r="I1727" s="364" t="s">
        <v>734</v>
      </c>
      <c r="J1727" s="364" t="s">
        <v>198</v>
      </c>
      <c r="K1727" s="364" t="s">
        <v>645</v>
      </c>
      <c r="L1727" s="364" t="s">
        <v>188</v>
      </c>
      <c r="M1727" s="364" t="s">
        <v>696</v>
      </c>
      <c r="N1727" s="364" t="s">
        <v>654</v>
      </c>
      <c r="O1727" s="364" t="s">
        <v>653</v>
      </c>
      <c r="P1727" s="364" t="s">
        <v>198</v>
      </c>
      <c r="Q1727" s="364" t="s">
        <v>652</v>
      </c>
      <c r="R1727" s="364" t="s">
        <v>88</v>
      </c>
      <c r="S1727" s="364" t="s">
        <v>88</v>
      </c>
      <c r="T1727" s="364" t="s">
        <v>88</v>
      </c>
      <c r="U1727" s="364" t="s">
        <v>88</v>
      </c>
      <c r="V1727" s="364" t="s">
        <v>88</v>
      </c>
      <c r="W1727" s="364" t="s">
        <v>88</v>
      </c>
      <c r="X1727" s="364" t="s">
        <v>88</v>
      </c>
      <c r="Y1727" s="364" t="s">
        <v>88</v>
      </c>
      <c r="Z1727" s="364" t="s">
        <v>695</v>
      </c>
      <c r="AA1727" s="364" t="s">
        <v>694</v>
      </c>
      <c r="AB1727" s="364" t="s">
        <v>649</v>
      </c>
      <c r="AC1727" s="364" t="s">
        <v>649</v>
      </c>
      <c r="AD1727" s="364" t="s">
        <v>649</v>
      </c>
      <c r="AE1727" s="364" t="s">
        <v>88</v>
      </c>
      <c r="AF1727" s="364" t="s">
        <v>88</v>
      </c>
      <c r="AG1727" s="364" t="s">
        <v>88</v>
      </c>
      <c r="AH1727" s="364" t="s">
        <v>88</v>
      </c>
      <c r="AI1727" s="364" t="s">
        <v>88</v>
      </c>
      <c r="AJ1727" s="364" t="s">
        <v>670</v>
      </c>
      <c r="AK1727" s="364" t="s">
        <v>669</v>
      </c>
      <c r="AL1727" s="364" t="s">
        <v>646</v>
      </c>
      <c r="AM1727" s="364" t="s">
        <v>645</v>
      </c>
      <c r="AN1727" s="364" t="s">
        <v>644</v>
      </c>
    </row>
    <row r="1728" spans="1:40" x14ac:dyDescent="0.3">
      <c r="A1728" s="364" t="s">
        <v>733</v>
      </c>
      <c r="B1728" s="364" t="s">
        <v>661</v>
      </c>
      <c r="C1728" s="364" t="s">
        <v>660</v>
      </c>
      <c r="D1728" s="364" t="s">
        <v>87</v>
      </c>
      <c r="E1728" s="364" t="s">
        <v>732</v>
      </c>
      <c r="F1728" s="364" t="s">
        <v>732</v>
      </c>
      <c r="G1728" s="364" t="s">
        <v>658</v>
      </c>
      <c r="H1728" s="364" t="s">
        <v>731</v>
      </c>
      <c r="I1728" s="364" t="s">
        <v>730</v>
      </c>
      <c r="J1728" s="364" t="s">
        <v>673</v>
      </c>
      <c r="K1728" s="364" t="s">
        <v>668</v>
      </c>
      <c r="L1728" s="364" t="s">
        <v>190</v>
      </c>
      <c r="M1728" s="364" t="s">
        <v>59</v>
      </c>
      <c r="N1728" s="364" t="s">
        <v>654</v>
      </c>
      <c r="O1728" s="364" t="s">
        <v>653</v>
      </c>
      <c r="P1728" s="364" t="s">
        <v>198</v>
      </c>
      <c r="Q1728" s="364" t="s">
        <v>652</v>
      </c>
      <c r="R1728" s="364" t="s">
        <v>88</v>
      </c>
      <c r="S1728" s="364" t="s">
        <v>88</v>
      </c>
      <c r="T1728" s="364" t="s">
        <v>88</v>
      </c>
      <c r="U1728" s="364" t="s">
        <v>88</v>
      </c>
      <c r="V1728" s="364" t="s">
        <v>88</v>
      </c>
      <c r="W1728" s="364" t="s">
        <v>88</v>
      </c>
      <c r="X1728" s="364" t="s">
        <v>88</v>
      </c>
      <c r="Y1728" s="364" t="s">
        <v>88</v>
      </c>
      <c r="Z1728" s="364" t="s">
        <v>672</v>
      </c>
      <c r="AA1728" s="364" t="s">
        <v>671</v>
      </c>
      <c r="AB1728" s="364" t="s">
        <v>649</v>
      </c>
      <c r="AC1728" s="364" t="s">
        <v>649</v>
      </c>
      <c r="AD1728" s="364" t="s">
        <v>649</v>
      </c>
      <c r="AE1728" s="364" t="s">
        <v>88</v>
      </c>
      <c r="AF1728" s="364" t="s">
        <v>88</v>
      </c>
      <c r="AG1728" s="364" t="s">
        <v>88</v>
      </c>
      <c r="AH1728" s="364" t="s">
        <v>88</v>
      </c>
      <c r="AI1728" s="364" t="s">
        <v>88</v>
      </c>
      <c r="AJ1728" s="364" t="s">
        <v>648</v>
      </c>
      <c r="AK1728" s="364" t="s">
        <v>687</v>
      </c>
      <c r="AL1728" s="364" t="s">
        <v>646</v>
      </c>
      <c r="AM1728" s="364" t="s">
        <v>668</v>
      </c>
      <c r="AN1728" s="364" t="s">
        <v>644</v>
      </c>
    </row>
    <row r="1729" spans="1:40" x14ac:dyDescent="0.3">
      <c r="A1729" s="364" t="s">
        <v>729</v>
      </c>
      <c r="B1729" s="364" t="s">
        <v>661</v>
      </c>
      <c r="C1729" s="364" t="s">
        <v>677</v>
      </c>
      <c r="D1729" s="364" t="s">
        <v>87</v>
      </c>
      <c r="E1729" s="364" t="s">
        <v>728</v>
      </c>
      <c r="F1729" s="364" t="s">
        <v>728</v>
      </c>
      <c r="G1729" s="364" t="s">
        <v>658</v>
      </c>
      <c r="H1729" s="364" t="s">
        <v>727</v>
      </c>
      <c r="I1729" s="364" t="s">
        <v>726</v>
      </c>
      <c r="J1729" s="364" t="s">
        <v>673</v>
      </c>
      <c r="K1729" s="364" t="s">
        <v>668</v>
      </c>
      <c r="L1729" s="364" t="s">
        <v>190</v>
      </c>
      <c r="M1729" s="364" t="s">
        <v>60</v>
      </c>
      <c r="N1729" s="364" t="s">
        <v>654</v>
      </c>
      <c r="O1729" s="364" t="s">
        <v>653</v>
      </c>
      <c r="P1729" s="364" t="s">
        <v>198</v>
      </c>
      <c r="Q1729" s="364" t="s">
        <v>652</v>
      </c>
      <c r="R1729" s="364" t="s">
        <v>88</v>
      </c>
      <c r="S1729" s="364" t="s">
        <v>88</v>
      </c>
      <c r="T1729" s="364" t="s">
        <v>88</v>
      </c>
      <c r="U1729" s="364" t="s">
        <v>88</v>
      </c>
      <c r="V1729" s="364" t="s">
        <v>88</v>
      </c>
      <c r="W1729" s="364" t="s">
        <v>88</v>
      </c>
      <c r="X1729" s="364" t="s">
        <v>88</v>
      </c>
      <c r="Y1729" s="364" t="s">
        <v>88</v>
      </c>
      <c r="Z1729" s="364" t="s">
        <v>709</v>
      </c>
      <c r="AA1729" s="364" t="s">
        <v>708</v>
      </c>
      <c r="AB1729" s="364" t="s">
        <v>649</v>
      </c>
      <c r="AC1729" s="364" t="s">
        <v>649</v>
      </c>
      <c r="AD1729" s="364" t="s">
        <v>88</v>
      </c>
      <c r="AE1729" s="364" t="s">
        <v>88</v>
      </c>
      <c r="AF1729" s="364" t="s">
        <v>88</v>
      </c>
      <c r="AG1729" s="364" t="s">
        <v>88</v>
      </c>
      <c r="AH1729" s="364" t="s">
        <v>88</v>
      </c>
      <c r="AI1729" s="364" t="s">
        <v>88</v>
      </c>
      <c r="AJ1729" s="364" t="s">
        <v>670</v>
      </c>
      <c r="AK1729" s="364" t="s">
        <v>669</v>
      </c>
      <c r="AL1729" s="364" t="s">
        <v>88</v>
      </c>
      <c r="AM1729" s="364" t="s">
        <v>668</v>
      </c>
      <c r="AN1729" s="364" t="s">
        <v>644</v>
      </c>
    </row>
    <row r="1730" spans="1:40" x14ac:dyDescent="0.3">
      <c r="A1730" s="364" t="s">
        <v>716</v>
      </c>
      <c r="B1730" s="364" t="s">
        <v>661</v>
      </c>
      <c r="C1730" s="364" t="s">
        <v>660</v>
      </c>
      <c r="D1730" s="364" t="s">
        <v>90</v>
      </c>
      <c r="E1730" s="364" t="s">
        <v>681</v>
      </c>
      <c r="F1730" s="364" t="s">
        <v>681</v>
      </c>
      <c r="G1730" s="364" t="s">
        <v>658</v>
      </c>
      <c r="H1730" s="364" t="s">
        <v>715</v>
      </c>
      <c r="I1730" s="364" t="s">
        <v>714</v>
      </c>
      <c r="J1730" s="364" t="s">
        <v>673</v>
      </c>
      <c r="K1730" s="364" t="s">
        <v>668</v>
      </c>
      <c r="L1730" s="364" t="s">
        <v>190</v>
      </c>
      <c r="M1730" s="364" t="s">
        <v>725</v>
      </c>
      <c r="N1730" s="364" t="s">
        <v>654</v>
      </c>
      <c r="O1730" s="364" t="s">
        <v>653</v>
      </c>
      <c r="P1730" s="364" t="s">
        <v>198</v>
      </c>
      <c r="Q1730" s="364" t="s">
        <v>652</v>
      </c>
      <c r="R1730" s="364" t="s">
        <v>88</v>
      </c>
      <c r="S1730" s="364" t="s">
        <v>88</v>
      </c>
      <c r="T1730" s="364" t="s">
        <v>88</v>
      </c>
      <c r="U1730" s="364" t="s">
        <v>88</v>
      </c>
      <c r="V1730" s="364" t="s">
        <v>88</v>
      </c>
      <c r="W1730" s="364" t="s">
        <v>88</v>
      </c>
      <c r="X1730" s="364" t="s">
        <v>88</v>
      </c>
      <c r="Y1730" s="364" t="s">
        <v>88</v>
      </c>
      <c r="Z1730" s="364" t="s">
        <v>724</v>
      </c>
      <c r="AA1730" s="364" t="s">
        <v>649</v>
      </c>
      <c r="AB1730" s="364" t="s">
        <v>649</v>
      </c>
      <c r="AC1730" s="364" t="s">
        <v>649</v>
      </c>
      <c r="AD1730" s="364" t="s">
        <v>649</v>
      </c>
      <c r="AE1730" s="364" t="s">
        <v>88</v>
      </c>
      <c r="AF1730" s="364" t="s">
        <v>88</v>
      </c>
      <c r="AG1730" s="364" t="s">
        <v>88</v>
      </c>
      <c r="AH1730" s="364" t="s">
        <v>88</v>
      </c>
      <c r="AI1730" s="364" t="s">
        <v>88</v>
      </c>
      <c r="AJ1730" s="364" t="s">
        <v>710</v>
      </c>
      <c r="AK1730" s="364" t="s">
        <v>647</v>
      </c>
      <c r="AL1730" s="364" t="s">
        <v>646</v>
      </c>
      <c r="AM1730" s="364" t="s">
        <v>668</v>
      </c>
      <c r="AN1730" s="364" t="s">
        <v>644</v>
      </c>
    </row>
    <row r="1731" spans="1:40" x14ac:dyDescent="0.3">
      <c r="A1731" s="364" t="s">
        <v>716</v>
      </c>
      <c r="B1731" s="364" t="s">
        <v>661</v>
      </c>
      <c r="C1731" s="364" t="s">
        <v>660</v>
      </c>
      <c r="D1731" s="364" t="s">
        <v>90</v>
      </c>
      <c r="E1731" s="364" t="s">
        <v>681</v>
      </c>
      <c r="F1731" s="364" t="s">
        <v>681</v>
      </c>
      <c r="G1731" s="364" t="s">
        <v>658</v>
      </c>
      <c r="H1731" s="364" t="s">
        <v>715</v>
      </c>
      <c r="I1731" s="364" t="s">
        <v>714</v>
      </c>
      <c r="J1731" s="364" t="s">
        <v>673</v>
      </c>
      <c r="K1731" s="364" t="s">
        <v>668</v>
      </c>
      <c r="L1731" s="364" t="s">
        <v>190</v>
      </c>
      <c r="M1731" s="364" t="s">
        <v>723</v>
      </c>
      <c r="N1731" s="364" t="s">
        <v>654</v>
      </c>
      <c r="O1731" s="364" t="s">
        <v>653</v>
      </c>
      <c r="P1731" s="364" t="s">
        <v>198</v>
      </c>
      <c r="Q1731" s="364" t="s">
        <v>652</v>
      </c>
      <c r="R1731" s="364" t="s">
        <v>88</v>
      </c>
      <c r="S1731" s="364" t="s">
        <v>88</v>
      </c>
      <c r="T1731" s="364" t="s">
        <v>88</v>
      </c>
      <c r="U1731" s="364" t="s">
        <v>88</v>
      </c>
      <c r="V1731" s="364" t="s">
        <v>88</v>
      </c>
      <c r="W1731" s="364" t="s">
        <v>88</v>
      </c>
      <c r="X1731" s="364" t="s">
        <v>88</v>
      </c>
      <c r="Y1731" s="364" t="s">
        <v>88</v>
      </c>
      <c r="Z1731" s="364" t="s">
        <v>722</v>
      </c>
      <c r="AA1731" s="364" t="s">
        <v>649</v>
      </c>
      <c r="AB1731" s="364" t="s">
        <v>649</v>
      </c>
      <c r="AC1731" s="364" t="s">
        <v>649</v>
      </c>
      <c r="AD1731" s="364" t="s">
        <v>649</v>
      </c>
      <c r="AE1731" s="364" t="s">
        <v>88</v>
      </c>
      <c r="AF1731" s="364" t="s">
        <v>88</v>
      </c>
      <c r="AG1731" s="364" t="s">
        <v>88</v>
      </c>
      <c r="AH1731" s="364" t="s">
        <v>88</v>
      </c>
      <c r="AI1731" s="364" t="s">
        <v>88</v>
      </c>
      <c r="AJ1731" s="364" t="s">
        <v>710</v>
      </c>
      <c r="AK1731" s="364" t="s">
        <v>647</v>
      </c>
      <c r="AL1731" s="364" t="s">
        <v>646</v>
      </c>
      <c r="AM1731" s="364" t="s">
        <v>668</v>
      </c>
      <c r="AN1731" s="364" t="s">
        <v>644</v>
      </c>
    </row>
    <row r="1732" spans="1:40" x14ac:dyDescent="0.3">
      <c r="A1732" s="364" t="s">
        <v>716</v>
      </c>
      <c r="B1732" s="364" t="s">
        <v>661</v>
      </c>
      <c r="C1732" s="364" t="s">
        <v>660</v>
      </c>
      <c r="D1732" s="364" t="s">
        <v>90</v>
      </c>
      <c r="E1732" s="364" t="s">
        <v>681</v>
      </c>
      <c r="F1732" s="364" t="s">
        <v>681</v>
      </c>
      <c r="G1732" s="364" t="s">
        <v>658</v>
      </c>
      <c r="H1732" s="364" t="s">
        <v>715</v>
      </c>
      <c r="I1732" s="364" t="s">
        <v>714</v>
      </c>
      <c r="J1732" s="364" t="s">
        <v>673</v>
      </c>
      <c r="K1732" s="364" t="s">
        <v>668</v>
      </c>
      <c r="L1732" s="364" t="s">
        <v>190</v>
      </c>
      <c r="M1732" s="364" t="s">
        <v>721</v>
      </c>
      <c r="N1732" s="364" t="s">
        <v>654</v>
      </c>
      <c r="O1732" s="364" t="s">
        <v>653</v>
      </c>
      <c r="P1732" s="364" t="s">
        <v>198</v>
      </c>
      <c r="Q1732" s="364" t="s">
        <v>652</v>
      </c>
      <c r="R1732" s="364" t="s">
        <v>88</v>
      </c>
      <c r="S1732" s="364" t="s">
        <v>88</v>
      </c>
      <c r="T1732" s="364" t="s">
        <v>88</v>
      </c>
      <c r="U1732" s="364" t="s">
        <v>88</v>
      </c>
      <c r="V1732" s="364" t="s">
        <v>88</v>
      </c>
      <c r="W1732" s="364" t="s">
        <v>88</v>
      </c>
      <c r="X1732" s="364" t="s">
        <v>88</v>
      </c>
      <c r="Y1732" s="364" t="s">
        <v>88</v>
      </c>
      <c r="Z1732" s="364" t="s">
        <v>720</v>
      </c>
      <c r="AA1732" s="364" t="s">
        <v>649</v>
      </c>
      <c r="AB1732" s="364" t="s">
        <v>649</v>
      </c>
      <c r="AC1732" s="364" t="s">
        <v>649</v>
      </c>
      <c r="AD1732" s="364" t="s">
        <v>649</v>
      </c>
      <c r="AE1732" s="364" t="s">
        <v>88</v>
      </c>
      <c r="AF1732" s="364" t="s">
        <v>88</v>
      </c>
      <c r="AG1732" s="364" t="s">
        <v>88</v>
      </c>
      <c r="AH1732" s="364" t="s">
        <v>88</v>
      </c>
      <c r="AI1732" s="364" t="s">
        <v>88</v>
      </c>
      <c r="AJ1732" s="364" t="s">
        <v>710</v>
      </c>
      <c r="AK1732" s="364" t="s">
        <v>647</v>
      </c>
      <c r="AL1732" s="364" t="s">
        <v>646</v>
      </c>
      <c r="AM1732" s="364" t="s">
        <v>668</v>
      </c>
      <c r="AN1732" s="364" t="s">
        <v>644</v>
      </c>
    </row>
    <row r="1733" spans="1:40" x14ac:dyDescent="0.3">
      <c r="A1733" s="364" t="s">
        <v>716</v>
      </c>
      <c r="B1733" s="364" t="s">
        <v>661</v>
      </c>
      <c r="C1733" s="364" t="s">
        <v>660</v>
      </c>
      <c r="D1733" s="364" t="s">
        <v>90</v>
      </c>
      <c r="E1733" s="364" t="s">
        <v>681</v>
      </c>
      <c r="F1733" s="364" t="s">
        <v>681</v>
      </c>
      <c r="G1733" s="364" t="s">
        <v>658</v>
      </c>
      <c r="H1733" s="364" t="s">
        <v>715</v>
      </c>
      <c r="I1733" s="364" t="s">
        <v>714</v>
      </c>
      <c r="J1733" s="364" t="s">
        <v>673</v>
      </c>
      <c r="K1733" s="364" t="s">
        <v>668</v>
      </c>
      <c r="L1733" s="364" t="s">
        <v>190</v>
      </c>
      <c r="M1733" s="364" t="s">
        <v>55</v>
      </c>
      <c r="N1733" s="364" t="s">
        <v>654</v>
      </c>
      <c r="O1733" s="364" t="s">
        <v>653</v>
      </c>
      <c r="P1733" s="364" t="s">
        <v>198</v>
      </c>
      <c r="Q1733" s="364" t="s">
        <v>652</v>
      </c>
      <c r="R1733" s="364" t="s">
        <v>88</v>
      </c>
      <c r="S1733" s="364" t="s">
        <v>88</v>
      </c>
      <c r="T1733" s="364" t="s">
        <v>88</v>
      </c>
      <c r="U1733" s="364" t="s">
        <v>88</v>
      </c>
      <c r="V1733" s="364" t="s">
        <v>88</v>
      </c>
      <c r="W1733" s="364" t="s">
        <v>88</v>
      </c>
      <c r="X1733" s="364" t="s">
        <v>88</v>
      </c>
      <c r="Y1733" s="364" t="s">
        <v>88</v>
      </c>
      <c r="Z1733" s="364" t="s">
        <v>719</v>
      </c>
      <c r="AA1733" s="364" t="s">
        <v>649</v>
      </c>
      <c r="AB1733" s="364" t="s">
        <v>649</v>
      </c>
      <c r="AC1733" s="364" t="s">
        <v>649</v>
      </c>
      <c r="AD1733" s="364" t="s">
        <v>649</v>
      </c>
      <c r="AE1733" s="364" t="s">
        <v>88</v>
      </c>
      <c r="AF1733" s="364" t="s">
        <v>88</v>
      </c>
      <c r="AG1733" s="364" t="s">
        <v>88</v>
      </c>
      <c r="AH1733" s="364" t="s">
        <v>88</v>
      </c>
      <c r="AI1733" s="364" t="s">
        <v>88</v>
      </c>
      <c r="AJ1733" s="364" t="s">
        <v>710</v>
      </c>
      <c r="AK1733" s="364" t="s">
        <v>647</v>
      </c>
      <c r="AL1733" s="364" t="s">
        <v>646</v>
      </c>
      <c r="AM1733" s="364" t="s">
        <v>668</v>
      </c>
      <c r="AN1733" s="364" t="s">
        <v>644</v>
      </c>
    </row>
    <row r="1734" spans="1:40" x14ac:dyDescent="0.3">
      <c r="A1734" s="364" t="s">
        <v>716</v>
      </c>
      <c r="B1734" s="364" t="s">
        <v>661</v>
      </c>
      <c r="C1734" s="364" t="s">
        <v>660</v>
      </c>
      <c r="D1734" s="364" t="s">
        <v>90</v>
      </c>
      <c r="E1734" s="364" t="s">
        <v>681</v>
      </c>
      <c r="F1734" s="364" t="s">
        <v>681</v>
      </c>
      <c r="G1734" s="364" t="s">
        <v>658</v>
      </c>
      <c r="H1734" s="364" t="s">
        <v>715</v>
      </c>
      <c r="I1734" s="364" t="s">
        <v>714</v>
      </c>
      <c r="J1734" s="364" t="s">
        <v>673</v>
      </c>
      <c r="K1734" s="364" t="s">
        <v>668</v>
      </c>
      <c r="L1734" s="364" t="s">
        <v>190</v>
      </c>
      <c r="M1734" s="364" t="s">
        <v>718</v>
      </c>
      <c r="N1734" s="364" t="s">
        <v>654</v>
      </c>
      <c r="O1734" s="364" t="s">
        <v>653</v>
      </c>
      <c r="P1734" s="364" t="s">
        <v>198</v>
      </c>
      <c r="Q1734" s="364" t="s">
        <v>652</v>
      </c>
      <c r="R1734" s="364" t="s">
        <v>88</v>
      </c>
      <c r="S1734" s="364" t="s">
        <v>88</v>
      </c>
      <c r="T1734" s="364" t="s">
        <v>88</v>
      </c>
      <c r="U1734" s="364" t="s">
        <v>88</v>
      </c>
      <c r="V1734" s="364" t="s">
        <v>88</v>
      </c>
      <c r="W1734" s="364" t="s">
        <v>88</v>
      </c>
      <c r="X1734" s="364" t="s">
        <v>88</v>
      </c>
      <c r="Y1734" s="364" t="s">
        <v>88</v>
      </c>
      <c r="Z1734" s="364" t="s">
        <v>717</v>
      </c>
      <c r="AA1734" s="364" t="s">
        <v>649</v>
      </c>
      <c r="AB1734" s="364" t="s">
        <v>649</v>
      </c>
      <c r="AC1734" s="364" t="s">
        <v>649</v>
      </c>
      <c r="AD1734" s="364" t="s">
        <v>649</v>
      </c>
      <c r="AE1734" s="364" t="s">
        <v>88</v>
      </c>
      <c r="AF1734" s="364" t="s">
        <v>88</v>
      </c>
      <c r="AG1734" s="364" t="s">
        <v>88</v>
      </c>
      <c r="AH1734" s="364" t="s">
        <v>88</v>
      </c>
      <c r="AI1734" s="364" t="s">
        <v>88</v>
      </c>
      <c r="AJ1734" s="364" t="s">
        <v>710</v>
      </c>
      <c r="AK1734" s="364" t="s">
        <v>647</v>
      </c>
      <c r="AL1734" s="364" t="s">
        <v>646</v>
      </c>
      <c r="AM1734" s="364" t="s">
        <v>668</v>
      </c>
      <c r="AN1734" s="364" t="s">
        <v>644</v>
      </c>
    </row>
    <row r="1735" spans="1:40" x14ac:dyDescent="0.3">
      <c r="A1735" s="364" t="s">
        <v>716</v>
      </c>
      <c r="B1735" s="364" t="s">
        <v>661</v>
      </c>
      <c r="C1735" s="364" t="s">
        <v>660</v>
      </c>
      <c r="D1735" s="364" t="s">
        <v>90</v>
      </c>
      <c r="E1735" s="364" t="s">
        <v>681</v>
      </c>
      <c r="F1735" s="364" t="s">
        <v>681</v>
      </c>
      <c r="G1735" s="364" t="s">
        <v>658</v>
      </c>
      <c r="H1735" s="364" t="s">
        <v>715</v>
      </c>
      <c r="I1735" s="364" t="s">
        <v>714</v>
      </c>
      <c r="J1735" s="364" t="s">
        <v>673</v>
      </c>
      <c r="K1735" s="364" t="s">
        <v>668</v>
      </c>
      <c r="L1735" s="364" t="s">
        <v>190</v>
      </c>
      <c r="M1735" s="364" t="s">
        <v>713</v>
      </c>
      <c r="N1735" s="364" t="s">
        <v>654</v>
      </c>
      <c r="O1735" s="364" t="s">
        <v>653</v>
      </c>
      <c r="P1735" s="364" t="s">
        <v>198</v>
      </c>
      <c r="Q1735" s="364" t="s">
        <v>652</v>
      </c>
      <c r="R1735" s="364" t="s">
        <v>88</v>
      </c>
      <c r="S1735" s="364" t="s">
        <v>88</v>
      </c>
      <c r="T1735" s="364" t="s">
        <v>88</v>
      </c>
      <c r="U1735" s="364" t="s">
        <v>88</v>
      </c>
      <c r="V1735" s="364" t="s">
        <v>88</v>
      </c>
      <c r="W1735" s="364" t="s">
        <v>88</v>
      </c>
      <c r="X1735" s="364" t="s">
        <v>88</v>
      </c>
      <c r="Y1735" s="364" t="s">
        <v>88</v>
      </c>
      <c r="Z1735" s="364" t="s">
        <v>712</v>
      </c>
      <c r="AA1735" s="364" t="s">
        <v>711</v>
      </c>
      <c r="AB1735" s="364" t="s">
        <v>649</v>
      </c>
      <c r="AC1735" s="364" t="s">
        <v>649</v>
      </c>
      <c r="AD1735" s="364" t="s">
        <v>649</v>
      </c>
      <c r="AE1735" s="364" t="s">
        <v>88</v>
      </c>
      <c r="AF1735" s="364" t="s">
        <v>88</v>
      </c>
      <c r="AG1735" s="364" t="s">
        <v>88</v>
      </c>
      <c r="AH1735" s="364" t="s">
        <v>88</v>
      </c>
      <c r="AI1735" s="364" t="s">
        <v>88</v>
      </c>
      <c r="AJ1735" s="364" t="s">
        <v>710</v>
      </c>
      <c r="AK1735" s="364" t="s">
        <v>647</v>
      </c>
      <c r="AL1735" s="364" t="s">
        <v>646</v>
      </c>
      <c r="AM1735" s="364" t="s">
        <v>668</v>
      </c>
      <c r="AN1735" s="364" t="s">
        <v>644</v>
      </c>
    </row>
    <row r="1736" spans="1:40" x14ac:dyDescent="0.3">
      <c r="A1736" s="364" t="s">
        <v>707</v>
      </c>
      <c r="B1736" s="364" t="s">
        <v>661</v>
      </c>
      <c r="C1736" s="364" t="s">
        <v>677</v>
      </c>
      <c r="D1736" s="364" t="s">
        <v>87</v>
      </c>
      <c r="E1736" s="364" t="s">
        <v>706</v>
      </c>
      <c r="F1736" s="364" t="s">
        <v>705</v>
      </c>
      <c r="G1736" s="364" t="s">
        <v>658</v>
      </c>
      <c r="H1736" s="364" t="s">
        <v>704</v>
      </c>
      <c r="I1736" s="364" t="s">
        <v>703</v>
      </c>
      <c r="J1736" s="364" t="s">
        <v>673</v>
      </c>
      <c r="K1736" s="364" t="s">
        <v>668</v>
      </c>
      <c r="L1736" s="364" t="s">
        <v>190</v>
      </c>
      <c r="M1736" s="364" t="s">
        <v>59</v>
      </c>
      <c r="N1736" s="364" t="s">
        <v>654</v>
      </c>
      <c r="O1736" s="364" t="s">
        <v>653</v>
      </c>
      <c r="P1736" s="364" t="s">
        <v>198</v>
      </c>
      <c r="Q1736" s="364" t="s">
        <v>652</v>
      </c>
      <c r="R1736" s="364" t="s">
        <v>88</v>
      </c>
      <c r="S1736" s="364" t="s">
        <v>88</v>
      </c>
      <c r="T1736" s="364" t="s">
        <v>88</v>
      </c>
      <c r="U1736" s="364" t="s">
        <v>88</v>
      </c>
      <c r="V1736" s="364" t="s">
        <v>88</v>
      </c>
      <c r="W1736" s="364" t="s">
        <v>88</v>
      </c>
      <c r="X1736" s="364" t="s">
        <v>88</v>
      </c>
      <c r="Y1736" s="364" t="s">
        <v>88</v>
      </c>
      <c r="Z1736" s="364" t="s">
        <v>672</v>
      </c>
      <c r="AA1736" s="364" t="s">
        <v>671</v>
      </c>
      <c r="AB1736" s="364" t="s">
        <v>649</v>
      </c>
      <c r="AC1736" s="364" t="s">
        <v>649</v>
      </c>
      <c r="AD1736" s="364" t="s">
        <v>88</v>
      </c>
      <c r="AE1736" s="364" t="s">
        <v>88</v>
      </c>
      <c r="AF1736" s="364" t="s">
        <v>88</v>
      </c>
      <c r="AG1736" s="364" t="s">
        <v>88</v>
      </c>
      <c r="AH1736" s="364" t="s">
        <v>88</v>
      </c>
      <c r="AI1736" s="364" t="s">
        <v>88</v>
      </c>
      <c r="AJ1736" s="364" t="s">
        <v>670</v>
      </c>
      <c r="AK1736" s="364" t="s">
        <v>669</v>
      </c>
      <c r="AL1736" s="364" t="s">
        <v>88</v>
      </c>
      <c r="AM1736" s="364" t="s">
        <v>668</v>
      </c>
      <c r="AN1736" s="364" t="s">
        <v>644</v>
      </c>
    </row>
    <row r="1737" spans="1:40" x14ac:dyDescent="0.3">
      <c r="A1737" s="364" t="s">
        <v>707</v>
      </c>
      <c r="B1737" s="364" t="s">
        <v>661</v>
      </c>
      <c r="C1737" s="364" t="s">
        <v>677</v>
      </c>
      <c r="D1737" s="364" t="s">
        <v>87</v>
      </c>
      <c r="E1737" s="364" t="s">
        <v>706</v>
      </c>
      <c r="F1737" s="364" t="s">
        <v>705</v>
      </c>
      <c r="G1737" s="364" t="s">
        <v>658</v>
      </c>
      <c r="H1737" s="364" t="s">
        <v>704</v>
      </c>
      <c r="I1737" s="364" t="s">
        <v>703</v>
      </c>
      <c r="J1737" s="364" t="s">
        <v>673</v>
      </c>
      <c r="K1737" s="364" t="s">
        <v>668</v>
      </c>
      <c r="L1737" s="364" t="s">
        <v>190</v>
      </c>
      <c r="M1737" s="364" t="s">
        <v>60</v>
      </c>
      <c r="N1737" s="364" t="s">
        <v>654</v>
      </c>
      <c r="O1737" s="364" t="s">
        <v>653</v>
      </c>
      <c r="P1737" s="364" t="s">
        <v>198</v>
      </c>
      <c r="Q1737" s="364" t="s">
        <v>652</v>
      </c>
      <c r="R1737" s="364" t="s">
        <v>88</v>
      </c>
      <c r="S1737" s="364" t="s">
        <v>88</v>
      </c>
      <c r="T1737" s="364" t="s">
        <v>88</v>
      </c>
      <c r="U1737" s="364" t="s">
        <v>88</v>
      </c>
      <c r="V1737" s="364" t="s">
        <v>88</v>
      </c>
      <c r="W1737" s="364" t="s">
        <v>88</v>
      </c>
      <c r="X1737" s="364" t="s">
        <v>88</v>
      </c>
      <c r="Y1737" s="364" t="s">
        <v>88</v>
      </c>
      <c r="Z1737" s="364" t="s">
        <v>709</v>
      </c>
      <c r="AA1737" s="364" t="s">
        <v>708</v>
      </c>
      <c r="AB1737" s="364" t="s">
        <v>649</v>
      </c>
      <c r="AC1737" s="364" t="s">
        <v>649</v>
      </c>
      <c r="AD1737" s="364" t="s">
        <v>88</v>
      </c>
      <c r="AE1737" s="364" t="s">
        <v>88</v>
      </c>
      <c r="AF1737" s="364" t="s">
        <v>88</v>
      </c>
      <c r="AG1737" s="364" t="s">
        <v>88</v>
      </c>
      <c r="AH1737" s="364" t="s">
        <v>88</v>
      </c>
      <c r="AI1737" s="364" t="s">
        <v>88</v>
      </c>
      <c r="AJ1737" s="364" t="s">
        <v>670</v>
      </c>
      <c r="AK1737" s="364" t="s">
        <v>669</v>
      </c>
      <c r="AL1737" s="364" t="s">
        <v>88</v>
      </c>
      <c r="AM1737" s="364" t="s">
        <v>668</v>
      </c>
      <c r="AN1737" s="364" t="s">
        <v>644</v>
      </c>
    </row>
    <row r="1738" spans="1:40" x14ac:dyDescent="0.3">
      <c r="A1738" s="364" t="s">
        <v>707</v>
      </c>
      <c r="B1738" s="364" t="s">
        <v>661</v>
      </c>
      <c r="C1738" s="364" t="s">
        <v>677</v>
      </c>
      <c r="D1738" s="364" t="s">
        <v>87</v>
      </c>
      <c r="E1738" s="364" t="s">
        <v>706</v>
      </c>
      <c r="F1738" s="364" t="s">
        <v>705</v>
      </c>
      <c r="G1738" s="364" t="s">
        <v>658</v>
      </c>
      <c r="H1738" s="364" t="s">
        <v>704</v>
      </c>
      <c r="I1738" s="364" t="s">
        <v>703</v>
      </c>
      <c r="J1738" s="364" t="s">
        <v>673</v>
      </c>
      <c r="K1738" s="364" t="s">
        <v>668</v>
      </c>
      <c r="L1738" s="364" t="s">
        <v>190</v>
      </c>
      <c r="M1738" s="364" t="s">
        <v>58</v>
      </c>
      <c r="N1738" s="364" t="s">
        <v>654</v>
      </c>
      <c r="O1738" s="364" t="s">
        <v>653</v>
      </c>
      <c r="P1738" s="364" t="s">
        <v>198</v>
      </c>
      <c r="Q1738" s="364" t="s">
        <v>652</v>
      </c>
      <c r="R1738" s="364" t="s">
        <v>88</v>
      </c>
      <c r="S1738" s="364" t="s">
        <v>88</v>
      </c>
      <c r="T1738" s="364" t="s">
        <v>88</v>
      </c>
      <c r="U1738" s="364" t="s">
        <v>88</v>
      </c>
      <c r="V1738" s="364" t="s">
        <v>88</v>
      </c>
      <c r="W1738" s="364" t="s">
        <v>88</v>
      </c>
      <c r="X1738" s="364" t="s">
        <v>88</v>
      </c>
      <c r="Y1738" s="364" t="s">
        <v>88</v>
      </c>
      <c r="Z1738" s="364" t="s">
        <v>702</v>
      </c>
      <c r="AA1738" s="364" t="s">
        <v>701</v>
      </c>
      <c r="AB1738" s="364" t="s">
        <v>649</v>
      </c>
      <c r="AC1738" s="364" t="s">
        <v>649</v>
      </c>
      <c r="AD1738" s="364" t="s">
        <v>88</v>
      </c>
      <c r="AE1738" s="364" t="s">
        <v>88</v>
      </c>
      <c r="AF1738" s="364" t="s">
        <v>88</v>
      </c>
      <c r="AG1738" s="364" t="s">
        <v>88</v>
      </c>
      <c r="AH1738" s="364" t="s">
        <v>88</v>
      </c>
      <c r="AI1738" s="364" t="s">
        <v>88</v>
      </c>
      <c r="AJ1738" s="364" t="s">
        <v>670</v>
      </c>
      <c r="AK1738" s="364" t="s">
        <v>669</v>
      </c>
      <c r="AL1738" s="364" t="s">
        <v>88</v>
      </c>
      <c r="AM1738" s="364" t="s">
        <v>668</v>
      </c>
      <c r="AN1738" s="364" t="s">
        <v>644</v>
      </c>
    </row>
    <row r="1739" spans="1:40" x14ac:dyDescent="0.3">
      <c r="A1739" s="364" t="s">
        <v>700</v>
      </c>
      <c r="B1739" s="364" t="s">
        <v>661</v>
      </c>
      <c r="C1739" s="364" t="s">
        <v>660</v>
      </c>
      <c r="D1739" s="364" t="s">
        <v>87</v>
      </c>
      <c r="E1739" s="364" t="s">
        <v>699</v>
      </c>
      <c r="F1739" s="364" t="s">
        <v>699</v>
      </c>
      <c r="G1739" s="364" t="s">
        <v>658</v>
      </c>
      <c r="H1739" s="364" t="s">
        <v>698</v>
      </c>
      <c r="I1739" s="364" t="s">
        <v>697</v>
      </c>
      <c r="J1739" s="364" t="s">
        <v>198</v>
      </c>
      <c r="K1739" s="364" t="s">
        <v>645</v>
      </c>
      <c r="L1739" s="364" t="s">
        <v>188</v>
      </c>
      <c r="M1739" s="364" t="s">
        <v>696</v>
      </c>
      <c r="N1739" s="364" t="s">
        <v>654</v>
      </c>
      <c r="O1739" s="364" t="s">
        <v>653</v>
      </c>
      <c r="P1739" s="364" t="s">
        <v>198</v>
      </c>
      <c r="Q1739" s="364" t="s">
        <v>652</v>
      </c>
      <c r="R1739" s="364" t="s">
        <v>88</v>
      </c>
      <c r="S1739" s="364" t="s">
        <v>88</v>
      </c>
      <c r="T1739" s="364" t="s">
        <v>88</v>
      </c>
      <c r="U1739" s="364" t="s">
        <v>88</v>
      </c>
      <c r="V1739" s="364" t="s">
        <v>88</v>
      </c>
      <c r="W1739" s="364" t="s">
        <v>88</v>
      </c>
      <c r="X1739" s="364" t="s">
        <v>88</v>
      </c>
      <c r="Y1739" s="364" t="s">
        <v>88</v>
      </c>
      <c r="Z1739" s="364" t="s">
        <v>695</v>
      </c>
      <c r="AA1739" s="364" t="s">
        <v>694</v>
      </c>
      <c r="AB1739" s="364" t="s">
        <v>649</v>
      </c>
      <c r="AC1739" s="364" t="s">
        <v>649</v>
      </c>
      <c r="AD1739" s="364" t="s">
        <v>649</v>
      </c>
      <c r="AE1739" s="364" t="s">
        <v>88</v>
      </c>
      <c r="AF1739" s="364" t="s">
        <v>88</v>
      </c>
      <c r="AG1739" s="364" t="s">
        <v>88</v>
      </c>
      <c r="AH1739" s="364" t="s">
        <v>88</v>
      </c>
      <c r="AI1739" s="364" t="s">
        <v>88</v>
      </c>
      <c r="AJ1739" s="364" t="s">
        <v>648</v>
      </c>
      <c r="AK1739" s="364" t="s">
        <v>669</v>
      </c>
      <c r="AL1739" s="364" t="s">
        <v>646</v>
      </c>
      <c r="AM1739" s="364" t="s">
        <v>645</v>
      </c>
      <c r="AN1739" s="364" t="s">
        <v>644</v>
      </c>
    </row>
    <row r="1740" spans="1:40" x14ac:dyDescent="0.3">
      <c r="A1740" s="364" t="s">
        <v>693</v>
      </c>
      <c r="B1740" s="364" t="s">
        <v>661</v>
      </c>
      <c r="C1740" s="364" t="s">
        <v>660</v>
      </c>
      <c r="D1740" s="364" t="s">
        <v>87</v>
      </c>
      <c r="E1740" s="364" t="s">
        <v>692</v>
      </c>
      <c r="F1740" s="364" t="s">
        <v>692</v>
      </c>
      <c r="G1740" s="364" t="s">
        <v>658</v>
      </c>
      <c r="H1740" s="364" t="s">
        <v>691</v>
      </c>
      <c r="I1740" s="364" t="s">
        <v>690</v>
      </c>
      <c r="J1740" s="364" t="s">
        <v>673</v>
      </c>
      <c r="K1740" s="364" t="s">
        <v>668</v>
      </c>
      <c r="L1740" s="364" t="s">
        <v>190</v>
      </c>
      <c r="M1740" s="364" t="s">
        <v>62</v>
      </c>
      <c r="N1740" s="364" t="s">
        <v>654</v>
      </c>
      <c r="O1740" s="364" t="s">
        <v>653</v>
      </c>
      <c r="P1740" s="364" t="s">
        <v>198</v>
      </c>
      <c r="Q1740" s="364" t="s">
        <v>652</v>
      </c>
      <c r="R1740" s="364" t="s">
        <v>88</v>
      </c>
      <c r="S1740" s="364" t="s">
        <v>88</v>
      </c>
      <c r="T1740" s="364" t="s">
        <v>88</v>
      </c>
      <c r="U1740" s="364" t="s">
        <v>88</v>
      </c>
      <c r="V1740" s="364" t="s">
        <v>88</v>
      </c>
      <c r="W1740" s="364" t="s">
        <v>88</v>
      </c>
      <c r="X1740" s="364" t="s">
        <v>88</v>
      </c>
      <c r="Y1740" s="364" t="s">
        <v>88</v>
      </c>
      <c r="Z1740" s="364" t="s">
        <v>689</v>
      </c>
      <c r="AA1740" s="364" t="s">
        <v>688</v>
      </c>
      <c r="AB1740" s="364" t="s">
        <v>649</v>
      </c>
      <c r="AC1740" s="364" t="s">
        <v>649</v>
      </c>
      <c r="AD1740" s="364" t="s">
        <v>649</v>
      </c>
      <c r="AE1740" s="364" t="s">
        <v>88</v>
      </c>
      <c r="AF1740" s="364" t="s">
        <v>88</v>
      </c>
      <c r="AG1740" s="364" t="s">
        <v>88</v>
      </c>
      <c r="AH1740" s="364" t="s">
        <v>88</v>
      </c>
      <c r="AI1740" s="364" t="s">
        <v>88</v>
      </c>
      <c r="AJ1740" s="364" t="s">
        <v>670</v>
      </c>
      <c r="AK1740" s="364" t="s">
        <v>687</v>
      </c>
      <c r="AL1740" s="364" t="s">
        <v>646</v>
      </c>
      <c r="AM1740" s="364" t="s">
        <v>668</v>
      </c>
      <c r="AN1740" s="364" t="s">
        <v>644</v>
      </c>
    </row>
    <row r="1741" spans="1:40" x14ac:dyDescent="0.3">
      <c r="A1741" s="364" t="s">
        <v>686</v>
      </c>
      <c r="B1741" s="364" t="s">
        <v>661</v>
      </c>
      <c r="C1741" s="364" t="s">
        <v>677</v>
      </c>
      <c r="D1741" s="364" t="s">
        <v>87</v>
      </c>
      <c r="E1741" s="364" t="s">
        <v>685</v>
      </c>
      <c r="F1741" s="364" t="s">
        <v>685</v>
      </c>
      <c r="G1741" s="364" t="s">
        <v>658</v>
      </c>
      <c r="H1741" s="364" t="s">
        <v>684</v>
      </c>
      <c r="I1741" s="364" t="s">
        <v>683</v>
      </c>
      <c r="J1741" s="364" t="s">
        <v>673</v>
      </c>
      <c r="K1741" s="364" t="s">
        <v>668</v>
      </c>
      <c r="L1741" s="364" t="s">
        <v>190</v>
      </c>
      <c r="M1741" s="364" t="s">
        <v>59</v>
      </c>
      <c r="N1741" s="364" t="s">
        <v>654</v>
      </c>
      <c r="O1741" s="364" t="s">
        <v>653</v>
      </c>
      <c r="P1741" s="364" t="s">
        <v>198</v>
      </c>
      <c r="Q1741" s="364" t="s">
        <v>652</v>
      </c>
      <c r="R1741" s="364" t="s">
        <v>88</v>
      </c>
      <c r="S1741" s="364" t="s">
        <v>88</v>
      </c>
      <c r="T1741" s="364" t="s">
        <v>88</v>
      </c>
      <c r="U1741" s="364" t="s">
        <v>88</v>
      </c>
      <c r="V1741" s="364" t="s">
        <v>88</v>
      </c>
      <c r="W1741" s="364" t="s">
        <v>88</v>
      </c>
      <c r="X1741" s="364" t="s">
        <v>88</v>
      </c>
      <c r="Y1741" s="364" t="s">
        <v>88</v>
      </c>
      <c r="Z1741" s="364" t="s">
        <v>672</v>
      </c>
      <c r="AA1741" s="364" t="s">
        <v>671</v>
      </c>
      <c r="AB1741" s="364" t="s">
        <v>649</v>
      </c>
      <c r="AC1741" s="364" t="s">
        <v>649</v>
      </c>
      <c r="AD1741" s="364" t="s">
        <v>88</v>
      </c>
      <c r="AE1741" s="364" t="s">
        <v>88</v>
      </c>
      <c r="AF1741" s="364" t="s">
        <v>88</v>
      </c>
      <c r="AG1741" s="364" t="s">
        <v>88</v>
      </c>
      <c r="AH1741" s="364" t="s">
        <v>88</v>
      </c>
      <c r="AI1741" s="364" t="s">
        <v>88</v>
      </c>
      <c r="AJ1741" s="364" t="s">
        <v>670</v>
      </c>
      <c r="AK1741" s="364" t="s">
        <v>669</v>
      </c>
      <c r="AL1741" s="364" t="s">
        <v>88</v>
      </c>
      <c r="AM1741" s="364" t="s">
        <v>668</v>
      </c>
      <c r="AN1741" s="364" t="s">
        <v>644</v>
      </c>
    </row>
    <row r="1742" spans="1:40" x14ac:dyDescent="0.3">
      <c r="A1742" s="364" t="s">
        <v>682</v>
      </c>
      <c r="B1742" s="364" t="s">
        <v>661</v>
      </c>
      <c r="C1742" s="364" t="s">
        <v>660</v>
      </c>
      <c r="D1742" s="364" t="s">
        <v>87</v>
      </c>
      <c r="E1742" s="364" t="s">
        <v>681</v>
      </c>
      <c r="F1742" s="364" t="s">
        <v>681</v>
      </c>
      <c r="G1742" s="364" t="s">
        <v>658</v>
      </c>
      <c r="H1742" s="364" t="s">
        <v>680</v>
      </c>
      <c r="I1742" s="364" t="s">
        <v>679</v>
      </c>
      <c r="J1742" s="364" t="s">
        <v>673</v>
      </c>
      <c r="K1742" s="364" t="s">
        <v>668</v>
      </c>
      <c r="L1742" s="364" t="s">
        <v>190</v>
      </c>
      <c r="M1742" s="364" t="s">
        <v>59</v>
      </c>
      <c r="N1742" s="364" t="s">
        <v>654</v>
      </c>
      <c r="O1742" s="364" t="s">
        <v>653</v>
      </c>
      <c r="P1742" s="364" t="s">
        <v>198</v>
      </c>
      <c r="Q1742" s="364" t="s">
        <v>652</v>
      </c>
      <c r="R1742" s="364" t="s">
        <v>88</v>
      </c>
      <c r="S1742" s="364" t="s">
        <v>88</v>
      </c>
      <c r="T1742" s="364" t="s">
        <v>88</v>
      </c>
      <c r="U1742" s="364" t="s">
        <v>88</v>
      </c>
      <c r="V1742" s="364" t="s">
        <v>88</v>
      </c>
      <c r="W1742" s="364" t="s">
        <v>88</v>
      </c>
      <c r="X1742" s="364" t="s">
        <v>88</v>
      </c>
      <c r="Y1742" s="364" t="s">
        <v>88</v>
      </c>
      <c r="Z1742" s="364" t="s">
        <v>672</v>
      </c>
      <c r="AA1742" s="364" t="s">
        <v>671</v>
      </c>
      <c r="AB1742" s="364" t="s">
        <v>649</v>
      </c>
      <c r="AC1742" s="364" t="s">
        <v>649</v>
      </c>
      <c r="AD1742" s="364" t="s">
        <v>649</v>
      </c>
      <c r="AE1742" s="364" t="s">
        <v>88</v>
      </c>
      <c r="AF1742" s="364" t="s">
        <v>88</v>
      </c>
      <c r="AG1742" s="364" t="s">
        <v>88</v>
      </c>
      <c r="AH1742" s="364" t="s">
        <v>88</v>
      </c>
      <c r="AI1742" s="364" t="s">
        <v>88</v>
      </c>
      <c r="AJ1742" s="364" t="s">
        <v>670</v>
      </c>
      <c r="AK1742" s="364" t="s">
        <v>669</v>
      </c>
      <c r="AL1742" s="364" t="s">
        <v>646</v>
      </c>
      <c r="AM1742" s="364" t="s">
        <v>668</v>
      </c>
      <c r="AN1742" s="364" t="s">
        <v>644</v>
      </c>
    </row>
    <row r="1743" spans="1:40" x14ac:dyDescent="0.3">
      <c r="A1743" s="364" t="s">
        <v>678</v>
      </c>
      <c r="B1743" s="364" t="s">
        <v>661</v>
      </c>
      <c r="C1743" s="364" t="s">
        <v>677</v>
      </c>
      <c r="D1743" s="364" t="s">
        <v>87</v>
      </c>
      <c r="E1743" s="364" t="s">
        <v>676</v>
      </c>
      <c r="F1743" s="364" t="s">
        <v>676</v>
      </c>
      <c r="G1743" s="364" t="s">
        <v>658</v>
      </c>
      <c r="H1743" s="364" t="s">
        <v>675</v>
      </c>
      <c r="I1743" s="364" t="s">
        <v>674</v>
      </c>
      <c r="J1743" s="364" t="s">
        <v>673</v>
      </c>
      <c r="K1743" s="364" t="s">
        <v>668</v>
      </c>
      <c r="L1743" s="364" t="s">
        <v>190</v>
      </c>
      <c r="M1743" s="364" t="s">
        <v>59</v>
      </c>
      <c r="N1743" s="364" t="s">
        <v>654</v>
      </c>
      <c r="O1743" s="364" t="s">
        <v>653</v>
      </c>
      <c r="P1743" s="364" t="s">
        <v>198</v>
      </c>
      <c r="Q1743" s="364" t="s">
        <v>652</v>
      </c>
      <c r="R1743" s="364" t="s">
        <v>88</v>
      </c>
      <c r="S1743" s="364" t="s">
        <v>88</v>
      </c>
      <c r="T1743" s="364" t="s">
        <v>88</v>
      </c>
      <c r="U1743" s="364" t="s">
        <v>88</v>
      </c>
      <c r="V1743" s="364" t="s">
        <v>88</v>
      </c>
      <c r="W1743" s="364" t="s">
        <v>88</v>
      </c>
      <c r="X1743" s="364" t="s">
        <v>88</v>
      </c>
      <c r="Y1743" s="364" t="s">
        <v>88</v>
      </c>
      <c r="Z1743" s="364" t="s">
        <v>672</v>
      </c>
      <c r="AA1743" s="364" t="s">
        <v>671</v>
      </c>
      <c r="AB1743" s="364" t="s">
        <v>649</v>
      </c>
      <c r="AC1743" s="364" t="s">
        <v>649</v>
      </c>
      <c r="AD1743" s="364" t="s">
        <v>88</v>
      </c>
      <c r="AE1743" s="364" t="s">
        <v>88</v>
      </c>
      <c r="AF1743" s="364" t="s">
        <v>88</v>
      </c>
      <c r="AG1743" s="364" t="s">
        <v>88</v>
      </c>
      <c r="AH1743" s="364" t="s">
        <v>88</v>
      </c>
      <c r="AI1743" s="364" t="s">
        <v>88</v>
      </c>
      <c r="AJ1743" s="364" t="s">
        <v>670</v>
      </c>
      <c r="AK1743" s="364" t="s">
        <v>669</v>
      </c>
      <c r="AL1743" s="364" t="s">
        <v>88</v>
      </c>
      <c r="AM1743" s="364" t="s">
        <v>668</v>
      </c>
      <c r="AN1743" s="364" t="s">
        <v>644</v>
      </c>
    </row>
    <row r="1744" spans="1:40" x14ac:dyDescent="0.3">
      <c r="A1744" s="364" t="s">
        <v>667</v>
      </c>
      <c r="B1744" s="364" t="s">
        <v>661</v>
      </c>
      <c r="C1744" s="364" t="s">
        <v>660</v>
      </c>
      <c r="D1744" s="364" t="s">
        <v>90</v>
      </c>
      <c r="E1744" s="364" t="s">
        <v>666</v>
      </c>
      <c r="F1744" s="364" t="s">
        <v>666</v>
      </c>
      <c r="G1744" s="364" t="s">
        <v>658</v>
      </c>
      <c r="H1744" s="364" t="s">
        <v>665</v>
      </c>
      <c r="I1744" s="364" t="s">
        <v>664</v>
      </c>
      <c r="J1744" s="364" t="s">
        <v>198</v>
      </c>
      <c r="K1744" s="364" t="s">
        <v>645</v>
      </c>
      <c r="L1744" s="364" t="s">
        <v>188</v>
      </c>
      <c r="M1744" s="364" t="s">
        <v>655</v>
      </c>
      <c r="N1744" s="364" t="s">
        <v>654</v>
      </c>
      <c r="O1744" s="364" t="s">
        <v>653</v>
      </c>
      <c r="P1744" s="364" t="s">
        <v>198</v>
      </c>
      <c r="Q1744" s="364" t="s">
        <v>652</v>
      </c>
      <c r="R1744" s="364" t="s">
        <v>88</v>
      </c>
      <c r="S1744" s="364" t="s">
        <v>88</v>
      </c>
      <c r="T1744" s="364" t="s">
        <v>88</v>
      </c>
      <c r="U1744" s="364" t="s">
        <v>88</v>
      </c>
      <c r="V1744" s="364" t="s">
        <v>88</v>
      </c>
      <c r="W1744" s="364" t="s">
        <v>88</v>
      </c>
      <c r="X1744" s="364" t="s">
        <v>88</v>
      </c>
      <c r="Y1744" s="364" t="s">
        <v>88</v>
      </c>
      <c r="Z1744" s="364" t="s">
        <v>651</v>
      </c>
      <c r="AA1744" s="364" t="s">
        <v>650</v>
      </c>
      <c r="AB1744" s="364" t="s">
        <v>649</v>
      </c>
      <c r="AC1744" s="364" t="s">
        <v>649</v>
      </c>
      <c r="AD1744" s="364" t="s">
        <v>649</v>
      </c>
      <c r="AE1744" s="364" t="s">
        <v>88</v>
      </c>
      <c r="AF1744" s="364" t="s">
        <v>88</v>
      </c>
      <c r="AG1744" s="364" t="s">
        <v>88</v>
      </c>
      <c r="AH1744" s="364" t="s">
        <v>88</v>
      </c>
      <c r="AI1744" s="364" t="s">
        <v>88</v>
      </c>
      <c r="AJ1744" s="364" t="s">
        <v>663</v>
      </c>
      <c r="AK1744" s="364" t="s">
        <v>647</v>
      </c>
      <c r="AL1744" s="364" t="s">
        <v>646</v>
      </c>
      <c r="AM1744" s="364" t="s">
        <v>645</v>
      </c>
      <c r="AN1744" s="364" t="s">
        <v>644</v>
      </c>
    </row>
    <row r="1745" spans="1:40" x14ac:dyDescent="0.3">
      <c r="A1745" s="364" t="s">
        <v>662</v>
      </c>
      <c r="B1745" s="364" t="s">
        <v>661</v>
      </c>
      <c r="C1745" s="364" t="s">
        <v>660</v>
      </c>
      <c r="D1745" s="364" t="s">
        <v>90</v>
      </c>
      <c r="E1745" s="364" t="s">
        <v>659</v>
      </c>
      <c r="F1745" s="364" t="s">
        <v>659</v>
      </c>
      <c r="G1745" s="364" t="s">
        <v>658</v>
      </c>
      <c r="H1745" s="364" t="s">
        <v>657</v>
      </c>
      <c r="I1745" s="364" t="s">
        <v>656</v>
      </c>
      <c r="J1745" s="364" t="s">
        <v>198</v>
      </c>
      <c r="K1745" s="364" t="s">
        <v>645</v>
      </c>
      <c r="L1745" s="364" t="s">
        <v>188</v>
      </c>
      <c r="M1745" s="364" t="s">
        <v>655</v>
      </c>
      <c r="N1745" s="364" t="s">
        <v>654</v>
      </c>
      <c r="O1745" s="364" t="s">
        <v>653</v>
      </c>
      <c r="P1745" s="364" t="s">
        <v>198</v>
      </c>
      <c r="Q1745" s="364" t="s">
        <v>652</v>
      </c>
      <c r="R1745" s="364" t="s">
        <v>88</v>
      </c>
      <c r="S1745" s="364" t="s">
        <v>88</v>
      </c>
      <c r="T1745" s="364" t="s">
        <v>88</v>
      </c>
      <c r="U1745" s="364" t="s">
        <v>88</v>
      </c>
      <c r="V1745" s="364" t="s">
        <v>88</v>
      </c>
      <c r="W1745" s="364" t="s">
        <v>88</v>
      </c>
      <c r="X1745" s="364" t="s">
        <v>88</v>
      </c>
      <c r="Y1745" s="364" t="s">
        <v>88</v>
      </c>
      <c r="Z1745" s="364" t="s">
        <v>651</v>
      </c>
      <c r="AA1745" s="364" t="s">
        <v>650</v>
      </c>
      <c r="AB1745" s="364" t="s">
        <v>649</v>
      </c>
      <c r="AC1745" s="364" t="s">
        <v>649</v>
      </c>
      <c r="AD1745" s="364" t="s">
        <v>649</v>
      </c>
      <c r="AE1745" s="364" t="s">
        <v>88</v>
      </c>
      <c r="AF1745" s="364" t="s">
        <v>88</v>
      </c>
      <c r="AG1745" s="364" t="s">
        <v>88</v>
      </c>
      <c r="AH1745" s="364" t="s">
        <v>88</v>
      </c>
      <c r="AI1745" s="364" t="s">
        <v>88</v>
      </c>
      <c r="AJ1745" s="364" t="s">
        <v>648</v>
      </c>
      <c r="AK1745" s="364" t="s">
        <v>647</v>
      </c>
      <c r="AL1745" s="364" t="s">
        <v>646</v>
      </c>
      <c r="AM1745" s="364" t="s">
        <v>645</v>
      </c>
      <c r="AN1745" s="364" t="s">
        <v>644</v>
      </c>
    </row>
  </sheetData>
  <autoFilter ref="A1:AN1745" xr:uid="{00000000-0001-0000-0000-000000000000}"/>
  <pageMargins left="0.75" right="0.75" top="1" bottom="1" header="0.5" footer="0.5"/>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36137-3D26-4C44-8607-B162B3A34629}">
  <dimension ref="A1:N7"/>
  <sheetViews>
    <sheetView workbookViewId="0"/>
  </sheetViews>
  <sheetFormatPr defaultColWidth="9.109375" defaultRowHeight="14.4" x14ac:dyDescent="0.3"/>
  <cols>
    <col min="1" max="1" width="19.88671875" style="374" customWidth="1"/>
    <col min="2" max="2" width="18.44140625" style="374" customWidth="1"/>
    <col min="3" max="3" width="13" style="374" customWidth="1"/>
    <col min="4" max="4" width="12" style="374" customWidth="1"/>
    <col min="5" max="5" width="90.44140625" style="374" customWidth="1"/>
    <col min="6" max="6" width="18.6640625" style="374" customWidth="1"/>
    <col min="7" max="7" width="17.5546875" style="374" customWidth="1"/>
    <col min="8" max="8" width="23.6640625" style="374" customWidth="1"/>
    <col min="9" max="9" width="72.88671875" style="374" customWidth="1"/>
    <col min="10" max="10" width="17.5546875" style="374" customWidth="1"/>
    <col min="11" max="11" width="13.44140625" style="374" customWidth="1"/>
    <col min="12" max="13" width="20.88671875" style="374" customWidth="1"/>
    <col min="14" max="14" width="14" style="374" customWidth="1"/>
    <col min="15" max="16384" width="9.109375" style="374"/>
  </cols>
  <sheetData>
    <row r="1" spans="1:14" x14ac:dyDescent="0.3">
      <c r="A1" s="373" t="s">
        <v>2956</v>
      </c>
      <c r="B1" s="373" t="s">
        <v>2957</v>
      </c>
      <c r="C1" s="373" t="s">
        <v>2952</v>
      </c>
      <c r="D1" s="373" t="s">
        <v>2950</v>
      </c>
      <c r="E1" s="373" t="s">
        <v>2958</v>
      </c>
      <c r="F1" s="373" t="s">
        <v>2959</v>
      </c>
      <c r="G1" s="373" t="s">
        <v>2960</v>
      </c>
      <c r="H1" s="373" t="s">
        <v>2961</v>
      </c>
      <c r="I1" s="373" t="s">
        <v>2962</v>
      </c>
      <c r="J1" s="373" t="s">
        <v>2963</v>
      </c>
      <c r="K1" s="373" t="s">
        <v>2919</v>
      </c>
      <c r="L1" s="373" t="s">
        <v>2964</v>
      </c>
      <c r="M1" s="373" t="s">
        <v>2965</v>
      </c>
      <c r="N1" s="373" t="s">
        <v>2966</v>
      </c>
    </row>
    <row r="2" spans="1:14" x14ac:dyDescent="0.3">
      <c r="A2" s="374" t="s">
        <v>2967</v>
      </c>
      <c r="B2" s="374" t="s">
        <v>2968</v>
      </c>
      <c r="C2" s="374" t="s">
        <v>661</v>
      </c>
      <c r="D2" s="374" t="s">
        <v>88</v>
      </c>
      <c r="E2" s="374" t="s">
        <v>2969</v>
      </c>
      <c r="F2" s="374" t="s">
        <v>2970</v>
      </c>
      <c r="G2" s="374" t="s">
        <v>2971</v>
      </c>
      <c r="H2" s="374" t="s">
        <v>2972</v>
      </c>
      <c r="I2" s="374" t="s">
        <v>2973</v>
      </c>
      <c r="J2" s="374" t="s">
        <v>2971</v>
      </c>
      <c r="K2" s="374" t="s">
        <v>2974</v>
      </c>
      <c r="L2" s="374" t="s">
        <v>1412</v>
      </c>
      <c r="M2" s="374" t="s">
        <v>1989</v>
      </c>
      <c r="N2" s="374" t="s">
        <v>88</v>
      </c>
    </row>
    <row r="3" spans="1:14" x14ac:dyDescent="0.3">
      <c r="A3" s="374" t="s">
        <v>2975</v>
      </c>
      <c r="B3" s="374" t="s">
        <v>2968</v>
      </c>
      <c r="C3" s="374" t="s">
        <v>661</v>
      </c>
      <c r="D3" s="374" t="s">
        <v>90</v>
      </c>
      <c r="E3" s="374" t="s">
        <v>2976</v>
      </c>
      <c r="F3" s="374" t="s">
        <v>804</v>
      </c>
      <c r="G3" s="374" t="s">
        <v>812</v>
      </c>
      <c r="H3" s="374" t="s">
        <v>2972</v>
      </c>
      <c r="I3" s="374" t="s">
        <v>2977</v>
      </c>
      <c r="J3" s="374" t="s">
        <v>812</v>
      </c>
      <c r="K3" s="374" t="s">
        <v>2978</v>
      </c>
      <c r="L3" s="374" t="s">
        <v>2979</v>
      </c>
      <c r="M3" s="374" t="s">
        <v>663</v>
      </c>
      <c r="N3" s="374" t="s">
        <v>88</v>
      </c>
    </row>
    <row r="4" spans="1:14" x14ac:dyDescent="0.3">
      <c r="A4" s="374" t="s">
        <v>2980</v>
      </c>
      <c r="B4" s="374" t="s">
        <v>2981</v>
      </c>
      <c r="C4" s="374" t="s">
        <v>661</v>
      </c>
      <c r="D4" s="374" t="s">
        <v>87</v>
      </c>
      <c r="E4" s="374" t="s">
        <v>2982</v>
      </c>
      <c r="F4" s="374" t="s">
        <v>1094</v>
      </c>
      <c r="G4" s="374" t="s">
        <v>88</v>
      </c>
      <c r="H4" s="374" t="s">
        <v>2972</v>
      </c>
      <c r="I4" s="374" t="s">
        <v>88</v>
      </c>
      <c r="J4" s="374" t="s">
        <v>88</v>
      </c>
      <c r="K4" s="374" t="s">
        <v>88</v>
      </c>
      <c r="L4" s="374" t="s">
        <v>2884</v>
      </c>
      <c r="M4" s="374" t="s">
        <v>88</v>
      </c>
      <c r="N4" s="374" t="s">
        <v>88</v>
      </c>
    </row>
    <row r="5" spans="1:14" x14ac:dyDescent="0.3">
      <c r="A5" s="374" t="s">
        <v>2983</v>
      </c>
      <c r="B5" s="374" t="s">
        <v>2984</v>
      </c>
      <c r="C5" s="374" t="s">
        <v>661</v>
      </c>
      <c r="D5" s="374" t="s">
        <v>87</v>
      </c>
      <c r="E5" s="374" t="s">
        <v>2985</v>
      </c>
      <c r="F5" s="374" t="s">
        <v>749</v>
      </c>
      <c r="G5" s="374" t="s">
        <v>740</v>
      </c>
      <c r="H5" s="374" t="s">
        <v>2986</v>
      </c>
      <c r="I5" s="374" t="s">
        <v>2977</v>
      </c>
      <c r="J5" s="374" t="s">
        <v>740</v>
      </c>
      <c r="K5" s="374" t="s">
        <v>2987</v>
      </c>
      <c r="L5" s="374" t="s">
        <v>2979</v>
      </c>
      <c r="M5" s="374" t="s">
        <v>648</v>
      </c>
      <c r="N5" s="374" t="s">
        <v>2979</v>
      </c>
    </row>
    <row r="6" spans="1:14" x14ac:dyDescent="0.3">
      <c r="A6" s="374" t="s">
        <v>2988</v>
      </c>
      <c r="B6" s="374" t="s">
        <v>2968</v>
      </c>
      <c r="C6" s="374" t="s">
        <v>661</v>
      </c>
      <c r="D6" s="374" t="s">
        <v>87</v>
      </c>
      <c r="E6" s="374" t="s">
        <v>2985</v>
      </c>
      <c r="F6" s="374" t="s">
        <v>749</v>
      </c>
      <c r="G6" s="374" t="s">
        <v>929</v>
      </c>
      <c r="H6" s="374" t="s">
        <v>2972</v>
      </c>
      <c r="I6" s="374" t="s">
        <v>2977</v>
      </c>
      <c r="J6" s="374" t="s">
        <v>929</v>
      </c>
      <c r="K6" s="374" t="s">
        <v>2989</v>
      </c>
      <c r="L6" s="374" t="s">
        <v>2979</v>
      </c>
      <c r="M6" s="374" t="s">
        <v>648</v>
      </c>
      <c r="N6" s="374" t="s">
        <v>88</v>
      </c>
    </row>
    <row r="7" spans="1:14" x14ac:dyDescent="0.3">
      <c r="A7" s="374" t="s">
        <v>2990</v>
      </c>
      <c r="B7" s="374" t="s">
        <v>2984</v>
      </c>
      <c r="C7" s="374" t="s">
        <v>661</v>
      </c>
      <c r="D7" s="374" t="s">
        <v>90</v>
      </c>
      <c r="E7" s="374" t="s">
        <v>2991</v>
      </c>
      <c r="F7" s="374" t="s">
        <v>1195</v>
      </c>
      <c r="G7" s="374" t="s">
        <v>1195</v>
      </c>
      <c r="H7" s="374" t="s">
        <v>2986</v>
      </c>
      <c r="I7" s="374" t="s">
        <v>2992</v>
      </c>
      <c r="J7" s="374" t="s">
        <v>1195</v>
      </c>
      <c r="K7" s="374" t="s">
        <v>2993</v>
      </c>
      <c r="L7" s="374" t="s">
        <v>2863</v>
      </c>
      <c r="M7" s="374" t="s">
        <v>793</v>
      </c>
      <c r="N7" s="374" t="s">
        <v>2863</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257FA-7CB1-4EA5-9B49-3FC952A18998}">
  <sheetPr>
    <tabColor theme="8"/>
  </sheetPr>
  <dimension ref="A1:N1742"/>
  <sheetViews>
    <sheetView showGridLines="0" zoomScale="130" zoomScaleNormal="130" workbookViewId="0">
      <selection sqref="A1:G1"/>
    </sheetView>
  </sheetViews>
  <sheetFormatPr defaultRowHeight="14.4" x14ac:dyDescent="0.3"/>
  <cols>
    <col min="1" max="1" width="24.88671875" style="364" bestFit="1" customWidth="1"/>
    <col min="2" max="7" width="8.6640625" style="364" customWidth="1"/>
    <col min="8" max="8" width="3" customWidth="1"/>
    <col min="9" max="14" width="8.6640625" style="364" customWidth="1"/>
  </cols>
  <sheetData>
    <row r="1" spans="1:14" x14ac:dyDescent="0.3">
      <c r="A1" s="525" t="s">
        <v>2954</v>
      </c>
      <c r="B1" s="526"/>
      <c r="C1" s="526"/>
      <c r="D1" s="526"/>
      <c r="E1" s="526"/>
      <c r="F1" s="526"/>
      <c r="G1" s="526"/>
    </row>
    <row r="2" spans="1:14" x14ac:dyDescent="0.3">
      <c r="A2" s="529" t="s">
        <v>144</v>
      </c>
      <c r="B2" s="527" t="s">
        <v>1411</v>
      </c>
      <c r="C2" s="528"/>
      <c r="D2" s="527" t="s">
        <v>644</v>
      </c>
      <c r="E2" s="528"/>
      <c r="F2" s="527" t="s">
        <v>792</v>
      </c>
      <c r="G2" s="528" t="s">
        <v>792</v>
      </c>
    </row>
    <row r="3" spans="1:14" x14ac:dyDescent="0.3">
      <c r="A3" s="529"/>
      <c r="B3" s="371" t="s">
        <v>90</v>
      </c>
      <c r="C3" s="371" t="s">
        <v>87</v>
      </c>
      <c r="D3" s="371" t="s">
        <v>90</v>
      </c>
      <c r="E3" s="371" t="s">
        <v>87</v>
      </c>
      <c r="F3" s="371" t="s">
        <v>90</v>
      </c>
      <c r="G3" s="371" t="s">
        <v>87</v>
      </c>
    </row>
    <row r="4" spans="1:14" x14ac:dyDescent="0.3">
      <c r="A4" s="370" t="s">
        <v>660</v>
      </c>
      <c r="B4" s="369">
        <f>COUNTIFS('BD-RO'!$AN:$AN,$B$2,'BD-RO'!$C:$C,$A4,'BD-RO'!$D:$D,$B$3)</f>
        <v>0</v>
      </c>
      <c r="C4" s="369">
        <f>COUNTIFS('BD-RO'!$AN:$AN,$B$2,'BD-RO'!$C:$C,$A4,'BD-RO'!$D:$D,$C$3)+COUNTIFS('BD-RO'!$AN:$AN,$B$2,'BD-RO'!$C:$C,$A4,'BD-RO'!$D:$D,"UTGSUL")</f>
        <v>0</v>
      </c>
      <c r="D4" s="369">
        <f>COUNTIFS('BD-RO'!$AN:$AN,$D$2,'BD-RO'!$C:$C,$A4,'BD-RO'!$D:$D,$D$3)</f>
        <v>367</v>
      </c>
      <c r="E4" s="369">
        <f>COUNTIFS('BD-RO'!$AN:$AN,$D$2,'BD-RO'!$C:$C,$A4,'BD-RO'!$D:$D,$E$3)+COUNTIFS('BD-RO'!$AN:$AN,$D$2,'BD-RO'!$C:$C,$A4,'BD-RO'!$D:$D,"UTGSUL")</f>
        <v>188</v>
      </c>
      <c r="F4" s="369">
        <f>COUNTIFS('BD-RO'!$AN:$AN,$F$2,'BD-RO'!$C:$C,$A4,'BD-RO'!$D:$D,$F$3)</f>
        <v>0</v>
      </c>
      <c r="G4" s="369">
        <f>COUNTIFS('BD-RO'!$AN:$AN,$F$2,'BD-RO'!$C:$C,$A4,'BD-RO'!$D:$D,$G$3)+COUNTIFS('BD-RO'!$AN:$AN,$F$2,'BD-RO'!$C:$C,$A4,'BD-RO'!$D:$D,"UTGSUL")</f>
        <v>25</v>
      </c>
    </row>
    <row r="5" spans="1:14" x14ac:dyDescent="0.3">
      <c r="A5" s="370" t="s">
        <v>1420</v>
      </c>
      <c r="B5" s="369">
        <f>COUNTIFS('BD-RO'!$AN:$AN,$B$2,'BD-RO'!$C:$C,$A5,'BD-RO'!$D:$D,$B$3)</f>
        <v>82</v>
      </c>
      <c r="C5" s="369">
        <f>COUNTIFS('BD-RO'!$AN:$AN,$B$2,'BD-RO'!$C:$C,$A5,'BD-RO'!$D:$D,$C$3)+COUNTIFS('BD-RO'!$AN:$AN,$B$2,'BD-RO'!$C:$C,$A5,'BD-RO'!$D:$D,"UTGSUL")</f>
        <v>37</v>
      </c>
      <c r="D5" s="369">
        <f>COUNTIFS('BD-RO'!$AN:$AN,$D$2,'BD-RO'!$C:$C,$A5,'BD-RO'!$D:$D,$D$3)</f>
        <v>0</v>
      </c>
      <c r="E5" s="369">
        <f>COUNTIFS('BD-RO'!$AN:$AN,$D$2,'BD-RO'!$C:$C,$A5,'BD-RO'!$D:$D,$E$3)+COUNTIFS('BD-RO'!$AN:$AN,$D$2,'BD-RO'!$C:$C,$A5,'BD-RO'!$D:$D,"UTGSUL")</f>
        <v>0</v>
      </c>
      <c r="F5" s="369">
        <f>COUNTIFS('BD-RO'!$AN:$AN,$F$2,'BD-RO'!$C:$C,$A5,'BD-RO'!$D:$D,$F$3)</f>
        <v>0</v>
      </c>
      <c r="G5" s="369">
        <f>COUNTIFS('BD-RO'!$AN:$AN,$F$2,'BD-RO'!$C:$C,$A5,'BD-RO'!$D:$D,$G$3)+COUNTIFS('BD-RO'!$AN:$AN,$F$2,'BD-RO'!$C:$C,$A5,'BD-RO'!$D:$D,"UTGSUL")</f>
        <v>0</v>
      </c>
    </row>
    <row r="6" spans="1:14" x14ac:dyDescent="0.3">
      <c r="A6" s="370" t="s">
        <v>796</v>
      </c>
      <c r="B6" s="369">
        <f>COUNTIFS('BD-RO'!$AN:$AN,$B$2,'BD-RO'!$C:$C,$A6,'BD-RO'!$D:$D,$B$3)</f>
        <v>0</v>
      </c>
      <c r="C6" s="369">
        <f>COUNTIFS('BD-RO'!$AN:$AN,$B$2,'BD-RO'!$C:$C,$A6,'BD-RO'!$D:$D,$C$3)+COUNTIFS('BD-RO'!$AN:$AN,$B$2,'BD-RO'!$C:$C,$A6,'BD-RO'!$D:$D,"UTGSUL")</f>
        <v>0</v>
      </c>
      <c r="D6" s="369">
        <f>COUNTIFS('BD-RO'!$AN:$AN,$D$2,'BD-RO'!$C:$C,$A6,'BD-RO'!$D:$D,$D$3)</f>
        <v>26</v>
      </c>
      <c r="E6" s="369">
        <f>COUNTIFS('BD-RO'!$AN:$AN,$D$2,'BD-RO'!$C:$C,$A6,'BD-RO'!$D:$D,$E$3)+COUNTIFS('BD-RO'!$AN:$AN,$D$2,'BD-RO'!$C:$C,$A6,'BD-RO'!$D:$D,"UTGSUL")</f>
        <v>3</v>
      </c>
      <c r="F6" s="369">
        <f>COUNTIFS('BD-RO'!$AN:$AN,$F$2,'BD-RO'!$C:$C,$A6,'BD-RO'!$D:$D,$F$3)</f>
        <v>1</v>
      </c>
      <c r="G6" s="369">
        <f>COUNTIFS('BD-RO'!$AN:$AN,$F$2,'BD-RO'!$C:$C,$A6,'BD-RO'!$D:$D,$G$3)+COUNTIFS('BD-RO'!$AN:$AN,$F$2,'BD-RO'!$C:$C,$A6,'BD-RO'!$D:$D,"UTGSUL")</f>
        <v>9</v>
      </c>
    </row>
    <row r="7" spans="1:14" x14ac:dyDescent="0.3">
      <c r="A7" s="370" t="s">
        <v>1160</v>
      </c>
      <c r="B7" s="369">
        <f>COUNTIFS('BD-RO'!$AN:$AN,$B$2,'BD-RO'!$C:$C,$A7,'BD-RO'!$D:$D,$B$3)</f>
        <v>0</v>
      </c>
      <c r="C7" s="369">
        <f>COUNTIFS('BD-RO'!$AN:$AN,$B$2,'BD-RO'!$C:$C,$A7,'BD-RO'!$D:$D,$C$3)+COUNTIFS('BD-RO'!$AN:$AN,$B$2,'BD-RO'!$C:$C,$A7,'BD-RO'!$D:$D,"UTGSUL")</f>
        <v>0</v>
      </c>
      <c r="D7" s="369">
        <f>COUNTIFS('BD-RO'!$AN:$AN,$D$2,'BD-RO'!$C:$C,$A7,'BD-RO'!$D:$D,$D$3)</f>
        <v>161</v>
      </c>
      <c r="E7" s="369">
        <f>COUNTIFS('BD-RO'!$AN:$AN,$D$2,'BD-RO'!$C:$C,$A7,'BD-RO'!$D:$D,$E$3)+COUNTIFS('BD-RO'!$AN:$AN,$D$2,'BD-RO'!$C:$C,$A7,'BD-RO'!$D:$D,"UTGSUL")</f>
        <v>3</v>
      </c>
      <c r="F7" s="369">
        <f>COUNTIFS('BD-RO'!$AN:$AN,$F$2,'BD-RO'!$C:$C,$A7,'BD-RO'!$D:$D,$F$3)</f>
        <v>0</v>
      </c>
      <c r="G7" s="369">
        <f>COUNTIFS('BD-RO'!$AN:$AN,$F$2,'BD-RO'!$C:$C,$A7,'BD-RO'!$D:$D,$G$3)+COUNTIFS('BD-RO'!$AN:$AN,$F$2,'BD-RO'!$C:$C,$A7,'BD-RO'!$D:$D,"UTGSUL")</f>
        <v>108</v>
      </c>
    </row>
    <row r="8" spans="1:14" x14ac:dyDescent="0.3">
      <c r="A8" s="370" t="s">
        <v>677</v>
      </c>
      <c r="B8" s="369">
        <f>COUNTIFS('BD-RO'!$AN:$AN,$B$2,'BD-RO'!$C:$C,$A8,'BD-RO'!$D:$D,$B$3)</f>
        <v>0</v>
      </c>
      <c r="C8" s="369">
        <f>COUNTIFS('BD-RO'!$AN:$AN,$B$2,'BD-RO'!$C:$C,$A8,'BD-RO'!$D:$D,$C$3)+COUNTIFS('BD-RO'!$AN:$AN,$B$2,'BD-RO'!$C:$C,$A8,'BD-RO'!$D:$D,"UTGSUL")</f>
        <v>0</v>
      </c>
      <c r="D8" s="369">
        <f>COUNTIFS('BD-RO'!$AN:$AN,$D$2,'BD-RO'!$C:$C,$A8,'BD-RO'!$D:$D,$D$3)</f>
        <v>466</v>
      </c>
      <c r="E8" s="369">
        <f>COUNTIFS('BD-RO'!$AN:$AN,$D$2,'BD-RO'!$C:$C,$A8,'BD-RO'!$D:$D,$E$3)+COUNTIFS('BD-RO'!$AN:$AN,$D$2,'BD-RO'!$C:$C,$A8,'BD-RO'!$D:$D,"UTGSUL")</f>
        <v>251</v>
      </c>
      <c r="F8" s="369">
        <f>COUNTIFS('BD-RO'!$AN:$AN,$F$2,'BD-RO'!$C:$C,$A8,'BD-RO'!$D:$D,$F$3)</f>
        <v>0</v>
      </c>
      <c r="G8" s="369">
        <f>COUNTIFS('BD-RO'!$AN:$AN,$F$2,'BD-RO'!$C:$C,$A8,'BD-RO'!$D:$D,$G$3)+COUNTIFS('BD-RO'!$AN:$AN,$F$2,'BD-RO'!$C:$C,$A8,'BD-RO'!$D:$D,"UTGSUL")</f>
        <v>1</v>
      </c>
    </row>
    <row r="9" spans="1:14" x14ac:dyDescent="0.3">
      <c r="A9" s="370" t="s">
        <v>908</v>
      </c>
      <c r="B9" s="369">
        <f>COUNTIFS('BD-RO'!$AN:$AN,$B$2,'BD-RO'!$C:$C,$A9,'BD-RO'!$D:$D,$B$3)</f>
        <v>14</v>
      </c>
      <c r="C9" s="369">
        <f>COUNTIFS('BD-RO'!$AN:$AN,$B$2,'BD-RO'!$C:$C,$A9,'BD-RO'!$D:$D,$C$3)+COUNTIFS('BD-RO'!$AN:$AN,$B$2,'BD-RO'!$C:$C,$A9,'BD-RO'!$D:$D,"UTGSUL")</f>
        <v>0</v>
      </c>
      <c r="D9" s="369">
        <f>COUNTIFS('BD-RO'!$AN:$AN,$D$2,'BD-RO'!$C:$C,$A9,'BD-RO'!$D:$D,$D$3)</f>
        <v>0</v>
      </c>
      <c r="E9" s="369">
        <f>COUNTIFS('BD-RO'!$AN:$AN,$D$2,'BD-RO'!$C:$C,$A9,'BD-RO'!$D:$D,$E$3)+COUNTIFS('BD-RO'!$AN:$AN,$D$2,'BD-RO'!$C:$C,$A9,'BD-RO'!$D:$D,"UTGSUL")</f>
        <v>1</v>
      </c>
      <c r="F9" s="369">
        <f>COUNTIFS('BD-RO'!$AN:$AN,$F$2,'BD-RO'!$C:$C,$A9,'BD-RO'!$D:$D,$F$3)</f>
        <v>0</v>
      </c>
      <c r="G9" s="369">
        <f>COUNTIFS('BD-RO'!$AN:$AN,$F$2,'BD-RO'!$C:$C,$A9,'BD-RO'!$D:$D,$G$3)+COUNTIFS('BD-RO'!$AN:$AN,$F$2,'BD-RO'!$C:$C,$A9,'BD-RO'!$D:$D,"UTGSUL")</f>
        <v>1</v>
      </c>
    </row>
    <row r="10" spans="1:14" x14ac:dyDescent="0.3">
      <c r="A10" s="365"/>
      <c r="B10" s="368">
        <f t="shared" ref="B10:G10" si="0">SUM(B4:B9)</f>
        <v>96</v>
      </c>
      <c r="C10" s="368">
        <f t="shared" si="0"/>
        <v>37</v>
      </c>
      <c r="D10" s="368">
        <f t="shared" si="0"/>
        <v>1020</v>
      </c>
      <c r="E10" s="368">
        <f t="shared" si="0"/>
        <v>446</v>
      </c>
      <c r="F10" s="368">
        <f t="shared" si="0"/>
        <v>1</v>
      </c>
      <c r="G10" s="368">
        <f t="shared" si="0"/>
        <v>144</v>
      </c>
    </row>
    <row r="11" spans="1:14" x14ac:dyDescent="0.3">
      <c r="A11" s="365"/>
      <c r="B11" s="367">
        <f t="shared" ref="B11:G11" si="1">B10/SUM($B$10:$G$10)</f>
        <v>5.5045871559633031E-2</v>
      </c>
      <c r="C11" s="367">
        <f t="shared" si="1"/>
        <v>2.1215596330275231E-2</v>
      </c>
      <c r="D11" s="367">
        <f t="shared" si="1"/>
        <v>0.58486238532110091</v>
      </c>
      <c r="E11" s="367">
        <f t="shared" si="1"/>
        <v>0.25573394495412843</v>
      </c>
      <c r="F11" s="367">
        <f t="shared" si="1"/>
        <v>5.7339449541284407E-4</v>
      </c>
      <c r="G11" s="367">
        <f t="shared" si="1"/>
        <v>8.2568807339449546E-2</v>
      </c>
    </row>
    <row r="12" spans="1:14" x14ac:dyDescent="0.3">
      <c r="A12" s="365"/>
    </row>
    <row r="13" spans="1:14" x14ac:dyDescent="0.3">
      <c r="A13" s="526" t="s">
        <v>2955</v>
      </c>
      <c r="B13" s="526"/>
      <c r="C13" s="526"/>
      <c r="D13" s="526"/>
      <c r="E13" s="526"/>
      <c r="F13" s="526"/>
      <c r="G13" s="526"/>
    </row>
    <row r="14" spans="1:14" x14ac:dyDescent="0.3">
      <c r="A14" s="529" t="s">
        <v>144</v>
      </c>
      <c r="B14" s="527" t="s">
        <v>90</v>
      </c>
      <c r="C14" s="528"/>
      <c r="D14" s="527" t="s">
        <v>87</v>
      </c>
      <c r="E14" s="528"/>
      <c r="F14" s="527" t="s">
        <v>2996</v>
      </c>
      <c r="G14" s="528"/>
      <c r="I14" s="366"/>
      <c r="J14" s="366"/>
      <c r="K14" s="366"/>
      <c r="L14" s="366"/>
      <c r="M14" s="366"/>
      <c r="N14" s="366"/>
    </row>
    <row r="15" spans="1:14" x14ac:dyDescent="0.3">
      <c r="A15" s="529"/>
      <c r="B15" s="371" t="s">
        <v>2994</v>
      </c>
      <c r="C15" s="371" t="s">
        <v>2995</v>
      </c>
      <c r="D15" s="371" t="s">
        <v>2994</v>
      </c>
      <c r="E15" s="371" t="s">
        <v>2995</v>
      </c>
      <c r="F15" s="371" t="s">
        <v>2994</v>
      </c>
      <c r="G15" s="371" t="s">
        <v>2995</v>
      </c>
    </row>
    <row r="16" spans="1:14" x14ac:dyDescent="0.3">
      <c r="A16" s="370" t="s">
        <v>2968</v>
      </c>
      <c r="B16" s="369">
        <f>COUNTIFS('BD-RA'!$D:$D,$B$14,'BD-RA'!$H:$H,"Registrado com Pendência",'BD-RA'!$B:$B,$A16)</f>
        <v>1</v>
      </c>
      <c r="C16" s="369">
        <f>COUNTIFS('BD-RA'!$D:$D,$B$14,'BD-RA'!$H:$H,"Registrado sem Pendência",'BD-RA'!$B:$B,$A16)</f>
        <v>0</v>
      </c>
      <c r="D16" s="369">
        <f>COUNTIFS('BD-RA'!$D:$D,$D$14,'BD-RA'!$H:$H,"Registrado com Pendência",'BD-RA'!$B:$B,$A16)</f>
        <v>1</v>
      </c>
      <c r="E16" s="369">
        <f>COUNTIFS('BD-RA'!$D:$D,$D$14,'BD-RA'!$H:$H,"Registrado sem Pendência",'BD-RA'!$B:$B,$A16)</f>
        <v>0</v>
      </c>
      <c r="F16" s="369">
        <f>COUNTIFS('BD-RA'!$D:$D,"",'BD-RA'!$H:$H,"Registrado com Pendência",'BD-RA'!$B:$B,$A16)</f>
        <v>1</v>
      </c>
      <c r="G16" s="369">
        <f>COUNTIFS('BD-RA'!$D:$D,"",'BD-RA'!$H:$H,"Registrado sem Pendência",'BD-RA'!$B:$B,$A16)</f>
        <v>0</v>
      </c>
    </row>
    <row r="17" spans="1:7" x14ac:dyDescent="0.3">
      <c r="A17" s="370" t="s">
        <v>2981</v>
      </c>
      <c r="B17" s="369">
        <f>COUNTIFS('BD-RA'!$D:$D,$B$14,'BD-RA'!$H:$H,"Registrado com Pendência",'BD-RA'!$B:$B,$A17)</f>
        <v>0</v>
      </c>
      <c r="C17" s="369">
        <f>COUNTIFS('BD-RA'!$D:$D,$B$14,'BD-RA'!$H:$H,"Registrado sem Pendência",'BD-RA'!$B:$B,$A17)</f>
        <v>0</v>
      </c>
      <c r="D17" s="369">
        <f>COUNTIFS('BD-RA'!$D:$D,$D$14,'BD-RA'!$H:$H,"Registrado com Pendência",'BD-RA'!$B:$B,$A17)</f>
        <v>1</v>
      </c>
      <c r="E17" s="369">
        <f>COUNTIFS('BD-RA'!$D:$D,$D$14,'BD-RA'!$H:$H,"Registrado sem Pendência",'BD-RA'!$B:$B,$A17)</f>
        <v>0</v>
      </c>
      <c r="F17" s="369">
        <f>COUNTIFS('BD-RA'!$D:$D,"",'BD-RA'!$H:$H,"Registrado com Pendência",'BD-RA'!$B:$B,$A17)</f>
        <v>0</v>
      </c>
      <c r="G17" s="369">
        <f>COUNTIFS('BD-RA'!$D:$D,"",'BD-RA'!$H:$H,"Registrado sem Pendência",'BD-RA'!$B:$B,$A17)</f>
        <v>0</v>
      </c>
    </row>
    <row r="18" spans="1:7" x14ac:dyDescent="0.3">
      <c r="A18" s="370" t="s">
        <v>2984</v>
      </c>
      <c r="B18" s="369">
        <f>COUNTIFS('BD-RA'!$D:$D,$B$14,'BD-RA'!$H:$H,"Registrado com Pendência",'BD-RA'!$B:$B,$A18)</f>
        <v>0</v>
      </c>
      <c r="C18" s="369">
        <f>COUNTIFS('BD-RA'!$D:$D,$B$14,'BD-RA'!$H:$H,"Registrado sem Pendência",'BD-RA'!$B:$B,$A18)</f>
        <v>1</v>
      </c>
      <c r="D18" s="369">
        <f>COUNTIFS('BD-RA'!$D:$D,$D$14,'BD-RA'!$H:$H,"Registrado com Pendência",'BD-RA'!$B:$B,$A18)</f>
        <v>0</v>
      </c>
      <c r="E18" s="369">
        <f>COUNTIFS('BD-RA'!$D:$D,$D$14,'BD-RA'!$H:$H,"Registrado sem Pendência",'BD-RA'!$B:$B,$A18)</f>
        <v>1</v>
      </c>
      <c r="F18" s="369">
        <f>COUNTIFS('BD-RA'!$D:$D,"",'BD-RA'!$H:$H,"Registrado com Pendência",'BD-RA'!$B:$B,$A18)</f>
        <v>0</v>
      </c>
      <c r="G18" s="369">
        <f>COUNTIFS('BD-RA'!$D:$D,"",'BD-RA'!$H:$H,"Registrado sem Pendência",'BD-RA'!$B:$B,$A18)</f>
        <v>0</v>
      </c>
    </row>
    <row r="19" spans="1:7" x14ac:dyDescent="0.3">
      <c r="A19" s="365"/>
      <c r="B19" s="368">
        <f t="shared" ref="B19:G19" si="2">SUM(B16:B18)</f>
        <v>1</v>
      </c>
      <c r="C19" s="368">
        <f t="shared" si="2"/>
        <v>1</v>
      </c>
      <c r="D19" s="368">
        <f t="shared" si="2"/>
        <v>2</v>
      </c>
      <c r="E19" s="368">
        <f t="shared" si="2"/>
        <v>1</v>
      </c>
      <c r="F19" s="368">
        <f t="shared" si="2"/>
        <v>1</v>
      </c>
      <c r="G19" s="368">
        <f t="shared" si="2"/>
        <v>0</v>
      </c>
    </row>
    <row r="20" spans="1:7" x14ac:dyDescent="0.3">
      <c r="A20" s="365"/>
      <c r="B20" s="367">
        <f t="shared" ref="B20:G20" si="3">B19/SUM($B$10:$G$10)</f>
        <v>5.7339449541284407E-4</v>
      </c>
      <c r="C20" s="367">
        <f t="shared" si="3"/>
        <v>5.7339449541284407E-4</v>
      </c>
      <c r="D20" s="367">
        <f t="shared" si="3"/>
        <v>1.1467889908256881E-3</v>
      </c>
      <c r="E20" s="367">
        <f t="shared" si="3"/>
        <v>5.7339449541284407E-4</v>
      </c>
      <c r="F20" s="367">
        <f t="shared" si="3"/>
        <v>5.7339449541284407E-4</v>
      </c>
      <c r="G20" s="367">
        <f t="shared" si="3"/>
        <v>0</v>
      </c>
    </row>
    <row r="21" spans="1:7" x14ac:dyDescent="0.3">
      <c r="A21" s="365"/>
    </row>
    <row r="22" spans="1:7" x14ac:dyDescent="0.3">
      <c r="A22" s="365"/>
    </row>
    <row r="23" spans="1:7" x14ac:dyDescent="0.3">
      <c r="A23" s="365"/>
    </row>
    <row r="24" spans="1:7" x14ac:dyDescent="0.3">
      <c r="A24" s="365"/>
    </row>
    <row r="25" spans="1:7" x14ac:dyDescent="0.3">
      <c r="A25" s="365"/>
    </row>
    <row r="26" spans="1:7" x14ac:dyDescent="0.3">
      <c r="A26" s="365"/>
    </row>
    <row r="27" spans="1:7" x14ac:dyDescent="0.3">
      <c r="A27" s="365"/>
    </row>
    <row r="28" spans="1:7" x14ac:dyDescent="0.3">
      <c r="A28" s="365"/>
    </row>
    <row r="29" spans="1:7" x14ac:dyDescent="0.3">
      <c r="A29" s="365"/>
    </row>
    <row r="30" spans="1:7" x14ac:dyDescent="0.3">
      <c r="A30" s="365"/>
    </row>
    <row r="31" spans="1:7" x14ac:dyDescent="0.3">
      <c r="A31" s="365"/>
    </row>
    <row r="32" spans="1:7" x14ac:dyDescent="0.3">
      <c r="A32" s="365"/>
    </row>
    <row r="33" spans="1:1" x14ac:dyDescent="0.3">
      <c r="A33" s="365"/>
    </row>
    <row r="34" spans="1:1" x14ac:dyDescent="0.3">
      <c r="A34" s="365"/>
    </row>
    <row r="35" spans="1:1" x14ac:dyDescent="0.3">
      <c r="A35" s="365"/>
    </row>
    <row r="36" spans="1:1" x14ac:dyDescent="0.3">
      <c r="A36" s="365"/>
    </row>
    <row r="37" spans="1:1" x14ac:dyDescent="0.3">
      <c r="A37" s="365"/>
    </row>
    <row r="38" spans="1:1" x14ac:dyDescent="0.3">
      <c r="A38" s="365"/>
    </row>
    <row r="39" spans="1:1" x14ac:dyDescent="0.3">
      <c r="A39" s="365"/>
    </row>
    <row r="40" spans="1:1" x14ac:dyDescent="0.3">
      <c r="A40" s="365"/>
    </row>
    <row r="41" spans="1:1" x14ac:dyDescent="0.3">
      <c r="A41" s="365"/>
    </row>
    <row r="42" spans="1:1" x14ac:dyDescent="0.3">
      <c r="A42" s="365"/>
    </row>
    <row r="43" spans="1:1" x14ac:dyDescent="0.3">
      <c r="A43" s="365"/>
    </row>
    <row r="44" spans="1:1" x14ac:dyDescent="0.3">
      <c r="A44" s="365"/>
    </row>
    <row r="45" spans="1:1" x14ac:dyDescent="0.3">
      <c r="A45" s="365"/>
    </row>
    <row r="46" spans="1:1" x14ac:dyDescent="0.3">
      <c r="A46" s="365"/>
    </row>
    <row r="47" spans="1:1" x14ac:dyDescent="0.3">
      <c r="A47" s="365"/>
    </row>
    <row r="48" spans="1:1" x14ac:dyDescent="0.3">
      <c r="A48" s="365"/>
    </row>
    <row r="49" spans="1:1" x14ac:dyDescent="0.3">
      <c r="A49" s="365"/>
    </row>
    <row r="50" spans="1:1" x14ac:dyDescent="0.3">
      <c r="A50" s="365"/>
    </row>
    <row r="51" spans="1:1" x14ac:dyDescent="0.3">
      <c r="A51" s="365"/>
    </row>
    <row r="52" spans="1:1" x14ac:dyDescent="0.3">
      <c r="A52" s="365"/>
    </row>
    <row r="53" spans="1:1" x14ac:dyDescent="0.3">
      <c r="A53" s="365"/>
    </row>
    <row r="54" spans="1:1" x14ac:dyDescent="0.3">
      <c r="A54" s="365"/>
    </row>
    <row r="55" spans="1:1" x14ac:dyDescent="0.3">
      <c r="A55" s="365"/>
    </row>
    <row r="56" spans="1:1" x14ac:dyDescent="0.3">
      <c r="A56" s="365"/>
    </row>
    <row r="57" spans="1:1" x14ac:dyDescent="0.3">
      <c r="A57" s="365"/>
    </row>
    <row r="58" spans="1:1" x14ac:dyDescent="0.3">
      <c r="A58" s="365"/>
    </row>
    <row r="59" spans="1:1" x14ac:dyDescent="0.3">
      <c r="A59" s="365"/>
    </row>
    <row r="60" spans="1:1" x14ac:dyDescent="0.3">
      <c r="A60" s="365"/>
    </row>
    <row r="61" spans="1:1" x14ac:dyDescent="0.3">
      <c r="A61" s="365"/>
    </row>
    <row r="62" spans="1:1" x14ac:dyDescent="0.3">
      <c r="A62" s="365"/>
    </row>
    <row r="63" spans="1:1" x14ac:dyDescent="0.3">
      <c r="A63" s="365"/>
    </row>
    <row r="64" spans="1:1" x14ac:dyDescent="0.3">
      <c r="A64" s="365"/>
    </row>
    <row r="65" spans="1:1" x14ac:dyDescent="0.3">
      <c r="A65" s="365"/>
    </row>
    <row r="66" spans="1:1" x14ac:dyDescent="0.3">
      <c r="A66" s="365"/>
    </row>
    <row r="67" spans="1:1" x14ac:dyDescent="0.3">
      <c r="A67" s="365"/>
    </row>
    <row r="68" spans="1:1" x14ac:dyDescent="0.3">
      <c r="A68" s="365"/>
    </row>
    <row r="69" spans="1:1" x14ac:dyDescent="0.3">
      <c r="A69" s="365"/>
    </row>
    <row r="70" spans="1:1" x14ac:dyDescent="0.3">
      <c r="A70" s="365"/>
    </row>
    <row r="71" spans="1:1" x14ac:dyDescent="0.3">
      <c r="A71" s="365"/>
    </row>
    <row r="72" spans="1:1" x14ac:dyDescent="0.3">
      <c r="A72" s="365"/>
    </row>
    <row r="73" spans="1:1" x14ac:dyDescent="0.3">
      <c r="A73" s="365"/>
    </row>
    <row r="74" spans="1:1" x14ac:dyDescent="0.3">
      <c r="A74" s="365"/>
    </row>
    <row r="75" spans="1:1" x14ac:dyDescent="0.3">
      <c r="A75" s="365"/>
    </row>
    <row r="76" spans="1:1" x14ac:dyDescent="0.3">
      <c r="A76" s="365"/>
    </row>
    <row r="77" spans="1:1" x14ac:dyDescent="0.3">
      <c r="A77" s="365"/>
    </row>
    <row r="78" spans="1:1" x14ac:dyDescent="0.3">
      <c r="A78" s="365"/>
    </row>
    <row r="79" spans="1:1" x14ac:dyDescent="0.3">
      <c r="A79" s="365"/>
    </row>
    <row r="80" spans="1:1" x14ac:dyDescent="0.3">
      <c r="A80" s="365"/>
    </row>
    <row r="81" spans="1:1" x14ac:dyDescent="0.3">
      <c r="A81" s="365"/>
    </row>
    <row r="82" spans="1:1" x14ac:dyDescent="0.3">
      <c r="A82" s="365"/>
    </row>
    <row r="83" spans="1:1" x14ac:dyDescent="0.3">
      <c r="A83" s="365"/>
    </row>
    <row r="84" spans="1:1" x14ac:dyDescent="0.3">
      <c r="A84" s="365"/>
    </row>
    <row r="85" spans="1:1" x14ac:dyDescent="0.3">
      <c r="A85" s="365"/>
    </row>
    <row r="86" spans="1:1" x14ac:dyDescent="0.3">
      <c r="A86" s="365"/>
    </row>
    <row r="87" spans="1:1" x14ac:dyDescent="0.3">
      <c r="A87" s="365"/>
    </row>
    <row r="88" spans="1:1" x14ac:dyDescent="0.3">
      <c r="A88" s="365"/>
    </row>
    <row r="89" spans="1:1" x14ac:dyDescent="0.3">
      <c r="A89" s="365"/>
    </row>
    <row r="90" spans="1:1" x14ac:dyDescent="0.3">
      <c r="A90" s="365"/>
    </row>
    <row r="91" spans="1:1" x14ac:dyDescent="0.3">
      <c r="A91" s="365"/>
    </row>
    <row r="92" spans="1:1" x14ac:dyDescent="0.3">
      <c r="A92" s="365"/>
    </row>
    <row r="93" spans="1:1" x14ac:dyDescent="0.3">
      <c r="A93" s="365"/>
    </row>
    <row r="94" spans="1:1" x14ac:dyDescent="0.3">
      <c r="A94" s="365"/>
    </row>
    <row r="95" spans="1:1" x14ac:dyDescent="0.3">
      <c r="A95" s="365"/>
    </row>
    <row r="96" spans="1:1" x14ac:dyDescent="0.3">
      <c r="A96" s="365"/>
    </row>
    <row r="97" spans="1:1" x14ac:dyDescent="0.3">
      <c r="A97" s="365"/>
    </row>
    <row r="98" spans="1:1" x14ac:dyDescent="0.3">
      <c r="A98" s="365"/>
    </row>
    <row r="99" spans="1:1" x14ac:dyDescent="0.3">
      <c r="A99" s="365"/>
    </row>
    <row r="100" spans="1:1" x14ac:dyDescent="0.3">
      <c r="A100" s="365"/>
    </row>
    <row r="101" spans="1:1" x14ac:dyDescent="0.3">
      <c r="A101" s="365"/>
    </row>
    <row r="102" spans="1:1" x14ac:dyDescent="0.3">
      <c r="A102" s="365"/>
    </row>
    <row r="103" spans="1:1" x14ac:dyDescent="0.3">
      <c r="A103" s="365"/>
    </row>
    <row r="104" spans="1:1" x14ac:dyDescent="0.3">
      <c r="A104" s="365"/>
    </row>
    <row r="105" spans="1:1" x14ac:dyDescent="0.3">
      <c r="A105" s="365"/>
    </row>
    <row r="106" spans="1:1" x14ac:dyDescent="0.3">
      <c r="A106" s="365"/>
    </row>
    <row r="107" spans="1:1" x14ac:dyDescent="0.3">
      <c r="A107" s="365"/>
    </row>
    <row r="108" spans="1:1" x14ac:dyDescent="0.3">
      <c r="A108" s="365"/>
    </row>
    <row r="109" spans="1:1" x14ac:dyDescent="0.3">
      <c r="A109" s="365"/>
    </row>
    <row r="110" spans="1:1" x14ac:dyDescent="0.3">
      <c r="A110" s="365"/>
    </row>
    <row r="111" spans="1:1" x14ac:dyDescent="0.3">
      <c r="A111" s="365"/>
    </row>
    <row r="112" spans="1:1" x14ac:dyDescent="0.3">
      <c r="A112" s="365"/>
    </row>
    <row r="113" spans="1:1" x14ac:dyDescent="0.3">
      <c r="A113" s="365"/>
    </row>
    <row r="114" spans="1:1" x14ac:dyDescent="0.3">
      <c r="A114" s="365"/>
    </row>
    <row r="115" spans="1:1" x14ac:dyDescent="0.3">
      <c r="A115" s="365"/>
    </row>
    <row r="116" spans="1:1" x14ac:dyDescent="0.3">
      <c r="A116" s="365"/>
    </row>
    <row r="117" spans="1:1" x14ac:dyDescent="0.3">
      <c r="A117" s="365"/>
    </row>
    <row r="118" spans="1:1" x14ac:dyDescent="0.3">
      <c r="A118" s="365"/>
    </row>
    <row r="119" spans="1:1" x14ac:dyDescent="0.3">
      <c r="A119" s="365"/>
    </row>
    <row r="120" spans="1:1" x14ac:dyDescent="0.3">
      <c r="A120" s="365"/>
    </row>
    <row r="121" spans="1:1" x14ac:dyDescent="0.3">
      <c r="A121" s="365"/>
    </row>
    <row r="122" spans="1:1" x14ac:dyDescent="0.3">
      <c r="A122" s="365"/>
    </row>
    <row r="123" spans="1:1" x14ac:dyDescent="0.3">
      <c r="A123" s="365"/>
    </row>
    <row r="124" spans="1:1" x14ac:dyDescent="0.3">
      <c r="A124" s="365"/>
    </row>
    <row r="125" spans="1:1" x14ac:dyDescent="0.3">
      <c r="A125" s="365"/>
    </row>
    <row r="126" spans="1:1" x14ac:dyDescent="0.3">
      <c r="A126" s="365"/>
    </row>
    <row r="127" spans="1:1" x14ac:dyDescent="0.3">
      <c r="A127" s="365"/>
    </row>
    <row r="128" spans="1:1" x14ac:dyDescent="0.3">
      <c r="A128" s="365"/>
    </row>
    <row r="129" spans="1:1" x14ac:dyDescent="0.3">
      <c r="A129" s="365"/>
    </row>
    <row r="130" spans="1:1" x14ac:dyDescent="0.3">
      <c r="A130" s="365"/>
    </row>
    <row r="131" spans="1:1" x14ac:dyDescent="0.3">
      <c r="A131" s="365"/>
    </row>
    <row r="132" spans="1:1" x14ac:dyDescent="0.3">
      <c r="A132" s="365"/>
    </row>
    <row r="133" spans="1:1" x14ac:dyDescent="0.3">
      <c r="A133" s="365"/>
    </row>
    <row r="134" spans="1:1" x14ac:dyDescent="0.3">
      <c r="A134" s="365"/>
    </row>
    <row r="135" spans="1:1" x14ac:dyDescent="0.3">
      <c r="A135" s="365"/>
    </row>
    <row r="136" spans="1:1" x14ac:dyDescent="0.3">
      <c r="A136" s="365"/>
    </row>
    <row r="137" spans="1:1" x14ac:dyDescent="0.3">
      <c r="A137" s="365"/>
    </row>
    <row r="138" spans="1:1" x14ac:dyDescent="0.3">
      <c r="A138" s="365"/>
    </row>
    <row r="139" spans="1:1" x14ac:dyDescent="0.3">
      <c r="A139" s="365"/>
    </row>
    <row r="140" spans="1:1" x14ac:dyDescent="0.3">
      <c r="A140" s="365"/>
    </row>
    <row r="141" spans="1:1" x14ac:dyDescent="0.3">
      <c r="A141" s="365"/>
    </row>
    <row r="142" spans="1:1" x14ac:dyDescent="0.3">
      <c r="A142" s="365"/>
    </row>
    <row r="143" spans="1:1" x14ac:dyDescent="0.3">
      <c r="A143" s="365"/>
    </row>
    <row r="144" spans="1:1" x14ac:dyDescent="0.3">
      <c r="A144" s="365"/>
    </row>
    <row r="145" spans="1:1" x14ac:dyDescent="0.3">
      <c r="A145" s="365"/>
    </row>
    <row r="146" spans="1:1" x14ac:dyDescent="0.3">
      <c r="A146" s="365"/>
    </row>
    <row r="147" spans="1:1" x14ac:dyDescent="0.3">
      <c r="A147" s="365"/>
    </row>
    <row r="148" spans="1:1" x14ac:dyDescent="0.3">
      <c r="A148" s="365"/>
    </row>
    <row r="149" spans="1:1" x14ac:dyDescent="0.3">
      <c r="A149" s="365"/>
    </row>
    <row r="150" spans="1:1" x14ac:dyDescent="0.3">
      <c r="A150" s="365"/>
    </row>
    <row r="151" spans="1:1" x14ac:dyDescent="0.3">
      <c r="A151" s="365"/>
    </row>
    <row r="152" spans="1:1" x14ac:dyDescent="0.3">
      <c r="A152" s="365"/>
    </row>
    <row r="153" spans="1:1" x14ac:dyDescent="0.3">
      <c r="A153" s="365"/>
    </row>
    <row r="154" spans="1:1" x14ac:dyDescent="0.3">
      <c r="A154" s="365"/>
    </row>
    <row r="155" spans="1:1" x14ac:dyDescent="0.3">
      <c r="A155" s="365"/>
    </row>
    <row r="156" spans="1:1" x14ac:dyDescent="0.3">
      <c r="A156" s="365"/>
    </row>
    <row r="157" spans="1:1" x14ac:dyDescent="0.3">
      <c r="A157" s="365"/>
    </row>
    <row r="158" spans="1:1" x14ac:dyDescent="0.3">
      <c r="A158" s="365"/>
    </row>
    <row r="159" spans="1:1" x14ac:dyDescent="0.3">
      <c r="A159" s="365"/>
    </row>
    <row r="160" spans="1:1" x14ac:dyDescent="0.3">
      <c r="A160" s="365"/>
    </row>
    <row r="161" spans="1:1" x14ac:dyDescent="0.3">
      <c r="A161" s="365"/>
    </row>
    <row r="162" spans="1:1" x14ac:dyDescent="0.3">
      <c r="A162" s="365"/>
    </row>
    <row r="163" spans="1:1" x14ac:dyDescent="0.3">
      <c r="A163" s="365"/>
    </row>
    <row r="164" spans="1:1" x14ac:dyDescent="0.3">
      <c r="A164" s="365"/>
    </row>
    <row r="165" spans="1:1" x14ac:dyDescent="0.3">
      <c r="A165" s="365"/>
    </row>
    <row r="166" spans="1:1" x14ac:dyDescent="0.3">
      <c r="A166" s="365"/>
    </row>
    <row r="167" spans="1:1" x14ac:dyDescent="0.3">
      <c r="A167" s="365"/>
    </row>
    <row r="168" spans="1:1" x14ac:dyDescent="0.3">
      <c r="A168" s="365"/>
    </row>
    <row r="169" spans="1:1" x14ac:dyDescent="0.3">
      <c r="A169" s="365"/>
    </row>
    <row r="170" spans="1:1" x14ac:dyDescent="0.3">
      <c r="A170" s="365"/>
    </row>
    <row r="171" spans="1:1" x14ac:dyDescent="0.3">
      <c r="A171" s="365"/>
    </row>
    <row r="172" spans="1:1" x14ac:dyDescent="0.3">
      <c r="A172" s="365"/>
    </row>
    <row r="173" spans="1:1" x14ac:dyDescent="0.3">
      <c r="A173" s="365"/>
    </row>
    <row r="174" spans="1:1" x14ac:dyDescent="0.3">
      <c r="A174" s="365"/>
    </row>
    <row r="175" spans="1:1" x14ac:dyDescent="0.3">
      <c r="A175" s="365"/>
    </row>
    <row r="176" spans="1:1" x14ac:dyDescent="0.3">
      <c r="A176" s="365"/>
    </row>
    <row r="177" spans="1:1" x14ac:dyDescent="0.3">
      <c r="A177" s="365"/>
    </row>
    <row r="178" spans="1:1" x14ac:dyDescent="0.3">
      <c r="A178" s="365"/>
    </row>
    <row r="179" spans="1:1" x14ac:dyDescent="0.3">
      <c r="A179" s="365"/>
    </row>
    <row r="180" spans="1:1" x14ac:dyDescent="0.3">
      <c r="A180" s="365"/>
    </row>
    <row r="181" spans="1:1" x14ac:dyDescent="0.3">
      <c r="A181" s="365"/>
    </row>
    <row r="182" spans="1:1" x14ac:dyDescent="0.3">
      <c r="A182" s="365"/>
    </row>
    <row r="183" spans="1:1" x14ac:dyDescent="0.3">
      <c r="A183" s="365"/>
    </row>
    <row r="184" spans="1:1" x14ac:dyDescent="0.3">
      <c r="A184" s="365"/>
    </row>
    <row r="185" spans="1:1" x14ac:dyDescent="0.3">
      <c r="A185" s="365"/>
    </row>
    <row r="186" spans="1:1" x14ac:dyDescent="0.3">
      <c r="A186" s="365"/>
    </row>
    <row r="187" spans="1:1" x14ac:dyDescent="0.3">
      <c r="A187" s="365"/>
    </row>
    <row r="188" spans="1:1" x14ac:dyDescent="0.3">
      <c r="A188" s="365"/>
    </row>
    <row r="189" spans="1:1" x14ac:dyDescent="0.3">
      <c r="A189" s="365"/>
    </row>
    <row r="190" spans="1:1" x14ac:dyDescent="0.3">
      <c r="A190" s="365"/>
    </row>
    <row r="191" spans="1:1" x14ac:dyDescent="0.3">
      <c r="A191" s="365"/>
    </row>
    <row r="192" spans="1:1" x14ac:dyDescent="0.3">
      <c r="A192" s="365"/>
    </row>
    <row r="193" spans="1:1" x14ac:dyDescent="0.3">
      <c r="A193" s="365"/>
    </row>
    <row r="194" spans="1:1" x14ac:dyDescent="0.3">
      <c r="A194" s="365"/>
    </row>
    <row r="195" spans="1:1" x14ac:dyDescent="0.3">
      <c r="A195" s="365"/>
    </row>
    <row r="196" spans="1:1" x14ac:dyDescent="0.3">
      <c r="A196" s="365"/>
    </row>
    <row r="197" spans="1:1" x14ac:dyDescent="0.3">
      <c r="A197" s="365"/>
    </row>
    <row r="198" spans="1:1" x14ac:dyDescent="0.3">
      <c r="A198" s="365"/>
    </row>
    <row r="199" spans="1:1" x14ac:dyDescent="0.3">
      <c r="A199" s="365"/>
    </row>
    <row r="200" spans="1:1" x14ac:dyDescent="0.3">
      <c r="A200" s="365"/>
    </row>
    <row r="201" spans="1:1" x14ac:dyDescent="0.3">
      <c r="A201" s="365"/>
    </row>
    <row r="202" spans="1:1" x14ac:dyDescent="0.3">
      <c r="A202" s="365"/>
    </row>
    <row r="203" spans="1:1" x14ac:dyDescent="0.3">
      <c r="A203" s="365"/>
    </row>
    <row r="204" spans="1:1" x14ac:dyDescent="0.3">
      <c r="A204" s="365"/>
    </row>
    <row r="205" spans="1:1" x14ac:dyDescent="0.3">
      <c r="A205" s="365"/>
    </row>
    <row r="206" spans="1:1" x14ac:dyDescent="0.3">
      <c r="A206" s="365"/>
    </row>
    <row r="207" spans="1:1" x14ac:dyDescent="0.3">
      <c r="A207" s="365"/>
    </row>
    <row r="208" spans="1:1" x14ac:dyDescent="0.3">
      <c r="A208" s="365"/>
    </row>
    <row r="209" spans="1:1" x14ac:dyDescent="0.3">
      <c r="A209" s="365"/>
    </row>
    <row r="210" spans="1:1" x14ac:dyDescent="0.3">
      <c r="A210" s="365"/>
    </row>
    <row r="211" spans="1:1" x14ac:dyDescent="0.3">
      <c r="A211" s="365"/>
    </row>
    <row r="212" spans="1:1" x14ac:dyDescent="0.3">
      <c r="A212" s="365"/>
    </row>
    <row r="213" spans="1:1" x14ac:dyDescent="0.3">
      <c r="A213" s="365"/>
    </row>
    <row r="214" spans="1:1" x14ac:dyDescent="0.3">
      <c r="A214" s="365"/>
    </row>
    <row r="215" spans="1:1" x14ac:dyDescent="0.3">
      <c r="A215" s="365"/>
    </row>
    <row r="216" spans="1:1" x14ac:dyDescent="0.3">
      <c r="A216" s="365"/>
    </row>
    <row r="217" spans="1:1" x14ac:dyDescent="0.3">
      <c r="A217" s="365"/>
    </row>
    <row r="218" spans="1:1" x14ac:dyDescent="0.3">
      <c r="A218" s="365"/>
    </row>
    <row r="219" spans="1:1" x14ac:dyDescent="0.3">
      <c r="A219" s="365"/>
    </row>
    <row r="220" spans="1:1" x14ac:dyDescent="0.3">
      <c r="A220" s="365"/>
    </row>
    <row r="221" spans="1:1" x14ac:dyDescent="0.3">
      <c r="A221" s="365"/>
    </row>
    <row r="222" spans="1:1" x14ac:dyDescent="0.3">
      <c r="A222" s="365"/>
    </row>
    <row r="223" spans="1:1" x14ac:dyDescent="0.3">
      <c r="A223" s="365"/>
    </row>
    <row r="224" spans="1:1" x14ac:dyDescent="0.3">
      <c r="A224" s="365"/>
    </row>
    <row r="225" spans="1:1" x14ac:dyDescent="0.3">
      <c r="A225" s="365"/>
    </row>
    <row r="226" spans="1:1" x14ac:dyDescent="0.3">
      <c r="A226" s="365"/>
    </row>
    <row r="227" spans="1:1" x14ac:dyDescent="0.3">
      <c r="A227" s="365"/>
    </row>
    <row r="228" spans="1:1" x14ac:dyDescent="0.3">
      <c r="A228" s="365"/>
    </row>
    <row r="229" spans="1:1" x14ac:dyDescent="0.3">
      <c r="A229" s="365"/>
    </row>
    <row r="230" spans="1:1" x14ac:dyDescent="0.3">
      <c r="A230" s="365"/>
    </row>
    <row r="231" spans="1:1" x14ac:dyDescent="0.3">
      <c r="A231" s="365"/>
    </row>
    <row r="232" spans="1:1" x14ac:dyDescent="0.3">
      <c r="A232" s="365"/>
    </row>
    <row r="233" spans="1:1" x14ac:dyDescent="0.3">
      <c r="A233" s="365"/>
    </row>
    <row r="234" spans="1:1" x14ac:dyDescent="0.3">
      <c r="A234" s="365"/>
    </row>
    <row r="235" spans="1:1" x14ac:dyDescent="0.3">
      <c r="A235" s="365"/>
    </row>
    <row r="236" spans="1:1" x14ac:dyDescent="0.3">
      <c r="A236" s="365"/>
    </row>
    <row r="237" spans="1:1" x14ac:dyDescent="0.3">
      <c r="A237" s="365"/>
    </row>
    <row r="238" spans="1:1" x14ac:dyDescent="0.3">
      <c r="A238" s="365"/>
    </row>
    <row r="239" spans="1:1" x14ac:dyDescent="0.3">
      <c r="A239" s="365"/>
    </row>
    <row r="240" spans="1:1" x14ac:dyDescent="0.3">
      <c r="A240" s="365"/>
    </row>
    <row r="241" spans="1:1" x14ac:dyDescent="0.3">
      <c r="A241" s="365"/>
    </row>
    <row r="242" spans="1:1" x14ac:dyDescent="0.3">
      <c r="A242" s="365"/>
    </row>
    <row r="243" spans="1:1" x14ac:dyDescent="0.3">
      <c r="A243" s="365"/>
    </row>
    <row r="244" spans="1:1" x14ac:dyDescent="0.3">
      <c r="A244" s="365"/>
    </row>
    <row r="245" spans="1:1" x14ac:dyDescent="0.3">
      <c r="A245" s="365"/>
    </row>
    <row r="246" spans="1:1" x14ac:dyDescent="0.3">
      <c r="A246" s="365"/>
    </row>
    <row r="247" spans="1:1" x14ac:dyDescent="0.3">
      <c r="A247" s="365"/>
    </row>
    <row r="248" spans="1:1" x14ac:dyDescent="0.3">
      <c r="A248" s="365"/>
    </row>
    <row r="249" spans="1:1" x14ac:dyDescent="0.3">
      <c r="A249" s="365"/>
    </row>
    <row r="250" spans="1:1" x14ac:dyDescent="0.3">
      <c r="A250" s="365"/>
    </row>
    <row r="251" spans="1:1" x14ac:dyDescent="0.3">
      <c r="A251" s="365"/>
    </row>
    <row r="252" spans="1:1" x14ac:dyDescent="0.3">
      <c r="A252" s="365"/>
    </row>
    <row r="253" spans="1:1" x14ac:dyDescent="0.3">
      <c r="A253" s="365"/>
    </row>
    <row r="254" spans="1:1" x14ac:dyDescent="0.3">
      <c r="A254" s="365"/>
    </row>
    <row r="255" spans="1:1" x14ac:dyDescent="0.3">
      <c r="A255" s="365"/>
    </row>
    <row r="256" spans="1:1" x14ac:dyDescent="0.3">
      <c r="A256" s="365"/>
    </row>
    <row r="257" spans="1:1" x14ac:dyDescent="0.3">
      <c r="A257" s="365"/>
    </row>
    <row r="258" spans="1:1" x14ac:dyDescent="0.3">
      <c r="A258" s="365"/>
    </row>
    <row r="259" spans="1:1" x14ac:dyDescent="0.3">
      <c r="A259" s="365"/>
    </row>
    <row r="260" spans="1:1" x14ac:dyDescent="0.3">
      <c r="A260" s="365"/>
    </row>
    <row r="261" spans="1:1" x14ac:dyDescent="0.3">
      <c r="A261" s="365"/>
    </row>
    <row r="262" spans="1:1" x14ac:dyDescent="0.3">
      <c r="A262" s="365"/>
    </row>
    <row r="263" spans="1:1" x14ac:dyDescent="0.3">
      <c r="A263" s="365"/>
    </row>
    <row r="264" spans="1:1" x14ac:dyDescent="0.3">
      <c r="A264" s="365"/>
    </row>
    <row r="265" spans="1:1" x14ac:dyDescent="0.3">
      <c r="A265" s="365"/>
    </row>
    <row r="266" spans="1:1" x14ac:dyDescent="0.3">
      <c r="A266" s="365"/>
    </row>
    <row r="267" spans="1:1" x14ac:dyDescent="0.3">
      <c r="A267" s="365"/>
    </row>
    <row r="268" spans="1:1" x14ac:dyDescent="0.3">
      <c r="A268" s="365"/>
    </row>
    <row r="269" spans="1:1" x14ac:dyDescent="0.3">
      <c r="A269" s="365"/>
    </row>
    <row r="270" spans="1:1" x14ac:dyDescent="0.3">
      <c r="A270" s="365"/>
    </row>
    <row r="271" spans="1:1" x14ac:dyDescent="0.3">
      <c r="A271" s="365"/>
    </row>
    <row r="272" spans="1:1" x14ac:dyDescent="0.3">
      <c r="A272" s="365"/>
    </row>
    <row r="273" spans="1:1" x14ac:dyDescent="0.3">
      <c r="A273" s="365"/>
    </row>
    <row r="274" spans="1:1" x14ac:dyDescent="0.3">
      <c r="A274" s="365"/>
    </row>
    <row r="275" spans="1:1" x14ac:dyDescent="0.3">
      <c r="A275" s="365"/>
    </row>
    <row r="276" spans="1:1" x14ac:dyDescent="0.3">
      <c r="A276" s="365"/>
    </row>
    <row r="277" spans="1:1" x14ac:dyDescent="0.3">
      <c r="A277" s="365"/>
    </row>
    <row r="278" spans="1:1" x14ac:dyDescent="0.3">
      <c r="A278" s="365"/>
    </row>
    <row r="279" spans="1:1" x14ac:dyDescent="0.3">
      <c r="A279" s="365"/>
    </row>
    <row r="280" spans="1:1" x14ac:dyDescent="0.3">
      <c r="A280" s="365"/>
    </row>
    <row r="281" spans="1:1" x14ac:dyDescent="0.3">
      <c r="A281" s="365"/>
    </row>
    <row r="282" spans="1:1" x14ac:dyDescent="0.3">
      <c r="A282" s="365"/>
    </row>
    <row r="283" spans="1:1" x14ac:dyDescent="0.3">
      <c r="A283" s="365"/>
    </row>
    <row r="284" spans="1:1" x14ac:dyDescent="0.3">
      <c r="A284" s="365"/>
    </row>
    <row r="285" spans="1:1" x14ac:dyDescent="0.3">
      <c r="A285" s="365"/>
    </row>
    <row r="286" spans="1:1" x14ac:dyDescent="0.3">
      <c r="A286" s="365"/>
    </row>
    <row r="287" spans="1:1" x14ac:dyDescent="0.3">
      <c r="A287" s="365"/>
    </row>
    <row r="288" spans="1:1" x14ac:dyDescent="0.3">
      <c r="A288" s="365"/>
    </row>
    <row r="289" spans="1:1" x14ac:dyDescent="0.3">
      <c r="A289" s="365"/>
    </row>
    <row r="290" spans="1:1" x14ac:dyDescent="0.3">
      <c r="A290" s="365"/>
    </row>
    <row r="291" spans="1:1" x14ac:dyDescent="0.3">
      <c r="A291" s="365"/>
    </row>
    <row r="292" spans="1:1" x14ac:dyDescent="0.3">
      <c r="A292" s="365"/>
    </row>
    <row r="293" spans="1:1" x14ac:dyDescent="0.3">
      <c r="A293" s="365"/>
    </row>
    <row r="294" spans="1:1" x14ac:dyDescent="0.3">
      <c r="A294" s="365"/>
    </row>
    <row r="295" spans="1:1" x14ac:dyDescent="0.3">
      <c r="A295" s="365"/>
    </row>
    <row r="296" spans="1:1" x14ac:dyDescent="0.3">
      <c r="A296" s="365"/>
    </row>
    <row r="297" spans="1:1" x14ac:dyDescent="0.3">
      <c r="A297" s="365"/>
    </row>
    <row r="298" spans="1:1" x14ac:dyDescent="0.3">
      <c r="A298" s="365"/>
    </row>
    <row r="299" spans="1:1" x14ac:dyDescent="0.3">
      <c r="A299" s="365"/>
    </row>
    <row r="300" spans="1:1" x14ac:dyDescent="0.3">
      <c r="A300" s="365"/>
    </row>
    <row r="301" spans="1:1" x14ac:dyDescent="0.3">
      <c r="A301" s="365"/>
    </row>
    <row r="302" spans="1:1" x14ac:dyDescent="0.3">
      <c r="A302" s="365"/>
    </row>
    <row r="303" spans="1:1" x14ac:dyDescent="0.3">
      <c r="A303" s="365"/>
    </row>
    <row r="304" spans="1:1" x14ac:dyDescent="0.3">
      <c r="A304" s="365"/>
    </row>
    <row r="305" spans="1:1" x14ac:dyDescent="0.3">
      <c r="A305" s="365"/>
    </row>
    <row r="306" spans="1:1" x14ac:dyDescent="0.3">
      <c r="A306" s="365"/>
    </row>
    <row r="307" spans="1:1" x14ac:dyDescent="0.3">
      <c r="A307" s="365"/>
    </row>
    <row r="308" spans="1:1" x14ac:dyDescent="0.3">
      <c r="A308" s="365"/>
    </row>
    <row r="309" spans="1:1" x14ac:dyDescent="0.3">
      <c r="A309" s="365"/>
    </row>
    <row r="310" spans="1:1" x14ac:dyDescent="0.3">
      <c r="A310" s="365"/>
    </row>
    <row r="311" spans="1:1" x14ac:dyDescent="0.3">
      <c r="A311" s="365"/>
    </row>
    <row r="312" spans="1:1" x14ac:dyDescent="0.3">
      <c r="A312" s="365"/>
    </row>
    <row r="313" spans="1:1" x14ac:dyDescent="0.3">
      <c r="A313" s="365"/>
    </row>
    <row r="314" spans="1:1" x14ac:dyDescent="0.3">
      <c r="A314" s="365"/>
    </row>
    <row r="315" spans="1:1" x14ac:dyDescent="0.3">
      <c r="A315" s="365"/>
    </row>
    <row r="316" spans="1:1" x14ac:dyDescent="0.3">
      <c r="A316" s="365"/>
    </row>
    <row r="317" spans="1:1" x14ac:dyDescent="0.3">
      <c r="A317" s="365"/>
    </row>
    <row r="318" spans="1:1" x14ac:dyDescent="0.3">
      <c r="A318" s="365"/>
    </row>
    <row r="319" spans="1:1" x14ac:dyDescent="0.3">
      <c r="A319" s="365"/>
    </row>
    <row r="320" spans="1:1" x14ac:dyDescent="0.3">
      <c r="A320" s="365"/>
    </row>
    <row r="321" spans="1:1" x14ac:dyDescent="0.3">
      <c r="A321" s="365"/>
    </row>
    <row r="322" spans="1:1" x14ac:dyDescent="0.3">
      <c r="A322" s="365"/>
    </row>
    <row r="323" spans="1:1" x14ac:dyDescent="0.3">
      <c r="A323" s="365"/>
    </row>
    <row r="324" spans="1:1" x14ac:dyDescent="0.3">
      <c r="A324" s="365"/>
    </row>
    <row r="325" spans="1:1" x14ac:dyDescent="0.3">
      <c r="A325" s="365"/>
    </row>
    <row r="326" spans="1:1" x14ac:dyDescent="0.3">
      <c r="A326" s="365"/>
    </row>
    <row r="327" spans="1:1" x14ac:dyDescent="0.3">
      <c r="A327" s="365"/>
    </row>
    <row r="328" spans="1:1" x14ac:dyDescent="0.3">
      <c r="A328" s="365"/>
    </row>
    <row r="329" spans="1:1" x14ac:dyDescent="0.3">
      <c r="A329" s="365"/>
    </row>
    <row r="330" spans="1:1" x14ac:dyDescent="0.3">
      <c r="A330" s="365"/>
    </row>
    <row r="331" spans="1:1" x14ac:dyDescent="0.3">
      <c r="A331" s="365"/>
    </row>
    <row r="332" spans="1:1" x14ac:dyDescent="0.3">
      <c r="A332" s="365"/>
    </row>
    <row r="333" spans="1:1" x14ac:dyDescent="0.3">
      <c r="A333" s="365"/>
    </row>
    <row r="334" spans="1:1" x14ac:dyDescent="0.3">
      <c r="A334" s="365"/>
    </row>
    <row r="335" spans="1:1" x14ac:dyDescent="0.3">
      <c r="A335" s="365"/>
    </row>
    <row r="336" spans="1:1" x14ac:dyDescent="0.3">
      <c r="A336" s="365"/>
    </row>
    <row r="337" spans="1:1" x14ac:dyDescent="0.3">
      <c r="A337" s="365"/>
    </row>
    <row r="338" spans="1:1" x14ac:dyDescent="0.3">
      <c r="A338" s="365"/>
    </row>
    <row r="339" spans="1:1" x14ac:dyDescent="0.3">
      <c r="A339" s="365"/>
    </row>
    <row r="340" spans="1:1" x14ac:dyDescent="0.3">
      <c r="A340" s="365"/>
    </row>
    <row r="341" spans="1:1" x14ac:dyDescent="0.3">
      <c r="A341" s="365"/>
    </row>
    <row r="342" spans="1:1" x14ac:dyDescent="0.3">
      <c r="A342" s="365"/>
    </row>
    <row r="343" spans="1:1" x14ac:dyDescent="0.3">
      <c r="A343" s="365"/>
    </row>
    <row r="344" spans="1:1" x14ac:dyDescent="0.3">
      <c r="A344" s="365"/>
    </row>
    <row r="345" spans="1:1" x14ac:dyDescent="0.3">
      <c r="A345" s="365"/>
    </row>
    <row r="346" spans="1:1" x14ac:dyDescent="0.3">
      <c r="A346" s="365"/>
    </row>
    <row r="347" spans="1:1" x14ac:dyDescent="0.3">
      <c r="A347" s="365"/>
    </row>
    <row r="348" spans="1:1" x14ac:dyDescent="0.3">
      <c r="A348" s="365"/>
    </row>
    <row r="349" spans="1:1" x14ac:dyDescent="0.3">
      <c r="A349" s="365"/>
    </row>
    <row r="350" spans="1:1" x14ac:dyDescent="0.3">
      <c r="A350" s="365"/>
    </row>
    <row r="351" spans="1:1" x14ac:dyDescent="0.3">
      <c r="A351" s="365"/>
    </row>
    <row r="352" spans="1:1" x14ac:dyDescent="0.3">
      <c r="A352" s="365"/>
    </row>
    <row r="353" spans="1:1" x14ac:dyDescent="0.3">
      <c r="A353" s="365"/>
    </row>
    <row r="354" spans="1:1" x14ac:dyDescent="0.3">
      <c r="A354" s="365"/>
    </row>
    <row r="355" spans="1:1" x14ac:dyDescent="0.3">
      <c r="A355" s="365"/>
    </row>
    <row r="356" spans="1:1" x14ac:dyDescent="0.3">
      <c r="A356" s="365"/>
    </row>
    <row r="357" spans="1:1" x14ac:dyDescent="0.3">
      <c r="A357" s="365"/>
    </row>
    <row r="358" spans="1:1" x14ac:dyDescent="0.3">
      <c r="A358" s="365"/>
    </row>
    <row r="359" spans="1:1" x14ac:dyDescent="0.3">
      <c r="A359" s="365"/>
    </row>
    <row r="360" spans="1:1" x14ac:dyDescent="0.3">
      <c r="A360" s="365"/>
    </row>
    <row r="361" spans="1:1" x14ac:dyDescent="0.3">
      <c r="A361" s="365"/>
    </row>
    <row r="362" spans="1:1" x14ac:dyDescent="0.3">
      <c r="A362" s="365"/>
    </row>
    <row r="363" spans="1:1" x14ac:dyDescent="0.3">
      <c r="A363" s="365"/>
    </row>
    <row r="364" spans="1:1" x14ac:dyDescent="0.3">
      <c r="A364" s="365"/>
    </row>
    <row r="365" spans="1:1" x14ac:dyDescent="0.3">
      <c r="A365" s="365"/>
    </row>
    <row r="366" spans="1:1" x14ac:dyDescent="0.3">
      <c r="A366" s="365"/>
    </row>
    <row r="367" spans="1:1" x14ac:dyDescent="0.3">
      <c r="A367" s="365"/>
    </row>
    <row r="368" spans="1:1" x14ac:dyDescent="0.3">
      <c r="A368" s="365"/>
    </row>
    <row r="369" spans="1:1" x14ac:dyDescent="0.3">
      <c r="A369" s="365"/>
    </row>
    <row r="370" spans="1:1" x14ac:dyDescent="0.3">
      <c r="A370" s="365"/>
    </row>
    <row r="371" spans="1:1" x14ac:dyDescent="0.3">
      <c r="A371" s="365"/>
    </row>
    <row r="372" spans="1:1" x14ac:dyDescent="0.3">
      <c r="A372" s="365"/>
    </row>
    <row r="373" spans="1:1" x14ac:dyDescent="0.3">
      <c r="A373" s="365"/>
    </row>
    <row r="374" spans="1:1" x14ac:dyDescent="0.3">
      <c r="A374" s="365"/>
    </row>
    <row r="375" spans="1:1" x14ac:dyDescent="0.3">
      <c r="A375" s="365"/>
    </row>
    <row r="376" spans="1:1" x14ac:dyDescent="0.3">
      <c r="A376" s="365"/>
    </row>
    <row r="377" spans="1:1" x14ac:dyDescent="0.3">
      <c r="A377" s="365"/>
    </row>
    <row r="378" spans="1:1" x14ac:dyDescent="0.3">
      <c r="A378" s="365"/>
    </row>
    <row r="379" spans="1:1" x14ac:dyDescent="0.3">
      <c r="A379" s="365"/>
    </row>
    <row r="380" spans="1:1" x14ac:dyDescent="0.3">
      <c r="A380" s="365"/>
    </row>
    <row r="381" spans="1:1" x14ac:dyDescent="0.3">
      <c r="A381" s="365"/>
    </row>
    <row r="382" spans="1:1" x14ac:dyDescent="0.3">
      <c r="A382" s="365"/>
    </row>
    <row r="383" spans="1:1" x14ac:dyDescent="0.3">
      <c r="A383" s="365"/>
    </row>
    <row r="384" spans="1:1" x14ac:dyDescent="0.3">
      <c r="A384" s="365"/>
    </row>
    <row r="385" spans="1:1" x14ac:dyDescent="0.3">
      <c r="A385" s="365"/>
    </row>
    <row r="386" spans="1:1" x14ac:dyDescent="0.3">
      <c r="A386" s="365"/>
    </row>
    <row r="387" spans="1:1" x14ac:dyDescent="0.3">
      <c r="A387" s="365"/>
    </row>
    <row r="388" spans="1:1" x14ac:dyDescent="0.3">
      <c r="A388" s="365"/>
    </row>
    <row r="389" spans="1:1" x14ac:dyDescent="0.3">
      <c r="A389" s="365"/>
    </row>
    <row r="390" spans="1:1" x14ac:dyDescent="0.3">
      <c r="A390" s="365"/>
    </row>
    <row r="391" spans="1:1" x14ac:dyDescent="0.3">
      <c r="A391" s="365"/>
    </row>
    <row r="392" spans="1:1" x14ac:dyDescent="0.3">
      <c r="A392" s="365"/>
    </row>
    <row r="393" spans="1:1" x14ac:dyDescent="0.3">
      <c r="A393" s="365"/>
    </row>
    <row r="394" spans="1:1" x14ac:dyDescent="0.3">
      <c r="A394" s="365"/>
    </row>
    <row r="395" spans="1:1" x14ac:dyDescent="0.3">
      <c r="A395" s="365"/>
    </row>
    <row r="396" spans="1:1" x14ac:dyDescent="0.3">
      <c r="A396" s="365"/>
    </row>
    <row r="397" spans="1:1" x14ac:dyDescent="0.3">
      <c r="A397" s="365"/>
    </row>
    <row r="398" spans="1:1" x14ac:dyDescent="0.3">
      <c r="A398" s="365"/>
    </row>
    <row r="399" spans="1:1" x14ac:dyDescent="0.3">
      <c r="A399" s="365"/>
    </row>
    <row r="400" spans="1:1" x14ac:dyDescent="0.3">
      <c r="A400" s="365"/>
    </row>
    <row r="401" spans="1:1" x14ac:dyDescent="0.3">
      <c r="A401" s="365"/>
    </row>
    <row r="402" spans="1:1" x14ac:dyDescent="0.3">
      <c r="A402" s="365"/>
    </row>
    <row r="403" spans="1:1" x14ac:dyDescent="0.3">
      <c r="A403" s="365"/>
    </row>
    <row r="404" spans="1:1" x14ac:dyDescent="0.3">
      <c r="A404" s="365"/>
    </row>
    <row r="405" spans="1:1" x14ac:dyDescent="0.3">
      <c r="A405" s="365"/>
    </row>
    <row r="406" spans="1:1" x14ac:dyDescent="0.3">
      <c r="A406" s="365"/>
    </row>
    <row r="407" spans="1:1" x14ac:dyDescent="0.3">
      <c r="A407" s="365"/>
    </row>
    <row r="408" spans="1:1" x14ac:dyDescent="0.3">
      <c r="A408" s="365"/>
    </row>
    <row r="409" spans="1:1" x14ac:dyDescent="0.3">
      <c r="A409" s="365"/>
    </row>
    <row r="410" spans="1:1" x14ac:dyDescent="0.3">
      <c r="A410" s="365"/>
    </row>
    <row r="411" spans="1:1" x14ac:dyDescent="0.3">
      <c r="A411" s="365"/>
    </row>
    <row r="412" spans="1:1" x14ac:dyDescent="0.3">
      <c r="A412" s="365"/>
    </row>
    <row r="413" spans="1:1" x14ac:dyDescent="0.3">
      <c r="A413" s="365"/>
    </row>
    <row r="414" spans="1:1" x14ac:dyDescent="0.3">
      <c r="A414" s="365"/>
    </row>
    <row r="415" spans="1:1" x14ac:dyDescent="0.3">
      <c r="A415" s="365"/>
    </row>
    <row r="416" spans="1:1" x14ac:dyDescent="0.3">
      <c r="A416" s="365"/>
    </row>
    <row r="417" spans="1:1" x14ac:dyDescent="0.3">
      <c r="A417" s="365"/>
    </row>
    <row r="418" spans="1:1" x14ac:dyDescent="0.3">
      <c r="A418" s="365"/>
    </row>
    <row r="419" spans="1:1" x14ac:dyDescent="0.3">
      <c r="A419" s="365"/>
    </row>
    <row r="420" spans="1:1" x14ac:dyDescent="0.3">
      <c r="A420" s="365"/>
    </row>
    <row r="421" spans="1:1" x14ac:dyDescent="0.3">
      <c r="A421" s="365"/>
    </row>
    <row r="422" spans="1:1" x14ac:dyDescent="0.3">
      <c r="A422" s="365"/>
    </row>
    <row r="423" spans="1:1" x14ac:dyDescent="0.3">
      <c r="A423" s="365"/>
    </row>
    <row r="424" spans="1:1" x14ac:dyDescent="0.3">
      <c r="A424" s="365"/>
    </row>
    <row r="425" spans="1:1" x14ac:dyDescent="0.3">
      <c r="A425" s="365"/>
    </row>
    <row r="426" spans="1:1" x14ac:dyDescent="0.3">
      <c r="A426" s="365"/>
    </row>
    <row r="427" spans="1:1" x14ac:dyDescent="0.3">
      <c r="A427" s="365"/>
    </row>
    <row r="428" spans="1:1" x14ac:dyDescent="0.3">
      <c r="A428" s="365"/>
    </row>
    <row r="429" spans="1:1" x14ac:dyDescent="0.3">
      <c r="A429" s="365"/>
    </row>
    <row r="430" spans="1:1" x14ac:dyDescent="0.3">
      <c r="A430" s="365"/>
    </row>
    <row r="431" spans="1:1" x14ac:dyDescent="0.3">
      <c r="A431" s="365"/>
    </row>
    <row r="432" spans="1:1" x14ac:dyDescent="0.3">
      <c r="A432" s="365"/>
    </row>
    <row r="433" spans="1:1" x14ac:dyDescent="0.3">
      <c r="A433" s="365"/>
    </row>
    <row r="434" spans="1:1" x14ac:dyDescent="0.3">
      <c r="A434" s="365"/>
    </row>
    <row r="435" spans="1:1" x14ac:dyDescent="0.3">
      <c r="A435" s="365"/>
    </row>
    <row r="436" spans="1:1" x14ac:dyDescent="0.3">
      <c r="A436" s="365"/>
    </row>
    <row r="437" spans="1:1" x14ac:dyDescent="0.3">
      <c r="A437" s="365"/>
    </row>
    <row r="438" spans="1:1" x14ac:dyDescent="0.3">
      <c r="A438" s="365"/>
    </row>
    <row r="439" spans="1:1" x14ac:dyDescent="0.3">
      <c r="A439" s="365"/>
    </row>
    <row r="440" spans="1:1" x14ac:dyDescent="0.3">
      <c r="A440" s="365"/>
    </row>
    <row r="441" spans="1:1" x14ac:dyDescent="0.3">
      <c r="A441" s="365"/>
    </row>
    <row r="442" spans="1:1" x14ac:dyDescent="0.3">
      <c r="A442" s="365"/>
    </row>
    <row r="443" spans="1:1" x14ac:dyDescent="0.3">
      <c r="A443" s="365"/>
    </row>
    <row r="444" spans="1:1" x14ac:dyDescent="0.3">
      <c r="A444" s="365"/>
    </row>
    <row r="445" spans="1:1" x14ac:dyDescent="0.3">
      <c r="A445" s="365"/>
    </row>
    <row r="446" spans="1:1" x14ac:dyDescent="0.3">
      <c r="A446" s="365"/>
    </row>
    <row r="447" spans="1:1" x14ac:dyDescent="0.3">
      <c r="A447" s="365"/>
    </row>
    <row r="448" spans="1:1" x14ac:dyDescent="0.3">
      <c r="A448" s="365"/>
    </row>
    <row r="449" spans="1:1" x14ac:dyDescent="0.3">
      <c r="A449" s="365"/>
    </row>
    <row r="450" spans="1:1" x14ac:dyDescent="0.3">
      <c r="A450" s="365"/>
    </row>
    <row r="451" spans="1:1" x14ac:dyDescent="0.3">
      <c r="A451" s="365"/>
    </row>
    <row r="452" spans="1:1" x14ac:dyDescent="0.3">
      <c r="A452" s="365"/>
    </row>
    <row r="453" spans="1:1" x14ac:dyDescent="0.3">
      <c r="A453" s="365"/>
    </row>
    <row r="454" spans="1:1" x14ac:dyDescent="0.3">
      <c r="A454" s="365"/>
    </row>
    <row r="455" spans="1:1" x14ac:dyDescent="0.3">
      <c r="A455" s="365"/>
    </row>
    <row r="456" spans="1:1" x14ac:dyDescent="0.3">
      <c r="A456" s="365"/>
    </row>
    <row r="457" spans="1:1" x14ac:dyDescent="0.3">
      <c r="A457" s="365"/>
    </row>
    <row r="458" spans="1:1" x14ac:dyDescent="0.3">
      <c r="A458" s="365"/>
    </row>
    <row r="459" spans="1:1" x14ac:dyDescent="0.3">
      <c r="A459" s="365"/>
    </row>
    <row r="460" spans="1:1" x14ac:dyDescent="0.3">
      <c r="A460" s="365"/>
    </row>
    <row r="461" spans="1:1" x14ac:dyDescent="0.3">
      <c r="A461" s="365"/>
    </row>
    <row r="462" spans="1:1" x14ac:dyDescent="0.3">
      <c r="A462" s="365"/>
    </row>
    <row r="463" spans="1:1" x14ac:dyDescent="0.3">
      <c r="A463" s="365"/>
    </row>
    <row r="464" spans="1:1" x14ac:dyDescent="0.3">
      <c r="A464" s="365"/>
    </row>
    <row r="465" spans="1:1" x14ac:dyDescent="0.3">
      <c r="A465" s="365"/>
    </row>
    <row r="466" spans="1:1" x14ac:dyDescent="0.3">
      <c r="A466" s="365"/>
    </row>
    <row r="467" spans="1:1" x14ac:dyDescent="0.3">
      <c r="A467" s="365"/>
    </row>
    <row r="468" spans="1:1" x14ac:dyDescent="0.3">
      <c r="A468" s="365"/>
    </row>
    <row r="469" spans="1:1" x14ac:dyDescent="0.3">
      <c r="A469" s="365"/>
    </row>
    <row r="470" spans="1:1" x14ac:dyDescent="0.3">
      <c r="A470" s="365"/>
    </row>
    <row r="471" spans="1:1" x14ac:dyDescent="0.3">
      <c r="A471" s="365"/>
    </row>
    <row r="472" spans="1:1" x14ac:dyDescent="0.3">
      <c r="A472" s="365"/>
    </row>
    <row r="473" spans="1:1" x14ac:dyDescent="0.3">
      <c r="A473" s="365"/>
    </row>
    <row r="474" spans="1:1" x14ac:dyDescent="0.3">
      <c r="A474" s="365"/>
    </row>
    <row r="475" spans="1:1" x14ac:dyDescent="0.3">
      <c r="A475" s="365"/>
    </row>
    <row r="476" spans="1:1" x14ac:dyDescent="0.3">
      <c r="A476" s="365"/>
    </row>
    <row r="477" spans="1:1" x14ac:dyDescent="0.3">
      <c r="A477" s="365"/>
    </row>
    <row r="478" spans="1:1" x14ac:dyDescent="0.3">
      <c r="A478" s="365"/>
    </row>
    <row r="479" spans="1:1" x14ac:dyDescent="0.3">
      <c r="A479" s="365"/>
    </row>
    <row r="480" spans="1:1" x14ac:dyDescent="0.3">
      <c r="A480" s="365"/>
    </row>
    <row r="481" spans="1:1" x14ac:dyDescent="0.3">
      <c r="A481" s="365"/>
    </row>
    <row r="482" spans="1:1" x14ac:dyDescent="0.3">
      <c r="A482" s="365"/>
    </row>
    <row r="483" spans="1:1" x14ac:dyDescent="0.3">
      <c r="A483" s="365"/>
    </row>
    <row r="484" spans="1:1" x14ac:dyDescent="0.3">
      <c r="A484" s="365"/>
    </row>
    <row r="485" spans="1:1" x14ac:dyDescent="0.3">
      <c r="A485" s="365"/>
    </row>
    <row r="486" spans="1:1" x14ac:dyDescent="0.3">
      <c r="A486" s="365"/>
    </row>
    <row r="487" spans="1:1" x14ac:dyDescent="0.3">
      <c r="A487" s="365"/>
    </row>
    <row r="488" spans="1:1" x14ac:dyDescent="0.3">
      <c r="A488" s="365"/>
    </row>
    <row r="489" spans="1:1" x14ac:dyDescent="0.3">
      <c r="A489" s="365"/>
    </row>
    <row r="490" spans="1:1" x14ac:dyDescent="0.3">
      <c r="A490" s="365"/>
    </row>
    <row r="491" spans="1:1" x14ac:dyDescent="0.3">
      <c r="A491" s="365"/>
    </row>
    <row r="492" spans="1:1" x14ac:dyDescent="0.3">
      <c r="A492" s="365"/>
    </row>
    <row r="493" spans="1:1" x14ac:dyDescent="0.3">
      <c r="A493" s="365"/>
    </row>
    <row r="494" spans="1:1" x14ac:dyDescent="0.3">
      <c r="A494" s="365"/>
    </row>
    <row r="495" spans="1:1" x14ac:dyDescent="0.3">
      <c r="A495" s="365"/>
    </row>
    <row r="496" spans="1:1" x14ac:dyDescent="0.3">
      <c r="A496" s="365"/>
    </row>
    <row r="497" spans="1:1" x14ac:dyDescent="0.3">
      <c r="A497" s="365"/>
    </row>
    <row r="498" spans="1:1" x14ac:dyDescent="0.3">
      <c r="A498" s="365"/>
    </row>
    <row r="499" spans="1:1" x14ac:dyDescent="0.3">
      <c r="A499" s="365"/>
    </row>
    <row r="500" spans="1:1" x14ac:dyDescent="0.3">
      <c r="A500" s="365"/>
    </row>
    <row r="501" spans="1:1" x14ac:dyDescent="0.3">
      <c r="A501" s="365"/>
    </row>
    <row r="502" spans="1:1" x14ac:dyDescent="0.3">
      <c r="A502" s="365"/>
    </row>
    <row r="503" spans="1:1" x14ac:dyDescent="0.3">
      <c r="A503" s="365"/>
    </row>
    <row r="504" spans="1:1" x14ac:dyDescent="0.3">
      <c r="A504" s="365"/>
    </row>
    <row r="505" spans="1:1" x14ac:dyDescent="0.3">
      <c r="A505" s="365"/>
    </row>
    <row r="506" spans="1:1" x14ac:dyDescent="0.3">
      <c r="A506" s="365"/>
    </row>
    <row r="507" spans="1:1" x14ac:dyDescent="0.3">
      <c r="A507" s="365"/>
    </row>
    <row r="508" spans="1:1" x14ac:dyDescent="0.3">
      <c r="A508" s="365"/>
    </row>
    <row r="509" spans="1:1" x14ac:dyDescent="0.3">
      <c r="A509" s="365"/>
    </row>
    <row r="510" spans="1:1" x14ac:dyDescent="0.3">
      <c r="A510" s="365"/>
    </row>
    <row r="511" spans="1:1" x14ac:dyDescent="0.3">
      <c r="A511" s="365"/>
    </row>
    <row r="512" spans="1:1" x14ac:dyDescent="0.3">
      <c r="A512" s="365"/>
    </row>
    <row r="513" spans="1:1" x14ac:dyDescent="0.3">
      <c r="A513" s="365"/>
    </row>
    <row r="514" spans="1:1" x14ac:dyDescent="0.3">
      <c r="A514" s="365"/>
    </row>
    <row r="515" spans="1:1" x14ac:dyDescent="0.3">
      <c r="A515" s="365"/>
    </row>
    <row r="516" spans="1:1" x14ac:dyDescent="0.3">
      <c r="A516" s="365"/>
    </row>
    <row r="517" spans="1:1" x14ac:dyDescent="0.3">
      <c r="A517" s="365"/>
    </row>
    <row r="518" spans="1:1" x14ac:dyDescent="0.3">
      <c r="A518" s="365"/>
    </row>
    <row r="519" spans="1:1" x14ac:dyDescent="0.3">
      <c r="A519" s="365"/>
    </row>
    <row r="520" spans="1:1" x14ac:dyDescent="0.3">
      <c r="A520" s="365"/>
    </row>
    <row r="521" spans="1:1" x14ac:dyDescent="0.3">
      <c r="A521" s="365"/>
    </row>
    <row r="522" spans="1:1" x14ac:dyDescent="0.3">
      <c r="A522" s="365"/>
    </row>
    <row r="523" spans="1:1" x14ac:dyDescent="0.3">
      <c r="A523" s="365"/>
    </row>
    <row r="524" spans="1:1" x14ac:dyDescent="0.3">
      <c r="A524" s="365"/>
    </row>
    <row r="525" spans="1:1" x14ac:dyDescent="0.3">
      <c r="A525" s="365"/>
    </row>
    <row r="526" spans="1:1" x14ac:dyDescent="0.3">
      <c r="A526" s="365"/>
    </row>
    <row r="527" spans="1:1" x14ac:dyDescent="0.3">
      <c r="A527" s="365"/>
    </row>
    <row r="528" spans="1:1" x14ac:dyDescent="0.3">
      <c r="A528" s="365"/>
    </row>
    <row r="529" spans="1:1" x14ac:dyDescent="0.3">
      <c r="A529" s="365"/>
    </row>
    <row r="530" spans="1:1" x14ac:dyDescent="0.3">
      <c r="A530" s="365"/>
    </row>
    <row r="531" spans="1:1" x14ac:dyDescent="0.3">
      <c r="A531" s="365"/>
    </row>
    <row r="532" spans="1:1" x14ac:dyDescent="0.3">
      <c r="A532" s="365"/>
    </row>
    <row r="533" spans="1:1" x14ac:dyDescent="0.3">
      <c r="A533" s="365"/>
    </row>
    <row r="534" spans="1:1" x14ac:dyDescent="0.3">
      <c r="A534" s="365"/>
    </row>
    <row r="535" spans="1:1" x14ac:dyDescent="0.3">
      <c r="A535" s="365"/>
    </row>
    <row r="536" spans="1:1" x14ac:dyDescent="0.3">
      <c r="A536" s="365"/>
    </row>
    <row r="537" spans="1:1" x14ac:dyDescent="0.3">
      <c r="A537" s="365"/>
    </row>
    <row r="538" spans="1:1" x14ac:dyDescent="0.3">
      <c r="A538" s="365"/>
    </row>
    <row r="539" spans="1:1" x14ac:dyDescent="0.3">
      <c r="A539" s="365"/>
    </row>
    <row r="540" spans="1:1" x14ac:dyDescent="0.3">
      <c r="A540" s="365"/>
    </row>
    <row r="541" spans="1:1" x14ac:dyDescent="0.3">
      <c r="A541" s="365"/>
    </row>
    <row r="542" spans="1:1" x14ac:dyDescent="0.3">
      <c r="A542" s="365"/>
    </row>
    <row r="543" spans="1:1" x14ac:dyDescent="0.3">
      <c r="A543" s="365"/>
    </row>
    <row r="544" spans="1:1" x14ac:dyDescent="0.3">
      <c r="A544" s="365"/>
    </row>
    <row r="545" spans="1:1" x14ac:dyDescent="0.3">
      <c r="A545" s="365"/>
    </row>
    <row r="546" spans="1:1" x14ac:dyDescent="0.3">
      <c r="A546" s="365"/>
    </row>
    <row r="547" spans="1:1" x14ac:dyDescent="0.3">
      <c r="A547" s="365"/>
    </row>
    <row r="548" spans="1:1" x14ac:dyDescent="0.3">
      <c r="A548" s="365"/>
    </row>
    <row r="549" spans="1:1" x14ac:dyDescent="0.3">
      <c r="A549" s="365"/>
    </row>
    <row r="550" spans="1:1" x14ac:dyDescent="0.3">
      <c r="A550" s="365"/>
    </row>
    <row r="551" spans="1:1" x14ac:dyDescent="0.3">
      <c r="A551" s="365"/>
    </row>
    <row r="552" spans="1:1" x14ac:dyDescent="0.3">
      <c r="A552" s="365"/>
    </row>
    <row r="553" spans="1:1" x14ac:dyDescent="0.3">
      <c r="A553" s="365"/>
    </row>
    <row r="554" spans="1:1" x14ac:dyDescent="0.3">
      <c r="A554" s="365"/>
    </row>
    <row r="555" spans="1:1" x14ac:dyDescent="0.3">
      <c r="A555" s="365"/>
    </row>
    <row r="556" spans="1:1" x14ac:dyDescent="0.3">
      <c r="A556" s="365"/>
    </row>
    <row r="557" spans="1:1" x14ac:dyDescent="0.3">
      <c r="A557" s="365"/>
    </row>
    <row r="558" spans="1:1" x14ac:dyDescent="0.3">
      <c r="A558" s="365"/>
    </row>
    <row r="559" spans="1:1" x14ac:dyDescent="0.3">
      <c r="A559" s="365"/>
    </row>
    <row r="560" spans="1:1" x14ac:dyDescent="0.3">
      <c r="A560" s="365"/>
    </row>
    <row r="561" spans="1:1" x14ac:dyDescent="0.3">
      <c r="A561" s="365"/>
    </row>
    <row r="562" spans="1:1" x14ac:dyDescent="0.3">
      <c r="A562" s="365"/>
    </row>
    <row r="563" spans="1:1" x14ac:dyDescent="0.3">
      <c r="A563" s="365"/>
    </row>
    <row r="564" spans="1:1" x14ac:dyDescent="0.3">
      <c r="A564" s="365"/>
    </row>
    <row r="565" spans="1:1" x14ac:dyDescent="0.3">
      <c r="A565" s="365"/>
    </row>
    <row r="566" spans="1:1" x14ac:dyDescent="0.3">
      <c r="A566" s="365"/>
    </row>
    <row r="567" spans="1:1" x14ac:dyDescent="0.3">
      <c r="A567" s="365"/>
    </row>
    <row r="568" spans="1:1" x14ac:dyDescent="0.3">
      <c r="A568" s="365"/>
    </row>
    <row r="569" spans="1:1" x14ac:dyDescent="0.3">
      <c r="A569" s="365"/>
    </row>
    <row r="570" spans="1:1" x14ac:dyDescent="0.3">
      <c r="A570" s="365"/>
    </row>
    <row r="571" spans="1:1" x14ac:dyDescent="0.3">
      <c r="A571" s="365"/>
    </row>
    <row r="572" spans="1:1" x14ac:dyDescent="0.3">
      <c r="A572" s="365"/>
    </row>
    <row r="573" spans="1:1" x14ac:dyDescent="0.3">
      <c r="A573" s="365"/>
    </row>
    <row r="574" spans="1:1" x14ac:dyDescent="0.3">
      <c r="A574" s="365"/>
    </row>
    <row r="575" spans="1:1" x14ac:dyDescent="0.3">
      <c r="A575" s="365"/>
    </row>
    <row r="576" spans="1:1" x14ac:dyDescent="0.3">
      <c r="A576" s="365"/>
    </row>
    <row r="577" spans="1:1" x14ac:dyDescent="0.3">
      <c r="A577" s="365"/>
    </row>
    <row r="578" spans="1:1" x14ac:dyDescent="0.3">
      <c r="A578" s="365"/>
    </row>
    <row r="579" spans="1:1" x14ac:dyDescent="0.3">
      <c r="A579" s="365"/>
    </row>
    <row r="580" spans="1:1" x14ac:dyDescent="0.3">
      <c r="A580" s="365"/>
    </row>
    <row r="581" spans="1:1" x14ac:dyDescent="0.3">
      <c r="A581" s="365"/>
    </row>
    <row r="582" spans="1:1" x14ac:dyDescent="0.3">
      <c r="A582" s="365"/>
    </row>
    <row r="583" spans="1:1" x14ac:dyDescent="0.3">
      <c r="A583" s="365"/>
    </row>
    <row r="584" spans="1:1" x14ac:dyDescent="0.3">
      <c r="A584" s="365"/>
    </row>
    <row r="585" spans="1:1" x14ac:dyDescent="0.3">
      <c r="A585" s="365"/>
    </row>
    <row r="586" spans="1:1" x14ac:dyDescent="0.3">
      <c r="A586" s="365"/>
    </row>
    <row r="587" spans="1:1" x14ac:dyDescent="0.3">
      <c r="A587" s="365"/>
    </row>
    <row r="588" spans="1:1" x14ac:dyDescent="0.3">
      <c r="A588" s="365"/>
    </row>
    <row r="589" spans="1:1" x14ac:dyDescent="0.3">
      <c r="A589" s="365"/>
    </row>
    <row r="590" spans="1:1" x14ac:dyDescent="0.3">
      <c r="A590" s="365"/>
    </row>
    <row r="591" spans="1:1" x14ac:dyDescent="0.3">
      <c r="A591" s="365"/>
    </row>
    <row r="592" spans="1:1" x14ac:dyDescent="0.3">
      <c r="A592" s="365"/>
    </row>
    <row r="593" spans="1:1" x14ac:dyDescent="0.3">
      <c r="A593" s="365"/>
    </row>
    <row r="594" spans="1:1" x14ac:dyDescent="0.3">
      <c r="A594" s="365"/>
    </row>
    <row r="595" spans="1:1" x14ac:dyDescent="0.3">
      <c r="A595" s="365"/>
    </row>
    <row r="596" spans="1:1" x14ac:dyDescent="0.3">
      <c r="A596" s="365"/>
    </row>
    <row r="597" spans="1:1" x14ac:dyDescent="0.3">
      <c r="A597" s="365"/>
    </row>
    <row r="598" spans="1:1" x14ac:dyDescent="0.3">
      <c r="A598" s="365"/>
    </row>
    <row r="599" spans="1:1" x14ac:dyDescent="0.3">
      <c r="A599" s="365"/>
    </row>
    <row r="600" spans="1:1" x14ac:dyDescent="0.3">
      <c r="A600" s="365"/>
    </row>
    <row r="601" spans="1:1" x14ac:dyDescent="0.3">
      <c r="A601" s="365"/>
    </row>
    <row r="602" spans="1:1" x14ac:dyDescent="0.3">
      <c r="A602" s="365"/>
    </row>
    <row r="603" spans="1:1" x14ac:dyDescent="0.3">
      <c r="A603" s="365"/>
    </row>
    <row r="604" spans="1:1" x14ac:dyDescent="0.3">
      <c r="A604" s="365"/>
    </row>
    <row r="605" spans="1:1" x14ac:dyDescent="0.3">
      <c r="A605" s="365"/>
    </row>
    <row r="606" spans="1:1" x14ac:dyDescent="0.3">
      <c r="A606" s="365"/>
    </row>
    <row r="607" spans="1:1" x14ac:dyDescent="0.3">
      <c r="A607" s="365"/>
    </row>
    <row r="608" spans="1:1" x14ac:dyDescent="0.3">
      <c r="A608" s="365"/>
    </row>
    <row r="609" spans="1:1" x14ac:dyDescent="0.3">
      <c r="A609" s="365"/>
    </row>
    <row r="610" spans="1:1" x14ac:dyDescent="0.3">
      <c r="A610" s="365"/>
    </row>
    <row r="611" spans="1:1" x14ac:dyDescent="0.3">
      <c r="A611" s="365"/>
    </row>
    <row r="612" spans="1:1" x14ac:dyDescent="0.3">
      <c r="A612" s="365"/>
    </row>
    <row r="613" spans="1:1" x14ac:dyDescent="0.3">
      <c r="A613" s="365"/>
    </row>
    <row r="614" spans="1:1" x14ac:dyDescent="0.3">
      <c r="A614" s="365"/>
    </row>
    <row r="615" spans="1:1" x14ac:dyDescent="0.3">
      <c r="A615" s="365"/>
    </row>
    <row r="616" spans="1:1" x14ac:dyDescent="0.3">
      <c r="A616" s="365"/>
    </row>
    <row r="617" spans="1:1" x14ac:dyDescent="0.3">
      <c r="A617" s="365"/>
    </row>
    <row r="618" spans="1:1" x14ac:dyDescent="0.3">
      <c r="A618" s="365"/>
    </row>
    <row r="619" spans="1:1" x14ac:dyDescent="0.3">
      <c r="A619" s="365"/>
    </row>
    <row r="620" spans="1:1" x14ac:dyDescent="0.3">
      <c r="A620" s="365"/>
    </row>
    <row r="621" spans="1:1" x14ac:dyDescent="0.3">
      <c r="A621" s="365"/>
    </row>
    <row r="622" spans="1:1" x14ac:dyDescent="0.3">
      <c r="A622" s="365"/>
    </row>
    <row r="623" spans="1:1" x14ac:dyDescent="0.3">
      <c r="A623" s="365"/>
    </row>
    <row r="624" spans="1:1" x14ac:dyDescent="0.3">
      <c r="A624" s="365"/>
    </row>
    <row r="625" spans="1:1" x14ac:dyDescent="0.3">
      <c r="A625" s="365"/>
    </row>
    <row r="626" spans="1:1" x14ac:dyDescent="0.3">
      <c r="A626" s="365"/>
    </row>
    <row r="627" spans="1:1" x14ac:dyDescent="0.3">
      <c r="A627" s="365"/>
    </row>
    <row r="628" spans="1:1" x14ac:dyDescent="0.3">
      <c r="A628" s="365"/>
    </row>
    <row r="629" spans="1:1" x14ac:dyDescent="0.3">
      <c r="A629" s="365"/>
    </row>
    <row r="630" spans="1:1" x14ac:dyDescent="0.3">
      <c r="A630" s="365"/>
    </row>
    <row r="631" spans="1:1" x14ac:dyDescent="0.3">
      <c r="A631" s="365"/>
    </row>
    <row r="632" spans="1:1" x14ac:dyDescent="0.3">
      <c r="A632" s="365"/>
    </row>
    <row r="633" spans="1:1" x14ac:dyDescent="0.3">
      <c r="A633" s="365"/>
    </row>
    <row r="634" spans="1:1" x14ac:dyDescent="0.3">
      <c r="A634" s="365"/>
    </row>
    <row r="635" spans="1:1" x14ac:dyDescent="0.3">
      <c r="A635" s="365"/>
    </row>
    <row r="636" spans="1:1" x14ac:dyDescent="0.3">
      <c r="A636" s="365"/>
    </row>
    <row r="637" spans="1:1" x14ac:dyDescent="0.3">
      <c r="A637" s="365"/>
    </row>
    <row r="638" spans="1:1" x14ac:dyDescent="0.3">
      <c r="A638" s="365"/>
    </row>
    <row r="639" spans="1:1" x14ac:dyDescent="0.3">
      <c r="A639" s="365"/>
    </row>
    <row r="640" spans="1:1" x14ac:dyDescent="0.3">
      <c r="A640" s="365"/>
    </row>
    <row r="641" spans="1:1" x14ac:dyDescent="0.3">
      <c r="A641" s="365"/>
    </row>
    <row r="642" spans="1:1" x14ac:dyDescent="0.3">
      <c r="A642" s="365"/>
    </row>
    <row r="643" spans="1:1" x14ac:dyDescent="0.3">
      <c r="A643" s="365"/>
    </row>
    <row r="644" spans="1:1" x14ac:dyDescent="0.3">
      <c r="A644" s="365"/>
    </row>
    <row r="645" spans="1:1" x14ac:dyDescent="0.3">
      <c r="A645" s="365"/>
    </row>
    <row r="646" spans="1:1" x14ac:dyDescent="0.3">
      <c r="A646" s="365"/>
    </row>
    <row r="647" spans="1:1" x14ac:dyDescent="0.3">
      <c r="A647" s="365"/>
    </row>
    <row r="648" spans="1:1" x14ac:dyDescent="0.3">
      <c r="A648" s="365"/>
    </row>
    <row r="649" spans="1:1" x14ac:dyDescent="0.3">
      <c r="A649" s="365"/>
    </row>
    <row r="650" spans="1:1" x14ac:dyDescent="0.3">
      <c r="A650" s="365"/>
    </row>
    <row r="651" spans="1:1" x14ac:dyDescent="0.3">
      <c r="A651" s="365"/>
    </row>
    <row r="652" spans="1:1" x14ac:dyDescent="0.3">
      <c r="A652" s="365"/>
    </row>
    <row r="653" spans="1:1" x14ac:dyDescent="0.3">
      <c r="A653" s="365"/>
    </row>
    <row r="654" spans="1:1" x14ac:dyDescent="0.3">
      <c r="A654" s="365"/>
    </row>
    <row r="655" spans="1:1" x14ac:dyDescent="0.3">
      <c r="A655" s="365"/>
    </row>
    <row r="656" spans="1:1" x14ac:dyDescent="0.3">
      <c r="A656" s="365"/>
    </row>
    <row r="657" spans="1:1" x14ac:dyDescent="0.3">
      <c r="A657" s="365"/>
    </row>
    <row r="658" spans="1:1" x14ac:dyDescent="0.3">
      <c r="A658" s="365"/>
    </row>
    <row r="659" spans="1:1" x14ac:dyDescent="0.3">
      <c r="A659" s="365"/>
    </row>
    <row r="660" spans="1:1" x14ac:dyDescent="0.3">
      <c r="A660" s="365"/>
    </row>
    <row r="661" spans="1:1" x14ac:dyDescent="0.3">
      <c r="A661" s="365"/>
    </row>
    <row r="662" spans="1:1" x14ac:dyDescent="0.3">
      <c r="A662" s="365"/>
    </row>
    <row r="663" spans="1:1" x14ac:dyDescent="0.3">
      <c r="A663" s="365"/>
    </row>
    <row r="664" spans="1:1" x14ac:dyDescent="0.3">
      <c r="A664" s="365"/>
    </row>
    <row r="665" spans="1:1" x14ac:dyDescent="0.3">
      <c r="A665" s="365"/>
    </row>
    <row r="666" spans="1:1" x14ac:dyDescent="0.3">
      <c r="A666" s="365"/>
    </row>
    <row r="667" spans="1:1" x14ac:dyDescent="0.3">
      <c r="A667" s="365"/>
    </row>
    <row r="668" spans="1:1" x14ac:dyDescent="0.3">
      <c r="A668" s="365"/>
    </row>
    <row r="669" spans="1:1" x14ac:dyDescent="0.3">
      <c r="A669" s="365"/>
    </row>
    <row r="670" spans="1:1" x14ac:dyDescent="0.3">
      <c r="A670" s="365"/>
    </row>
    <row r="671" spans="1:1" x14ac:dyDescent="0.3">
      <c r="A671" s="365"/>
    </row>
    <row r="672" spans="1:1" x14ac:dyDescent="0.3">
      <c r="A672" s="365"/>
    </row>
    <row r="673" spans="1:1" x14ac:dyDescent="0.3">
      <c r="A673" s="365"/>
    </row>
    <row r="674" spans="1:1" x14ac:dyDescent="0.3">
      <c r="A674" s="365"/>
    </row>
    <row r="675" spans="1:1" x14ac:dyDescent="0.3">
      <c r="A675" s="365"/>
    </row>
    <row r="676" spans="1:1" x14ac:dyDescent="0.3">
      <c r="A676" s="365"/>
    </row>
    <row r="677" spans="1:1" x14ac:dyDescent="0.3">
      <c r="A677" s="365"/>
    </row>
    <row r="678" spans="1:1" x14ac:dyDescent="0.3">
      <c r="A678" s="365"/>
    </row>
    <row r="679" spans="1:1" x14ac:dyDescent="0.3">
      <c r="A679" s="365"/>
    </row>
    <row r="680" spans="1:1" x14ac:dyDescent="0.3">
      <c r="A680" s="365"/>
    </row>
    <row r="681" spans="1:1" x14ac:dyDescent="0.3">
      <c r="A681" s="365"/>
    </row>
    <row r="682" spans="1:1" x14ac:dyDescent="0.3">
      <c r="A682" s="365"/>
    </row>
    <row r="683" spans="1:1" x14ac:dyDescent="0.3">
      <c r="A683" s="365"/>
    </row>
    <row r="684" spans="1:1" x14ac:dyDescent="0.3">
      <c r="A684" s="365"/>
    </row>
    <row r="685" spans="1:1" x14ac:dyDescent="0.3">
      <c r="A685" s="365"/>
    </row>
    <row r="686" spans="1:1" x14ac:dyDescent="0.3">
      <c r="A686" s="365"/>
    </row>
    <row r="687" spans="1:1" x14ac:dyDescent="0.3">
      <c r="A687" s="365"/>
    </row>
    <row r="688" spans="1:1" x14ac:dyDescent="0.3">
      <c r="A688" s="365"/>
    </row>
    <row r="689" spans="1:1" x14ac:dyDescent="0.3">
      <c r="A689" s="365"/>
    </row>
    <row r="690" spans="1:1" x14ac:dyDescent="0.3">
      <c r="A690" s="365"/>
    </row>
    <row r="691" spans="1:1" x14ac:dyDescent="0.3">
      <c r="A691" s="365"/>
    </row>
    <row r="692" spans="1:1" x14ac:dyDescent="0.3">
      <c r="A692" s="365"/>
    </row>
    <row r="693" spans="1:1" x14ac:dyDescent="0.3">
      <c r="A693" s="365"/>
    </row>
    <row r="694" spans="1:1" x14ac:dyDescent="0.3">
      <c r="A694" s="365"/>
    </row>
    <row r="695" spans="1:1" x14ac:dyDescent="0.3">
      <c r="A695" s="365"/>
    </row>
    <row r="696" spans="1:1" x14ac:dyDescent="0.3">
      <c r="A696" s="365"/>
    </row>
    <row r="697" spans="1:1" x14ac:dyDescent="0.3">
      <c r="A697" s="365"/>
    </row>
    <row r="698" spans="1:1" x14ac:dyDescent="0.3">
      <c r="A698" s="365"/>
    </row>
    <row r="699" spans="1:1" x14ac:dyDescent="0.3">
      <c r="A699" s="365"/>
    </row>
    <row r="700" spans="1:1" x14ac:dyDescent="0.3">
      <c r="A700" s="365"/>
    </row>
    <row r="701" spans="1:1" x14ac:dyDescent="0.3">
      <c r="A701" s="365"/>
    </row>
    <row r="702" spans="1:1" x14ac:dyDescent="0.3">
      <c r="A702" s="365"/>
    </row>
    <row r="703" spans="1:1" x14ac:dyDescent="0.3">
      <c r="A703" s="365"/>
    </row>
    <row r="704" spans="1:1" x14ac:dyDescent="0.3">
      <c r="A704" s="365"/>
    </row>
    <row r="705" spans="1:1" x14ac:dyDescent="0.3">
      <c r="A705" s="365"/>
    </row>
    <row r="706" spans="1:1" x14ac:dyDescent="0.3">
      <c r="A706" s="365"/>
    </row>
    <row r="707" spans="1:1" x14ac:dyDescent="0.3">
      <c r="A707" s="365"/>
    </row>
    <row r="708" spans="1:1" x14ac:dyDescent="0.3">
      <c r="A708" s="365"/>
    </row>
    <row r="709" spans="1:1" x14ac:dyDescent="0.3">
      <c r="A709" s="365"/>
    </row>
    <row r="710" spans="1:1" x14ac:dyDescent="0.3">
      <c r="A710" s="365"/>
    </row>
    <row r="711" spans="1:1" x14ac:dyDescent="0.3">
      <c r="A711" s="365"/>
    </row>
    <row r="712" spans="1:1" x14ac:dyDescent="0.3">
      <c r="A712" s="365"/>
    </row>
    <row r="713" spans="1:1" x14ac:dyDescent="0.3">
      <c r="A713" s="365"/>
    </row>
    <row r="714" spans="1:1" x14ac:dyDescent="0.3">
      <c r="A714" s="365"/>
    </row>
    <row r="715" spans="1:1" x14ac:dyDescent="0.3">
      <c r="A715" s="365"/>
    </row>
    <row r="716" spans="1:1" x14ac:dyDescent="0.3">
      <c r="A716" s="365"/>
    </row>
    <row r="717" spans="1:1" x14ac:dyDescent="0.3">
      <c r="A717" s="365"/>
    </row>
    <row r="718" spans="1:1" x14ac:dyDescent="0.3">
      <c r="A718" s="365"/>
    </row>
    <row r="719" spans="1:1" x14ac:dyDescent="0.3">
      <c r="A719" s="365"/>
    </row>
    <row r="720" spans="1:1" x14ac:dyDescent="0.3">
      <c r="A720" s="365"/>
    </row>
    <row r="721" spans="1:1" x14ac:dyDescent="0.3">
      <c r="A721" s="365"/>
    </row>
    <row r="722" spans="1:1" x14ac:dyDescent="0.3">
      <c r="A722" s="365"/>
    </row>
    <row r="723" spans="1:1" x14ac:dyDescent="0.3">
      <c r="A723" s="365"/>
    </row>
    <row r="724" spans="1:1" x14ac:dyDescent="0.3">
      <c r="A724" s="365"/>
    </row>
    <row r="725" spans="1:1" x14ac:dyDescent="0.3">
      <c r="A725" s="365"/>
    </row>
    <row r="726" spans="1:1" x14ac:dyDescent="0.3">
      <c r="A726" s="365"/>
    </row>
    <row r="727" spans="1:1" x14ac:dyDescent="0.3">
      <c r="A727" s="365"/>
    </row>
    <row r="728" spans="1:1" x14ac:dyDescent="0.3">
      <c r="A728" s="365"/>
    </row>
    <row r="729" spans="1:1" x14ac:dyDescent="0.3">
      <c r="A729" s="365"/>
    </row>
    <row r="730" spans="1:1" x14ac:dyDescent="0.3">
      <c r="A730" s="365"/>
    </row>
    <row r="731" spans="1:1" x14ac:dyDescent="0.3">
      <c r="A731" s="365"/>
    </row>
    <row r="732" spans="1:1" x14ac:dyDescent="0.3">
      <c r="A732" s="365"/>
    </row>
    <row r="733" spans="1:1" x14ac:dyDescent="0.3">
      <c r="A733" s="365"/>
    </row>
    <row r="734" spans="1:1" x14ac:dyDescent="0.3">
      <c r="A734" s="365"/>
    </row>
    <row r="735" spans="1:1" x14ac:dyDescent="0.3">
      <c r="A735" s="365"/>
    </row>
    <row r="736" spans="1:1" x14ac:dyDescent="0.3">
      <c r="A736" s="365"/>
    </row>
    <row r="737" spans="1:1" x14ac:dyDescent="0.3">
      <c r="A737" s="365"/>
    </row>
    <row r="738" spans="1:1" x14ac:dyDescent="0.3">
      <c r="A738" s="365"/>
    </row>
    <row r="739" spans="1:1" x14ac:dyDescent="0.3">
      <c r="A739" s="365"/>
    </row>
    <row r="740" spans="1:1" x14ac:dyDescent="0.3">
      <c r="A740" s="365"/>
    </row>
    <row r="741" spans="1:1" x14ac:dyDescent="0.3">
      <c r="A741" s="365"/>
    </row>
    <row r="742" spans="1:1" x14ac:dyDescent="0.3">
      <c r="A742" s="365"/>
    </row>
    <row r="743" spans="1:1" x14ac:dyDescent="0.3">
      <c r="A743" s="365"/>
    </row>
    <row r="744" spans="1:1" x14ac:dyDescent="0.3">
      <c r="A744" s="365"/>
    </row>
    <row r="745" spans="1:1" x14ac:dyDescent="0.3">
      <c r="A745" s="365"/>
    </row>
    <row r="746" spans="1:1" x14ac:dyDescent="0.3">
      <c r="A746" s="365"/>
    </row>
    <row r="747" spans="1:1" x14ac:dyDescent="0.3">
      <c r="A747" s="365"/>
    </row>
    <row r="748" spans="1:1" x14ac:dyDescent="0.3">
      <c r="A748" s="365"/>
    </row>
    <row r="749" spans="1:1" x14ac:dyDescent="0.3">
      <c r="A749" s="365"/>
    </row>
    <row r="750" spans="1:1" x14ac:dyDescent="0.3">
      <c r="A750" s="365"/>
    </row>
    <row r="751" spans="1:1" x14ac:dyDescent="0.3">
      <c r="A751" s="365"/>
    </row>
    <row r="752" spans="1:1" x14ac:dyDescent="0.3">
      <c r="A752" s="365"/>
    </row>
    <row r="753" spans="1:1" x14ac:dyDescent="0.3">
      <c r="A753" s="365"/>
    </row>
    <row r="754" spans="1:1" x14ac:dyDescent="0.3">
      <c r="A754" s="365"/>
    </row>
    <row r="755" spans="1:1" x14ac:dyDescent="0.3">
      <c r="A755" s="365"/>
    </row>
    <row r="756" spans="1:1" x14ac:dyDescent="0.3">
      <c r="A756" s="365"/>
    </row>
    <row r="757" spans="1:1" x14ac:dyDescent="0.3">
      <c r="A757" s="365"/>
    </row>
    <row r="758" spans="1:1" x14ac:dyDescent="0.3">
      <c r="A758" s="365"/>
    </row>
    <row r="759" spans="1:1" x14ac:dyDescent="0.3">
      <c r="A759" s="365"/>
    </row>
    <row r="760" spans="1:1" x14ac:dyDescent="0.3">
      <c r="A760" s="365"/>
    </row>
    <row r="761" spans="1:1" x14ac:dyDescent="0.3">
      <c r="A761" s="365"/>
    </row>
    <row r="762" spans="1:1" x14ac:dyDescent="0.3">
      <c r="A762" s="365"/>
    </row>
    <row r="763" spans="1:1" x14ac:dyDescent="0.3">
      <c r="A763" s="365"/>
    </row>
    <row r="764" spans="1:1" x14ac:dyDescent="0.3">
      <c r="A764" s="365"/>
    </row>
    <row r="765" spans="1:1" x14ac:dyDescent="0.3">
      <c r="A765" s="365"/>
    </row>
    <row r="766" spans="1:1" x14ac:dyDescent="0.3">
      <c r="A766" s="365"/>
    </row>
    <row r="767" spans="1:1" x14ac:dyDescent="0.3">
      <c r="A767" s="365"/>
    </row>
    <row r="768" spans="1:1" x14ac:dyDescent="0.3">
      <c r="A768" s="365"/>
    </row>
    <row r="769" spans="1:1" x14ac:dyDescent="0.3">
      <c r="A769" s="365"/>
    </row>
    <row r="770" spans="1:1" x14ac:dyDescent="0.3">
      <c r="A770" s="365"/>
    </row>
    <row r="771" spans="1:1" x14ac:dyDescent="0.3">
      <c r="A771" s="365"/>
    </row>
    <row r="772" spans="1:1" x14ac:dyDescent="0.3">
      <c r="A772" s="365"/>
    </row>
    <row r="773" spans="1:1" x14ac:dyDescent="0.3">
      <c r="A773" s="365"/>
    </row>
    <row r="774" spans="1:1" x14ac:dyDescent="0.3">
      <c r="A774" s="365"/>
    </row>
    <row r="775" spans="1:1" x14ac:dyDescent="0.3">
      <c r="A775" s="365"/>
    </row>
    <row r="776" spans="1:1" x14ac:dyDescent="0.3">
      <c r="A776" s="365"/>
    </row>
    <row r="777" spans="1:1" x14ac:dyDescent="0.3">
      <c r="A777" s="365"/>
    </row>
    <row r="778" spans="1:1" x14ac:dyDescent="0.3">
      <c r="A778" s="365"/>
    </row>
    <row r="779" spans="1:1" x14ac:dyDescent="0.3">
      <c r="A779" s="365"/>
    </row>
    <row r="780" spans="1:1" x14ac:dyDescent="0.3">
      <c r="A780" s="365"/>
    </row>
    <row r="781" spans="1:1" x14ac:dyDescent="0.3">
      <c r="A781" s="365"/>
    </row>
    <row r="782" spans="1:1" x14ac:dyDescent="0.3">
      <c r="A782" s="365"/>
    </row>
    <row r="783" spans="1:1" x14ac:dyDescent="0.3">
      <c r="A783" s="365"/>
    </row>
    <row r="784" spans="1:1" x14ac:dyDescent="0.3">
      <c r="A784" s="365"/>
    </row>
    <row r="785" spans="1:1" x14ac:dyDescent="0.3">
      <c r="A785" s="365"/>
    </row>
    <row r="786" spans="1:1" x14ac:dyDescent="0.3">
      <c r="A786" s="365"/>
    </row>
    <row r="787" spans="1:1" x14ac:dyDescent="0.3">
      <c r="A787" s="365"/>
    </row>
    <row r="788" spans="1:1" x14ac:dyDescent="0.3">
      <c r="A788" s="365"/>
    </row>
    <row r="789" spans="1:1" x14ac:dyDescent="0.3">
      <c r="A789" s="365"/>
    </row>
    <row r="790" spans="1:1" x14ac:dyDescent="0.3">
      <c r="A790" s="365"/>
    </row>
    <row r="791" spans="1:1" x14ac:dyDescent="0.3">
      <c r="A791" s="365"/>
    </row>
    <row r="792" spans="1:1" x14ac:dyDescent="0.3">
      <c r="A792" s="365"/>
    </row>
    <row r="793" spans="1:1" x14ac:dyDescent="0.3">
      <c r="A793" s="365"/>
    </row>
    <row r="794" spans="1:1" x14ac:dyDescent="0.3">
      <c r="A794" s="365"/>
    </row>
    <row r="795" spans="1:1" x14ac:dyDescent="0.3">
      <c r="A795" s="365"/>
    </row>
    <row r="796" spans="1:1" x14ac:dyDescent="0.3">
      <c r="A796" s="365"/>
    </row>
    <row r="797" spans="1:1" x14ac:dyDescent="0.3">
      <c r="A797" s="365"/>
    </row>
    <row r="798" spans="1:1" x14ac:dyDescent="0.3">
      <c r="A798" s="365"/>
    </row>
    <row r="799" spans="1:1" x14ac:dyDescent="0.3">
      <c r="A799" s="365"/>
    </row>
    <row r="800" spans="1:1" x14ac:dyDescent="0.3">
      <c r="A800" s="365"/>
    </row>
    <row r="801" spans="1:1" x14ac:dyDescent="0.3">
      <c r="A801" s="365"/>
    </row>
    <row r="802" spans="1:1" x14ac:dyDescent="0.3">
      <c r="A802" s="365"/>
    </row>
    <row r="803" spans="1:1" x14ac:dyDescent="0.3">
      <c r="A803" s="365"/>
    </row>
    <row r="804" spans="1:1" x14ac:dyDescent="0.3">
      <c r="A804" s="365"/>
    </row>
    <row r="805" spans="1:1" x14ac:dyDescent="0.3">
      <c r="A805" s="365"/>
    </row>
    <row r="806" spans="1:1" x14ac:dyDescent="0.3">
      <c r="A806" s="365"/>
    </row>
    <row r="807" spans="1:1" x14ac:dyDescent="0.3">
      <c r="A807" s="365"/>
    </row>
    <row r="808" spans="1:1" x14ac:dyDescent="0.3">
      <c r="A808" s="365"/>
    </row>
    <row r="809" spans="1:1" x14ac:dyDescent="0.3">
      <c r="A809" s="365"/>
    </row>
    <row r="810" spans="1:1" x14ac:dyDescent="0.3">
      <c r="A810" s="365"/>
    </row>
    <row r="811" spans="1:1" x14ac:dyDescent="0.3">
      <c r="A811" s="365"/>
    </row>
    <row r="812" spans="1:1" x14ac:dyDescent="0.3">
      <c r="A812" s="365"/>
    </row>
    <row r="813" spans="1:1" x14ac:dyDescent="0.3">
      <c r="A813" s="365"/>
    </row>
    <row r="814" spans="1:1" x14ac:dyDescent="0.3">
      <c r="A814" s="365"/>
    </row>
    <row r="815" spans="1:1" x14ac:dyDescent="0.3">
      <c r="A815" s="365"/>
    </row>
    <row r="816" spans="1:1" x14ac:dyDescent="0.3">
      <c r="A816" s="365"/>
    </row>
    <row r="817" spans="1:1" x14ac:dyDescent="0.3">
      <c r="A817" s="365"/>
    </row>
    <row r="818" spans="1:1" x14ac:dyDescent="0.3">
      <c r="A818" s="365"/>
    </row>
    <row r="819" spans="1:1" x14ac:dyDescent="0.3">
      <c r="A819" s="365"/>
    </row>
    <row r="820" spans="1:1" x14ac:dyDescent="0.3">
      <c r="A820" s="365"/>
    </row>
    <row r="821" spans="1:1" x14ac:dyDescent="0.3">
      <c r="A821" s="365"/>
    </row>
    <row r="822" spans="1:1" x14ac:dyDescent="0.3">
      <c r="A822" s="365"/>
    </row>
    <row r="823" spans="1:1" x14ac:dyDescent="0.3">
      <c r="A823" s="365"/>
    </row>
    <row r="824" spans="1:1" x14ac:dyDescent="0.3">
      <c r="A824" s="365"/>
    </row>
    <row r="825" spans="1:1" x14ac:dyDescent="0.3">
      <c r="A825" s="365"/>
    </row>
    <row r="826" spans="1:1" x14ac:dyDescent="0.3">
      <c r="A826" s="365"/>
    </row>
    <row r="827" spans="1:1" x14ac:dyDescent="0.3">
      <c r="A827" s="365"/>
    </row>
    <row r="828" spans="1:1" x14ac:dyDescent="0.3">
      <c r="A828" s="365"/>
    </row>
    <row r="829" spans="1:1" x14ac:dyDescent="0.3">
      <c r="A829" s="365"/>
    </row>
    <row r="830" spans="1:1" x14ac:dyDescent="0.3">
      <c r="A830" s="365"/>
    </row>
    <row r="831" spans="1:1" x14ac:dyDescent="0.3">
      <c r="A831" s="365"/>
    </row>
    <row r="832" spans="1:1" x14ac:dyDescent="0.3">
      <c r="A832" s="365"/>
    </row>
    <row r="833" spans="1:1" x14ac:dyDescent="0.3">
      <c r="A833" s="365"/>
    </row>
    <row r="834" spans="1:1" x14ac:dyDescent="0.3">
      <c r="A834" s="365"/>
    </row>
    <row r="835" spans="1:1" x14ac:dyDescent="0.3">
      <c r="A835" s="365"/>
    </row>
    <row r="836" spans="1:1" x14ac:dyDescent="0.3">
      <c r="A836" s="365"/>
    </row>
    <row r="837" spans="1:1" x14ac:dyDescent="0.3">
      <c r="A837" s="365"/>
    </row>
    <row r="838" spans="1:1" x14ac:dyDescent="0.3">
      <c r="A838" s="365"/>
    </row>
    <row r="839" spans="1:1" x14ac:dyDescent="0.3">
      <c r="A839" s="365"/>
    </row>
    <row r="840" spans="1:1" x14ac:dyDescent="0.3">
      <c r="A840" s="365"/>
    </row>
    <row r="841" spans="1:1" x14ac:dyDescent="0.3">
      <c r="A841" s="365"/>
    </row>
    <row r="842" spans="1:1" x14ac:dyDescent="0.3">
      <c r="A842" s="365"/>
    </row>
    <row r="843" spans="1:1" x14ac:dyDescent="0.3">
      <c r="A843" s="365"/>
    </row>
    <row r="844" spans="1:1" x14ac:dyDescent="0.3">
      <c r="A844" s="365"/>
    </row>
    <row r="845" spans="1:1" x14ac:dyDescent="0.3">
      <c r="A845" s="365"/>
    </row>
    <row r="846" spans="1:1" x14ac:dyDescent="0.3">
      <c r="A846" s="365"/>
    </row>
    <row r="847" spans="1:1" x14ac:dyDescent="0.3">
      <c r="A847" s="365"/>
    </row>
    <row r="848" spans="1:1" x14ac:dyDescent="0.3">
      <c r="A848" s="365"/>
    </row>
    <row r="849" spans="1:1" x14ac:dyDescent="0.3">
      <c r="A849" s="365"/>
    </row>
    <row r="850" spans="1:1" x14ac:dyDescent="0.3">
      <c r="A850" s="365"/>
    </row>
    <row r="851" spans="1:1" x14ac:dyDescent="0.3">
      <c r="A851" s="365"/>
    </row>
    <row r="852" spans="1:1" x14ac:dyDescent="0.3">
      <c r="A852" s="365"/>
    </row>
    <row r="853" spans="1:1" x14ac:dyDescent="0.3">
      <c r="A853" s="365"/>
    </row>
    <row r="854" spans="1:1" x14ac:dyDescent="0.3">
      <c r="A854" s="365"/>
    </row>
    <row r="855" spans="1:1" x14ac:dyDescent="0.3">
      <c r="A855" s="365"/>
    </row>
    <row r="856" spans="1:1" x14ac:dyDescent="0.3">
      <c r="A856" s="365"/>
    </row>
    <row r="857" spans="1:1" x14ac:dyDescent="0.3">
      <c r="A857" s="365"/>
    </row>
    <row r="858" spans="1:1" x14ac:dyDescent="0.3">
      <c r="A858" s="365"/>
    </row>
    <row r="859" spans="1:1" x14ac:dyDescent="0.3">
      <c r="A859" s="365"/>
    </row>
    <row r="860" spans="1:1" x14ac:dyDescent="0.3">
      <c r="A860" s="365"/>
    </row>
    <row r="861" spans="1:1" x14ac:dyDescent="0.3">
      <c r="A861" s="365"/>
    </row>
    <row r="862" spans="1:1" x14ac:dyDescent="0.3">
      <c r="A862" s="365"/>
    </row>
    <row r="863" spans="1:1" x14ac:dyDescent="0.3">
      <c r="A863" s="365"/>
    </row>
    <row r="864" spans="1:1" x14ac:dyDescent="0.3">
      <c r="A864" s="365"/>
    </row>
    <row r="865" spans="1:1" x14ac:dyDescent="0.3">
      <c r="A865" s="365"/>
    </row>
    <row r="866" spans="1:1" x14ac:dyDescent="0.3">
      <c r="A866" s="365"/>
    </row>
    <row r="867" spans="1:1" x14ac:dyDescent="0.3">
      <c r="A867" s="365"/>
    </row>
    <row r="868" spans="1:1" x14ac:dyDescent="0.3">
      <c r="A868" s="365"/>
    </row>
    <row r="869" spans="1:1" x14ac:dyDescent="0.3">
      <c r="A869" s="365"/>
    </row>
    <row r="870" spans="1:1" x14ac:dyDescent="0.3">
      <c r="A870" s="365"/>
    </row>
    <row r="871" spans="1:1" x14ac:dyDescent="0.3">
      <c r="A871" s="365"/>
    </row>
    <row r="872" spans="1:1" x14ac:dyDescent="0.3">
      <c r="A872" s="365"/>
    </row>
    <row r="873" spans="1:1" x14ac:dyDescent="0.3">
      <c r="A873" s="365"/>
    </row>
    <row r="874" spans="1:1" x14ac:dyDescent="0.3">
      <c r="A874" s="365"/>
    </row>
    <row r="875" spans="1:1" x14ac:dyDescent="0.3">
      <c r="A875" s="365"/>
    </row>
    <row r="876" spans="1:1" x14ac:dyDescent="0.3">
      <c r="A876" s="365"/>
    </row>
    <row r="877" spans="1:1" x14ac:dyDescent="0.3">
      <c r="A877" s="365"/>
    </row>
    <row r="878" spans="1:1" x14ac:dyDescent="0.3">
      <c r="A878" s="365"/>
    </row>
    <row r="879" spans="1:1" x14ac:dyDescent="0.3">
      <c r="A879" s="365"/>
    </row>
    <row r="880" spans="1:1" x14ac:dyDescent="0.3">
      <c r="A880" s="365"/>
    </row>
    <row r="881" spans="1:1" x14ac:dyDescent="0.3">
      <c r="A881" s="365"/>
    </row>
    <row r="882" spans="1:1" x14ac:dyDescent="0.3">
      <c r="A882" s="365"/>
    </row>
    <row r="883" spans="1:1" x14ac:dyDescent="0.3">
      <c r="A883" s="365"/>
    </row>
    <row r="884" spans="1:1" x14ac:dyDescent="0.3">
      <c r="A884" s="365"/>
    </row>
    <row r="885" spans="1:1" x14ac:dyDescent="0.3">
      <c r="A885" s="365"/>
    </row>
    <row r="886" spans="1:1" x14ac:dyDescent="0.3">
      <c r="A886" s="365"/>
    </row>
    <row r="887" spans="1:1" x14ac:dyDescent="0.3">
      <c r="A887" s="365"/>
    </row>
    <row r="888" spans="1:1" x14ac:dyDescent="0.3">
      <c r="A888" s="365"/>
    </row>
    <row r="889" spans="1:1" x14ac:dyDescent="0.3">
      <c r="A889" s="365"/>
    </row>
    <row r="890" spans="1:1" x14ac:dyDescent="0.3">
      <c r="A890" s="365"/>
    </row>
    <row r="891" spans="1:1" x14ac:dyDescent="0.3">
      <c r="A891" s="365"/>
    </row>
    <row r="892" spans="1:1" x14ac:dyDescent="0.3">
      <c r="A892" s="365"/>
    </row>
    <row r="893" spans="1:1" x14ac:dyDescent="0.3">
      <c r="A893" s="365"/>
    </row>
    <row r="894" spans="1:1" x14ac:dyDescent="0.3">
      <c r="A894" s="365"/>
    </row>
    <row r="895" spans="1:1" x14ac:dyDescent="0.3">
      <c r="A895" s="365"/>
    </row>
    <row r="896" spans="1:1" x14ac:dyDescent="0.3">
      <c r="A896" s="365"/>
    </row>
    <row r="897" spans="1:1" x14ac:dyDescent="0.3">
      <c r="A897" s="365"/>
    </row>
    <row r="898" spans="1:1" x14ac:dyDescent="0.3">
      <c r="A898" s="365"/>
    </row>
    <row r="899" spans="1:1" x14ac:dyDescent="0.3">
      <c r="A899" s="365"/>
    </row>
    <row r="900" spans="1:1" x14ac:dyDescent="0.3">
      <c r="A900" s="365"/>
    </row>
    <row r="901" spans="1:1" x14ac:dyDescent="0.3">
      <c r="A901" s="365"/>
    </row>
    <row r="902" spans="1:1" x14ac:dyDescent="0.3">
      <c r="A902" s="365"/>
    </row>
    <row r="903" spans="1:1" x14ac:dyDescent="0.3">
      <c r="A903" s="365"/>
    </row>
    <row r="904" spans="1:1" x14ac:dyDescent="0.3">
      <c r="A904" s="365"/>
    </row>
    <row r="905" spans="1:1" x14ac:dyDescent="0.3">
      <c r="A905" s="365"/>
    </row>
    <row r="906" spans="1:1" x14ac:dyDescent="0.3">
      <c r="A906" s="365"/>
    </row>
    <row r="907" spans="1:1" x14ac:dyDescent="0.3">
      <c r="A907" s="365"/>
    </row>
    <row r="908" spans="1:1" x14ac:dyDescent="0.3">
      <c r="A908" s="365"/>
    </row>
    <row r="909" spans="1:1" x14ac:dyDescent="0.3">
      <c r="A909" s="365"/>
    </row>
    <row r="910" spans="1:1" x14ac:dyDescent="0.3">
      <c r="A910" s="365"/>
    </row>
    <row r="911" spans="1:1" x14ac:dyDescent="0.3">
      <c r="A911" s="365"/>
    </row>
    <row r="912" spans="1:1" x14ac:dyDescent="0.3">
      <c r="A912" s="365"/>
    </row>
    <row r="913" spans="1:1" x14ac:dyDescent="0.3">
      <c r="A913" s="365"/>
    </row>
    <row r="914" spans="1:1" x14ac:dyDescent="0.3">
      <c r="A914" s="365"/>
    </row>
    <row r="915" spans="1:1" x14ac:dyDescent="0.3">
      <c r="A915" s="365"/>
    </row>
    <row r="916" spans="1:1" x14ac:dyDescent="0.3">
      <c r="A916" s="365"/>
    </row>
    <row r="917" spans="1:1" x14ac:dyDescent="0.3">
      <c r="A917" s="365"/>
    </row>
    <row r="918" spans="1:1" x14ac:dyDescent="0.3">
      <c r="A918" s="365"/>
    </row>
    <row r="919" spans="1:1" x14ac:dyDescent="0.3">
      <c r="A919" s="365"/>
    </row>
    <row r="920" spans="1:1" x14ac:dyDescent="0.3">
      <c r="A920" s="365"/>
    </row>
    <row r="921" spans="1:1" x14ac:dyDescent="0.3">
      <c r="A921" s="365"/>
    </row>
    <row r="922" spans="1:1" x14ac:dyDescent="0.3">
      <c r="A922" s="365"/>
    </row>
    <row r="923" spans="1:1" x14ac:dyDescent="0.3">
      <c r="A923" s="365"/>
    </row>
    <row r="924" spans="1:1" x14ac:dyDescent="0.3">
      <c r="A924" s="365"/>
    </row>
    <row r="925" spans="1:1" x14ac:dyDescent="0.3">
      <c r="A925" s="365"/>
    </row>
    <row r="926" spans="1:1" x14ac:dyDescent="0.3">
      <c r="A926" s="365"/>
    </row>
    <row r="927" spans="1:1" x14ac:dyDescent="0.3">
      <c r="A927" s="365"/>
    </row>
    <row r="928" spans="1:1" x14ac:dyDescent="0.3">
      <c r="A928" s="365"/>
    </row>
    <row r="929" spans="1:1" x14ac:dyDescent="0.3">
      <c r="A929" s="365"/>
    </row>
    <row r="930" spans="1:1" x14ac:dyDescent="0.3">
      <c r="A930" s="365"/>
    </row>
    <row r="931" spans="1:1" x14ac:dyDescent="0.3">
      <c r="A931" s="365"/>
    </row>
    <row r="932" spans="1:1" x14ac:dyDescent="0.3">
      <c r="A932" s="365"/>
    </row>
    <row r="933" spans="1:1" x14ac:dyDescent="0.3">
      <c r="A933" s="365"/>
    </row>
    <row r="934" spans="1:1" x14ac:dyDescent="0.3">
      <c r="A934" s="365"/>
    </row>
    <row r="935" spans="1:1" x14ac:dyDescent="0.3">
      <c r="A935" s="365"/>
    </row>
    <row r="936" spans="1:1" x14ac:dyDescent="0.3">
      <c r="A936" s="365"/>
    </row>
    <row r="937" spans="1:1" x14ac:dyDescent="0.3">
      <c r="A937" s="365"/>
    </row>
    <row r="938" spans="1:1" x14ac:dyDescent="0.3">
      <c r="A938" s="365"/>
    </row>
    <row r="939" spans="1:1" x14ac:dyDescent="0.3">
      <c r="A939" s="365"/>
    </row>
    <row r="940" spans="1:1" x14ac:dyDescent="0.3">
      <c r="A940" s="365"/>
    </row>
    <row r="941" spans="1:1" x14ac:dyDescent="0.3">
      <c r="A941" s="365"/>
    </row>
    <row r="942" spans="1:1" x14ac:dyDescent="0.3">
      <c r="A942" s="365"/>
    </row>
    <row r="943" spans="1:1" x14ac:dyDescent="0.3">
      <c r="A943" s="365"/>
    </row>
    <row r="944" spans="1:1" x14ac:dyDescent="0.3">
      <c r="A944" s="365"/>
    </row>
    <row r="945" spans="1:1" x14ac:dyDescent="0.3">
      <c r="A945" s="365"/>
    </row>
    <row r="946" spans="1:1" x14ac:dyDescent="0.3">
      <c r="A946" s="365"/>
    </row>
    <row r="947" spans="1:1" x14ac:dyDescent="0.3">
      <c r="A947" s="365"/>
    </row>
    <row r="948" spans="1:1" x14ac:dyDescent="0.3">
      <c r="A948" s="365"/>
    </row>
    <row r="949" spans="1:1" x14ac:dyDescent="0.3">
      <c r="A949" s="365"/>
    </row>
    <row r="950" spans="1:1" x14ac:dyDescent="0.3">
      <c r="A950" s="365"/>
    </row>
    <row r="951" spans="1:1" x14ac:dyDescent="0.3">
      <c r="A951" s="365"/>
    </row>
    <row r="952" spans="1:1" x14ac:dyDescent="0.3">
      <c r="A952" s="365"/>
    </row>
    <row r="953" spans="1:1" x14ac:dyDescent="0.3">
      <c r="A953" s="365"/>
    </row>
    <row r="954" spans="1:1" x14ac:dyDescent="0.3">
      <c r="A954" s="365"/>
    </row>
    <row r="955" spans="1:1" x14ac:dyDescent="0.3">
      <c r="A955" s="365"/>
    </row>
    <row r="956" spans="1:1" x14ac:dyDescent="0.3">
      <c r="A956" s="365"/>
    </row>
    <row r="957" spans="1:1" x14ac:dyDescent="0.3">
      <c r="A957" s="365"/>
    </row>
    <row r="958" spans="1:1" x14ac:dyDescent="0.3">
      <c r="A958" s="365"/>
    </row>
    <row r="959" spans="1:1" x14ac:dyDescent="0.3">
      <c r="A959" s="365"/>
    </row>
    <row r="960" spans="1:1" x14ac:dyDescent="0.3">
      <c r="A960" s="365"/>
    </row>
    <row r="961" spans="1:1" x14ac:dyDescent="0.3">
      <c r="A961" s="365"/>
    </row>
    <row r="962" spans="1:1" x14ac:dyDescent="0.3">
      <c r="A962" s="365"/>
    </row>
    <row r="963" spans="1:1" x14ac:dyDescent="0.3">
      <c r="A963" s="365"/>
    </row>
    <row r="964" spans="1:1" x14ac:dyDescent="0.3">
      <c r="A964" s="365"/>
    </row>
    <row r="965" spans="1:1" x14ac:dyDescent="0.3">
      <c r="A965" s="365"/>
    </row>
    <row r="966" spans="1:1" x14ac:dyDescent="0.3">
      <c r="A966" s="365"/>
    </row>
    <row r="967" spans="1:1" x14ac:dyDescent="0.3">
      <c r="A967" s="365"/>
    </row>
    <row r="968" spans="1:1" x14ac:dyDescent="0.3">
      <c r="A968" s="365"/>
    </row>
    <row r="969" spans="1:1" x14ac:dyDescent="0.3">
      <c r="A969" s="365"/>
    </row>
    <row r="970" spans="1:1" x14ac:dyDescent="0.3">
      <c r="A970" s="365"/>
    </row>
    <row r="971" spans="1:1" x14ac:dyDescent="0.3">
      <c r="A971" s="365"/>
    </row>
    <row r="972" spans="1:1" x14ac:dyDescent="0.3">
      <c r="A972" s="365"/>
    </row>
    <row r="973" spans="1:1" x14ac:dyDescent="0.3">
      <c r="A973" s="365"/>
    </row>
    <row r="974" spans="1:1" x14ac:dyDescent="0.3">
      <c r="A974" s="365"/>
    </row>
    <row r="975" spans="1:1" x14ac:dyDescent="0.3">
      <c r="A975" s="365"/>
    </row>
    <row r="976" spans="1:1" x14ac:dyDescent="0.3">
      <c r="A976" s="365"/>
    </row>
    <row r="977" spans="1:1" x14ac:dyDescent="0.3">
      <c r="A977" s="365"/>
    </row>
    <row r="978" spans="1:1" x14ac:dyDescent="0.3">
      <c r="A978" s="365"/>
    </row>
    <row r="979" spans="1:1" x14ac:dyDescent="0.3">
      <c r="A979" s="365"/>
    </row>
    <row r="980" spans="1:1" x14ac:dyDescent="0.3">
      <c r="A980" s="365"/>
    </row>
    <row r="981" spans="1:1" x14ac:dyDescent="0.3">
      <c r="A981" s="365"/>
    </row>
    <row r="982" spans="1:1" x14ac:dyDescent="0.3">
      <c r="A982" s="365"/>
    </row>
    <row r="983" spans="1:1" x14ac:dyDescent="0.3">
      <c r="A983" s="365"/>
    </row>
    <row r="984" spans="1:1" x14ac:dyDescent="0.3">
      <c r="A984" s="365"/>
    </row>
    <row r="985" spans="1:1" x14ac:dyDescent="0.3">
      <c r="A985" s="365"/>
    </row>
    <row r="986" spans="1:1" x14ac:dyDescent="0.3">
      <c r="A986" s="365"/>
    </row>
    <row r="987" spans="1:1" x14ac:dyDescent="0.3">
      <c r="A987" s="365"/>
    </row>
    <row r="988" spans="1:1" x14ac:dyDescent="0.3">
      <c r="A988" s="365"/>
    </row>
    <row r="989" spans="1:1" x14ac:dyDescent="0.3">
      <c r="A989" s="365"/>
    </row>
    <row r="990" spans="1:1" x14ac:dyDescent="0.3">
      <c r="A990" s="365"/>
    </row>
    <row r="991" spans="1:1" x14ac:dyDescent="0.3">
      <c r="A991" s="365"/>
    </row>
    <row r="992" spans="1:1" x14ac:dyDescent="0.3">
      <c r="A992" s="365"/>
    </row>
    <row r="993" spans="1:1" x14ac:dyDescent="0.3">
      <c r="A993" s="365"/>
    </row>
    <row r="994" spans="1:1" x14ac:dyDescent="0.3">
      <c r="A994" s="365"/>
    </row>
    <row r="995" spans="1:1" x14ac:dyDescent="0.3">
      <c r="A995" s="365"/>
    </row>
    <row r="996" spans="1:1" x14ac:dyDescent="0.3">
      <c r="A996" s="365"/>
    </row>
    <row r="997" spans="1:1" x14ac:dyDescent="0.3">
      <c r="A997" s="365"/>
    </row>
    <row r="998" spans="1:1" x14ac:dyDescent="0.3">
      <c r="A998" s="365"/>
    </row>
    <row r="999" spans="1:1" x14ac:dyDescent="0.3">
      <c r="A999" s="365"/>
    </row>
    <row r="1000" spans="1:1" x14ac:dyDescent="0.3">
      <c r="A1000" s="365"/>
    </row>
    <row r="1001" spans="1:1" x14ac:dyDescent="0.3">
      <c r="A1001" s="365"/>
    </row>
    <row r="1002" spans="1:1" x14ac:dyDescent="0.3">
      <c r="A1002" s="365"/>
    </row>
    <row r="1003" spans="1:1" x14ac:dyDescent="0.3">
      <c r="A1003" s="365"/>
    </row>
    <row r="1004" spans="1:1" x14ac:dyDescent="0.3">
      <c r="A1004" s="365"/>
    </row>
    <row r="1005" spans="1:1" x14ac:dyDescent="0.3">
      <c r="A1005" s="365"/>
    </row>
    <row r="1006" spans="1:1" x14ac:dyDescent="0.3">
      <c r="A1006" s="365"/>
    </row>
    <row r="1007" spans="1:1" x14ac:dyDescent="0.3">
      <c r="A1007" s="365"/>
    </row>
    <row r="1008" spans="1:1" x14ac:dyDescent="0.3">
      <c r="A1008" s="365"/>
    </row>
    <row r="1009" spans="1:1" x14ac:dyDescent="0.3">
      <c r="A1009" s="365"/>
    </row>
    <row r="1010" spans="1:1" x14ac:dyDescent="0.3">
      <c r="A1010" s="365"/>
    </row>
    <row r="1011" spans="1:1" x14ac:dyDescent="0.3">
      <c r="A1011" s="365"/>
    </row>
    <row r="1012" spans="1:1" x14ac:dyDescent="0.3">
      <c r="A1012" s="365"/>
    </row>
    <row r="1013" spans="1:1" x14ac:dyDescent="0.3">
      <c r="A1013" s="365"/>
    </row>
    <row r="1014" spans="1:1" x14ac:dyDescent="0.3">
      <c r="A1014" s="365"/>
    </row>
    <row r="1015" spans="1:1" x14ac:dyDescent="0.3">
      <c r="A1015" s="365"/>
    </row>
    <row r="1016" spans="1:1" x14ac:dyDescent="0.3">
      <c r="A1016" s="365"/>
    </row>
    <row r="1017" spans="1:1" x14ac:dyDescent="0.3">
      <c r="A1017" s="365"/>
    </row>
    <row r="1018" spans="1:1" x14ac:dyDescent="0.3">
      <c r="A1018" s="365"/>
    </row>
    <row r="1019" spans="1:1" x14ac:dyDescent="0.3">
      <c r="A1019" s="365"/>
    </row>
    <row r="1020" spans="1:1" x14ac:dyDescent="0.3">
      <c r="A1020" s="365"/>
    </row>
    <row r="1021" spans="1:1" x14ac:dyDescent="0.3">
      <c r="A1021" s="365"/>
    </row>
    <row r="1022" spans="1:1" x14ac:dyDescent="0.3">
      <c r="A1022" s="365"/>
    </row>
    <row r="1023" spans="1:1" x14ac:dyDescent="0.3">
      <c r="A1023" s="365"/>
    </row>
    <row r="1024" spans="1:1" x14ac:dyDescent="0.3">
      <c r="A1024" s="365"/>
    </row>
    <row r="1025" spans="1:1" x14ac:dyDescent="0.3">
      <c r="A1025" s="365"/>
    </row>
    <row r="1026" spans="1:1" x14ac:dyDescent="0.3">
      <c r="A1026" s="365"/>
    </row>
    <row r="1027" spans="1:1" x14ac:dyDescent="0.3">
      <c r="A1027" s="365"/>
    </row>
    <row r="1028" spans="1:1" x14ac:dyDescent="0.3">
      <c r="A1028" s="365"/>
    </row>
    <row r="1029" spans="1:1" x14ac:dyDescent="0.3">
      <c r="A1029" s="365"/>
    </row>
    <row r="1030" spans="1:1" x14ac:dyDescent="0.3">
      <c r="A1030" s="365"/>
    </row>
    <row r="1031" spans="1:1" x14ac:dyDescent="0.3">
      <c r="A1031" s="365"/>
    </row>
    <row r="1032" spans="1:1" x14ac:dyDescent="0.3">
      <c r="A1032" s="365"/>
    </row>
    <row r="1033" spans="1:1" x14ac:dyDescent="0.3">
      <c r="A1033" s="365"/>
    </row>
    <row r="1034" spans="1:1" x14ac:dyDescent="0.3">
      <c r="A1034" s="365"/>
    </row>
    <row r="1035" spans="1:1" x14ac:dyDescent="0.3">
      <c r="A1035" s="365"/>
    </row>
    <row r="1036" spans="1:1" x14ac:dyDescent="0.3">
      <c r="A1036" s="365"/>
    </row>
    <row r="1037" spans="1:1" x14ac:dyDescent="0.3">
      <c r="A1037" s="365"/>
    </row>
    <row r="1038" spans="1:1" x14ac:dyDescent="0.3">
      <c r="A1038" s="365"/>
    </row>
    <row r="1039" spans="1:1" x14ac:dyDescent="0.3">
      <c r="A1039" s="365"/>
    </row>
    <row r="1040" spans="1:1" x14ac:dyDescent="0.3">
      <c r="A1040" s="365"/>
    </row>
    <row r="1041" spans="1:1" x14ac:dyDescent="0.3">
      <c r="A1041" s="365"/>
    </row>
    <row r="1042" spans="1:1" x14ac:dyDescent="0.3">
      <c r="A1042" s="365"/>
    </row>
    <row r="1043" spans="1:1" x14ac:dyDescent="0.3">
      <c r="A1043" s="365"/>
    </row>
    <row r="1044" spans="1:1" x14ac:dyDescent="0.3">
      <c r="A1044" s="365"/>
    </row>
    <row r="1045" spans="1:1" x14ac:dyDescent="0.3">
      <c r="A1045" s="365"/>
    </row>
    <row r="1046" spans="1:1" x14ac:dyDescent="0.3">
      <c r="A1046" s="365"/>
    </row>
    <row r="1047" spans="1:1" x14ac:dyDescent="0.3">
      <c r="A1047" s="365"/>
    </row>
    <row r="1048" spans="1:1" x14ac:dyDescent="0.3">
      <c r="A1048" s="365"/>
    </row>
    <row r="1049" spans="1:1" x14ac:dyDescent="0.3">
      <c r="A1049" s="365"/>
    </row>
    <row r="1050" spans="1:1" x14ac:dyDescent="0.3">
      <c r="A1050" s="365"/>
    </row>
    <row r="1051" spans="1:1" x14ac:dyDescent="0.3">
      <c r="A1051" s="365"/>
    </row>
    <row r="1052" spans="1:1" x14ac:dyDescent="0.3">
      <c r="A1052" s="365"/>
    </row>
    <row r="1053" spans="1:1" x14ac:dyDescent="0.3">
      <c r="A1053" s="365"/>
    </row>
    <row r="1054" spans="1:1" x14ac:dyDescent="0.3">
      <c r="A1054" s="365"/>
    </row>
    <row r="1055" spans="1:1" x14ac:dyDescent="0.3">
      <c r="A1055" s="365"/>
    </row>
    <row r="1056" spans="1:1" x14ac:dyDescent="0.3">
      <c r="A1056" s="365"/>
    </row>
    <row r="1057" spans="1:1" x14ac:dyDescent="0.3">
      <c r="A1057" s="365"/>
    </row>
    <row r="1058" spans="1:1" x14ac:dyDescent="0.3">
      <c r="A1058" s="365"/>
    </row>
    <row r="1059" spans="1:1" x14ac:dyDescent="0.3">
      <c r="A1059" s="365"/>
    </row>
    <row r="1060" spans="1:1" x14ac:dyDescent="0.3">
      <c r="A1060" s="365"/>
    </row>
    <row r="1061" spans="1:1" x14ac:dyDescent="0.3">
      <c r="A1061" s="365"/>
    </row>
    <row r="1062" spans="1:1" x14ac:dyDescent="0.3">
      <c r="A1062" s="365"/>
    </row>
    <row r="1063" spans="1:1" x14ac:dyDescent="0.3">
      <c r="A1063" s="365"/>
    </row>
    <row r="1064" spans="1:1" x14ac:dyDescent="0.3">
      <c r="A1064" s="365"/>
    </row>
    <row r="1065" spans="1:1" x14ac:dyDescent="0.3">
      <c r="A1065" s="365"/>
    </row>
    <row r="1066" spans="1:1" x14ac:dyDescent="0.3">
      <c r="A1066" s="365"/>
    </row>
    <row r="1067" spans="1:1" x14ac:dyDescent="0.3">
      <c r="A1067" s="365"/>
    </row>
    <row r="1068" spans="1:1" x14ac:dyDescent="0.3">
      <c r="A1068" s="365"/>
    </row>
    <row r="1069" spans="1:1" x14ac:dyDescent="0.3">
      <c r="A1069" s="365"/>
    </row>
    <row r="1070" spans="1:1" x14ac:dyDescent="0.3">
      <c r="A1070" s="365"/>
    </row>
    <row r="1071" spans="1:1" x14ac:dyDescent="0.3">
      <c r="A1071" s="365"/>
    </row>
    <row r="1072" spans="1:1" x14ac:dyDescent="0.3">
      <c r="A1072" s="365"/>
    </row>
    <row r="1073" spans="1:1" x14ac:dyDescent="0.3">
      <c r="A1073" s="365"/>
    </row>
    <row r="1074" spans="1:1" x14ac:dyDescent="0.3">
      <c r="A1074" s="365"/>
    </row>
    <row r="1075" spans="1:1" x14ac:dyDescent="0.3">
      <c r="A1075" s="365"/>
    </row>
    <row r="1076" spans="1:1" x14ac:dyDescent="0.3">
      <c r="A1076" s="365"/>
    </row>
    <row r="1077" spans="1:1" x14ac:dyDescent="0.3">
      <c r="A1077" s="365"/>
    </row>
    <row r="1078" spans="1:1" x14ac:dyDescent="0.3">
      <c r="A1078" s="365"/>
    </row>
    <row r="1079" spans="1:1" x14ac:dyDescent="0.3">
      <c r="A1079" s="365"/>
    </row>
    <row r="1080" spans="1:1" x14ac:dyDescent="0.3">
      <c r="A1080" s="365"/>
    </row>
    <row r="1081" spans="1:1" x14ac:dyDescent="0.3">
      <c r="A1081" s="365"/>
    </row>
    <row r="1082" spans="1:1" x14ac:dyDescent="0.3">
      <c r="A1082" s="365"/>
    </row>
    <row r="1083" spans="1:1" x14ac:dyDescent="0.3">
      <c r="A1083" s="365"/>
    </row>
    <row r="1084" spans="1:1" x14ac:dyDescent="0.3">
      <c r="A1084" s="365"/>
    </row>
    <row r="1085" spans="1:1" x14ac:dyDescent="0.3">
      <c r="A1085" s="365"/>
    </row>
    <row r="1086" spans="1:1" x14ac:dyDescent="0.3">
      <c r="A1086" s="365"/>
    </row>
    <row r="1087" spans="1:1" x14ac:dyDescent="0.3">
      <c r="A1087" s="365"/>
    </row>
    <row r="1088" spans="1:1" x14ac:dyDescent="0.3">
      <c r="A1088" s="365"/>
    </row>
    <row r="1089" spans="1:1" x14ac:dyDescent="0.3">
      <c r="A1089" s="365"/>
    </row>
    <row r="1090" spans="1:1" x14ac:dyDescent="0.3">
      <c r="A1090" s="365"/>
    </row>
    <row r="1091" spans="1:1" x14ac:dyDescent="0.3">
      <c r="A1091" s="365"/>
    </row>
    <row r="1092" spans="1:1" x14ac:dyDescent="0.3">
      <c r="A1092" s="365"/>
    </row>
    <row r="1093" spans="1:1" x14ac:dyDescent="0.3">
      <c r="A1093" s="365"/>
    </row>
    <row r="1094" spans="1:1" x14ac:dyDescent="0.3">
      <c r="A1094" s="365"/>
    </row>
    <row r="1095" spans="1:1" x14ac:dyDescent="0.3">
      <c r="A1095" s="365"/>
    </row>
    <row r="1096" spans="1:1" x14ac:dyDescent="0.3">
      <c r="A1096" s="365"/>
    </row>
    <row r="1097" spans="1:1" x14ac:dyDescent="0.3">
      <c r="A1097" s="365"/>
    </row>
    <row r="1098" spans="1:1" x14ac:dyDescent="0.3">
      <c r="A1098" s="365"/>
    </row>
    <row r="1099" spans="1:1" x14ac:dyDescent="0.3">
      <c r="A1099" s="365"/>
    </row>
    <row r="1100" spans="1:1" x14ac:dyDescent="0.3">
      <c r="A1100" s="365"/>
    </row>
    <row r="1101" spans="1:1" x14ac:dyDescent="0.3">
      <c r="A1101" s="365"/>
    </row>
    <row r="1102" spans="1:1" x14ac:dyDescent="0.3">
      <c r="A1102" s="365"/>
    </row>
    <row r="1103" spans="1:1" x14ac:dyDescent="0.3">
      <c r="A1103" s="365"/>
    </row>
    <row r="1104" spans="1:1" x14ac:dyDescent="0.3">
      <c r="A1104" s="365"/>
    </row>
    <row r="1105" spans="1:1" x14ac:dyDescent="0.3">
      <c r="A1105" s="365"/>
    </row>
    <row r="1106" spans="1:1" x14ac:dyDescent="0.3">
      <c r="A1106" s="365"/>
    </row>
    <row r="1107" spans="1:1" x14ac:dyDescent="0.3">
      <c r="A1107" s="365"/>
    </row>
    <row r="1108" spans="1:1" x14ac:dyDescent="0.3">
      <c r="A1108" s="365"/>
    </row>
    <row r="1109" spans="1:1" x14ac:dyDescent="0.3">
      <c r="A1109" s="365"/>
    </row>
    <row r="1110" spans="1:1" x14ac:dyDescent="0.3">
      <c r="A1110" s="365"/>
    </row>
    <row r="1111" spans="1:1" x14ac:dyDescent="0.3">
      <c r="A1111" s="365"/>
    </row>
    <row r="1112" spans="1:1" x14ac:dyDescent="0.3">
      <c r="A1112" s="365"/>
    </row>
    <row r="1113" spans="1:1" x14ac:dyDescent="0.3">
      <c r="A1113" s="365"/>
    </row>
    <row r="1114" spans="1:1" x14ac:dyDescent="0.3">
      <c r="A1114" s="365"/>
    </row>
    <row r="1115" spans="1:1" x14ac:dyDescent="0.3">
      <c r="A1115" s="365"/>
    </row>
    <row r="1116" spans="1:1" x14ac:dyDescent="0.3">
      <c r="A1116" s="365"/>
    </row>
    <row r="1117" spans="1:1" x14ac:dyDescent="0.3">
      <c r="A1117" s="365"/>
    </row>
    <row r="1118" spans="1:1" x14ac:dyDescent="0.3">
      <c r="A1118" s="365"/>
    </row>
    <row r="1119" spans="1:1" x14ac:dyDescent="0.3">
      <c r="A1119" s="365"/>
    </row>
    <row r="1120" spans="1:1" x14ac:dyDescent="0.3">
      <c r="A1120" s="365"/>
    </row>
    <row r="1121" spans="1:1" x14ac:dyDescent="0.3">
      <c r="A1121" s="365"/>
    </row>
    <row r="1122" spans="1:1" x14ac:dyDescent="0.3">
      <c r="A1122" s="365"/>
    </row>
    <row r="1123" spans="1:1" x14ac:dyDescent="0.3">
      <c r="A1123" s="365"/>
    </row>
    <row r="1124" spans="1:1" x14ac:dyDescent="0.3">
      <c r="A1124" s="365"/>
    </row>
    <row r="1125" spans="1:1" x14ac:dyDescent="0.3">
      <c r="A1125" s="365"/>
    </row>
    <row r="1126" spans="1:1" x14ac:dyDescent="0.3">
      <c r="A1126" s="365"/>
    </row>
    <row r="1127" spans="1:1" x14ac:dyDescent="0.3">
      <c r="A1127" s="365"/>
    </row>
    <row r="1128" spans="1:1" x14ac:dyDescent="0.3">
      <c r="A1128" s="365"/>
    </row>
    <row r="1129" spans="1:1" x14ac:dyDescent="0.3">
      <c r="A1129" s="365"/>
    </row>
    <row r="1130" spans="1:1" x14ac:dyDescent="0.3">
      <c r="A1130" s="365"/>
    </row>
    <row r="1131" spans="1:1" x14ac:dyDescent="0.3">
      <c r="A1131" s="365"/>
    </row>
    <row r="1132" spans="1:1" x14ac:dyDescent="0.3">
      <c r="A1132" s="365"/>
    </row>
    <row r="1133" spans="1:1" x14ac:dyDescent="0.3">
      <c r="A1133" s="365"/>
    </row>
    <row r="1134" spans="1:1" x14ac:dyDescent="0.3">
      <c r="A1134" s="365"/>
    </row>
    <row r="1135" spans="1:1" x14ac:dyDescent="0.3">
      <c r="A1135" s="365"/>
    </row>
    <row r="1136" spans="1:1" x14ac:dyDescent="0.3">
      <c r="A1136" s="365"/>
    </row>
    <row r="1137" spans="1:1" x14ac:dyDescent="0.3">
      <c r="A1137" s="365"/>
    </row>
    <row r="1138" spans="1:1" x14ac:dyDescent="0.3">
      <c r="A1138" s="365"/>
    </row>
    <row r="1139" spans="1:1" x14ac:dyDescent="0.3">
      <c r="A1139" s="365"/>
    </row>
    <row r="1140" spans="1:1" x14ac:dyDescent="0.3">
      <c r="A1140" s="365"/>
    </row>
    <row r="1141" spans="1:1" x14ac:dyDescent="0.3">
      <c r="A1141" s="365"/>
    </row>
    <row r="1142" spans="1:1" x14ac:dyDescent="0.3">
      <c r="A1142" s="365"/>
    </row>
    <row r="1143" spans="1:1" x14ac:dyDescent="0.3">
      <c r="A1143" s="365"/>
    </row>
    <row r="1144" spans="1:1" x14ac:dyDescent="0.3">
      <c r="A1144" s="365"/>
    </row>
    <row r="1145" spans="1:1" x14ac:dyDescent="0.3">
      <c r="A1145" s="365"/>
    </row>
    <row r="1146" spans="1:1" x14ac:dyDescent="0.3">
      <c r="A1146" s="365"/>
    </row>
    <row r="1147" spans="1:1" x14ac:dyDescent="0.3">
      <c r="A1147" s="365"/>
    </row>
    <row r="1148" spans="1:1" x14ac:dyDescent="0.3">
      <c r="A1148" s="365"/>
    </row>
    <row r="1149" spans="1:1" x14ac:dyDescent="0.3">
      <c r="A1149" s="365"/>
    </row>
    <row r="1150" spans="1:1" x14ac:dyDescent="0.3">
      <c r="A1150" s="365"/>
    </row>
    <row r="1151" spans="1:1" x14ac:dyDescent="0.3">
      <c r="A1151" s="365"/>
    </row>
    <row r="1152" spans="1:1" x14ac:dyDescent="0.3">
      <c r="A1152" s="365"/>
    </row>
    <row r="1153" spans="1:1" x14ac:dyDescent="0.3">
      <c r="A1153" s="365"/>
    </row>
    <row r="1154" spans="1:1" x14ac:dyDescent="0.3">
      <c r="A1154" s="365"/>
    </row>
    <row r="1155" spans="1:1" x14ac:dyDescent="0.3">
      <c r="A1155" s="365"/>
    </row>
    <row r="1156" spans="1:1" x14ac:dyDescent="0.3">
      <c r="A1156" s="365"/>
    </row>
    <row r="1157" spans="1:1" x14ac:dyDescent="0.3">
      <c r="A1157" s="365"/>
    </row>
    <row r="1158" spans="1:1" x14ac:dyDescent="0.3">
      <c r="A1158" s="365"/>
    </row>
    <row r="1159" spans="1:1" x14ac:dyDescent="0.3">
      <c r="A1159" s="365"/>
    </row>
    <row r="1160" spans="1:1" x14ac:dyDescent="0.3">
      <c r="A1160" s="365"/>
    </row>
    <row r="1161" spans="1:1" x14ac:dyDescent="0.3">
      <c r="A1161" s="365"/>
    </row>
    <row r="1162" spans="1:1" x14ac:dyDescent="0.3">
      <c r="A1162" s="365"/>
    </row>
    <row r="1163" spans="1:1" x14ac:dyDescent="0.3">
      <c r="A1163" s="365"/>
    </row>
    <row r="1164" spans="1:1" x14ac:dyDescent="0.3">
      <c r="A1164" s="365"/>
    </row>
    <row r="1165" spans="1:1" x14ac:dyDescent="0.3">
      <c r="A1165" s="365"/>
    </row>
    <row r="1166" spans="1:1" x14ac:dyDescent="0.3">
      <c r="A1166" s="365"/>
    </row>
    <row r="1167" spans="1:1" x14ac:dyDescent="0.3">
      <c r="A1167" s="365"/>
    </row>
    <row r="1168" spans="1:1" x14ac:dyDescent="0.3">
      <c r="A1168" s="365"/>
    </row>
    <row r="1169" spans="1:1" x14ac:dyDescent="0.3">
      <c r="A1169" s="365"/>
    </row>
    <row r="1170" spans="1:1" x14ac:dyDescent="0.3">
      <c r="A1170" s="365"/>
    </row>
    <row r="1171" spans="1:1" x14ac:dyDescent="0.3">
      <c r="A1171" s="365"/>
    </row>
    <row r="1172" spans="1:1" x14ac:dyDescent="0.3">
      <c r="A1172" s="365"/>
    </row>
    <row r="1173" spans="1:1" x14ac:dyDescent="0.3">
      <c r="A1173" s="365"/>
    </row>
    <row r="1174" spans="1:1" x14ac:dyDescent="0.3">
      <c r="A1174" s="365"/>
    </row>
    <row r="1175" spans="1:1" x14ac:dyDescent="0.3">
      <c r="A1175" s="365"/>
    </row>
    <row r="1176" spans="1:1" x14ac:dyDescent="0.3">
      <c r="A1176" s="365"/>
    </row>
    <row r="1177" spans="1:1" x14ac:dyDescent="0.3">
      <c r="A1177" s="365"/>
    </row>
    <row r="1178" spans="1:1" x14ac:dyDescent="0.3">
      <c r="A1178" s="365"/>
    </row>
    <row r="1179" spans="1:1" x14ac:dyDescent="0.3">
      <c r="A1179" s="365"/>
    </row>
    <row r="1180" spans="1:1" x14ac:dyDescent="0.3">
      <c r="A1180" s="365"/>
    </row>
    <row r="1181" spans="1:1" x14ac:dyDescent="0.3">
      <c r="A1181" s="365"/>
    </row>
    <row r="1182" spans="1:1" x14ac:dyDescent="0.3">
      <c r="A1182" s="365"/>
    </row>
    <row r="1183" spans="1:1" x14ac:dyDescent="0.3">
      <c r="A1183" s="365"/>
    </row>
    <row r="1184" spans="1:1" x14ac:dyDescent="0.3">
      <c r="A1184" s="365"/>
    </row>
    <row r="1185" spans="1:1" x14ac:dyDescent="0.3">
      <c r="A1185" s="365"/>
    </row>
    <row r="1186" spans="1:1" x14ac:dyDescent="0.3">
      <c r="A1186" s="365"/>
    </row>
    <row r="1187" spans="1:1" x14ac:dyDescent="0.3">
      <c r="A1187" s="365"/>
    </row>
    <row r="1188" spans="1:1" x14ac:dyDescent="0.3">
      <c r="A1188" s="365"/>
    </row>
    <row r="1189" spans="1:1" x14ac:dyDescent="0.3">
      <c r="A1189" s="365"/>
    </row>
    <row r="1190" spans="1:1" x14ac:dyDescent="0.3">
      <c r="A1190" s="365"/>
    </row>
    <row r="1191" spans="1:1" x14ac:dyDescent="0.3">
      <c r="A1191" s="365"/>
    </row>
    <row r="1192" spans="1:1" x14ac:dyDescent="0.3">
      <c r="A1192" s="365"/>
    </row>
    <row r="1193" spans="1:1" x14ac:dyDescent="0.3">
      <c r="A1193" s="365"/>
    </row>
    <row r="1194" spans="1:1" x14ac:dyDescent="0.3">
      <c r="A1194" s="365"/>
    </row>
    <row r="1195" spans="1:1" x14ac:dyDescent="0.3">
      <c r="A1195" s="365"/>
    </row>
    <row r="1196" spans="1:1" x14ac:dyDescent="0.3">
      <c r="A1196" s="365"/>
    </row>
    <row r="1197" spans="1:1" x14ac:dyDescent="0.3">
      <c r="A1197" s="365"/>
    </row>
    <row r="1198" spans="1:1" x14ac:dyDescent="0.3">
      <c r="A1198" s="365"/>
    </row>
    <row r="1199" spans="1:1" x14ac:dyDescent="0.3">
      <c r="A1199" s="365"/>
    </row>
    <row r="1200" spans="1:1" x14ac:dyDescent="0.3">
      <c r="A1200" s="365"/>
    </row>
    <row r="1201" spans="1:1" x14ac:dyDescent="0.3">
      <c r="A1201" s="365"/>
    </row>
    <row r="1202" spans="1:1" x14ac:dyDescent="0.3">
      <c r="A1202" s="365"/>
    </row>
    <row r="1203" spans="1:1" x14ac:dyDescent="0.3">
      <c r="A1203" s="365"/>
    </row>
    <row r="1204" spans="1:1" x14ac:dyDescent="0.3">
      <c r="A1204" s="365"/>
    </row>
    <row r="1205" spans="1:1" x14ac:dyDescent="0.3">
      <c r="A1205" s="365"/>
    </row>
    <row r="1206" spans="1:1" x14ac:dyDescent="0.3">
      <c r="A1206" s="365"/>
    </row>
    <row r="1207" spans="1:1" x14ac:dyDescent="0.3">
      <c r="A1207" s="365"/>
    </row>
    <row r="1208" spans="1:1" x14ac:dyDescent="0.3">
      <c r="A1208" s="365"/>
    </row>
    <row r="1209" spans="1:1" x14ac:dyDescent="0.3">
      <c r="A1209" s="365"/>
    </row>
    <row r="1210" spans="1:1" x14ac:dyDescent="0.3">
      <c r="A1210" s="365"/>
    </row>
    <row r="1211" spans="1:1" x14ac:dyDescent="0.3">
      <c r="A1211" s="365"/>
    </row>
    <row r="1212" spans="1:1" x14ac:dyDescent="0.3">
      <c r="A1212" s="365"/>
    </row>
    <row r="1213" spans="1:1" x14ac:dyDescent="0.3">
      <c r="A1213" s="365"/>
    </row>
    <row r="1214" spans="1:1" x14ac:dyDescent="0.3">
      <c r="A1214" s="365"/>
    </row>
    <row r="1215" spans="1:1" x14ac:dyDescent="0.3">
      <c r="A1215" s="365"/>
    </row>
    <row r="1216" spans="1:1" x14ac:dyDescent="0.3">
      <c r="A1216" s="365"/>
    </row>
    <row r="1217" spans="1:1" x14ac:dyDescent="0.3">
      <c r="A1217" s="365"/>
    </row>
    <row r="1218" spans="1:1" x14ac:dyDescent="0.3">
      <c r="A1218" s="365"/>
    </row>
    <row r="1219" spans="1:1" x14ac:dyDescent="0.3">
      <c r="A1219" s="365"/>
    </row>
    <row r="1220" spans="1:1" x14ac:dyDescent="0.3">
      <c r="A1220" s="365"/>
    </row>
    <row r="1221" spans="1:1" x14ac:dyDescent="0.3">
      <c r="A1221" s="365"/>
    </row>
    <row r="1222" spans="1:1" x14ac:dyDescent="0.3">
      <c r="A1222" s="365"/>
    </row>
    <row r="1223" spans="1:1" x14ac:dyDescent="0.3">
      <c r="A1223" s="365"/>
    </row>
    <row r="1224" spans="1:1" x14ac:dyDescent="0.3">
      <c r="A1224" s="365"/>
    </row>
    <row r="1225" spans="1:1" x14ac:dyDescent="0.3">
      <c r="A1225" s="365"/>
    </row>
    <row r="1226" spans="1:1" x14ac:dyDescent="0.3">
      <c r="A1226" s="365"/>
    </row>
    <row r="1227" spans="1:1" x14ac:dyDescent="0.3">
      <c r="A1227" s="365"/>
    </row>
    <row r="1228" spans="1:1" x14ac:dyDescent="0.3">
      <c r="A1228" s="365"/>
    </row>
    <row r="1229" spans="1:1" x14ac:dyDescent="0.3">
      <c r="A1229" s="365"/>
    </row>
    <row r="1230" spans="1:1" x14ac:dyDescent="0.3">
      <c r="A1230" s="365"/>
    </row>
    <row r="1231" spans="1:1" x14ac:dyDescent="0.3">
      <c r="A1231" s="365"/>
    </row>
    <row r="1232" spans="1:1" x14ac:dyDescent="0.3">
      <c r="A1232" s="365"/>
    </row>
    <row r="1233" spans="1:1" x14ac:dyDescent="0.3">
      <c r="A1233" s="365"/>
    </row>
    <row r="1234" spans="1:1" x14ac:dyDescent="0.3">
      <c r="A1234" s="365"/>
    </row>
    <row r="1235" spans="1:1" x14ac:dyDescent="0.3">
      <c r="A1235" s="365"/>
    </row>
    <row r="1236" spans="1:1" x14ac:dyDescent="0.3">
      <c r="A1236" s="365"/>
    </row>
    <row r="1237" spans="1:1" x14ac:dyDescent="0.3">
      <c r="A1237" s="365"/>
    </row>
    <row r="1238" spans="1:1" x14ac:dyDescent="0.3">
      <c r="A1238" s="365"/>
    </row>
    <row r="1239" spans="1:1" x14ac:dyDescent="0.3">
      <c r="A1239" s="365"/>
    </row>
    <row r="1240" spans="1:1" x14ac:dyDescent="0.3">
      <c r="A1240" s="365"/>
    </row>
    <row r="1241" spans="1:1" x14ac:dyDescent="0.3">
      <c r="A1241" s="365"/>
    </row>
    <row r="1242" spans="1:1" x14ac:dyDescent="0.3">
      <c r="A1242" s="365"/>
    </row>
    <row r="1243" spans="1:1" x14ac:dyDescent="0.3">
      <c r="A1243" s="365"/>
    </row>
    <row r="1244" spans="1:1" x14ac:dyDescent="0.3">
      <c r="A1244" s="365"/>
    </row>
    <row r="1245" spans="1:1" x14ac:dyDescent="0.3">
      <c r="A1245" s="365"/>
    </row>
    <row r="1246" spans="1:1" x14ac:dyDescent="0.3">
      <c r="A1246" s="365"/>
    </row>
    <row r="1247" spans="1:1" x14ac:dyDescent="0.3">
      <c r="A1247" s="365"/>
    </row>
    <row r="1248" spans="1:1" x14ac:dyDescent="0.3">
      <c r="A1248" s="365"/>
    </row>
    <row r="1249" spans="1:1" x14ac:dyDescent="0.3">
      <c r="A1249" s="365"/>
    </row>
    <row r="1250" spans="1:1" x14ac:dyDescent="0.3">
      <c r="A1250" s="365"/>
    </row>
    <row r="1251" spans="1:1" x14ac:dyDescent="0.3">
      <c r="A1251" s="365"/>
    </row>
    <row r="1252" spans="1:1" x14ac:dyDescent="0.3">
      <c r="A1252" s="365"/>
    </row>
    <row r="1253" spans="1:1" x14ac:dyDescent="0.3">
      <c r="A1253" s="365"/>
    </row>
    <row r="1254" spans="1:1" x14ac:dyDescent="0.3">
      <c r="A1254" s="365"/>
    </row>
    <row r="1255" spans="1:1" x14ac:dyDescent="0.3">
      <c r="A1255" s="365"/>
    </row>
    <row r="1256" spans="1:1" x14ac:dyDescent="0.3">
      <c r="A1256" s="365"/>
    </row>
    <row r="1257" spans="1:1" x14ac:dyDescent="0.3">
      <c r="A1257" s="365"/>
    </row>
    <row r="1258" spans="1:1" x14ac:dyDescent="0.3">
      <c r="A1258" s="365"/>
    </row>
    <row r="1259" spans="1:1" x14ac:dyDescent="0.3">
      <c r="A1259" s="365"/>
    </row>
    <row r="1260" spans="1:1" x14ac:dyDescent="0.3">
      <c r="A1260" s="365"/>
    </row>
    <row r="1261" spans="1:1" x14ac:dyDescent="0.3">
      <c r="A1261" s="365"/>
    </row>
    <row r="1262" spans="1:1" x14ac:dyDescent="0.3">
      <c r="A1262" s="365"/>
    </row>
    <row r="1263" spans="1:1" x14ac:dyDescent="0.3">
      <c r="A1263" s="365"/>
    </row>
    <row r="1264" spans="1:1" x14ac:dyDescent="0.3">
      <c r="A1264" s="365"/>
    </row>
    <row r="1265" spans="1:1" x14ac:dyDescent="0.3">
      <c r="A1265" s="365"/>
    </row>
    <row r="1266" spans="1:1" x14ac:dyDescent="0.3">
      <c r="A1266" s="365"/>
    </row>
    <row r="1267" spans="1:1" x14ac:dyDescent="0.3">
      <c r="A1267" s="365"/>
    </row>
    <row r="1268" spans="1:1" x14ac:dyDescent="0.3">
      <c r="A1268" s="365"/>
    </row>
    <row r="1269" spans="1:1" x14ac:dyDescent="0.3">
      <c r="A1269" s="365"/>
    </row>
    <row r="1270" spans="1:1" x14ac:dyDescent="0.3">
      <c r="A1270" s="365"/>
    </row>
    <row r="1271" spans="1:1" x14ac:dyDescent="0.3">
      <c r="A1271" s="365"/>
    </row>
    <row r="1272" spans="1:1" x14ac:dyDescent="0.3">
      <c r="A1272" s="365"/>
    </row>
    <row r="1273" spans="1:1" x14ac:dyDescent="0.3">
      <c r="A1273" s="365"/>
    </row>
    <row r="1274" spans="1:1" x14ac:dyDescent="0.3">
      <c r="A1274" s="365"/>
    </row>
    <row r="1275" spans="1:1" x14ac:dyDescent="0.3">
      <c r="A1275" s="365"/>
    </row>
    <row r="1276" spans="1:1" x14ac:dyDescent="0.3">
      <c r="A1276" s="365"/>
    </row>
    <row r="1277" spans="1:1" x14ac:dyDescent="0.3">
      <c r="A1277" s="365"/>
    </row>
    <row r="1278" spans="1:1" x14ac:dyDescent="0.3">
      <c r="A1278" s="365"/>
    </row>
    <row r="1279" spans="1:1" x14ac:dyDescent="0.3">
      <c r="A1279" s="365"/>
    </row>
    <row r="1280" spans="1:1" x14ac:dyDescent="0.3">
      <c r="A1280" s="365"/>
    </row>
    <row r="1281" spans="1:1" x14ac:dyDescent="0.3">
      <c r="A1281" s="365"/>
    </row>
    <row r="1282" spans="1:1" x14ac:dyDescent="0.3">
      <c r="A1282" s="365"/>
    </row>
    <row r="1283" spans="1:1" x14ac:dyDescent="0.3">
      <c r="A1283" s="365"/>
    </row>
    <row r="1284" spans="1:1" x14ac:dyDescent="0.3">
      <c r="A1284" s="365"/>
    </row>
    <row r="1285" spans="1:1" x14ac:dyDescent="0.3">
      <c r="A1285" s="365"/>
    </row>
    <row r="1286" spans="1:1" x14ac:dyDescent="0.3">
      <c r="A1286" s="365"/>
    </row>
    <row r="1287" spans="1:1" x14ac:dyDescent="0.3">
      <c r="A1287" s="365"/>
    </row>
    <row r="1288" spans="1:1" x14ac:dyDescent="0.3">
      <c r="A1288" s="365"/>
    </row>
    <row r="1289" spans="1:1" x14ac:dyDescent="0.3">
      <c r="A1289" s="365"/>
    </row>
    <row r="1290" spans="1:1" x14ac:dyDescent="0.3">
      <c r="A1290" s="365"/>
    </row>
    <row r="1291" spans="1:1" x14ac:dyDescent="0.3">
      <c r="A1291" s="365"/>
    </row>
    <row r="1292" spans="1:1" x14ac:dyDescent="0.3">
      <c r="A1292" s="365"/>
    </row>
    <row r="1293" spans="1:1" x14ac:dyDescent="0.3">
      <c r="A1293" s="365"/>
    </row>
    <row r="1294" spans="1:1" x14ac:dyDescent="0.3">
      <c r="A1294" s="365"/>
    </row>
    <row r="1295" spans="1:1" x14ac:dyDescent="0.3">
      <c r="A1295" s="365"/>
    </row>
    <row r="1296" spans="1:1" x14ac:dyDescent="0.3">
      <c r="A1296" s="365"/>
    </row>
    <row r="1297" spans="1:1" x14ac:dyDescent="0.3">
      <c r="A1297" s="365"/>
    </row>
    <row r="1298" spans="1:1" x14ac:dyDescent="0.3">
      <c r="A1298" s="365"/>
    </row>
    <row r="1299" spans="1:1" x14ac:dyDescent="0.3">
      <c r="A1299" s="365"/>
    </row>
    <row r="1300" spans="1:1" x14ac:dyDescent="0.3">
      <c r="A1300" s="365"/>
    </row>
    <row r="1301" spans="1:1" x14ac:dyDescent="0.3">
      <c r="A1301" s="365"/>
    </row>
    <row r="1302" spans="1:1" x14ac:dyDescent="0.3">
      <c r="A1302" s="365"/>
    </row>
    <row r="1303" spans="1:1" x14ac:dyDescent="0.3">
      <c r="A1303" s="365"/>
    </row>
    <row r="1304" spans="1:1" x14ac:dyDescent="0.3">
      <c r="A1304" s="365"/>
    </row>
    <row r="1305" spans="1:1" x14ac:dyDescent="0.3">
      <c r="A1305" s="365"/>
    </row>
    <row r="1306" spans="1:1" x14ac:dyDescent="0.3">
      <c r="A1306" s="365"/>
    </row>
    <row r="1307" spans="1:1" x14ac:dyDescent="0.3">
      <c r="A1307" s="365"/>
    </row>
    <row r="1308" spans="1:1" x14ac:dyDescent="0.3">
      <c r="A1308" s="365"/>
    </row>
    <row r="1309" spans="1:1" x14ac:dyDescent="0.3">
      <c r="A1309" s="365"/>
    </row>
    <row r="1310" spans="1:1" x14ac:dyDescent="0.3">
      <c r="A1310" s="365"/>
    </row>
    <row r="1311" spans="1:1" x14ac:dyDescent="0.3">
      <c r="A1311" s="365"/>
    </row>
    <row r="1312" spans="1:1" x14ac:dyDescent="0.3">
      <c r="A1312" s="365"/>
    </row>
    <row r="1313" spans="1:1" x14ac:dyDescent="0.3">
      <c r="A1313" s="365"/>
    </row>
    <row r="1314" spans="1:1" x14ac:dyDescent="0.3">
      <c r="A1314" s="365"/>
    </row>
    <row r="1315" spans="1:1" x14ac:dyDescent="0.3">
      <c r="A1315" s="365"/>
    </row>
    <row r="1316" spans="1:1" x14ac:dyDescent="0.3">
      <c r="A1316" s="365"/>
    </row>
    <row r="1317" spans="1:1" x14ac:dyDescent="0.3">
      <c r="A1317" s="365"/>
    </row>
    <row r="1318" spans="1:1" x14ac:dyDescent="0.3">
      <c r="A1318" s="365"/>
    </row>
    <row r="1319" spans="1:1" x14ac:dyDescent="0.3">
      <c r="A1319" s="365"/>
    </row>
    <row r="1320" spans="1:1" x14ac:dyDescent="0.3">
      <c r="A1320" s="365"/>
    </row>
    <row r="1321" spans="1:1" x14ac:dyDescent="0.3">
      <c r="A1321" s="365"/>
    </row>
    <row r="1322" spans="1:1" x14ac:dyDescent="0.3">
      <c r="A1322" s="365"/>
    </row>
    <row r="1323" spans="1:1" x14ac:dyDescent="0.3">
      <c r="A1323" s="365"/>
    </row>
    <row r="1324" spans="1:1" x14ac:dyDescent="0.3">
      <c r="A1324" s="365"/>
    </row>
    <row r="1325" spans="1:1" x14ac:dyDescent="0.3">
      <c r="A1325" s="365"/>
    </row>
    <row r="1326" spans="1:1" x14ac:dyDescent="0.3">
      <c r="A1326" s="365"/>
    </row>
    <row r="1327" spans="1:1" x14ac:dyDescent="0.3">
      <c r="A1327" s="365"/>
    </row>
    <row r="1328" spans="1:1" x14ac:dyDescent="0.3">
      <c r="A1328" s="365"/>
    </row>
    <row r="1329" spans="1:1" x14ac:dyDescent="0.3">
      <c r="A1329" s="365"/>
    </row>
    <row r="1330" spans="1:1" x14ac:dyDescent="0.3">
      <c r="A1330" s="365"/>
    </row>
    <row r="1331" spans="1:1" x14ac:dyDescent="0.3">
      <c r="A1331" s="365"/>
    </row>
    <row r="1332" spans="1:1" x14ac:dyDescent="0.3">
      <c r="A1332" s="365"/>
    </row>
    <row r="1333" spans="1:1" x14ac:dyDescent="0.3">
      <c r="A1333" s="365"/>
    </row>
    <row r="1334" spans="1:1" x14ac:dyDescent="0.3">
      <c r="A1334" s="365"/>
    </row>
    <row r="1335" spans="1:1" x14ac:dyDescent="0.3">
      <c r="A1335" s="365"/>
    </row>
    <row r="1336" spans="1:1" x14ac:dyDescent="0.3">
      <c r="A1336" s="365"/>
    </row>
    <row r="1337" spans="1:1" x14ac:dyDescent="0.3">
      <c r="A1337" s="365"/>
    </row>
    <row r="1338" spans="1:1" x14ac:dyDescent="0.3">
      <c r="A1338" s="365"/>
    </row>
    <row r="1339" spans="1:1" x14ac:dyDescent="0.3">
      <c r="A1339" s="365"/>
    </row>
    <row r="1340" spans="1:1" x14ac:dyDescent="0.3">
      <c r="A1340" s="365"/>
    </row>
    <row r="1341" spans="1:1" x14ac:dyDescent="0.3">
      <c r="A1341" s="365"/>
    </row>
    <row r="1342" spans="1:1" x14ac:dyDescent="0.3">
      <c r="A1342" s="365"/>
    </row>
    <row r="1343" spans="1:1" x14ac:dyDescent="0.3">
      <c r="A1343" s="365"/>
    </row>
    <row r="1344" spans="1:1" x14ac:dyDescent="0.3">
      <c r="A1344" s="365"/>
    </row>
    <row r="1345" spans="1:1" x14ac:dyDescent="0.3">
      <c r="A1345" s="365"/>
    </row>
    <row r="1346" spans="1:1" x14ac:dyDescent="0.3">
      <c r="A1346" s="365"/>
    </row>
    <row r="1347" spans="1:1" x14ac:dyDescent="0.3">
      <c r="A1347" s="365"/>
    </row>
    <row r="1348" spans="1:1" x14ac:dyDescent="0.3">
      <c r="A1348" s="365"/>
    </row>
    <row r="1349" spans="1:1" x14ac:dyDescent="0.3">
      <c r="A1349" s="365"/>
    </row>
    <row r="1350" spans="1:1" x14ac:dyDescent="0.3">
      <c r="A1350" s="365"/>
    </row>
    <row r="1351" spans="1:1" x14ac:dyDescent="0.3">
      <c r="A1351" s="365"/>
    </row>
    <row r="1352" spans="1:1" x14ac:dyDescent="0.3">
      <c r="A1352" s="365"/>
    </row>
    <row r="1353" spans="1:1" x14ac:dyDescent="0.3">
      <c r="A1353" s="365"/>
    </row>
    <row r="1354" spans="1:1" x14ac:dyDescent="0.3">
      <c r="A1354" s="365"/>
    </row>
    <row r="1355" spans="1:1" x14ac:dyDescent="0.3">
      <c r="A1355" s="365"/>
    </row>
    <row r="1356" spans="1:1" x14ac:dyDescent="0.3">
      <c r="A1356" s="365"/>
    </row>
    <row r="1357" spans="1:1" x14ac:dyDescent="0.3">
      <c r="A1357" s="365"/>
    </row>
    <row r="1358" spans="1:1" x14ac:dyDescent="0.3">
      <c r="A1358" s="365"/>
    </row>
    <row r="1359" spans="1:1" x14ac:dyDescent="0.3">
      <c r="A1359" s="365"/>
    </row>
    <row r="1360" spans="1:1" x14ac:dyDescent="0.3">
      <c r="A1360" s="365"/>
    </row>
    <row r="1361" spans="1:1" x14ac:dyDescent="0.3">
      <c r="A1361" s="365"/>
    </row>
    <row r="1362" spans="1:1" x14ac:dyDescent="0.3">
      <c r="A1362" s="365"/>
    </row>
    <row r="1363" spans="1:1" x14ac:dyDescent="0.3">
      <c r="A1363" s="365"/>
    </row>
    <row r="1364" spans="1:1" x14ac:dyDescent="0.3">
      <c r="A1364" s="365"/>
    </row>
    <row r="1365" spans="1:1" x14ac:dyDescent="0.3">
      <c r="A1365" s="365"/>
    </row>
    <row r="1366" spans="1:1" x14ac:dyDescent="0.3">
      <c r="A1366" s="365"/>
    </row>
    <row r="1367" spans="1:1" x14ac:dyDescent="0.3">
      <c r="A1367" s="365"/>
    </row>
    <row r="1368" spans="1:1" x14ac:dyDescent="0.3">
      <c r="A1368" s="365"/>
    </row>
    <row r="1369" spans="1:1" x14ac:dyDescent="0.3">
      <c r="A1369" s="365"/>
    </row>
    <row r="1370" spans="1:1" x14ac:dyDescent="0.3">
      <c r="A1370" s="365"/>
    </row>
    <row r="1371" spans="1:1" x14ac:dyDescent="0.3">
      <c r="A1371" s="365"/>
    </row>
    <row r="1372" spans="1:1" x14ac:dyDescent="0.3">
      <c r="A1372" s="365"/>
    </row>
    <row r="1373" spans="1:1" x14ac:dyDescent="0.3">
      <c r="A1373" s="365"/>
    </row>
    <row r="1374" spans="1:1" x14ac:dyDescent="0.3">
      <c r="A1374" s="365"/>
    </row>
    <row r="1375" spans="1:1" x14ac:dyDescent="0.3">
      <c r="A1375" s="365"/>
    </row>
    <row r="1376" spans="1:1" x14ac:dyDescent="0.3">
      <c r="A1376" s="365"/>
    </row>
    <row r="1377" spans="1:1" x14ac:dyDescent="0.3">
      <c r="A1377" s="365"/>
    </row>
    <row r="1378" spans="1:1" x14ac:dyDescent="0.3">
      <c r="A1378" s="365"/>
    </row>
    <row r="1379" spans="1:1" x14ac:dyDescent="0.3">
      <c r="A1379" s="365"/>
    </row>
    <row r="1380" spans="1:1" x14ac:dyDescent="0.3">
      <c r="A1380" s="365"/>
    </row>
    <row r="1381" spans="1:1" x14ac:dyDescent="0.3">
      <c r="A1381" s="365"/>
    </row>
    <row r="1382" spans="1:1" x14ac:dyDescent="0.3">
      <c r="A1382" s="365"/>
    </row>
    <row r="1383" spans="1:1" x14ac:dyDescent="0.3">
      <c r="A1383" s="365"/>
    </row>
    <row r="1384" spans="1:1" x14ac:dyDescent="0.3">
      <c r="A1384" s="365"/>
    </row>
    <row r="1385" spans="1:1" x14ac:dyDescent="0.3">
      <c r="A1385" s="365"/>
    </row>
    <row r="1386" spans="1:1" x14ac:dyDescent="0.3">
      <c r="A1386" s="365"/>
    </row>
    <row r="1387" spans="1:1" x14ac:dyDescent="0.3">
      <c r="A1387" s="365"/>
    </row>
    <row r="1388" spans="1:1" x14ac:dyDescent="0.3">
      <c r="A1388" s="365"/>
    </row>
    <row r="1389" spans="1:1" x14ac:dyDescent="0.3">
      <c r="A1389" s="365"/>
    </row>
    <row r="1390" spans="1:1" x14ac:dyDescent="0.3">
      <c r="A1390" s="365"/>
    </row>
    <row r="1391" spans="1:1" x14ac:dyDescent="0.3">
      <c r="A1391" s="365"/>
    </row>
    <row r="1392" spans="1:1" x14ac:dyDescent="0.3">
      <c r="A1392" s="365"/>
    </row>
    <row r="1393" spans="1:1" x14ac:dyDescent="0.3">
      <c r="A1393" s="365"/>
    </row>
    <row r="1394" spans="1:1" x14ac:dyDescent="0.3">
      <c r="A1394" s="365"/>
    </row>
    <row r="1395" spans="1:1" x14ac:dyDescent="0.3">
      <c r="A1395" s="365"/>
    </row>
    <row r="1396" spans="1:1" x14ac:dyDescent="0.3">
      <c r="A1396" s="365"/>
    </row>
    <row r="1397" spans="1:1" x14ac:dyDescent="0.3">
      <c r="A1397" s="365"/>
    </row>
    <row r="1398" spans="1:1" x14ac:dyDescent="0.3">
      <c r="A1398" s="365"/>
    </row>
    <row r="1399" spans="1:1" x14ac:dyDescent="0.3">
      <c r="A1399" s="365"/>
    </row>
    <row r="1400" spans="1:1" x14ac:dyDescent="0.3">
      <c r="A1400" s="365"/>
    </row>
    <row r="1401" spans="1:1" x14ac:dyDescent="0.3">
      <c r="A1401" s="365"/>
    </row>
    <row r="1402" spans="1:1" x14ac:dyDescent="0.3">
      <c r="A1402" s="365"/>
    </row>
    <row r="1403" spans="1:1" x14ac:dyDescent="0.3">
      <c r="A1403" s="365"/>
    </row>
    <row r="1404" spans="1:1" x14ac:dyDescent="0.3">
      <c r="A1404" s="365"/>
    </row>
    <row r="1405" spans="1:1" x14ac:dyDescent="0.3">
      <c r="A1405" s="365"/>
    </row>
    <row r="1406" spans="1:1" x14ac:dyDescent="0.3">
      <c r="A1406" s="365"/>
    </row>
    <row r="1407" spans="1:1" x14ac:dyDescent="0.3">
      <c r="A1407" s="365"/>
    </row>
    <row r="1408" spans="1:1" x14ac:dyDescent="0.3">
      <c r="A1408" s="365"/>
    </row>
    <row r="1409" spans="1:1" x14ac:dyDescent="0.3">
      <c r="A1409" s="365"/>
    </row>
    <row r="1410" spans="1:1" x14ac:dyDescent="0.3">
      <c r="A1410" s="365"/>
    </row>
    <row r="1411" spans="1:1" x14ac:dyDescent="0.3">
      <c r="A1411" s="365"/>
    </row>
    <row r="1412" spans="1:1" x14ac:dyDescent="0.3">
      <c r="A1412" s="365"/>
    </row>
    <row r="1413" spans="1:1" x14ac:dyDescent="0.3">
      <c r="A1413" s="365"/>
    </row>
    <row r="1414" spans="1:1" x14ac:dyDescent="0.3">
      <c r="A1414" s="365"/>
    </row>
    <row r="1415" spans="1:1" x14ac:dyDescent="0.3">
      <c r="A1415" s="365"/>
    </row>
    <row r="1416" spans="1:1" x14ac:dyDescent="0.3">
      <c r="A1416" s="365"/>
    </row>
    <row r="1417" spans="1:1" x14ac:dyDescent="0.3">
      <c r="A1417" s="365"/>
    </row>
    <row r="1418" spans="1:1" x14ac:dyDescent="0.3">
      <c r="A1418" s="365"/>
    </row>
    <row r="1419" spans="1:1" x14ac:dyDescent="0.3">
      <c r="A1419" s="365"/>
    </row>
    <row r="1420" spans="1:1" x14ac:dyDescent="0.3">
      <c r="A1420" s="365"/>
    </row>
    <row r="1421" spans="1:1" x14ac:dyDescent="0.3">
      <c r="A1421" s="365"/>
    </row>
    <row r="1422" spans="1:1" x14ac:dyDescent="0.3">
      <c r="A1422" s="365"/>
    </row>
    <row r="1423" spans="1:1" x14ac:dyDescent="0.3">
      <c r="A1423" s="365"/>
    </row>
    <row r="1424" spans="1:1" x14ac:dyDescent="0.3">
      <c r="A1424" s="365"/>
    </row>
    <row r="1425" spans="1:1" x14ac:dyDescent="0.3">
      <c r="A1425" s="365"/>
    </row>
    <row r="1426" spans="1:1" x14ac:dyDescent="0.3">
      <c r="A1426" s="365"/>
    </row>
    <row r="1427" spans="1:1" x14ac:dyDescent="0.3">
      <c r="A1427" s="365"/>
    </row>
    <row r="1428" spans="1:1" x14ac:dyDescent="0.3">
      <c r="A1428" s="365"/>
    </row>
    <row r="1429" spans="1:1" x14ac:dyDescent="0.3">
      <c r="A1429" s="365"/>
    </row>
    <row r="1430" spans="1:1" x14ac:dyDescent="0.3">
      <c r="A1430" s="365"/>
    </row>
    <row r="1431" spans="1:1" x14ac:dyDescent="0.3">
      <c r="A1431" s="365"/>
    </row>
    <row r="1432" spans="1:1" x14ac:dyDescent="0.3">
      <c r="A1432" s="365"/>
    </row>
    <row r="1433" spans="1:1" x14ac:dyDescent="0.3">
      <c r="A1433" s="365"/>
    </row>
    <row r="1434" spans="1:1" x14ac:dyDescent="0.3">
      <c r="A1434" s="365"/>
    </row>
    <row r="1435" spans="1:1" x14ac:dyDescent="0.3">
      <c r="A1435" s="365"/>
    </row>
    <row r="1436" spans="1:1" x14ac:dyDescent="0.3">
      <c r="A1436" s="365"/>
    </row>
    <row r="1437" spans="1:1" x14ac:dyDescent="0.3">
      <c r="A1437" s="365"/>
    </row>
    <row r="1438" spans="1:1" x14ac:dyDescent="0.3">
      <c r="A1438" s="365"/>
    </row>
    <row r="1439" spans="1:1" x14ac:dyDescent="0.3">
      <c r="A1439" s="365"/>
    </row>
    <row r="1440" spans="1:1" x14ac:dyDescent="0.3">
      <c r="A1440" s="365"/>
    </row>
    <row r="1441" spans="1:1" x14ac:dyDescent="0.3">
      <c r="A1441" s="365"/>
    </row>
    <row r="1442" spans="1:1" x14ac:dyDescent="0.3">
      <c r="A1442" s="365"/>
    </row>
    <row r="1443" spans="1:1" x14ac:dyDescent="0.3">
      <c r="A1443" s="365"/>
    </row>
    <row r="1444" spans="1:1" x14ac:dyDescent="0.3">
      <c r="A1444" s="365"/>
    </row>
    <row r="1445" spans="1:1" x14ac:dyDescent="0.3">
      <c r="A1445" s="365"/>
    </row>
    <row r="1446" spans="1:1" x14ac:dyDescent="0.3">
      <c r="A1446" s="365"/>
    </row>
    <row r="1447" spans="1:1" x14ac:dyDescent="0.3">
      <c r="A1447" s="365"/>
    </row>
    <row r="1448" spans="1:1" x14ac:dyDescent="0.3">
      <c r="A1448" s="365"/>
    </row>
    <row r="1449" spans="1:1" x14ac:dyDescent="0.3">
      <c r="A1449" s="365"/>
    </row>
    <row r="1450" spans="1:1" x14ac:dyDescent="0.3">
      <c r="A1450" s="365"/>
    </row>
    <row r="1451" spans="1:1" x14ac:dyDescent="0.3">
      <c r="A1451" s="365"/>
    </row>
    <row r="1452" spans="1:1" x14ac:dyDescent="0.3">
      <c r="A1452" s="365"/>
    </row>
    <row r="1453" spans="1:1" x14ac:dyDescent="0.3">
      <c r="A1453" s="365"/>
    </row>
    <row r="1454" spans="1:1" x14ac:dyDescent="0.3">
      <c r="A1454" s="365"/>
    </row>
    <row r="1455" spans="1:1" x14ac:dyDescent="0.3">
      <c r="A1455" s="365"/>
    </row>
    <row r="1456" spans="1:1" x14ac:dyDescent="0.3">
      <c r="A1456" s="365"/>
    </row>
    <row r="1457" spans="1:1" x14ac:dyDescent="0.3">
      <c r="A1457" s="365"/>
    </row>
    <row r="1458" spans="1:1" x14ac:dyDescent="0.3">
      <c r="A1458" s="365"/>
    </row>
    <row r="1459" spans="1:1" x14ac:dyDescent="0.3">
      <c r="A1459" s="365"/>
    </row>
    <row r="1460" spans="1:1" x14ac:dyDescent="0.3">
      <c r="A1460" s="365"/>
    </row>
    <row r="1461" spans="1:1" x14ac:dyDescent="0.3">
      <c r="A1461" s="365"/>
    </row>
    <row r="1462" spans="1:1" x14ac:dyDescent="0.3">
      <c r="A1462" s="365"/>
    </row>
    <row r="1463" spans="1:1" x14ac:dyDescent="0.3">
      <c r="A1463" s="365"/>
    </row>
    <row r="1464" spans="1:1" x14ac:dyDescent="0.3">
      <c r="A1464" s="365"/>
    </row>
    <row r="1465" spans="1:1" x14ac:dyDescent="0.3">
      <c r="A1465" s="365"/>
    </row>
    <row r="1466" spans="1:1" x14ac:dyDescent="0.3">
      <c r="A1466" s="365"/>
    </row>
    <row r="1467" spans="1:1" x14ac:dyDescent="0.3">
      <c r="A1467" s="365"/>
    </row>
    <row r="1468" spans="1:1" x14ac:dyDescent="0.3">
      <c r="A1468" s="365"/>
    </row>
    <row r="1469" spans="1:1" x14ac:dyDescent="0.3">
      <c r="A1469" s="365"/>
    </row>
    <row r="1470" spans="1:1" x14ac:dyDescent="0.3">
      <c r="A1470" s="365"/>
    </row>
    <row r="1471" spans="1:1" x14ac:dyDescent="0.3">
      <c r="A1471" s="365"/>
    </row>
    <row r="1472" spans="1:1" x14ac:dyDescent="0.3">
      <c r="A1472" s="365"/>
    </row>
    <row r="1473" spans="1:1" x14ac:dyDescent="0.3">
      <c r="A1473" s="365"/>
    </row>
    <row r="1474" spans="1:1" x14ac:dyDescent="0.3">
      <c r="A1474" s="365"/>
    </row>
    <row r="1475" spans="1:1" x14ac:dyDescent="0.3">
      <c r="A1475" s="365"/>
    </row>
    <row r="1476" spans="1:1" x14ac:dyDescent="0.3">
      <c r="A1476" s="365"/>
    </row>
    <row r="1477" spans="1:1" x14ac:dyDescent="0.3">
      <c r="A1477" s="365"/>
    </row>
    <row r="1478" spans="1:1" x14ac:dyDescent="0.3">
      <c r="A1478" s="365"/>
    </row>
    <row r="1479" spans="1:1" x14ac:dyDescent="0.3">
      <c r="A1479" s="365"/>
    </row>
    <row r="1480" spans="1:1" x14ac:dyDescent="0.3">
      <c r="A1480" s="365"/>
    </row>
    <row r="1481" spans="1:1" x14ac:dyDescent="0.3">
      <c r="A1481" s="365"/>
    </row>
    <row r="1482" spans="1:1" x14ac:dyDescent="0.3">
      <c r="A1482" s="365"/>
    </row>
    <row r="1483" spans="1:1" x14ac:dyDescent="0.3">
      <c r="A1483" s="365"/>
    </row>
    <row r="1484" spans="1:1" x14ac:dyDescent="0.3">
      <c r="A1484" s="365"/>
    </row>
    <row r="1485" spans="1:1" x14ac:dyDescent="0.3">
      <c r="A1485" s="365"/>
    </row>
    <row r="1486" spans="1:1" x14ac:dyDescent="0.3">
      <c r="A1486" s="365"/>
    </row>
    <row r="1487" spans="1:1" x14ac:dyDescent="0.3">
      <c r="A1487" s="365"/>
    </row>
    <row r="1488" spans="1:1" x14ac:dyDescent="0.3">
      <c r="A1488" s="365"/>
    </row>
    <row r="1489" spans="1:1" x14ac:dyDescent="0.3">
      <c r="A1489" s="365"/>
    </row>
    <row r="1490" spans="1:1" x14ac:dyDescent="0.3">
      <c r="A1490" s="365"/>
    </row>
    <row r="1491" spans="1:1" x14ac:dyDescent="0.3">
      <c r="A1491" s="365"/>
    </row>
    <row r="1492" spans="1:1" x14ac:dyDescent="0.3">
      <c r="A1492" s="365"/>
    </row>
    <row r="1493" spans="1:1" x14ac:dyDescent="0.3">
      <c r="A1493" s="365"/>
    </row>
    <row r="1494" spans="1:1" x14ac:dyDescent="0.3">
      <c r="A1494" s="365"/>
    </row>
    <row r="1495" spans="1:1" x14ac:dyDescent="0.3">
      <c r="A1495" s="365"/>
    </row>
    <row r="1496" spans="1:1" x14ac:dyDescent="0.3">
      <c r="A1496" s="365"/>
    </row>
    <row r="1497" spans="1:1" x14ac:dyDescent="0.3">
      <c r="A1497" s="365"/>
    </row>
    <row r="1498" spans="1:1" x14ac:dyDescent="0.3">
      <c r="A1498" s="365"/>
    </row>
    <row r="1499" spans="1:1" x14ac:dyDescent="0.3">
      <c r="A1499" s="365"/>
    </row>
    <row r="1500" spans="1:1" x14ac:dyDescent="0.3">
      <c r="A1500" s="365"/>
    </row>
    <row r="1501" spans="1:1" x14ac:dyDescent="0.3">
      <c r="A1501" s="365"/>
    </row>
    <row r="1502" spans="1:1" x14ac:dyDescent="0.3">
      <c r="A1502" s="365"/>
    </row>
    <row r="1503" spans="1:1" x14ac:dyDescent="0.3">
      <c r="A1503" s="365"/>
    </row>
    <row r="1504" spans="1:1" x14ac:dyDescent="0.3">
      <c r="A1504" s="365"/>
    </row>
    <row r="1505" spans="1:1" x14ac:dyDescent="0.3">
      <c r="A1505" s="365"/>
    </row>
    <row r="1506" spans="1:1" x14ac:dyDescent="0.3">
      <c r="A1506" s="365"/>
    </row>
    <row r="1507" spans="1:1" x14ac:dyDescent="0.3">
      <c r="A1507" s="365"/>
    </row>
    <row r="1508" spans="1:1" x14ac:dyDescent="0.3">
      <c r="A1508" s="365"/>
    </row>
    <row r="1509" spans="1:1" x14ac:dyDescent="0.3">
      <c r="A1509" s="365"/>
    </row>
    <row r="1510" spans="1:1" x14ac:dyDescent="0.3">
      <c r="A1510" s="365"/>
    </row>
    <row r="1511" spans="1:1" x14ac:dyDescent="0.3">
      <c r="A1511" s="365"/>
    </row>
    <row r="1512" spans="1:1" x14ac:dyDescent="0.3">
      <c r="A1512" s="365"/>
    </row>
    <row r="1513" spans="1:1" x14ac:dyDescent="0.3">
      <c r="A1513" s="365"/>
    </row>
    <row r="1514" spans="1:1" x14ac:dyDescent="0.3">
      <c r="A1514" s="365"/>
    </row>
    <row r="1515" spans="1:1" x14ac:dyDescent="0.3">
      <c r="A1515" s="365"/>
    </row>
    <row r="1516" spans="1:1" x14ac:dyDescent="0.3">
      <c r="A1516" s="365"/>
    </row>
    <row r="1517" spans="1:1" x14ac:dyDescent="0.3">
      <c r="A1517" s="365"/>
    </row>
    <row r="1518" spans="1:1" x14ac:dyDescent="0.3">
      <c r="A1518" s="365"/>
    </row>
    <row r="1519" spans="1:1" x14ac:dyDescent="0.3">
      <c r="A1519" s="365"/>
    </row>
    <row r="1520" spans="1:1" x14ac:dyDescent="0.3">
      <c r="A1520" s="365"/>
    </row>
    <row r="1521" spans="1:1" x14ac:dyDescent="0.3">
      <c r="A1521" s="365"/>
    </row>
    <row r="1522" spans="1:1" x14ac:dyDescent="0.3">
      <c r="A1522" s="365"/>
    </row>
    <row r="1523" spans="1:1" x14ac:dyDescent="0.3">
      <c r="A1523" s="365"/>
    </row>
    <row r="1524" spans="1:1" x14ac:dyDescent="0.3">
      <c r="A1524" s="365"/>
    </row>
    <row r="1525" spans="1:1" x14ac:dyDescent="0.3">
      <c r="A1525" s="365"/>
    </row>
    <row r="1526" spans="1:1" x14ac:dyDescent="0.3">
      <c r="A1526" s="365"/>
    </row>
    <row r="1527" spans="1:1" x14ac:dyDescent="0.3">
      <c r="A1527" s="365"/>
    </row>
    <row r="1528" spans="1:1" x14ac:dyDescent="0.3">
      <c r="A1528" s="365"/>
    </row>
    <row r="1529" spans="1:1" x14ac:dyDescent="0.3">
      <c r="A1529" s="365"/>
    </row>
    <row r="1530" spans="1:1" x14ac:dyDescent="0.3">
      <c r="A1530" s="365"/>
    </row>
    <row r="1531" spans="1:1" x14ac:dyDescent="0.3">
      <c r="A1531" s="365"/>
    </row>
    <row r="1532" spans="1:1" x14ac:dyDescent="0.3">
      <c r="A1532" s="365"/>
    </row>
    <row r="1533" spans="1:1" x14ac:dyDescent="0.3">
      <c r="A1533" s="365"/>
    </row>
    <row r="1534" spans="1:1" x14ac:dyDescent="0.3">
      <c r="A1534" s="365"/>
    </row>
    <row r="1535" spans="1:1" x14ac:dyDescent="0.3">
      <c r="A1535" s="365"/>
    </row>
    <row r="1536" spans="1:1" x14ac:dyDescent="0.3">
      <c r="A1536" s="365"/>
    </row>
    <row r="1537" spans="1:1" x14ac:dyDescent="0.3">
      <c r="A1537" s="365"/>
    </row>
    <row r="1538" spans="1:1" x14ac:dyDescent="0.3">
      <c r="A1538" s="365"/>
    </row>
    <row r="1539" spans="1:1" x14ac:dyDescent="0.3">
      <c r="A1539" s="365"/>
    </row>
    <row r="1540" spans="1:1" x14ac:dyDescent="0.3">
      <c r="A1540" s="365"/>
    </row>
    <row r="1541" spans="1:1" x14ac:dyDescent="0.3">
      <c r="A1541" s="365"/>
    </row>
    <row r="1542" spans="1:1" x14ac:dyDescent="0.3">
      <c r="A1542" s="365"/>
    </row>
    <row r="1543" spans="1:1" x14ac:dyDescent="0.3">
      <c r="A1543" s="365"/>
    </row>
    <row r="1544" spans="1:1" x14ac:dyDescent="0.3">
      <c r="A1544" s="365"/>
    </row>
    <row r="1545" spans="1:1" x14ac:dyDescent="0.3">
      <c r="A1545" s="365"/>
    </row>
    <row r="1546" spans="1:1" x14ac:dyDescent="0.3">
      <c r="A1546" s="365"/>
    </row>
    <row r="1547" spans="1:1" x14ac:dyDescent="0.3">
      <c r="A1547" s="365"/>
    </row>
    <row r="1548" spans="1:1" x14ac:dyDescent="0.3">
      <c r="A1548" s="365"/>
    </row>
    <row r="1549" spans="1:1" x14ac:dyDescent="0.3">
      <c r="A1549" s="365"/>
    </row>
    <row r="1550" spans="1:1" x14ac:dyDescent="0.3">
      <c r="A1550" s="365"/>
    </row>
    <row r="1551" spans="1:1" x14ac:dyDescent="0.3">
      <c r="A1551" s="365"/>
    </row>
    <row r="1552" spans="1:1" x14ac:dyDescent="0.3">
      <c r="A1552" s="365"/>
    </row>
    <row r="1553" spans="1:1" x14ac:dyDescent="0.3">
      <c r="A1553" s="365"/>
    </row>
    <row r="1554" spans="1:1" x14ac:dyDescent="0.3">
      <c r="A1554" s="365"/>
    </row>
    <row r="1555" spans="1:1" x14ac:dyDescent="0.3">
      <c r="A1555" s="365"/>
    </row>
    <row r="1556" spans="1:1" x14ac:dyDescent="0.3">
      <c r="A1556" s="365"/>
    </row>
    <row r="1557" spans="1:1" x14ac:dyDescent="0.3">
      <c r="A1557" s="365"/>
    </row>
    <row r="1558" spans="1:1" x14ac:dyDescent="0.3">
      <c r="A1558" s="365"/>
    </row>
    <row r="1559" spans="1:1" x14ac:dyDescent="0.3">
      <c r="A1559" s="365"/>
    </row>
    <row r="1560" spans="1:1" x14ac:dyDescent="0.3">
      <c r="A1560" s="365"/>
    </row>
    <row r="1561" spans="1:1" x14ac:dyDescent="0.3">
      <c r="A1561" s="365"/>
    </row>
    <row r="1562" spans="1:1" x14ac:dyDescent="0.3">
      <c r="A1562" s="365"/>
    </row>
    <row r="1563" spans="1:1" x14ac:dyDescent="0.3">
      <c r="A1563" s="365"/>
    </row>
    <row r="1564" spans="1:1" x14ac:dyDescent="0.3">
      <c r="A1564" s="365"/>
    </row>
    <row r="1565" spans="1:1" x14ac:dyDescent="0.3">
      <c r="A1565" s="365"/>
    </row>
    <row r="1566" spans="1:1" x14ac:dyDescent="0.3">
      <c r="A1566" s="365"/>
    </row>
    <row r="1567" spans="1:1" x14ac:dyDescent="0.3">
      <c r="A1567" s="365"/>
    </row>
    <row r="1568" spans="1:1" x14ac:dyDescent="0.3">
      <c r="A1568" s="365"/>
    </row>
    <row r="1569" spans="1:1" x14ac:dyDescent="0.3">
      <c r="A1569" s="365"/>
    </row>
    <row r="1570" spans="1:1" x14ac:dyDescent="0.3">
      <c r="A1570" s="365"/>
    </row>
    <row r="1571" spans="1:1" x14ac:dyDescent="0.3">
      <c r="A1571" s="365"/>
    </row>
    <row r="1572" spans="1:1" x14ac:dyDescent="0.3">
      <c r="A1572" s="365"/>
    </row>
    <row r="1573" spans="1:1" x14ac:dyDescent="0.3">
      <c r="A1573" s="365"/>
    </row>
    <row r="1574" spans="1:1" x14ac:dyDescent="0.3">
      <c r="A1574" s="365"/>
    </row>
    <row r="1575" spans="1:1" x14ac:dyDescent="0.3">
      <c r="A1575" s="365"/>
    </row>
    <row r="1576" spans="1:1" x14ac:dyDescent="0.3">
      <c r="A1576" s="365"/>
    </row>
    <row r="1577" spans="1:1" x14ac:dyDescent="0.3">
      <c r="A1577" s="365"/>
    </row>
    <row r="1578" spans="1:1" x14ac:dyDescent="0.3">
      <c r="A1578" s="365"/>
    </row>
    <row r="1579" spans="1:1" x14ac:dyDescent="0.3">
      <c r="A1579" s="365"/>
    </row>
    <row r="1580" spans="1:1" x14ac:dyDescent="0.3">
      <c r="A1580" s="365"/>
    </row>
    <row r="1581" spans="1:1" x14ac:dyDescent="0.3">
      <c r="A1581" s="365"/>
    </row>
    <row r="1582" spans="1:1" x14ac:dyDescent="0.3">
      <c r="A1582" s="365"/>
    </row>
    <row r="1583" spans="1:1" x14ac:dyDescent="0.3">
      <c r="A1583" s="365"/>
    </row>
    <row r="1584" spans="1:1" x14ac:dyDescent="0.3">
      <c r="A1584" s="365"/>
    </row>
    <row r="1585" spans="1:1" x14ac:dyDescent="0.3">
      <c r="A1585" s="365"/>
    </row>
    <row r="1586" spans="1:1" x14ac:dyDescent="0.3">
      <c r="A1586" s="365"/>
    </row>
    <row r="1587" spans="1:1" x14ac:dyDescent="0.3">
      <c r="A1587" s="365"/>
    </row>
    <row r="1588" spans="1:1" x14ac:dyDescent="0.3">
      <c r="A1588" s="365"/>
    </row>
    <row r="1589" spans="1:1" x14ac:dyDescent="0.3">
      <c r="A1589" s="365"/>
    </row>
    <row r="1590" spans="1:1" x14ac:dyDescent="0.3">
      <c r="A1590" s="365"/>
    </row>
    <row r="1591" spans="1:1" x14ac:dyDescent="0.3">
      <c r="A1591" s="365"/>
    </row>
    <row r="1592" spans="1:1" x14ac:dyDescent="0.3">
      <c r="A1592" s="365"/>
    </row>
    <row r="1593" spans="1:1" x14ac:dyDescent="0.3">
      <c r="A1593" s="365"/>
    </row>
    <row r="1594" spans="1:1" x14ac:dyDescent="0.3">
      <c r="A1594" s="365"/>
    </row>
    <row r="1595" spans="1:1" x14ac:dyDescent="0.3">
      <c r="A1595" s="365"/>
    </row>
    <row r="1596" spans="1:1" x14ac:dyDescent="0.3">
      <c r="A1596" s="365"/>
    </row>
    <row r="1597" spans="1:1" x14ac:dyDescent="0.3">
      <c r="A1597" s="365"/>
    </row>
    <row r="1598" spans="1:1" x14ac:dyDescent="0.3">
      <c r="A1598" s="365"/>
    </row>
    <row r="1599" spans="1:1" x14ac:dyDescent="0.3">
      <c r="A1599" s="365"/>
    </row>
    <row r="1600" spans="1:1" x14ac:dyDescent="0.3">
      <c r="A1600" s="365"/>
    </row>
    <row r="1601" spans="1:1" x14ac:dyDescent="0.3">
      <c r="A1601" s="365"/>
    </row>
    <row r="1602" spans="1:1" x14ac:dyDescent="0.3">
      <c r="A1602" s="365"/>
    </row>
    <row r="1603" spans="1:1" x14ac:dyDescent="0.3">
      <c r="A1603" s="365"/>
    </row>
    <row r="1604" spans="1:1" x14ac:dyDescent="0.3">
      <c r="A1604" s="365"/>
    </row>
    <row r="1605" spans="1:1" x14ac:dyDescent="0.3">
      <c r="A1605" s="365"/>
    </row>
    <row r="1606" spans="1:1" x14ac:dyDescent="0.3">
      <c r="A1606" s="365"/>
    </row>
    <row r="1607" spans="1:1" x14ac:dyDescent="0.3">
      <c r="A1607" s="365"/>
    </row>
    <row r="1608" spans="1:1" x14ac:dyDescent="0.3">
      <c r="A1608" s="365"/>
    </row>
    <row r="1609" spans="1:1" x14ac:dyDescent="0.3">
      <c r="A1609" s="365"/>
    </row>
    <row r="1610" spans="1:1" x14ac:dyDescent="0.3">
      <c r="A1610" s="365"/>
    </row>
    <row r="1611" spans="1:1" x14ac:dyDescent="0.3">
      <c r="A1611" s="365"/>
    </row>
    <row r="1612" spans="1:1" x14ac:dyDescent="0.3">
      <c r="A1612" s="365"/>
    </row>
    <row r="1613" spans="1:1" x14ac:dyDescent="0.3">
      <c r="A1613" s="365"/>
    </row>
    <row r="1614" spans="1:1" x14ac:dyDescent="0.3">
      <c r="A1614" s="365"/>
    </row>
    <row r="1615" spans="1:1" x14ac:dyDescent="0.3">
      <c r="A1615" s="365"/>
    </row>
    <row r="1616" spans="1:1" x14ac:dyDescent="0.3">
      <c r="A1616" s="365"/>
    </row>
    <row r="1617" spans="1:1" x14ac:dyDescent="0.3">
      <c r="A1617" s="365"/>
    </row>
    <row r="1618" spans="1:1" x14ac:dyDescent="0.3">
      <c r="A1618" s="365"/>
    </row>
    <row r="1619" spans="1:1" x14ac:dyDescent="0.3">
      <c r="A1619" s="365"/>
    </row>
    <row r="1620" spans="1:1" x14ac:dyDescent="0.3">
      <c r="A1620" s="365"/>
    </row>
    <row r="1621" spans="1:1" x14ac:dyDescent="0.3">
      <c r="A1621" s="365"/>
    </row>
    <row r="1622" spans="1:1" x14ac:dyDescent="0.3">
      <c r="A1622" s="365"/>
    </row>
    <row r="1623" spans="1:1" x14ac:dyDescent="0.3">
      <c r="A1623" s="365"/>
    </row>
    <row r="1624" spans="1:1" x14ac:dyDescent="0.3">
      <c r="A1624" s="365"/>
    </row>
    <row r="1625" spans="1:1" x14ac:dyDescent="0.3">
      <c r="A1625" s="365"/>
    </row>
    <row r="1626" spans="1:1" x14ac:dyDescent="0.3">
      <c r="A1626" s="365"/>
    </row>
    <row r="1627" spans="1:1" x14ac:dyDescent="0.3">
      <c r="A1627" s="365"/>
    </row>
    <row r="1628" spans="1:1" x14ac:dyDescent="0.3">
      <c r="A1628" s="365"/>
    </row>
    <row r="1629" spans="1:1" x14ac:dyDescent="0.3">
      <c r="A1629" s="365"/>
    </row>
    <row r="1630" spans="1:1" x14ac:dyDescent="0.3">
      <c r="A1630" s="365"/>
    </row>
    <row r="1631" spans="1:1" x14ac:dyDescent="0.3">
      <c r="A1631" s="365"/>
    </row>
    <row r="1632" spans="1:1" x14ac:dyDescent="0.3">
      <c r="A1632" s="365"/>
    </row>
    <row r="1633" spans="1:1" x14ac:dyDescent="0.3">
      <c r="A1633" s="365"/>
    </row>
    <row r="1634" spans="1:1" x14ac:dyDescent="0.3">
      <c r="A1634" s="365"/>
    </row>
    <row r="1635" spans="1:1" x14ac:dyDescent="0.3">
      <c r="A1635" s="365"/>
    </row>
    <row r="1636" spans="1:1" x14ac:dyDescent="0.3">
      <c r="A1636" s="365"/>
    </row>
    <row r="1637" spans="1:1" x14ac:dyDescent="0.3">
      <c r="A1637" s="365"/>
    </row>
    <row r="1638" spans="1:1" x14ac:dyDescent="0.3">
      <c r="A1638" s="365"/>
    </row>
    <row r="1639" spans="1:1" x14ac:dyDescent="0.3">
      <c r="A1639" s="365"/>
    </row>
    <row r="1640" spans="1:1" x14ac:dyDescent="0.3">
      <c r="A1640" s="365"/>
    </row>
    <row r="1641" spans="1:1" x14ac:dyDescent="0.3">
      <c r="A1641" s="365"/>
    </row>
    <row r="1642" spans="1:1" x14ac:dyDescent="0.3">
      <c r="A1642" s="365"/>
    </row>
    <row r="1643" spans="1:1" x14ac:dyDescent="0.3">
      <c r="A1643" s="365"/>
    </row>
    <row r="1644" spans="1:1" x14ac:dyDescent="0.3">
      <c r="A1644" s="365"/>
    </row>
    <row r="1645" spans="1:1" x14ac:dyDescent="0.3">
      <c r="A1645" s="365"/>
    </row>
    <row r="1646" spans="1:1" x14ac:dyDescent="0.3">
      <c r="A1646" s="365"/>
    </row>
    <row r="1647" spans="1:1" x14ac:dyDescent="0.3">
      <c r="A1647" s="365"/>
    </row>
    <row r="1648" spans="1:1" x14ac:dyDescent="0.3">
      <c r="A1648" s="365"/>
    </row>
    <row r="1649" spans="1:1" x14ac:dyDescent="0.3">
      <c r="A1649" s="365"/>
    </row>
    <row r="1650" spans="1:1" x14ac:dyDescent="0.3">
      <c r="A1650" s="365"/>
    </row>
    <row r="1651" spans="1:1" x14ac:dyDescent="0.3">
      <c r="A1651" s="365"/>
    </row>
    <row r="1652" spans="1:1" x14ac:dyDescent="0.3">
      <c r="A1652" s="365"/>
    </row>
    <row r="1653" spans="1:1" x14ac:dyDescent="0.3">
      <c r="A1653" s="365"/>
    </row>
    <row r="1654" spans="1:1" x14ac:dyDescent="0.3">
      <c r="A1654" s="365"/>
    </row>
    <row r="1655" spans="1:1" x14ac:dyDescent="0.3">
      <c r="A1655" s="365"/>
    </row>
    <row r="1656" spans="1:1" x14ac:dyDescent="0.3">
      <c r="A1656" s="365"/>
    </row>
    <row r="1657" spans="1:1" x14ac:dyDescent="0.3">
      <c r="A1657" s="365"/>
    </row>
    <row r="1658" spans="1:1" x14ac:dyDescent="0.3">
      <c r="A1658" s="365"/>
    </row>
    <row r="1659" spans="1:1" x14ac:dyDescent="0.3">
      <c r="A1659" s="365"/>
    </row>
    <row r="1660" spans="1:1" x14ac:dyDescent="0.3">
      <c r="A1660" s="365"/>
    </row>
    <row r="1661" spans="1:1" x14ac:dyDescent="0.3">
      <c r="A1661" s="365"/>
    </row>
    <row r="1662" spans="1:1" x14ac:dyDescent="0.3">
      <c r="A1662" s="365"/>
    </row>
    <row r="1663" spans="1:1" x14ac:dyDescent="0.3">
      <c r="A1663" s="365"/>
    </row>
    <row r="1664" spans="1:1" x14ac:dyDescent="0.3">
      <c r="A1664" s="365"/>
    </row>
    <row r="1665" spans="1:1" x14ac:dyDescent="0.3">
      <c r="A1665" s="365"/>
    </row>
    <row r="1666" spans="1:1" x14ac:dyDescent="0.3">
      <c r="A1666" s="365"/>
    </row>
    <row r="1667" spans="1:1" x14ac:dyDescent="0.3">
      <c r="A1667" s="365"/>
    </row>
    <row r="1668" spans="1:1" x14ac:dyDescent="0.3">
      <c r="A1668" s="365"/>
    </row>
    <row r="1669" spans="1:1" x14ac:dyDescent="0.3">
      <c r="A1669" s="365"/>
    </row>
    <row r="1670" spans="1:1" x14ac:dyDescent="0.3">
      <c r="A1670" s="365"/>
    </row>
    <row r="1671" spans="1:1" x14ac:dyDescent="0.3">
      <c r="A1671" s="365"/>
    </row>
    <row r="1672" spans="1:1" x14ac:dyDescent="0.3">
      <c r="A1672" s="365"/>
    </row>
    <row r="1673" spans="1:1" x14ac:dyDescent="0.3">
      <c r="A1673" s="365"/>
    </row>
    <row r="1674" spans="1:1" x14ac:dyDescent="0.3">
      <c r="A1674" s="365"/>
    </row>
    <row r="1675" spans="1:1" x14ac:dyDescent="0.3">
      <c r="A1675" s="365"/>
    </row>
    <row r="1676" spans="1:1" x14ac:dyDescent="0.3">
      <c r="A1676" s="365"/>
    </row>
    <row r="1677" spans="1:1" x14ac:dyDescent="0.3">
      <c r="A1677" s="365"/>
    </row>
    <row r="1678" spans="1:1" x14ac:dyDescent="0.3">
      <c r="A1678" s="365"/>
    </row>
    <row r="1679" spans="1:1" x14ac:dyDescent="0.3">
      <c r="A1679" s="365"/>
    </row>
    <row r="1680" spans="1:1" x14ac:dyDescent="0.3">
      <c r="A1680" s="365"/>
    </row>
    <row r="1681" spans="1:1" x14ac:dyDescent="0.3">
      <c r="A1681" s="365"/>
    </row>
    <row r="1682" spans="1:1" x14ac:dyDescent="0.3">
      <c r="A1682" s="365"/>
    </row>
    <row r="1683" spans="1:1" x14ac:dyDescent="0.3">
      <c r="A1683" s="365"/>
    </row>
    <row r="1684" spans="1:1" x14ac:dyDescent="0.3">
      <c r="A1684" s="365"/>
    </row>
    <row r="1685" spans="1:1" x14ac:dyDescent="0.3">
      <c r="A1685" s="365"/>
    </row>
    <row r="1686" spans="1:1" x14ac:dyDescent="0.3">
      <c r="A1686" s="365"/>
    </row>
    <row r="1687" spans="1:1" x14ac:dyDescent="0.3">
      <c r="A1687" s="365"/>
    </row>
    <row r="1688" spans="1:1" x14ac:dyDescent="0.3">
      <c r="A1688" s="365"/>
    </row>
    <row r="1689" spans="1:1" x14ac:dyDescent="0.3">
      <c r="A1689" s="365"/>
    </row>
    <row r="1690" spans="1:1" x14ac:dyDescent="0.3">
      <c r="A1690" s="365"/>
    </row>
    <row r="1691" spans="1:1" x14ac:dyDescent="0.3">
      <c r="A1691" s="365"/>
    </row>
    <row r="1692" spans="1:1" x14ac:dyDescent="0.3">
      <c r="A1692" s="365"/>
    </row>
    <row r="1693" spans="1:1" x14ac:dyDescent="0.3">
      <c r="A1693" s="365"/>
    </row>
    <row r="1694" spans="1:1" x14ac:dyDescent="0.3">
      <c r="A1694" s="365"/>
    </row>
    <row r="1695" spans="1:1" x14ac:dyDescent="0.3">
      <c r="A1695" s="365"/>
    </row>
    <row r="1696" spans="1:1" x14ac:dyDescent="0.3">
      <c r="A1696" s="365"/>
    </row>
    <row r="1697" spans="1:1" x14ac:dyDescent="0.3">
      <c r="A1697" s="365"/>
    </row>
    <row r="1698" spans="1:1" x14ac:dyDescent="0.3">
      <c r="A1698" s="365"/>
    </row>
    <row r="1699" spans="1:1" x14ac:dyDescent="0.3">
      <c r="A1699" s="365"/>
    </row>
    <row r="1700" spans="1:1" x14ac:dyDescent="0.3">
      <c r="A1700" s="365"/>
    </row>
    <row r="1701" spans="1:1" x14ac:dyDescent="0.3">
      <c r="A1701" s="365"/>
    </row>
    <row r="1702" spans="1:1" x14ac:dyDescent="0.3">
      <c r="A1702" s="365"/>
    </row>
    <row r="1703" spans="1:1" x14ac:dyDescent="0.3">
      <c r="A1703" s="365"/>
    </row>
    <row r="1704" spans="1:1" x14ac:dyDescent="0.3">
      <c r="A1704" s="365"/>
    </row>
    <row r="1705" spans="1:1" x14ac:dyDescent="0.3">
      <c r="A1705" s="365"/>
    </row>
    <row r="1706" spans="1:1" x14ac:dyDescent="0.3">
      <c r="A1706" s="365"/>
    </row>
    <row r="1707" spans="1:1" x14ac:dyDescent="0.3">
      <c r="A1707" s="365"/>
    </row>
    <row r="1708" spans="1:1" x14ac:dyDescent="0.3">
      <c r="A1708" s="365"/>
    </row>
    <row r="1709" spans="1:1" x14ac:dyDescent="0.3">
      <c r="A1709" s="365"/>
    </row>
    <row r="1710" spans="1:1" x14ac:dyDescent="0.3">
      <c r="A1710" s="365"/>
    </row>
    <row r="1711" spans="1:1" x14ac:dyDescent="0.3">
      <c r="A1711" s="365"/>
    </row>
    <row r="1712" spans="1:1" x14ac:dyDescent="0.3">
      <c r="A1712" s="365"/>
    </row>
    <row r="1713" spans="1:1" x14ac:dyDescent="0.3">
      <c r="A1713" s="365"/>
    </row>
    <row r="1714" spans="1:1" x14ac:dyDescent="0.3">
      <c r="A1714" s="365"/>
    </row>
    <row r="1715" spans="1:1" x14ac:dyDescent="0.3">
      <c r="A1715" s="365"/>
    </row>
    <row r="1716" spans="1:1" x14ac:dyDescent="0.3">
      <c r="A1716" s="365"/>
    </row>
    <row r="1717" spans="1:1" x14ac:dyDescent="0.3">
      <c r="A1717" s="365"/>
    </row>
    <row r="1718" spans="1:1" x14ac:dyDescent="0.3">
      <c r="A1718" s="365"/>
    </row>
    <row r="1719" spans="1:1" x14ac:dyDescent="0.3">
      <c r="A1719" s="365"/>
    </row>
    <row r="1720" spans="1:1" x14ac:dyDescent="0.3">
      <c r="A1720" s="365"/>
    </row>
    <row r="1721" spans="1:1" x14ac:dyDescent="0.3">
      <c r="A1721" s="365"/>
    </row>
    <row r="1722" spans="1:1" x14ac:dyDescent="0.3">
      <c r="A1722" s="365"/>
    </row>
    <row r="1723" spans="1:1" x14ac:dyDescent="0.3">
      <c r="A1723" s="365"/>
    </row>
    <row r="1724" spans="1:1" x14ac:dyDescent="0.3">
      <c r="A1724" s="365"/>
    </row>
    <row r="1725" spans="1:1" x14ac:dyDescent="0.3">
      <c r="A1725" s="365"/>
    </row>
    <row r="1726" spans="1:1" x14ac:dyDescent="0.3">
      <c r="A1726" s="365"/>
    </row>
    <row r="1727" spans="1:1" x14ac:dyDescent="0.3">
      <c r="A1727" s="365"/>
    </row>
    <row r="1728" spans="1:1" x14ac:dyDescent="0.3">
      <c r="A1728" s="365"/>
    </row>
    <row r="1729" spans="1:1" x14ac:dyDescent="0.3">
      <c r="A1729" s="365"/>
    </row>
    <row r="1730" spans="1:1" x14ac:dyDescent="0.3">
      <c r="A1730" s="365"/>
    </row>
    <row r="1731" spans="1:1" x14ac:dyDescent="0.3">
      <c r="A1731" s="365"/>
    </row>
    <row r="1732" spans="1:1" x14ac:dyDescent="0.3">
      <c r="A1732" s="365"/>
    </row>
    <row r="1733" spans="1:1" x14ac:dyDescent="0.3">
      <c r="A1733" s="365"/>
    </row>
    <row r="1734" spans="1:1" x14ac:dyDescent="0.3">
      <c r="A1734" s="365"/>
    </row>
    <row r="1735" spans="1:1" x14ac:dyDescent="0.3">
      <c r="A1735" s="365"/>
    </row>
    <row r="1736" spans="1:1" x14ac:dyDescent="0.3">
      <c r="A1736" s="365"/>
    </row>
    <row r="1737" spans="1:1" x14ac:dyDescent="0.3">
      <c r="A1737" s="365"/>
    </row>
    <row r="1738" spans="1:1" x14ac:dyDescent="0.3">
      <c r="A1738" s="365"/>
    </row>
    <row r="1739" spans="1:1" x14ac:dyDescent="0.3">
      <c r="A1739" s="365"/>
    </row>
    <row r="1740" spans="1:1" x14ac:dyDescent="0.3">
      <c r="A1740" s="365"/>
    </row>
    <row r="1741" spans="1:1" x14ac:dyDescent="0.3">
      <c r="A1741" s="365"/>
    </row>
    <row r="1742" spans="1:1" x14ac:dyDescent="0.3">
      <c r="A1742" s="365"/>
    </row>
  </sheetData>
  <mergeCells count="10">
    <mergeCell ref="A1:G1"/>
    <mergeCell ref="A13:G13"/>
    <mergeCell ref="B14:C14"/>
    <mergeCell ref="F14:G14"/>
    <mergeCell ref="A14:A15"/>
    <mergeCell ref="D14:E14"/>
    <mergeCell ref="D2:E2"/>
    <mergeCell ref="F2:G2"/>
    <mergeCell ref="A2:A3"/>
    <mergeCell ref="B2:C2"/>
  </mergeCells>
  <pageMargins left="0.511811024" right="0.511811024" top="0.78740157499999996" bottom="0.78740157499999996" header="0.31496062000000002" footer="0.31496062000000002"/>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94252-6A82-4754-9717-472F4600866D}">
  <dimension ref="A1:L128"/>
  <sheetViews>
    <sheetView showGridLines="0" workbookViewId="0">
      <pane ySplit="1" topLeftCell="A104" activePane="bottomLeft" state="frozen"/>
      <selection pane="bottomLeft" activeCell="I116" sqref="I116:I120"/>
    </sheetView>
  </sheetViews>
  <sheetFormatPr defaultRowHeight="14.4" x14ac:dyDescent="0.3"/>
  <cols>
    <col min="1" max="2" width="15.109375" customWidth="1"/>
    <col min="3" max="3" width="8.88671875" customWidth="1"/>
    <col min="4" max="4" width="10.5546875" bestFit="1" customWidth="1"/>
    <col min="5" max="5" width="23.33203125" bestFit="1" customWidth="1"/>
    <col min="6" max="6" width="13.44140625" bestFit="1" customWidth="1"/>
    <col min="7" max="7" width="16.44140625" bestFit="1" customWidth="1"/>
    <col min="8" max="8" width="16" style="51" bestFit="1" customWidth="1"/>
    <col min="9" max="9" width="14" bestFit="1" customWidth="1"/>
    <col min="10" max="10" width="12.6640625" bestFit="1" customWidth="1"/>
    <col min="11" max="11" width="2.44140625" customWidth="1"/>
    <col min="12" max="12" width="18.5546875" bestFit="1" customWidth="1"/>
  </cols>
  <sheetData>
    <row r="1" spans="1:10" ht="18" x14ac:dyDescent="0.35">
      <c r="A1" s="377" t="s">
        <v>316</v>
      </c>
      <c r="B1" s="377" t="s">
        <v>3251</v>
      </c>
      <c r="C1" s="376" t="s">
        <v>434</v>
      </c>
      <c r="D1" s="377" t="s">
        <v>116</v>
      </c>
      <c r="E1" s="377" t="s">
        <v>2997</v>
      </c>
      <c r="F1" s="377" t="s">
        <v>2998</v>
      </c>
      <c r="G1" s="377" t="s">
        <v>3096</v>
      </c>
      <c r="H1" s="378" t="s">
        <v>2999</v>
      </c>
      <c r="I1" s="377" t="s">
        <v>3249</v>
      </c>
      <c r="J1" s="377" t="s">
        <v>3103</v>
      </c>
    </row>
    <row r="2" spans="1:10" x14ac:dyDescent="0.3">
      <c r="A2" t="str">
        <f>Tb_HhPLAN[[#This Row],[SS]]&amp;Tb_HhPLAN[[#This Row],[DISCIPLINA]]</f>
        <v>SS-04/2025ASG</v>
      </c>
      <c r="B2" t="str">
        <f>Tb_HhPLAN[[#This Row],[SS]]&amp;"ASG"</f>
        <v>SS-04/2025ASG</v>
      </c>
      <c r="C2" t="str">
        <f>LEFT(Tb_HhPLAN[[#This Row],[SS]],5)</f>
        <v>SS-04</v>
      </c>
      <c r="D2" t="s">
        <v>439</v>
      </c>
      <c r="E2" t="s">
        <v>3000</v>
      </c>
      <c r="F2" t="s">
        <v>3001</v>
      </c>
      <c r="G2" t="s">
        <v>3102</v>
      </c>
      <c r="H2" s="375">
        <f t="shared" ref="H2:H65" si="0">VALUE(SUBSTITUTE(F2," hrs",""))</f>
        <v>4117.08</v>
      </c>
      <c r="I2" s="380">
        <f>IF(A2="ASG", H2, IF(COUNTIF($A$2:A2,A2)=1, SUMIFS(Tb_HhPLAN[Ajustado], Tb_HhPLAN[COD-SS], Tb_HhPLAN[[#This Row],[COD-SS]]),""))</f>
        <v>4117.08</v>
      </c>
      <c r="J2" s="380" t="str">
        <f>IFERROR(IF(Tb_HhPLAN[[#This Row],[DISCIPLINA]]="ASG","",((Tb_HhPLAN[[#This Row],[CÁLCULO]]/(SUMIFS(Tb_HhPLAN[Ajustado],Tb_HhPLAN[SS],Tb_HhPLAN[[#This Row],[SS]])-_xlfn.XLOOKUP(Tb_HhPLAN[[#This Row],[COD-AUX]],Tb_HhPLAN[COD-SS],Tb_HhPLAN[Ajustado],"",0,1)))*_xlfn.XLOOKUP(Tb_HhPLAN[[#This Row],[COD-AUX]],Tb_HhPLAN[COD-SS],Tb_HhPLAN[Ajustado],"",0,1))+IF(A2="ASG",H2,IF(COUNTIF($A$2:A2,A2)=1,SUMIFS(Tb_HhPLAN[Ajustado],Tb_HhPLAN[COD-SS],Tb_HhPLAN[[#This Row],[COD-SS]]),""))),"")</f>
        <v/>
      </c>
    </row>
    <row r="3" spans="1:10" x14ac:dyDescent="0.3">
      <c r="A3" t="str">
        <f>Tb_HhPLAN[[#This Row],[SS]]&amp;Tb_HhPLAN[[#This Row],[DISCIPLINA]]</f>
        <v>SS-04/2025MEC</v>
      </c>
      <c r="B3" t="str">
        <f>Tb_HhPLAN[[#This Row],[SS]]&amp;"ASG"</f>
        <v>SS-04/2025ASG</v>
      </c>
      <c r="C3" t="str">
        <f>LEFT(Tb_HhPLAN[[#This Row],[SS]],5)</f>
        <v>SS-04</v>
      </c>
      <c r="D3" t="str">
        <f t="shared" ref="D3:D9" si="1">D2</f>
        <v>SS-04/2025</v>
      </c>
      <c r="E3" t="s">
        <v>3002</v>
      </c>
      <c r="F3" t="s">
        <v>3003</v>
      </c>
      <c r="G3" t="s">
        <v>3097</v>
      </c>
      <c r="H3" s="375">
        <f t="shared" si="0"/>
        <v>1168</v>
      </c>
      <c r="I3" s="380">
        <f>IF(A3="ASG", H3, IF(COUNTIF($A$2:A3,A3)=1, SUMIFS(Tb_HhPLAN[Ajustado], Tb_HhPLAN[COD-SS], Tb_HhPLAN[[#This Row],[COD-SS]]),""))</f>
        <v>2937.14</v>
      </c>
      <c r="J3" s="380">
        <f>IFERROR(IF(Tb_HhPLAN[[#This Row],[DISCIPLINA]]="ASG","",((Tb_HhPLAN[[#This Row],[CÁLCULO]]/(SUMIFS(Tb_HhPLAN[Ajustado],Tb_HhPLAN[SS],Tb_HhPLAN[[#This Row],[SS]])-_xlfn.XLOOKUP(Tb_HhPLAN[[#This Row],[COD-AUX]],Tb_HhPLAN[COD-SS],Tb_HhPLAN[Ajustado],"",0,1)))*_xlfn.XLOOKUP(Tb_HhPLAN[[#This Row],[COD-AUX]],Tb_HhPLAN[COD-SS],Tb_HhPLAN[Ajustado],"",0,1))+IF(A3="ASG",H3,IF(COUNTIF($A$2:A3,A3)=1,SUMIFS(Tb_HhPLAN[Ajustado],Tb_HhPLAN[COD-SS],Tb_HhPLAN[[#This Row],[COD-SS]]),""))),"")</f>
        <v>5356.0441217489406</v>
      </c>
    </row>
    <row r="4" spans="1:10" x14ac:dyDescent="0.3">
      <c r="A4" t="str">
        <f>Tb_HhPLAN[[#This Row],[SS]]&amp;Tb_HhPLAN[[#This Row],[DISCIPLINA]]</f>
        <v>SS-04/2025MEC</v>
      </c>
      <c r="B4" t="str">
        <f>Tb_HhPLAN[[#This Row],[SS]]&amp;"ASG"</f>
        <v>SS-04/2025ASG</v>
      </c>
      <c r="C4" t="str">
        <f>LEFT(Tb_HhPLAN[[#This Row],[SS]],5)</f>
        <v>SS-04</v>
      </c>
      <c r="D4" t="str">
        <f t="shared" si="1"/>
        <v>SS-04/2025</v>
      </c>
      <c r="E4" t="s">
        <v>3004</v>
      </c>
      <c r="F4" t="s">
        <v>3005</v>
      </c>
      <c r="G4" t="s">
        <v>3097</v>
      </c>
      <c r="H4" s="375">
        <f t="shared" si="0"/>
        <v>96</v>
      </c>
      <c r="I4" s="380" t="str">
        <f>IF(A4="ASG", H4, IF(COUNTIF($A$2:A4,A4)=1, SUMIFS(Tb_HhPLAN[Ajustado], Tb_HhPLAN[COD-SS], Tb_HhPLAN[[#This Row],[COD-SS]]),""))</f>
        <v/>
      </c>
      <c r="J4" s="380" t="str">
        <f>IFERROR(IF(Tb_HhPLAN[[#This Row],[DISCIPLINA]]="ASG","",((Tb_HhPLAN[[#This Row],[CÁLCULO]]/(SUMIFS(Tb_HhPLAN[Ajustado],Tb_HhPLAN[SS],Tb_HhPLAN[[#This Row],[SS]])-_xlfn.XLOOKUP(Tb_HhPLAN[[#This Row],[COD-AUX]],Tb_HhPLAN[COD-SS],Tb_HhPLAN[Ajustado],"",0,1)))*_xlfn.XLOOKUP(Tb_HhPLAN[[#This Row],[COD-AUX]],Tb_HhPLAN[COD-SS],Tb_HhPLAN[Ajustado],"",0,1))+IF(A4="ASG",H4,IF(COUNTIF($A$2:A4,A4)=1,SUMIFS(Tb_HhPLAN[Ajustado],Tb_HhPLAN[COD-SS],Tb_HhPLAN[[#This Row],[COD-SS]]),""))),"")</f>
        <v/>
      </c>
    </row>
    <row r="5" spans="1:10" x14ac:dyDescent="0.3">
      <c r="A5" t="str">
        <f>Tb_HhPLAN[[#This Row],[SS]]&amp;Tb_HhPLAN[[#This Row],[DISCIPLINA]]</f>
        <v>SS-04/2025ELÉT</v>
      </c>
      <c r="B5" t="str">
        <f>Tb_HhPLAN[[#This Row],[SS]]&amp;"ASG"</f>
        <v>SS-04/2025ASG</v>
      </c>
      <c r="C5" t="str">
        <f>LEFT(Tb_HhPLAN[[#This Row],[SS]],5)</f>
        <v>SS-04</v>
      </c>
      <c r="D5" t="str">
        <f t="shared" si="1"/>
        <v>SS-04/2025</v>
      </c>
      <c r="E5" t="s">
        <v>3006</v>
      </c>
      <c r="F5" t="s">
        <v>3007</v>
      </c>
      <c r="G5" t="s">
        <v>3099</v>
      </c>
      <c r="H5" s="375">
        <f t="shared" si="0"/>
        <v>368</v>
      </c>
      <c r="I5" s="380">
        <f>IF(A5="ASG", H5, IF(COUNTIF($A$2:A5,A5)=1, SUMIFS(Tb_HhPLAN[Ajustado], Tb_HhPLAN[COD-SS], Tb_HhPLAN[[#This Row],[COD-SS]]),""))</f>
        <v>368</v>
      </c>
      <c r="J5" s="380">
        <f>IFERROR(IF(Tb_HhPLAN[[#This Row],[DISCIPLINA]]="ASG","",((Tb_HhPLAN[[#This Row],[CÁLCULO]]/(SUMIFS(Tb_HhPLAN[Ajustado],Tb_HhPLAN[SS],Tb_HhPLAN[[#This Row],[SS]])-_xlfn.XLOOKUP(Tb_HhPLAN[[#This Row],[COD-AUX]],Tb_HhPLAN[COD-SS],Tb_HhPLAN[Ajustado],"",0,1)))*_xlfn.XLOOKUP(Tb_HhPLAN[[#This Row],[COD-AUX]],Tb_HhPLAN[COD-SS],Tb_HhPLAN[Ajustado],"",0,1))+IF(A5="ASG",H5,IF(COUNTIF($A$2:A5,A5)=1,SUMIFS(Tb_HhPLAN[Ajustado],Tb_HhPLAN[COD-SS],Tb_HhPLAN[[#This Row],[COD-SS]]),""))),"")</f>
        <v>671.06921590513571</v>
      </c>
    </row>
    <row r="6" spans="1:10" x14ac:dyDescent="0.3">
      <c r="A6" t="str">
        <f>Tb_HhPLAN[[#This Row],[SS]]&amp;Tb_HhPLAN[[#This Row],[DISCIPLINA]]</f>
        <v>SS-04/2025MEC</v>
      </c>
      <c r="B6" t="str">
        <f>Tb_HhPLAN[[#This Row],[SS]]&amp;"ASG"</f>
        <v>SS-04/2025ASG</v>
      </c>
      <c r="C6" t="str">
        <f>LEFT(Tb_HhPLAN[[#This Row],[SS]],5)</f>
        <v>SS-04</v>
      </c>
      <c r="D6" t="str">
        <f t="shared" si="1"/>
        <v>SS-04/2025</v>
      </c>
      <c r="E6" t="s">
        <v>3008</v>
      </c>
      <c r="F6" t="s">
        <v>3009</v>
      </c>
      <c r="G6" t="s">
        <v>3097</v>
      </c>
      <c r="H6" s="375">
        <f t="shared" si="0"/>
        <v>1600</v>
      </c>
      <c r="I6" s="380" t="str">
        <f>IF(A6="ASG", H6, IF(COUNTIF($A$2:A6,A6)=1, SUMIFS(Tb_HhPLAN[Ajustado], Tb_HhPLAN[COD-SS], Tb_HhPLAN[[#This Row],[COD-SS]]),""))</f>
        <v/>
      </c>
      <c r="J6" s="380" t="str">
        <f>IFERROR(IF(Tb_HhPLAN[[#This Row],[DISCIPLINA]]="ASG","",((Tb_HhPLAN[[#This Row],[CÁLCULO]]/(SUMIFS(Tb_HhPLAN[Ajustado],Tb_HhPLAN[SS],Tb_HhPLAN[[#This Row],[SS]])-_xlfn.XLOOKUP(Tb_HhPLAN[[#This Row],[COD-AUX]],Tb_HhPLAN[COD-SS],Tb_HhPLAN[Ajustado],"",0,1)))*_xlfn.XLOOKUP(Tb_HhPLAN[[#This Row],[COD-AUX]],Tb_HhPLAN[COD-SS],Tb_HhPLAN[Ajustado],"",0,1))+IF(A6="ASG",H6,IF(COUNTIF($A$2:A6,A6)=1,SUMIFS(Tb_HhPLAN[Ajustado],Tb_HhPLAN[COD-SS],Tb_HhPLAN[[#This Row],[COD-SS]]),""))),"")</f>
        <v/>
      </c>
    </row>
    <row r="7" spans="1:10" x14ac:dyDescent="0.3">
      <c r="A7" t="str">
        <f>Tb_HhPLAN[[#This Row],[SS]]&amp;Tb_HhPLAN[[#This Row],[DISCIPLINA]]</f>
        <v>SS-04/2025CIVIL</v>
      </c>
      <c r="B7" t="str">
        <f>Tb_HhPLAN[[#This Row],[SS]]&amp;"ASG"</f>
        <v>SS-04/2025ASG</v>
      </c>
      <c r="C7" t="str">
        <f>LEFT(Tb_HhPLAN[[#This Row],[SS]],5)</f>
        <v>SS-04</v>
      </c>
      <c r="D7" t="str">
        <f t="shared" si="1"/>
        <v>SS-04/2025</v>
      </c>
      <c r="E7" t="s">
        <v>3010</v>
      </c>
      <c r="F7" t="s">
        <v>3011</v>
      </c>
      <c r="G7" t="s">
        <v>3098</v>
      </c>
      <c r="H7" s="375">
        <f t="shared" si="0"/>
        <v>352</v>
      </c>
      <c r="I7" s="380">
        <f>IF(A7="ASG", H7, IF(COUNTIF($A$2:A7,A7)=1, SUMIFS(Tb_HhPLAN[Ajustado], Tb_HhPLAN[COD-SS], Tb_HhPLAN[[#This Row],[COD-SS]]),""))</f>
        <v>352</v>
      </c>
      <c r="J7" s="380">
        <f>IFERROR(IF(Tb_HhPLAN[[#This Row],[DISCIPLINA]]="ASG","",((Tb_HhPLAN[[#This Row],[CÁLCULO]]/(SUMIFS(Tb_HhPLAN[Ajustado],Tb_HhPLAN[SS],Tb_HhPLAN[[#This Row],[SS]])-_xlfn.XLOOKUP(Tb_HhPLAN[[#This Row],[COD-AUX]],Tb_HhPLAN[COD-SS],Tb_HhPLAN[Ajustado],"",0,1)))*_xlfn.XLOOKUP(Tb_HhPLAN[[#This Row],[COD-AUX]],Tb_HhPLAN[COD-SS],Tb_HhPLAN[Ajustado],"",0,1))+IF(A7="ASG",H7,IF(COUNTIF($A$2:A7,A7)=1,SUMIFS(Tb_HhPLAN[Ajustado],Tb_HhPLAN[COD-SS],Tb_HhPLAN[[#This Row],[COD-SS]]),""))),"")</f>
        <v>641.89229347447758</v>
      </c>
    </row>
    <row r="8" spans="1:10" x14ac:dyDescent="0.3">
      <c r="A8" t="str">
        <f>Tb_HhPLAN[[#This Row],[SS]]&amp;Tb_HhPLAN[[#This Row],[DISCIPLINA]]</f>
        <v>SS-04/2025PINT</v>
      </c>
      <c r="B8" t="str">
        <f>Tb_HhPLAN[[#This Row],[SS]]&amp;"ASG"</f>
        <v>SS-04/2025ASG</v>
      </c>
      <c r="C8" t="str">
        <f>LEFT(Tb_HhPLAN[[#This Row],[SS]],5)</f>
        <v>SS-04</v>
      </c>
      <c r="D8" t="str">
        <f t="shared" si="1"/>
        <v>SS-04/2025</v>
      </c>
      <c r="E8" t="s">
        <v>3012</v>
      </c>
      <c r="F8" t="s">
        <v>3013</v>
      </c>
      <c r="G8" t="s">
        <v>3100</v>
      </c>
      <c r="H8" s="375">
        <f t="shared" si="0"/>
        <v>1342</v>
      </c>
      <c r="I8" s="380">
        <f>IF(A8="ASG", H8, IF(COUNTIF($A$2:A8,A8)=1, SUMIFS(Tb_HhPLAN[Ajustado], Tb_HhPLAN[COD-SS], Tb_HhPLAN[[#This Row],[COD-SS]]),""))</f>
        <v>1342</v>
      </c>
      <c r="J8" s="380">
        <f>IFERROR(IF(Tb_HhPLAN[[#This Row],[DISCIPLINA]]="ASG","",((Tb_HhPLAN[[#This Row],[CÁLCULO]]/(SUMIFS(Tb_HhPLAN[Ajustado],Tb_HhPLAN[SS],Tb_HhPLAN[[#This Row],[SS]])-_xlfn.XLOOKUP(Tb_HhPLAN[[#This Row],[COD-AUX]],Tb_HhPLAN[COD-SS],Tb_HhPLAN[Ajustado],"",0,1)))*_xlfn.XLOOKUP(Tb_HhPLAN[[#This Row],[COD-AUX]],Tb_HhPLAN[COD-SS],Tb_HhPLAN[Ajustado],"",0,1))+IF(A8="ASG",H8,IF(COUNTIF($A$2:A8,A8)=1,SUMIFS(Tb_HhPLAN[Ajustado],Tb_HhPLAN[COD-SS],Tb_HhPLAN[[#This Row],[COD-SS]]),""))),"")</f>
        <v>2447.2143688714459</v>
      </c>
    </row>
    <row r="9" spans="1:10" x14ac:dyDescent="0.3">
      <c r="A9" t="str">
        <f>Tb_HhPLAN[[#This Row],[SS]]&amp;Tb_HhPLAN[[#This Row],[DISCIPLINA]]</f>
        <v>SS-04/2025MEC</v>
      </c>
      <c r="B9" t="str">
        <f>Tb_HhPLAN[[#This Row],[SS]]&amp;"ASG"</f>
        <v>SS-04/2025ASG</v>
      </c>
      <c r="C9" t="str">
        <f>LEFT(Tb_HhPLAN[[#This Row],[SS]],5)</f>
        <v>SS-04</v>
      </c>
      <c r="D9" t="str">
        <f t="shared" si="1"/>
        <v>SS-04/2025</v>
      </c>
      <c r="E9" t="s">
        <v>3014</v>
      </c>
      <c r="F9" t="s">
        <v>3015</v>
      </c>
      <c r="G9" t="s">
        <v>3097</v>
      </c>
      <c r="H9" s="375">
        <f t="shared" si="0"/>
        <v>73.14</v>
      </c>
      <c r="I9" s="380" t="str">
        <f>IF(A9="ASG", H9, IF(COUNTIF($A$2:A9,A9)=1, SUMIFS(Tb_HhPLAN[Ajustado], Tb_HhPLAN[COD-SS], Tb_HhPLAN[[#This Row],[COD-SS]]),""))</f>
        <v/>
      </c>
      <c r="J9" s="380" t="str">
        <f>IFERROR(IF(Tb_HhPLAN[[#This Row],[DISCIPLINA]]="ASG","",((Tb_HhPLAN[[#This Row],[CÁLCULO]]/(SUMIFS(Tb_HhPLAN[Ajustado],Tb_HhPLAN[SS],Tb_HhPLAN[[#This Row],[SS]])-_xlfn.XLOOKUP(Tb_HhPLAN[[#This Row],[COD-AUX]],Tb_HhPLAN[COD-SS],Tb_HhPLAN[Ajustado],"",0,1)))*_xlfn.XLOOKUP(Tb_HhPLAN[[#This Row],[COD-AUX]],Tb_HhPLAN[COD-SS],Tb_HhPLAN[Ajustado],"",0,1))+IF(A9="ASG",H9,IF(COUNTIF($A$2:A9,A9)=1,SUMIFS(Tb_HhPLAN[Ajustado],Tb_HhPLAN[COD-SS],Tb_HhPLAN[[#This Row],[COD-SS]]),""))),"")</f>
        <v/>
      </c>
    </row>
    <row r="10" spans="1:10" x14ac:dyDescent="0.3">
      <c r="A10" t="str">
        <f>Tb_HhPLAN[[#This Row],[SS]]&amp;Tb_HhPLAN[[#This Row],[DISCIPLINA]]</f>
        <v>SS-05/2025ASG</v>
      </c>
      <c r="B10" t="str">
        <f>Tb_HhPLAN[[#This Row],[SS]]&amp;"ASG"</f>
        <v>SS-05/2025ASG</v>
      </c>
      <c r="C10" t="str">
        <f>LEFT(Tb_HhPLAN[[#This Row],[SS]],5)</f>
        <v>SS-05</v>
      </c>
      <c r="D10" t="s">
        <v>440</v>
      </c>
      <c r="E10" t="s">
        <v>3000</v>
      </c>
      <c r="F10" t="s">
        <v>3017</v>
      </c>
      <c r="G10" t="s">
        <v>3102</v>
      </c>
      <c r="H10" s="375">
        <f t="shared" ref="H10" si="2">VALUE(SUBSTITUTE(F10," hrs",""))</f>
        <v>680</v>
      </c>
      <c r="I10" s="380">
        <f>IF(A10="ASG", H10, IF(COUNTIF($A$2:A10,A10)=1, SUMIFS(Tb_HhPLAN[Ajustado], Tb_HhPLAN[COD-SS], Tb_HhPLAN[[#This Row],[COD-SS]]),""))</f>
        <v>680</v>
      </c>
      <c r="J10" s="380" t="str">
        <f>IFERROR(IF(Tb_HhPLAN[[#This Row],[DISCIPLINA]]="ASG","",((Tb_HhPLAN[[#This Row],[CÁLCULO]]/(SUMIFS(Tb_HhPLAN[Ajustado],Tb_HhPLAN[SS],Tb_HhPLAN[[#This Row],[SS]])-_xlfn.XLOOKUP(Tb_HhPLAN[[#This Row],[COD-AUX]],Tb_HhPLAN[COD-SS],Tb_HhPLAN[Ajustado],"",0,1)))*_xlfn.XLOOKUP(Tb_HhPLAN[[#This Row],[COD-AUX]],Tb_HhPLAN[COD-SS],Tb_HhPLAN[Ajustado],"",0,1))+IF(A10="ASG",H10,IF(COUNTIF($A$2:A10,A10)=1,SUMIFS(Tb_HhPLAN[Ajustado],Tb_HhPLAN[COD-SS],Tb_HhPLAN[[#This Row],[COD-SS]]),""))),"")</f>
        <v/>
      </c>
    </row>
    <row r="11" spans="1:10" x14ac:dyDescent="0.3">
      <c r="A11" t="str">
        <f>Tb_HhPLAN[[#This Row],[SS]]&amp;Tb_HhPLAN[[#This Row],[DISCIPLINA]]</f>
        <v>SS-05/2025MEC</v>
      </c>
      <c r="B11" t="str">
        <f>Tb_HhPLAN[[#This Row],[SS]]&amp;"ASG"</f>
        <v>SS-05/2025ASG</v>
      </c>
      <c r="C11" t="str">
        <f>LEFT(Tb_HhPLAN[[#This Row],[SS]],5)</f>
        <v>SS-05</v>
      </c>
      <c r="D11" t="s">
        <v>440</v>
      </c>
      <c r="E11" t="s">
        <v>3004</v>
      </c>
      <c r="F11" t="s">
        <v>3016</v>
      </c>
      <c r="G11" t="s">
        <v>3097</v>
      </c>
      <c r="H11" s="375">
        <f t="shared" si="0"/>
        <v>464</v>
      </c>
      <c r="I11" s="380">
        <f>IF(A11="ASG", H11, IF(COUNTIF($A$2:A11,A11)=1, SUMIFS(Tb_HhPLAN[Ajustado], Tb_HhPLAN[COD-SS], Tb_HhPLAN[[#This Row],[COD-SS]]),""))</f>
        <v>928</v>
      </c>
      <c r="J11" s="380">
        <f>IFERROR(IF(Tb_HhPLAN[[#This Row],[DISCIPLINA]]="ASG","",((Tb_HhPLAN[[#This Row],[CÁLCULO]]/(SUMIFS(Tb_HhPLAN[Ajustado],Tb_HhPLAN[SS],Tb_HhPLAN[[#This Row],[SS]])-_xlfn.XLOOKUP(Tb_HhPLAN[[#This Row],[COD-AUX]],Tb_HhPLAN[COD-SS],Tb_HhPLAN[Ajustado],"",0,1)))*_xlfn.XLOOKUP(Tb_HhPLAN[[#This Row],[COD-AUX]],Tb_HhPLAN[COD-SS],Tb_HhPLAN[Ajustado],"",0,1))+IF(A11="ASG",H11,IF(COUNTIF($A$2:A11,A11)=1,SUMIFS(Tb_HhPLAN[Ajustado],Tb_HhPLAN[COD-SS],Tb_HhPLAN[[#This Row],[COD-SS]]),""))),"")</f>
        <v>1392</v>
      </c>
    </row>
    <row r="12" spans="1:10" x14ac:dyDescent="0.3">
      <c r="A12" t="str">
        <f>Tb_HhPLAN[[#This Row],[SS]]&amp;Tb_HhPLAN[[#This Row],[DISCIPLINA]]</f>
        <v>SS-05/2025MEC</v>
      </c>
      <c r="B12" t="str">
        <f>Tb_HhPLAN[[#This Row],[SS]]&amp;"ASG"</f>
        <v>SS-05/2025ASG</v>
      </c>
      <c r="C12" t="str">
        <f>LEFT(Tb_HhPLAN[[#This Row],[SS]],5)</f>
        <v>SS-05</v>
      </c>
      <c r="D12" t="s">
        <v>440</v>
      </c>
      <c r="E12" t="s">
        <v>3002</v>
      </c>
      <c r="F12" t="s">
        <v>3018</v>
      </c>
      <c r="G12" t="s">
        <v>3097</v>
      </c>
      <c r="H12" s="375">
        <f t="shared" si="0"/>
        <v>232</v>
      </c>
      <c r="I12" s="380" t="str">
        <f>IF(A12="ASG", H12, IF(COUNTIF($A$2:A12,A12)=1, SUMIFS(Tb_HhPLAN[Ajustado], Tb_HhPLAN[COD-SS], Tb_HhPLAN[[#This Row],[COD-SS]]),""))</f>
        <v/>
      </c>
      <c r="J12" s="380" t="str">
        <f>IFERROR(IF(Tb_HhPLAN[[#This Row],[DISCIPLINA]]="ASG","",((Tb_HhPLAN[[#This Row],[CÁLCULO]]/(SUMIFS(Tb_HhPLAN[Ajustado],Tb_HhPLAN[SS],Tb_HhPLAN[[#This Row],[SS]])-_xlfn.XLOOKUP(Tb_HhPLAN[[#This Row],[COD-AUX]],Tb_HhPLAN[COD-SS],Tb_HhPLAN[Ajustado],"",0,1)))*_xlfn.XLOOKUP(Tb_HhPLAN[[#This Row],[COD-AUX]],Tb_HhPLAN[COD-SS],Tb_HhPLAN[Ajustado],"",0,1))+IF(A12="ASG",H12,IF(COUNTIF($A$2:A12,A12)=1,SUMIFS(Tb_HhPLAN[Ajustado],Tb_HhPLAN[COD-SS],Tb_HhPLAN[[#This Row],[COD-SS]]),""))),"")</f>
        <v/>
      </c>
    </row>
    <row r="13" spans="1:10" x14ac:dyDescent="0.3">
      <c r="A13" t="str">
        <f>Tb_HhPLAN[[#This Row],[SS]]&amp;Tb_HhPLAN[[#This Row],[DISCIPLINA]]</f>
        <v>SS-05/2025ELÉT</v>
      </c>
      <c r="B13" t="str">
        <f>Tb_HhPLAN[[#This Row],[SS]]&amp;"ASG"</f>
        <v>SS-05/2025ASG</v>
      </c>
      <c r="C13" t="str">
        <f>LEFT(Tb_HhPLAN[[#This Row],[SS]],5)</f>
        <v>SS-05</v>
      </c>
      <c r="D13" t="s">
        <v>440</v>
      </c>
      <c r="E13" t="s">
        <v>3006</v>
      </c>
      <c r="F13" t="s">
        <v>3019</v>
      </c>
      <c r="G13" t="s">
        <v>3099</v>
      </c>
      <c r="H13" s="375">
        <f t="shared" si="0"/>
        <v>176</v>
      </c>
      <c r="I13" s="380">
        <f>IF(A13="ASG", H13, IF(COUNTIF($A$2:A13,A13)=1, SUMIFS(Tb_HhPLAN[Ajustado], Tb_HhPLAN[COD-SS], Tb_HhPLAN[[#This Row],[COD-SS]]),""))</f>
        <v>176</v>
      </c>
      <c r="J13" s="380">
        <f>IFERROR(IF(Tb_HhPLAN[[#This Row],[DISCIPLINA]]="ASG","",((Tb_HhPLAN[[#This Row],[CÁLCULO]]/(SUMIFS(Tb_HhPLAN[Ajustado],Tb_HhPLAN[SS],Tb_HhPLAN[[#This Row],[SS]])-_xlfn.XLOOKUP(Tb_HhPLAN[[#This Row],[COD-AUX]],Tb_HhPLAN[COD-SS],Tb_HhPLAN[Ajustado],"",0,1)))*_xlfn.XLOOKUP(Tb_HhPLAN[[#This Row],[COD-AUX]],Tb_HhPLAN[COD-SS],Tb_HhPLAN[Ajustado],"",0,1))+IF(A13="ASG",H13,IF(COUNTIF($A$2:A13,A13)=1,SUMIFS(Tb_HhPLAN[Ajustado],Tb_HhPLAN[COD-SS],Tb_HhPLAN[[#This Row],[COD-SS]]),""))),"")</f>
        <v>264</v>
      </c>
    </row>
    <row r="14" spans="1:10" x14ac:dyDescent="0.3">
      <c r="A14" t="str">
        <f>Tb_HhPLAN[[#This Row],[SS]]&amp;Tb_HhPLAN[[#This Row],[DISCIPLINA]]</f>
        <v>SS-05/2025MEC</v>
      </c>
      <c r="B14" t="str">
        <f>Tb_HhPLAN[[#This Row],[SS]]&amp;"ASG"</f>
        <v>SS-05/2025ASG</v>
      </c>
      <c r="C14" t="str">
        <f>LEFT(Tb_HhPLAN[[#This Row],[SS]],5)</f>
        <v>SS-05</v>
      </c>
      <c r="D14" t="s">
        <v>440</v>
      </c>
      <c r="E14" t="s">
        <v>3008</v>
      </c>
      <c r="F14" t="s">
        <v>3018</v>
      </c>
      <c r="G14" t="s">
        <v>3097</v>
      </c>
      <c r="H14" s="375">
        <f t="shared" si="0"/>
        <v>232</v>
      </c>
      <c r="I14" s="380" t="str">
        <f>IF(A14="ASG", H14, IF(COUNTIF($A$2:A14,A14)=1, SUMIFS(Tb_HhPLAN[Ajustado], Tb_HhPLAN[COD-SS], Tb_HhPLAN[[#This Row],[COD-SS]]),""))</f>
        <v/>
      </c>
      <c r="J14" s="380" t="str">
        <f>IFERROR(IF(Tb_HhPLAN[[#This Row],[DISCIPLINA]]="ASG","",((Tb_HhPLAN[[#This Row],[CÁLCULO]]/(SUMIFS(Tb_HhPLAN[Ajustado],Tb_HhPLAN[SS],Tb_HhPLAN[[#This Row],[SS]])-_xlfn.XLOOKUP(Tb_HhPLAN[[#This Row],[COD-AUX]],Tb_HhPLAN[COD-SS],Tb_HhPLAN[Ajustado],"",0,1)))*_xlfn.XLOOKUP(Tb_HhPLAN[[#This Row],[COD-AUX]],Tb_HhPLAN[COD-SS],Tb_HhPLAN[Ajustado],"",0,1))+IF(A14="ASG",H14,IF(COUNTIF($A$2:A14,A14)=1,SUMIFS(Tb_HhPLAN[Ajustado],Tb_HhPLAN[COD-SS],Tb_HhPLAN[[#This Row],[COD-SS]]),""))),"")</f>
        <v/>
      </c>
    </row>
    <row r="15" spans="1:10" x14ac:dyDescent="0.3">
      <c r="A15" t="str">
        <f>Tb_HhPLAN[[#This Row],[SS]]&amp;Tb_HhPLAN[[#This Row],[DISCIPLINA]]</f>
        <v>SS-05/2025PINT</v>
      </c>
      <c r="B15" t="str">
        <f>Tb_HhPLAN[[#This Row],[SS]]&amp;"ASG"</f>
        <v>SS-05/2025ASG</v>
      </c>
      <c r="C15" t="str">
        <f>LEFT(Tb_HhPLAN[[#This Row],[SS]],5)</f>
        <v>SS-05</v>
      </c>
      <c r="D15" t="s">
        <v>440</v>
      </c>
      <c r="E15" t="s">
        <v>3012</v>
      </c>
      <c r="F15" t="s">
        <v>3020</v>
      </c>
      <c r="G15" t="s">
        <v>3100</v>
      </c>
      <c r="H15" s="375">
        <f t="shared" si="0"/>
        <v>256</v>
      </c>
      <c r="I15" s="380">
        <f>IF(A15="ASG", H15, IF(COUNTIF($A$2:A15,A15)=1, SUMIFS(Tb_HhPLAN[Ajustado], Tb_HhPLAN[COD-SS], Tb_HhPLAN[[#This Row],[COD-SS]]),""))</f>
        <v>256</v>
      </c>
      <c r="J15" s="380">
        <f>IFERROR(IF(Tb_HhPLAN[[#This Row],[DISCIPLINA]]="ASG","",((Tb_HhPLAN[[#This Row],[CÁLCULO]]/(SUMIFS(Tb_HhPLAN[Ajustado],Tb_HhPLAN[SS],Tb_HhPLAN[[#This Row],[SS]])-_xlfn.XLOOKUP(Tb_HhPLAN[[#This Row],[COD-AUX]],Tb_HhPLAN[COD-SS],Tb_HhPLAN[Ajustado],"",0,1)))*_xlfn.XLOOKUP(Tb_HhPLAN[[#This Row],[COD-AUX]],Tb_HhPLAN[COD-SS],Tb_HhPLAN[Ajustado],"",0,1))+IF(A15="ASG",H15,IF(COUNTIF($A$2:A15,A15)=1,SUMIFS(Tb_HhPLAN[Ajustado],Tb_HhPLAN[COD-SS],Tb_HhPLAN[[#This Row],[COD-SS]]),""))),"")</f>
        <v>384</v>
      </c>
    </row>
    <row r="16" spans="1:10" x14ac:dyDescent="0.3">
      <c r="A16" t="str">
        <f>Tb_HhPLAN[[#This Row],[SS]]&amp;Tb_HhPLAN[[#This Row],[DISCIPLINA]]</f>
        <v>SS-06/2025ASG</v>
      </c>
      <c r="B16" t="str">
        <f>Tb_HhPLAN[[#This Row],[SS]]&amp;"ASG"</f>
        <v>SS-06/2025ASG</v>
      </c>
      <c r="C16" t="str">
        <f>LEFT(Tb_HhPLAN[[#This Row],[SS]],5)</f>
        <v>SS-06</v>
      </c>
      <c r="D16" t="s">
        <v>441</v>
      </c>
      <c r="E16" t="s">
        <v>3000</v>
      </c>
      <c r="F16" t="s">
        <v>3021</v>
      </c>
      <c r="G16" t="s">
        <v>3102</v>
      </c>
      <c r="H16" s="375">
        <f t="shared" si="0"/>
        <v>772</v>
      </c>
      <c r="I16" s="380">
        <f>IF(A16="ASG", H16, IF(COUNTIF($A$2:A16,A16)=1, SUMIFS(Tb_HhPLAN[Ajustado], Tb_HhPLAN[COD-SS], Tb_HhPLAN[[#This Row],[COD-SS]]),""))</f>
        <v>772</v>
      </c>
      <c r="J16" s="380" t="str">
        <f>IFERROR(IF(Tb_HhPLAN[[#This Row],[DISCIPLINA]]="ASG","",((Tb_HhPLAN[[#This Row],[CÁLCULO]]/(SUMIFS(Tb_HhPLAN[Ajustado],Tb_HhPLAN[SS],Tb_HhPLAN[[#This Row],[SS]])-_xlfn.XLOOKUP(Tb_HhPLAN[[#This Row],[COD-AUX]],Tb_HhPLAN[COD-SS],Tb_HhPLAN[Ajustado],"",0,1)))*_xlfn.XLOOKUP(Tb_HhPLAN[[#This Row],[COD-AUX]],Tb_HhPLAN[COD-SS],Tb_HhPLAN[Ajustado],"",0,1))+IF(A16="ASG",H16,IF(COUNTIF($A$2:A16,A16)=1,SUMIFS(Tb_HhPLAN[Ajustado],Tb_HhPLAN[COD-SS],Tb_HhPLAN[[#This Row],[COD-SS]]),""))),"")</f>
        <v/>
      </c>
    </row>
    <row r="17" spans="1:10" x14ac:dyDescent="0.3">
      <c r="A17" t="str">
        <f>Tb_HhPLAN[[#This Row],[SS]]&amp;Tb_HhPLAN[[#This Row],[DISCIPLINA]]</f>
        <v>SS-06/2025MEC</v>
      </c>
      <c r="B17" t="str">
        <f>Tb_HhPLAN[[#This Row],[SS]]&amp;"ASG"</f>
        <v>SS-06/2025ASG</v>
      </c>
      <c r="C17" t="str">
        <f>LEFT(Tb_HhPLAN[[#This Row],[SS]],5)</f>
        <v>SS-06</v>
      </c>
      <c r="D17" t="str">
        <f t="shared" ref="D17:D52" si="3">D16</f>
        <v>SS-06/2025</v>
      </c>
      <c r="E17" t="s">
        <v>3002</v>
      </c>
      <c r="F17" t="s">
        <v>3022</v>
      </c>
      <c r="G17" t="s">
        <v>3097</v>
      </c>
      <c r="H17" s="375">
        <f t="shared" si="0"/>
        <v>284</v>
      </c>
      <c r="I17" s="380">
        <f>IF(A17="ASG", H17, IF(COUNTIF($A$2:A17,A17)=1, SUMIFS(Tb_HhPLAN[Ajustado], Tb_HhPLAN[COD-SS], Tb_HhPLAN[[#This Row],[COD-SS]]),""))</f>
        <v>680</v>
      </c>
      <c r="J17" s="380">
        <f>IFERROR(IF(Tb_HhPLAN[[#This Row],[DISCIPLINA]]="ASG","",((Tb_HhPLAN[[#This Row],[CÁLCULO]]/(SUMIFS(Tb_HhPLAN[Ajustado],Tb_HhPLAN[SS],Tb_HhPLAN[[#This Row],[SS]])-_xlfn.XLOOKUP(Tb_HhPLAN[[#This Row],[COD-AUX]],Tb_HhPLAN[COD-SS],Tb_HhPLAN[Ajustado],"",0,1)))*_xlfn.XLOOKUP(Tb_HhPLAN[[#This Row],[COD-AUX]],Tb_HhPLAN[COD-SS],Tb_HhPLAN[Ajustado],"",0,1))+IF(A17="ASG",H17,IF(COUNTIF($A$2:A17,A17)=1,SUMIFS(Tb_HhPLAN[Ajustado],Tb_HhPLAN[COD-SS],Tb_HhPLAN[[#This Row],[COD-SS]]),""))),"")</f>
        <v>1240.8547008547007</v>
      </c>
    </row>
    <row r="18" spans="1:10" x14ac:dyDescent="0.3">
      <c r="A18" t="str">
        <f>Tb_HhPLAN[[#This Row],[SS]]&amp;Tb_HhPLAN[[#This Row],[DISCIPLINA]]</f>
        <v>SS-06/2025ELÉT</v>
      </c>
      <c r="B18" t="str">
        <f>Tb_HhPLAN[[#This Row],[SS]]&amp;"ASG"</f>
        <v>SS-06/2025ASG</v>
      </c>
      <c r="C18" t="str">
        <f>LEFT(Tb_HhPLAN[[#This Row],[SS]],5)</f>
        <v>SS-06</v>
      </c>
      <c r="D18" t="str">
        <f t="shared" si="3"/>
        <v>SS-06/2025</v>
      </c>
      <c r="E18" t="s">
        <v>3006</v>
      </c>
      <c r="F18" t="s">
        <v>3023</v>
      </c>
      <c r="G18" t="s">
        <v>3099</v>
      </c>
      <c r="H18" s="375">
        <f t="shared" si="0"/>
        <v>120</v>
      </c>
      <c r="I18" s="380">
        <f>IF(A18="ASG", H18, IF(COUNTIF($A$2:A18,A18)=1, SUMIFS(Tb_HhPLAN[Ajustado], Tb_HhPLAN[COD-SS], Tb_HhPLAN[[#This Row],[COD-SS]]),""))</f>
        <v>120</v>
      </c>
      <c r="J18" s="380">
        <f>IFERROR(IF(Tb_HhPLAN[[#This Row],[DISCIPLINA]]="ASG","",((Tb_HhPLAN[[#This Row],[CÁLCULO]]/(SUMIFS(Tb_HhPLAN[Ajustado],Tb_HhPLAN[SS],Tb_HhPLAN[[#This Row],[SS]])-_xlfn.XLOOKUP(Tb_HhPLAN[[#This Row],[COD-AUX]],Tb_HhPLAN[COD-SS],Tb_HhPLAN[Ajustado],"",0,1)))*_xlfn.XLOOKUP(Tb_HhPLAN[[#This Row],[COD-AUX]],Tb_HhPLAN[COD-SS],Tb_HhPLAN[Ajustado],"",0,1))+IF(A18="ASG",H18,IF(COUNTIF($A$2:A18,A18)=1,SUMIFS(Tb_HhPLAN[Ajustado],Tb_HhPLAN[COD-SS],Tb_HhPLAN[[#This Row],[COD-SS]]),""))),"")</f>
        <v>218.97435897435895</v>
      </c>
    </row>
    <row r="19" spans="1:10" x14ac:dyDescent="0.3">
      <c r="A19" t="str">
        <f>Tb_HhPLAN[[#This Row],[SS]]&amp;Tb_HhPLAN[[#This Row],[DISCIPLINA]]</f>
        <v>SS-06/2025PINT</v>
      </c>
      <c r="B19" t="str">
        <f>Tb_HhPLAN[[#This Row],[SS]]&amp;"ASG"</f>
        <v>SS-06/2025ASG</v>
      </c>
      <c r="C19" t="str">
        <f>LEFT(Tb_HhPLAN[[#This Row],[SS]],5)</f>
        <v>SS-06</v>
      </c>
      <c r="D19" t="str">
        <f t="shared" si="3"/>
        <v>SS-06/2025</v>
      </c>
      <c r="E19" t="s">
        <v>3012</v>
      </c>
      <c r="F19" t="s">
        <v>3024</v>
      </c>
      <c r="G19" t="s">
        <v>3100</v>
      </c>
      <c r="H19" s="375">
        <f t="shared" si="0"/>
        <v>136</v>
      </c>
      <c r="I19" s="380">
        <f>IF(A19="ASG", H19, IF(COUNTIF($A$2:A19,A19)=1, SUMIFS(Tb_HhPLAN[Ajustado], Tb_HhPLAN[COD-SS], Tb_HhPLAN[[#This Row],[COD-SS]]),""))</f>
        <v>136</v>
      </c>
      <c r="J19" s="380">
        <f>IFERROR(IF(Tb_HhPLAN[[#This Row],[DISCIPLINA]]="ASG","",((Tb_HhPLAN[[#This Row],[CÁLCULO]]/(SUMIFS(Tb_HhPLAN[Ajustado],Tb_HhPLAN[SS],Tb_HhPLAN[[#This Row],[SS]])-_xlfn.XLOOKUP(Tb_HhPLAN[[#This Row],[COD-AUX]],Tb_HhPLAN[COD-SS],Tb_HhPLAN[Ajustado],"",0,1)))*_xlfn.XLOOKUP(Tb_HhPLAN[[#This Row],[COD-AUX]],Tb_HhPLAN[COD-SS],Tb_HhPLAN[Ajustado],"",0,1))+IF(A19="ASG",H19,IF(COUNTIF($A$2:A19,A19)=1,SUMIFS(Tb_HhPLAN[Ajustado],Tb_HhPLAN[COD-SS],Tb_HhPLAN[[#This Row],[COD-SS]]),""))),"")</f>
        <v>248.17094017094018</v>
      </c>
    </row>
    <row r="20" spans="1:10" x14ac:dyDescent="0.3">
      <c r="A20" t="str">
        <f>Tb_HhPLAN[[#This Row],[SS]]&amp;Tb_HhPLAN[[#This Row],[DISCIPLINA]]</f>
        <v>SS-06/2025MEC</v>
      </c>
      <c r="B20" t="str">
        <f>Tb_HhPLAN[[#This Row],[SS]]&amp;"ASG"</f>
        <v>SS-06/2025ASG</v>
      </c>
      <c r="C20" t="str">
        <f>LEFT(Tb_HhPLAN[[#This Row],[SS]],5)</f>
        <v>SS-06</v>
      </c>
      <c r="D20" t="str">
        <f t="shared" si="3"/>
        <v>SS-06/2025</v>
      </c>
      <c r="E20" t="s">
        <v>3008</v>
      </c>
      <c r="F20" t="s">
        <v>3025</v>
      </c>
      <c r="G20" t="s">
        <v>3097</v>
      </c>
      <c r="H20" s="375">
        <f t="shared" si="0"/>
        <v>396</v>
      </c>
      <c r="I20" s="380" t="str">
        <f>IF(A20="ASG", H20, IF(COUNTIF($A$2:A20,A20)=1, SUMIFS(Tb_HhPLAN[Ajustado], Tb_HhPLAN[COD-SS], Tb_HhPLAN[[#This Row],[COD-SS]]),""))</f>
        <v/>
      </c>
      <c r="J20" s="380" t="str">
        <f>IFERROR(IF(Tb_HhPLAN[[#This Row],[DISCIPLINA]]="ASG","",((Tb_HhPLAN[[#This Row],[CÁLCULO]]/(SUMIFS(Tb_HhPLAN[Ajustado],Tb_HhPLAN[SS],Tb_HhPLAN[[#This Row],[SS]])-_xlfn.XLOOKUP(Tb_HhPLAN[[#This Row],[COD-AUX]],Tb_HhPLAN[COD-SS],Tb_HhPLAN[Ajustado],"",0,1)))*_xlfn.XLOOKUP(Tb_HhPLAN[[#This Row],[COD-AUX]],Tb_HhPLAN[COD-SS],Tb_HhPLAN[Ajustado],"",0,1))+IF(A20="ASG",H20,IF(COUNTIF($A$2:A20,A20)=1,SUMIFS(Tb_HhPLAN[Ajustado],Tb_HhPLAN[COD-SS],Tb_HhPLAN[[#This Row],[COD-SS]]),""))),"")</f>
        <v/>
      </c>
    </row>
    <row r="21" spans="1:10" x14ac:dyDescent="0.3">
      <c r="A21" t="str">
        <f>Tb_HhPLAN[[#This Row],[SS]]&amp;Tb_HhPLAN[[#This Row],[DISCIPLINA]]</f>
        <v>SS-07/2025ASG</v>
      </c>
      <c r="B21" t="str">
        <f>Tb_HhPLAN[[#This Row],[SS]]&amp;"ASG"</f>
        <v>SS-07/2025ASG</v>
      </c>
      <c r="C21" t="str">
        <f>LEFT(Tb_HhPLAN[[#This Row],[SS]],5)</f>
        <v>SS-07</v>
      </c>
      <c r="D21" t="s">
        <v>442</v>
      </c>
      <c r="E21" t="s">
        <v>3000</v>
      </c>
      <c r="F21" t="s">
        <v>3026</v>
      </c>
      <c r="G21" t="s">
        <v>3102</v>
      </c>
      <c r="H21" s="375">
        <f t="shared" si="0"/>
        <v>808</v>
      </c>
      <c r="I21" s="380">
        <f>IF(A21="ASG", H21, IF(COUNTIF($A$2:A21,A21)=1, SUMIFS(Tb_HhPLAN[Ajustado], Tb_HhPLAN[COD-SS], Tb_HhPLAN[[#This Row],[COD-SS]]),""))</f>
        <v>808</v>
      </c>
      <c r="J21" s="380" t="str">
        <f>IFERROR(IF(Tb_HhPLAN[[#This Row],[DISCIPLINA]]="ASG","",((Tb_HhPLAN[[#This Row],[CÁLCULO]]/(SUMIFS(Tb_HhPLAN[Ajustado],Tb_HhPLAN[SS],Tb_HhPLAN[[#This Row],[SS]])-_xlfn.XLOOKUP(Tb_HhPLAN[[#This Row],[COD-AUX]],Tb_HhPLAN[COD-SS],Tb_HhPLAN[Ajustado],"",0,1)))*_xlfn.XLOOKUP(Tb_HhPLAN[[#This Row],[COD-AUX]],Tb_HhPLAN[COD-SS],Tb_HhPLAN[Ajustado],"",0,1))+IF(A21="ASG",H21,IF(COUNTIF($A$2:A21,A21)=1,SUMIFS(Tb_HhPLAN[Ajustado],Tb_HhPLAN[COD-SS],Tb_HhPLAN[[#This Row],[COD-SS]]),""))),"")</f>
        <v/>
      </c>
    </row>
    <row r="22" spans="1:10" x14ac:dyDescent="0.3">
      <c r="A22" t="str">
        <f>Tb_HhPLAN[[#This Row],[SS]]&amp;Tb_HhPLAN[[#This Row],[DISCIPLINA]]</f>
        <v>SS-07/2025MEC</v>
      </c>
      <c r="B22" t="str">
        <f>Tb_HhPLAN[[#This Row],[SS]]&amp;"ASG"</f>
        <v>SS-07/2025ASG</v>
      </c>
      <c r="C22" t="str">
        <f>LEFT(Tb_HhPLAN[[#This Row],[SS]],5)</f>
        <v>SS-07</v>
      </c>
      <c r="D22" t="str">
        <f t="shared" si="3"/>
        <v>SS-07/2025</v>
      </c>
      <c r="E22" t="s">
        <v>3002</v>
      </c>
      <c r="F22" t="s">
        <v>3027</v>
      </c>
      <c r="G22" t="s">
        <v>3097</v>
      </c>
      <c r="H22" s="375">
        <f t="shared" si="0"/>
        <v>288</v>
      </c>
      <c r="I22" s="380">
        <f>IF(A22="ASG", H22, IF(COUNTIF($A$2:A22,A22)=1, SUMIFS(Tb_HhPLAN[Ajustado], Tb_HhPLAN[COD-SS], Tb_HhPLAN[[#This Row],[COD-SS]]),""))</f>
        <v>664</v>
      </c>
      <c r="J22" s="380">
        <f>IFERROR(IF(Tb_HhPLAN[[#This Row],[DISCIPLINA]]="ASG","",((Tb_HhPLAN[[#This Row],[CÁLCULO]]/(SUMIFS(Tb_HhPLAN[Ajustado],Tb_HhPLAN[SS],Tb_HhPLAN[[#This Row],[SS]])-_xlfn.XLOOKUP(Tb_HhPLAN[[#This Row],[COD-AUX]],Tb_HhPLAN[COD-SS],Tb_HhPLAN[Ajustado],"",0,1)))*_xlfn.XLOOKUP(Tb_HhPLAN[[#This Row],[COD-AUX]],Tb_HhPLAN[COD-SS],Tb_HhPLAN[Ajustado],"",0,1))+IF(A22="ASG",H22,IF(COUNTIF($A$2:A22,A22)=1,SUMIFS(Tb_HhPLAN[Ajustado],Tb_HhPLAN[COD-SS],Tb_HhPLAN[[#This Row],[COD-SS]]),""))),"")</f>
        <v>1257.4867256637167</v>
      </c>
    </row>
    <row r="23" spans="1:10" x14ac:dyDescent="0.3">
      <c r="A23" t="str">
        <f>Tb_HhPLAN[[#This Row],[SS]]&amp;Tb_HhPLAN[[#This Row],[DISCIPLINA]]</f>
        <v>SS-07/2025ELÉT</v>
      </c>
      <c r="B23" t="str">
        <f>Tb_HhPLAN[[#This Row],[SS]]&amp;"ASG"</f>
        <v>SS-07/2025ASG</v>
      </c>
      <c r="C23" t="str">
        <f>LEFT(Tb_HhPLAN[[#This Row],[SS]],5)</f>
        <v>SS-07</v>
      </c>
      <c r="D23" t="str">
        <f t="shared" si="3"/>
        <v>SS-07/2025</v>
      </c>
      <c r="E23" t="s">
        <v>3006</v>
      </c>
      <c r="F23" t="s">
        <v>3028</v>
      </c>
      <c r="G23" t="s">
        <v>3099</v>
      </c>
      <c r="H23" s="375">
        <f t="shared" si="0"/>
        <v>112</v>
      </c>
      <c r="I23" s="380">
        <f>IF(A23="ASG", H23, IF(COUNTIF($A$2:A23,A23)=1, SUMIFS(Tb_HhPLAN[Ajustado], Tb_HhPLAN[COD-SS], Tb_HhPLAN[[#This Row],[COD-SS]]),""))</f>
        <v>112</v>
      </c>
      <c r="J23" s="380">
        <f>IFERROR(IF(Tb_HhPLAN[[#This Row],[DISCIPLINA]]="ASG","",((Tb_HhPLAN[[#This Row],[CÁLCULO]]/(SUMIFS(Tb_HhPLAN[Ajustado],Tb_HhPLAN[SS],Tb_HhPLAN[[#This Row],[SS]])-_xlfn.XLOOKUP(Tb_HhPLAN[[#This Row],[COD-AUX]],Tb_HhPLAN[COD-SS],Tb_HhPLAN[Ajustado],"",0,1)))*_xlfn.XLOOKUP(Tb_HhPLAN[[#This Row],[COD-AUX]],Tb_HhPLAN[COD-SS],Tb_HhPLAN[Ajustado],"",0,1))+IF(A23="ASG",H23,IF(COUNTIF($A$2:A23,A23)=1,SUMIFS(Tb_HhPLAN[Ajustado],Tb_HhPLAN[COD-SS],Tb_HhPLAN[[#This Row],[COD-SS]]),""))),"")</f>
        <v>212.10619469026548</v>
      </c>
    </row>
    <row r="24" spans="1:10" x14ac:dyDescent="0.3">
      <c r="A24" t="str">
        <f>Tb_HhPLAN[[#This Row],[SS]]&amp;Tb_HhPLAN[[#This Row],[DISCIPLINA]]</f>
        <v>SS-07/2025PINT</v>
      </c>
      <c r="B24" t="str">
        <f>Tb_HhPLAN[[#This Row],[SS]]&amp;"ASG"</f>
        <v>SS-07/2025ASG</v>
      </c>
      <c r="C24" t="str">
        <f>LEFT(Tb_HhPLAN[[#This Row],[SS]],5)</f>
        <v>SS-07</v>
      </c>
      <c r="D24" t="str">
        <f t="shared" si="3"/>
        <v>SS-07/2025</v>
      </c>
      <c r="E24" t="s">
        <v>3012</v>
      </c>
      <c r="F24" t="s">
        <v>3029</v>
      </c>
      <c r="G24" t="s">
        <v>3100</v>
      </c>
      <c r="H24" s="375">
        <f t="shared" si="0"/>
        <v>128</v>
      </c>
      <c r="I24" s="380">
        <f>IF(A24="ASG", H24, IF(COUNTIF($A$2:A24,A24)=1, SUMIFS(Tb_HhPLAN[Ajustado], Tb_HhPLAN[COD-SS], Tb_HhPLAN[[#This Row],[COD-SS]]),""))</f>
        <v>128</v>
      </c>
      <c r="J24" s="380">
        <f>IFERROR(IF(Tb_HhPLAN[[#This Row],[DISCIPLINA]]="ASG","",((Tb_HhPLAN[[#This Row],[CÁLCULO]]/(SUMIFS(Tb_HhPLAN[Ajustado],Tb_HhPLAN[SS],Tb_HhPLAN[[#This Row],[SS]])-_xlfn.XLOOKUP(Tb_HhPLAN[[#This Row],[COD-AUX]],Tb_HhPLAN[COD-SS],Tb_HhPLAN[Ajustado],"",0,1)))*_xlfn.XLOOKUP(Tb_HhPLAN[[#This Row],[COD-AUX]],Tb_HhPLAN[COD-SS],Tb_HhPLAN[Ajustado],"",0,1))+IF(A24="ASG",H24,IF(COUNTIF($A$2:A24,A24)=1,SUMIFS(Tb_HhPLAN[Ajustado],Tb_HhPLAN[COD-SS],Tb_HhPLAN[[#This Row],[COD-SS]]),""))),"")</f>
        <v>242.40707964601768</v>
      </c>
    </row>
    <row r="25" spans="1:10" x14ac:dyDescent="0.3">
      <c r="A25" t="str">
        <f>Tb_HhPLAN[[#This Row],[SS]]&amp;Tb_HhPLAN[[#This Row],[DISCIPLINA]]</f>
        <v>SS-07/2025MEC</v>
      </c>
      <c r="B25" t="str">
        <f>Tb_HhPLAN[[#This Row],[SS]]&amp;"ASG"</f>
        <v>SS-07/2025ASG</v>
      </c>
      <c r="C25" t="str">
        <f>LEFT(Tb_HhPLAN[[#This Row],[SS]],5)</f>
        <v>SS-07</v>
      </c>
      <c r="D25" t="str">
        <f t="shared" si="3"/>
        <v>SS-07/2025</v>
      </c>
      <c r="E25" t="s">
        <v>3008</v>
      </c>
      <c r="F25" t="s">
        <v>3030</v>
      </c>
      <c r="G25" t="s">
        <v>3097</v>
      </c>
      <c r="H25" s="375">
        <f t="shared" si="0"/>
        <v>376</v>
      </c>
      <c r="I25" s="380" t="str">
        <f>IF(A25="ASG", H25, IF(COUNTIF($A$2:A25,A25)=1, SUMIFS(Tb_HhPLAN[Ajustado], Tb_HhPLAN[COD-SS], Tb_HhPLAN[[#This Row],[COD-SS]]),""))</f>
        <v/>
      </c>
      <c r="J25" s="380" t="str">
        <f>IFERROR(IF(Tb_HhPLAN[[#This Row],[DISCIPLINA]]="ASG","",((Tb_HhPLAN[[#This Row],[CÁLCULO]]/(SUMIFS(Tb_HhPLAN[Ajustado],Tb_HhPLAN[SS],Tb_HhPLAN[[#This Row],[SS]])-_xlfn.XLOOKUP(Tb_HhPLAN[[#This Row],[COD-AUX]],Tb_HhPLAN[COD-SS],Tb_HhPLAN[Ajustado],"",0,1)))*_xlfn.XLOOKUP(Tb_HhPLAN[[#This Row],[COD-AUX]],Tb_HhPLAN[COD-SS],Tb_HhPLAN[Ajustado],"",0,1))+IF(A25="ASG",H25,IF(COUNTIF($A$2:A25,A25)=1,SUMIFS(Tb_HhPLAN[Ajustado],Tb_HhPLAN[COD-SS],Tb_HhPLAN[[#This Row],[COD-SS]]),""))),"")</f>
        <v/>
      </c>
    </row>
    <row r="26" spans="1:10" x14ac:dyDescent="0.3">
      <c r="A26" t="str">
        <f>Tb_HhPLAN[[#This Row],[SS]]&amp;Tb_HhPLAN[[#This Row],[DISCIPLINA]]</f>
        <v>SS-08/2025ASG</v>
      </c>
      <c r="B26" t="str">
        <f>Tb_HhPLAN[[#This Row],[SS]]&amp;"ASG"</f>
        <v>SS-08/2025ASG</v>
      </c>
      <c r="C26" t="str">
        <f>LEFT(Tb_HhPLAN[[#This Row],[SS]],5)</f>
        <v>SS-08</v>
      </c>
      <c r="D26" t="s">
        <v>443</v>
      </c>
      <c r="E26" t="s">
        <v>3000</v>
      </c>
      <c r="F26" t="s">
        <v>3031</v>
      </c>
      <c r="G26" t="s">
        <v>3102</v>
      </c>
      <c r="H26" s="375">
        <f t="shared" si="0"/>
        <v>426</v>
      </c>
      <c r="I26" s="380">
        <f>IF(A26="ASG", H26, IF(COUNTIF($A$2:A26,A26)=1, SUMIFS(Tb_HhPLAN[Ajustado], Tb_HhPLAN[COD-SS], Tb_HhPLAN[[#This Row],[COD-SS]]),""))</f>
        <v>426</v>
      </c>
      <c r="J26" s="380" t="str">
        <f>IFERROR(IF(Tb_HhPLAN[[#This Row],[DISCIPLINA]]="ASG","",((Tb_HhPLAN[[#This Row],[CÁLCULO]]/(SUMIFS(Tb_HhPLAN[Ajustado],Tb_HhPLAN[SS],Tb_HhPLAN[[#This Row],[SS]])-_xlfn.XLOOKUP(Tb_HhPLAN[[#This Row],[COD-AUX]],Tb_HhPLAN[COD-SS],Tb_HhPLAN[Ajustado],"",0,1)))*_xlfn.XLOOKUP(Tb_HhPLAN[[#This Row],[COD-AUX]],Tb_HhPLAN[COD-SS],Tb_HhPLAN[Ajustado],"",0,1))+IF(A26="ASG",H26,IF(COUNTIF($A$2:A26,A26)=1,SUMIFS(Tb_HhPLAN[Ajustado],Tb_HhPLAN[COD-SS],Tb_HhPLAN[[#This Row],[COD-SS]]),""))),"")</f>
        <v/>
      </c>
    </row>
    <row r="27" spans="1:10" x14ac:dyDescent="0.3">
      <c r="A27" t="str">
        <f>Tb_HhPLAN[[#This Row],[SS]]&amp;Tb_HhPLAN[[#This Row],[DISCIPLINA]]</f>
        <v>SS-08/2025MEC</v>
      </c>
      <c r="B27" t="str">
        <f>Tb_HhPLAN[[#This Row],[SS]]&amp;"ASG"</f>
        <v>SS-08/2025ASG</v>
      </c>
      <c r="C27" t="str">
        <f>LEFT(Tb_HhPLAN[[#This Row],[SS]],5)</f>
        <v>SS-08</v>
      </c>
      <c r="D27" t="str">
        <f t="shared" si="3"/>
        <v>SS-08/2025</v>
      </c>
      <c r="E27" t="s">
        <v>3002</v>
      </c>
      <c r="F27" t="s">
        <v>3032</v>
      </c>
      <c r="G27" t="s">
        <v>3097</v>
      </c>
      <c r="H27" s="375">
        <f t="shared" si="0"/>
        <v>186</v>
      </c>
      <c r="I27" s="380">
        <f>IF(A27="ASG", H27, IF(COUNTIF($A$2:A27,A27)=1, SUMIFS(Tb_HhPLAN[Ajustado], Tb_HhPLAN[COD-SS], Tb_HhPLAN[[#This Row],[COD-SS]]),""))</f>
        <v>372</v>
      </c>
      <c r="J27" s="380">
        <f>IFERROR(IF(Tb_HhPLAN[[#This Row],[DISCIPLINA]]="ASG","",((Tb_HhPLAN[[#This Row],[CÁLCULO]]/(SUMIFS(Tb_HhPLAN[Ajustado],Tb_HhPLAN[SS],Tb_HhPLAN[[#This Row],[SS]])-_xlfn.XLOOKUP(Tb_HhPLAN[[#This Row],[COD-AUX]],Tb_HhPLAN[COD-SS],Tb_HhPLAN[Ajustado],"",0,1)))*_xlfn.XLOOKUP(Tb_HhPLAN[[#This Row],[COD-AUX]],Tb_HhPLAN[COD-SS],Tb_HhPLAN[Ajustado],"",0,1))+IF(A27="ASG",H27,IF(COUNTIF($A$2:A27,A27)=1,SUMIFS(Tb_HhPLAN[Ajustado],Tb_HhPLAN[COD-SS],Tb_HhPLAN[[#This Row],[COD-SS]]),""))),"")</f>
        <v>665.4666666666667</v>
      </c>
    </row>
    <row r="28" spans="1:10" x14ac:dyDescent="0.3">
      <c r="A28" t="str">
        <f>Tb_HhPLAN[[#This Row],[SS]]&amp;Tb_HhPLAN[[#This Row],[DISCIPLINA]]</f>
        <v>SS-08/2025ELÉT</v>
      </c>
      <c r="B28" t="str">
        <f>Tb_HhPLAN[[#This Row],[SS]]&amp;"ASG"</f>
        <v>SS-08/2025ASG</v>
      </c>
      <c r="C28" t="str">
        <f>LEFT(Tb_HhPLAN[[#This Row],[SS]],5)</f>
        <v>SS-08</v>
      </c>
      <c r="D28" t="str">
        <f t="shared" si="3"/>
        <v>SS-08/2025</v>
      </c>
      <c r="E28" t="s">
        <v>3006</v>
      </c>
      <c r="F28" t="s">
        <v>3023</v>
      </c>
      <c r="G28" t="s">
        <v>3099</v>
      </c>
      <c r="H28" s="375">
        <f t="shared" si="0"/>
        <v>120</v>
      </c>
      <c r="I28" s="380">
        <f>IF(A28="ASG", H28, IF(COUNTIF($A$2:A28,A28)=1, SUMIFS(Tb_HhPLAN[Ajustado], Tb_HhPLAN[COD-SS], Tb_HhPLAN[[#This Row],[COD-SS]]),""))</f>
        <v>120</v>
      </c>
      <c r="J28" s="380">
        <f>IFERROR(IF(Tb_HhPLAN[[#This Row],[DISCIPLINA]]="ASG","",((Tb_HhPLAN[[#This Row],[CÁLCULO]]/(SUMIFS(Tb_HhPLAN[Ajustado],Tb_HhPLAN[SS],Tb_HhPLAN[[#This Row],[SS]])-_xlfn.XLOOKUP(Tb_HhPLAN[[#This Row],[COD-AUX]],Tb_HhPLAN[COD-SS],Tb_HhPLAN[Ajustado],"",0,1)))*_xlfn.XLOOKUP(Tb_HhPLAN[[#This Row],[COD-AUX]],Tb_HhPLAN[COD-SS],Tb_HhPLAN[Ajustado],"",0,1))+IF(A28="ASG",H28,IF(COUNTIF($A$2:A28,A28)=1,SUMIFS(Tb_HhPLAN[Ajustado],Tb_HhPLAN[COD-SS],Tb_HhPLAN[[#This Row],[COD-SS]]),""))),"")</f>
        <v>214.66666666666666</v>
      </c>
    </row>
    <row r="29" spans="1:10" x14ac:dyDescent="0.3">
      <c r="A29" t="str">
        <f>Tb_HhPLAN[[#This Row],[SS]]&amp;Tb_HhPLAN[[#This Row],[DISCIPLINA]]</f>
        <v>SS-08/2025MEC</v>
      </c>
      <c r="B29" t="str">
        <f>Tb_HhPLAN[[#This Row],[SS]]&amp;"ASG"</f>
        <v>SS-08/2025ASG</v>
      </c>
      <c r="C29" t="str">
        <f>LEFT(Tb_HhPLAN[[#This Row],[SS]],5)</f>
        <v>SS-08</v>
      </c>
      <c r="D29" t="str">
        <f t="shared" si="3"/>
        <v>SS-08/2025</v>
      </c>
      <c r="E29" t="s">
        <v>3008</v>
      </c>
      <c r="F29" t="s">
        <v>3032</v>
      </c>
      <c r="G29" t="s">
        <v>3097</v>
      </c>
      <c r="H29" s="375">
        <f t="shared" si="0"/>
        <v>186</v>
      </c>
      <c r="I29" s="380" t="str">
        <f>IF(A29="ASG", H29, IF(COUNTIF($A$2:A29,A29)=1, SUMIFS(Tb_HhPLAN[Ajustado], Tb_HhPLAN[COD-SS], Tb_HhPLAN[[#This Row],[COD-SS]]),""))</f>
        <v/>
      </c>
      <c r="J29" s="380" t="str">
        <f>IFERROR(IF(Tb_HhPLAN[[#This Row],[DISCIPLINA]]="ASG","",((Tb_HhPLAN[[#This Row],[CÁLCULO]]/(SUMIFS(Tb_HhPLAN[Ajustado],Tb_HhPLAN[SS],Tb_HhPLAN[[#This Row],[SS]])-_xlfn.XLOOKUP(Tb_HhPLAN[[#This Row],[COD-AUX]],Tb_HhPLAN[COD-SS],Tb_HhPLAN[Ajustado],"",0,1)))*_xlfn.XLOOKUP(Tb_HhPLAN[[#This Row],[COD-AUX]],Tb_HhPLAN[COD-SS],Tb_HhPLAN[Ajustado],"",0,1))+IF(A29="ASG",H29,IF(COUNTIF($A$2:A29,A29)=1,SUMIFS(Tb_HhPLAN[Ajustado],Tb_HhPLAN[COD-SS],Tb_HhPLAN[[#This Row],[COD-SS]]),""))),"")</f>
        <v/>
      </c>
    </row>
    <row r="30" spans="1:10" x14ac:dyDescent="0.3">
      <c r="A30" t="str">
        <f>Tb_HhPLAN[[#This Row],[SS]]&amp;Tb_HhPLAN[[#This Row],[DISCIPLINA]]</f>
        <v>SS-08/2025PINT</v>
      </c>
      <c r="B30" t="str">
        <f>Tb_HhPLAN[[#This Row],[SS]]&amp;"ASG"</f>
        <v>SS-08/2025ASG</v>
      </c>
      <c r="C30" t="str">
        <f>LEFT(Tb_HhPLAN[[#This Row],[SS]],5)</f>
        <v>SS-08</v>
      </c>
      <c r="D30" t="str">
        <f t="shared" si="3"/>
        <v>SS-08/2025</v>
      </c>
      <c r="E30" t="s">
        <v>3012</v>
      </c>
      <c r="F30" t="s">
        <v>3033</v>
      </c>
      <c r="G30" t="s">
        <v>3100</v>
      </c>
      <c r="H30" s="375">
        <f t="shared" si="0"/>
        <v>48</v>
      </c>
      <c r="I30" s="380">
        <f>IF(A30="ASG", H30, IF(COUNTIF($A$2:A30,A30)=1, SUMIFS(Tb_HhPLAN[Ajustado], Tb_HhPLAN[COD-SS], Tb_HhPLAN[[#This Row],[COD-SS]]),""))</f>
        <v>48</v>
      </c>
      <c r="J30" s="380">
        <f>IFERROR(IF(Tb_HhPLAN[[#This Row],[DISCIPLINA]]="ASG","",((Tb_HhPLAN[[#This Row],[CÁLCULO]]/(SUMIFS(Tb_HhPLAN[Ajustado],Tb_HhPLAN[SS],Tb_HhPLAN[[#This Row],[SS]])-_xlfn.XLOOKUP(Tb_HhPLAN[[#This Row],[COD-AUX]],Tb_HhPLAN[COD-SS],Tb_HhPLAN[Ajustado],"",0,1)))*_xlfn.XLOOKUP(Tb_HhPLAN[[#This Row],[COD-AUX]],Tb_HhPLAN[COD-SS],Tb_HhPLAN[Ajustado],"",0,1))+IF(A30="ASG",H30,IF(COUNTIF($A$2:A30,A30)=1,SUMIFS(Tb_HhPLAN[Ajustado],Tb_HhPLAN[COD-SS],Tb_HhPLAN[[#This Row],[COD-SS]]),""))),"")</f>
        <v>85.866666666666674</v>
      </c>
    </row>
    <row r="31" spans="1:10" x14ac:dyDescent="0.3">
      <c r="A31" t="str">
        <f>Tb_HhPLAN[[#This Row],[SS]]&amp;Tb_HhPLAN[[#This Row],[DISCIPLINA]]</f>
        <v>SS-09/2025ASG</v>
      </c>
      <c r="B31" t="str">
        <f>Tb_HhPLAN[[#This Row],[SS]]&amp;"ASG"</f>
        <v>SS-09/2025ASG</v>
      </c>
      <c r="C31" t="str">
        <f>LEFT(Tb_HhPLAN[[#This Row],[SS]],5)</f>
        <v>SS-09</v>
      </c>
      <c r="D31" t="s">
        <v>444</v>
      </c>
      <c r="E31" t="s">
        <v>3000</v>
      </c>
      <c r="F31" t="s">
        <v>3016</v>
      </c>
      <c r="G31" t="s">
        <v>3102</v>
      </c>
      <c r="H31" s="375">
        <f t="shared" ref="H31" si="4">VALUE(SUBSTITUTE(F31," hrs",""))</f>
        <v>464</v>
      </c>
      <c r="I31" s="380">
        <f>IF(A31="ASG", H31, IF(COUNTIF($A$2:A31,A31)=1, SUMIFS(Tb_HhPLAN[Ajustado], Tb_HhPLAN[COD-SS], Tb_HhPLAN[[#This Row],[COD-SS]]),""))</f>
        <v>464</v>
      </c>
      <c r="J31" s="380" t="str">
        <f>IFERROR(IF(Tb_HhPLAN[[#This Row],[DISCIPLINA]]="ASG","",((Tb_HhPLAN[[#This Row],[CÁLCULO]]/(SUMIFS(Tb_HhPLAN[Ajustado],Tb_HhPLAN[SS],Tb_HhPLAN[[#This Row],[SS]])-_xlfn.XLOOKUP(Tb_HhPLAN[[#This Row],[COD-AUX]],Tb_HhPLAN[COD-SS],Tb_HhPLAN[Ajustado],"",0,1)))*_xlfn.XLOOKUP(Tb_HhPLAN[[#This Row],[COD-AUX]],Tb_HhPLAN[COD-SS],Tb_HhPLAN[Ajustado],"",0,1))+IF(A31="ASG",H31,IF(COUNTIF($A$2:A31,A31)=1,SUMIFS(Tb_HhPLAN[Ajustado],Tb_HhPLAN[COD-SS],Tb_HhPLAN[[#This Row],[COD-SS]]),""))),"")</f>
        <v/>
      </c>
    </row>
    <row r="32" spans="1:10" x14ac:dyDescent="0.3">
      <c r="A32" t="str">
        <f>Tb_HhPLAN[[#This Row],[SS]]&amp;Tb_HhPLAN[[#This Row],[DISCIPLINA]]</f>
        <v>SS-09/2025MEC</v>
      </c>
      <c r="B32" t="str">
        <f>Tb_HhPLAN[[#This Row],[SS]]&amp;"ASG"</f>
        <v>SS-09/2025ASG</v>
      </c>
      <c r="C32" t="str">
        <f>LEFT(Tb_HhPLAN[[#This Row],[SS]],5)</f>
        <v>SS-09</v>
      </c>
      <c r="D32" t="str">
        <f t="shared" si="3"/>
        <v>SS-09/2025</v>
      </c>
      <c r="E32" t="s">
        <v>3004</v>
      </c>
      <c r="F32" t="s">
        <v>3034</v>
      </c>
      <c r="G32" t="s">
        <v>3097</v>
      </c>
      <c r="H32" s="375">
        <f t="shared" si="0"/>
        <v>568</v>
      </c>
      <c r="I32" s="380">
        <f>IF(A32="ASG", H32, IF(COUNTIF($A$2:A32,A32)=1, SUMIFS(Tb_HhPLAN[Ajustado], Tb_HhPLAN[COD-SS], Tb_HhPLAN[[#This Row],[COD-SS]]),""))</f>
        <v>936</v>
      </c>
      <c r="J32" s="380">
        <f>IFERROR(IF(Tb_HhPLAN[[#This Row],[DISCIPLINA]]="ASG","",((Tb_HhPLAN[[#This Row],[CÁLCULO]]/(SUMIFS(Tb_HhPLAN[Ajustado],Tb_HhPLAN[SS],Tb_HhPLAN[[#This Row],[SS]])-_xlfn.XLOOKUP(Tb_HhPLAN[[#This Row],[COD-AUX]],Tb_HhPLAN[COD-SS],Tb_HhPLAN[Ajustado],"",0,1)))*_xlfn.XLOOKUP(Tb_HhPLAN[[#This Row],[COD-AUX]],Tb_HhPLAN[COD-SS],Tb_HhPLAN[Ajustado],"",0,1))+IF(A32="ASG",H32,IF(COUNTIF($A$2:A32,A32)=1,SUMIFS(Tb_HhPLAN[Ajustado],Tb_HhPLAN[COD-SS],Tb_HhPLAN[[#This Row],[COD-SS]]),""))),"")</f>
        <v>1326.5611510791366</v>
      </c>
    </row>
    <row r="33" spans="1:10" x14ac:dyDescent="0.3">
      <c r="A33" t="str">
        <f>Tb_HhPLAN[[#This Row],[SS]]&amp;Tb_HhPLAN[[#This Row],[DISCIPLINA]]</f>
        <v>SS-09/2025MEC</v>
      </c>
      <c r="B33" t="str">
        <f>Tb_HhPLAN[[#This Row],[SS]]&amp;"ASG"</f>
        <v>SS-09/2025ASG</v>
      </c>
      <c r="C33" t="str">
        <f>LEFT(Tb_HhPLAN[[#This Row],[SS]],5)</f>
        <v>SS-09</v>
      </c>
      <c r="D33" t="str">
        <f t="shared" si="3"/>
        <v>SS-09/2025</v>
      </c>
      <c r="E33" t="s">
        <v>3002</v>
      </c>
      <c r="F33" t="s">
        <v>3035</v>
      </c>
      <c r="G33" t="s">
        <v>3097</v>
      </c>
      <c r="H33" s="375">
        <f t="shared" si="0"/>
        <v>160</v>
      </c>
      <c r="I33" s="380" t="str">
        <f>IF(A33="ASG", H33, IF(COUNTIF($A$2:A33,A33)=1, SUMIFS(Tb_HhPLAN[Ajustado], Tb_HhPLAN[COD-SS], Tb_HhPLAN[[#This Row],[COD-SS]]),""))</f>
        <v/>
      </c>
      <c r="J33" s="380" t="str">
        <f>IFERROR(IF(Tb_HhPLAN[[#This Row],[DISCIPLINA]]="ASG","",((Tb_HhPLAN[[#This Row],[CÁLCULO]]/(SUMIFS(Tb_HhPLAN[Ajustado],Tb_HhPLAN[SS],Tb_HhPLAN[[#This Row],[SS]])-_xlfn.XLOOKUP(Tb_HhPLAN[[#This Row],[COD-AUX]],Tb_HhPLAN[COD-SS],Tb_HhPLAN[Ajustado],"",0,1)))*_xlfn.XLOOKUP(Tb_HhPLAN[[#This Row],[COD-AUX]],Tb_HhPLAN[COD-SS],Tb_HhPLAN[Ajustado],"",0,1))+IF(A33="ASG",H33,IF(COUNTIF($A$2:A33,A33)=1,SUMIFS(Tb_HhPLAN[Ajustado],Tb_HhPLAN[COD-SS],Tb_HhPLAN[[#This Row],[COD-SS]]),""))),"")</f>
        <v/>
      </c>
    </row>
    <row r="34" spans="1:10" x14ac:dyDescent="0.3">
      <c r="A34" t="str">
        <f>Tb_HhPLAN[[#This Row],[SS]]&amp;Tb_HhPLAN[[#This Row],[DISCIPLINA]]</f>
        <v>SS-09/2025ELÉT</v>
      </c>
      <c r="B34" t="str">
        <f>Tb_HhPLAN[[#This Row],[SS]]&amp;"ASG"</f>
        <v>SS-09/2025ASG</v>
      </c>
      <c r="C34" t="str">
        <f>LEFT(Tb_HhPLAN[[#This Row],[SS]],5)</f>
        <v>SS-09</v>
      </c>
      <c r="D34" t="str">
        <f t="shared" si="3"/>
        <v>SS-09/2025</v>
      </c>
      <c r="E34" t="s">
        <v>3006</v>
      </c>
      <c r="F34" t="s">
        <v>3036</v>
      </c>
      <c r="G34" t="s">
        <v>3099</v>
      </c>
      <c r="H34" s="375">
        <f t="shared" si="0"/>
        <v>152</v>
      </c>
      <c r="I34" s="380">
        <f>IF(A34="ASG", H34, IF(COUNTIF($A$2:A34,A34)=1, SUMIFS(Tb_HhPLAN[Ajustado], Tb_HhPLAN[COD-SS], Tb_HhPLAN[[#This Row],[COD-SS]]),""))</f>
        <v>152</v>
      </c>
      <c r="J34" s="380">
        <f>IFERROR(IF(Tb_HhPLAN[[#This Row],[DISCIPLINA]]="ASG","",((Tb_HhPLAN[[#This Row],[CÁLCULO]]/(SUMIFS(Tb_HhPLAN[Ajustado],Tb_HhPLAN[SS],Tb_HhPLAN[[#This Row],[SS]])-_xlfn.XLOOKUP(Tb_HhPLAN[[#This Row],[COD-AUX]],Tb_HhPLAN[COD-SS],Tb_HhPLAN[Ajustado],"",0,1)))*_xlfn.XLOOKUP(Tb_HhPLAN[[#This Row],[COD-AUX]],Tb_HhPLAN[COD-SS],Tb_HhPLAN[Ajustado],"",0,1))+IF(A34="ASG",H34,IF(COUNTIF($A$2:A34,A34)=1,SUMIFS(Tb_HhPLAN[Ajustado],Tb_HhPLAN[COD-SS],Tb_HhPLAN[[#This Row],[COD-SS]]),""))),"")</f>
        <v>215.42446043165467</v>
      </c>
    </row>
    <row r="35" spans="1:10" x14ac:dyDescent="0.3">
      <c r="A35" t="str">
        <f>Tb_HhPLAN[[#This Row],[SS]]&amp;Tb_HhPLAN[[#This Row],[DISCIPLINA]]</f>
        <v>SS-09/2025MEC</v>
      </c>
      <c r="B35" t="str">
        <f>Tb_HhPLAN[[#This Row],[SS]]&amp;"ASG"</f>
        <v>SS-09/2025ASG</v>
      </c>
      <c r="C35" t="str">
        <f>LEFT(Tb_HhPLAN[[#This Row],[SS]],5)</f>
        <v>SS-09</v>
      </c>
      <c r="D35" t="str">
        <f t="shared" si="3"/>
        <v>SS-09/2025</v>
      </c>
      <c r="E35" t="s">
        <v>3008</v>
      </c>
      <c r="F35" t="s">
        <v>3035</v>
      </c>
      <c r="G35" t="s">
        <v>3097</v>
      </c>
      <c r="H35" s="375">
        <f t="shared" si="0"/>
        <v>160</v>
      </c>
      <c r="I35" s="380" t="str">
        <f>IF(A35="ASG", H35, IF(COUNTIF($A$2:A35,A35)=1, SUMIFS(Tb_HhPLAN[Ajustado], Tb_HhPLAN[COD-SS], Tb_HhPLAN[[#This Row],[COD-SS]]),""))</f>
        <v/>
      </c>
      <c r="J35" s="380" t="str">
        <f>IFERROR(IF(Tb_HhPLAN[[#This Row],[DISCIPLINA]]="ASG","",((Tb_HhPLAN[[#This Row],[CÁLCULO]]/(SUMIFS(Tb_HhPLAN[Ajustado],Tb_HhPLAN[SS],Tb_HhPLAN[[#This Row],[SS]])-_xlfn.XLOOKUP(Tb_HhPLAN[[#This Row],[COD-AUX]],Tb_HhPLAN[COD-SS],Tb_HhPLAN[Ajustado],"",0,1)))*_xlfn.XLOOKUP(Tb_HhPLAN[[#This Row],[COD-AUX]],Tb_HhPLAN[COD-SS],Tb_HhPLAN[Ajustado],"",0,1))+IF(A35="ASG",H35,IF(COUNTIF($A$2:A35,A35)=1,SUMIFS(Tb_HhPLAN[Ajustado],Tb_HhPLAN[COD-SS],Tb_HhPLAN[[#This Row],[COD-SS]]),""))),"")</f>
        <v/>
      </c>
    </row>
    <row r="36" spans="1:10" x14ac:dyDescent="0.3">
      <c r="A36" t="str">
        <f>Tb_HhPLAN[[#This Row],[SS]]&amp;Tb_HhPLAN[[#This Row],[DISCIPLINA]]</f>
        <v>SS-09/2025PINT</v>
      </c>
      <c r="B36" t="str">
        <f>Tb_HhPLAN[[#This Row],[SS]]&amp;"ASG"</f>
        <v>SS-09/2025ASG</v>
      </c>
      <c r="C36" t="str">
        <f>LEFT(Tb_HhPLAN[[#This Row],[SS]],5)</f>
        <v>SS-09</v>
      </c>
      <c r="D36" t="str">
        <f t="shared" si="3"/>
        <v>SS-09/2025</v>
      </c>
      <c r="E36" t="s">
        <v>3012</v>
      </c>
      <c r="F36" t="s">
        <v>3037</v>
      </c>
      <c r="G36" t="s">
        <v>3100</v>
      </c>
      <c r="H36" s="375">
        <f t="shared" si="0"/>
        <v>24</v>
      </c>
      <c r="I36" s="380">
        <f>IF(A36="ASG", H36, IF(COUNTIF($A$2:A36,A36)=1, SUMIFS(Tb_HhPLAN[Ajustado], Tb_HhPLAN[COD-SS], Tb_HhPLAN[[#This Row],[COD-SS]]),""))</f>
        <v>24</v>
      </c>
      <c r="J36" s="380">
        <f>IFERROR(IF(Tb_HhPLAN[[#This Row],[DISCIPLINA]]="ASG","",((Tb_HhPLAN[[#This Row],[CÁLCULO]]/(SUMIFS(Tb_HhPLAN[Ajustado],Tb_HhPLAN[SS],Tb_HhPLAN[[#This Row],[SS]])-_xlfn.XLOOKUP(Tb_HhPLAN[[#This Row],[COD-AUX]],Tb_HhPLAN[COD-SS],Tb_HhPLAN[Ajustado],"",0,1)))*_xlfn.XLOOKUP(Tb_HhPLAN[[#This Row],[COD-AUX]],Tb_HhPLAN[COD-SS],Tb_HhPLAN[Ajustado],"",0,1))+IF(A36="ASG",H36,IF(COUNTIF($A$2:A36,A36)=1,SUMIFS(Tb_HhPLAN[Ajustado],Tb_HhPLAN[COD-SS],Tb_HhPLAN[[#This Row],[COD-SS]]),""))),"")</f>
        <v>34.014388489208635</v>
      </c>
    </row>
    <row r="37" spans="1:10" x14ac:dyDescent="0.3">
      <c r="A37" t="str">
        <f>Tb_HhPLAN[[#This Row],[SS]]&amp;Tb_HhPLAN[[#This Row],[DISCIPLINA]]</f>
        <v>SS-09/2025MEC</v>
      </c>
      <c r="B37" t="str">
        <f>Tb_HhPLAN[[#This Row],[SS]]&amp;"ASG"</f>
        <v>SS-09/2025ASG</v>
      </c>
      <c r="C37" t="str">
        <f>LEFT(Tb_HhPLAN[[#This Row],[SS]],5)</f>
        <v>SS-09</v>
      </c>
      <c r="D37" t="str">
        <f t="shared" si="3"/>
        <v>SS-09/2025</v>
      </c>
      <c r="E37" t="s">
        <v>3014</v>
      </c>
      <c r="F37" t="s">
        <v>3033</v>
      </c>
      <c r="G37" t="s">
        <v>3097</v>
      </c>
      <c r="H37" s="375">
        <f t="shared" si="0"/>
        <v>48</v>
      </c>
      <c r="I37" s="380" t="str">
        <f>IF(A37="ASG", H37, IF(COUNTIF($A$2:A37,A37)=1, SUMIFS(Tb_HhPLAN[Ajustado], Tb_HhPLAN[COD-SS], Tb_HhPLAN[[#This Row],[COD-SS]]),""))</f>
        <v/>
      </c>
      <c r="J37" s="380" t="str">
        <f>IFERROR(IF(Tb_HhPLAN[[#This Row],[DISCIPLINA]]="ASG","",((Tb_HhPLAN[[#This Row],[CÁLCULO]]/(SUMIFS(Tb_HhPLAN[Ajustado],Tb_HhPLAN[SS],Tb_HhPLAN[[#This Row],[SS]])-_xlfn.XLOOKUP(Tb_HhPLAN[[#This Row],[COD-AUX]],Tb_HhPLAN[COD-SS],Tb_HhPLAN[Ajustado],"",0,1)))*_xlfn.XLOOKUP(Tb_HhPLAN[[#This Row],[COD-AUX]],Tb_HhPLAN[COD-SS],Tb_HhPLAN[Ajustado],"",0,1))+IF(A37="ASG",H37,IF(COUNTIF($A$2:A37,A37)=1,SUMIFS(Tb_HhPLAN[Ajustado],Tb_HhPLAN[COD-SS],Tb_HhPLAN[[#This Row],[COD-SS]]),""))),"")</f>
        <v/>
      </c>
    </row>
    <row r="38" spans="1:10" x14ac:dyDescent="0.3">
      <c r="A38" t="str">
        <f>Tb_HhPLAN[[#This Row],[SS]]&amp;Tb_HhPLAN[[#This Row],[DISCIPLINA]]</f>
        <v>SS-10/2025ASG</v>
      </c>
      <c r="B38" t="str">
        <f>Tb_HhPLAN[[#This Row],[SS]]&amp;"ASG"</f>
        <v>SS-10/2025ASG</v>
      </c>
      <c r="C38" t="str">
        <f>LEFT(Tb_HhPLAN[[#This Row],[SS]],5)</f>
        <v>SS-10</v>
      </c>
      <c r="D38" t="s">
        <v>54</v>
      </c>
      <c r="E38" t="s">
        <v>3000</v>
      </c>
      <c r="F38" t="s">
        <v>3038</v>
      </c>
      <c r="G38" t="s">
        <v>3102</v>
      </c>
      <c r="H38" s="375">
        <f t="shared" si="0"/>
        <v>460</v>
      </c>
      <c r="I38" s="380">
        <f>IF(A38="ASG", H38, IF(COUNTIF($A$2:A38,A38)=1, SUMIFS(Tb_HhPLAN[Ajustado], Tb_HhPLAN[COD-SS], Tb_HhPLAN[[#This Row],[COD-SS]]),""))</f>
        <v>460</v>
      </c>
      <c r="J38" s="380" t="str">
        <f>IFERROR(IF(Tb_HhPLAN[[#This Row],[DISCIPLINA]]="ASG","",((Tb_HhPLAN[[#This Row],[CÁLCULO]]/(SUMIFS(Tb_HhPLAN[Ajustado],Tb_HhPLAN[SS],Tb_HhPLAN[[#This Row],[SS]])-_xlfn.XLOOKUP(Tb_HhPLAN[[#This Row],[COD-AUX]],Tb_HhPLAN[COD-SS],Tb_HhPLAN[Ajustado],"",0,1)))*_xlfn.XLOOKUP(Tb_HhPLAN[[#This Row],[COD-AUX]],Tb_HhPLAN[COD-SS],Tb_HhPLAN[Ajustado],"",0,1))+IF(A38="ASG",H38,IF(COUNTIF($A$2:A38,A38)=1,SUMIFS(Tb_HhPLAN[Ajustado],Tb_HhPLAN[COD-SS],Tb_HhPLAN[[#This Row],[COD-SS]]),""))),"")</f>
        <v/>
      </c>
    </row>
    <row r="39" spans="1:10" x14ac:dyDescent="0.3">
      <c r="A39" t="str">
        <f>Tb_HhPLAN[[#This Row],[SS]]&amp;Tb_HhPLAN[[#This Row],[DISCIPLINA]]</f>
        <v>SS-10/2025MEC</v>
      </c>
      <c r="B39" t="str">
        <f>Tb_HhPLAN[[#This Row],[SS]]&amp;"ASG"</f>
        <v>SS-10/2025ASG</v>
      </c>
      <c r="C39" t="str">
        <f>LEFT(Tb_HhPLAN[[#This Row],[SS]],5)</f>
        <v>SS-10</v>
      </c>
      <c r="D39" t="str">
        <f t="shared" si="3"/>
        <v>SS-10/2025</v>
      </c>
      <c r="E39" t="s">
        <v>3002</v>
      </c>
      <c r="F39" t="s">
        <v>3039</v>
      </c>
      <c r="G39" t="s">
        <v>3097</v>
      </c>
      <c r="H39" s="375">
        <f t="shared" si="0"/>
        <v>184</v>
      </c>
      <c r="I39" s="380">
        <f>IF(A39="ASG", H39, IF(COUNTIF($A$2:A39,A39)=1, SUMIFS(Tb_HhPLAN[Ajustado], Tb_HhPLAN[COD-SS], Tb_HhPLAN[[#This Row],[COD-SS]]),""))</f>
        <v>440</v>
      </c>
      <c r="J39" s="380">
        <f>IFERROR(IF(Tb_HhPLAN[[#This Row],[DISCIPLINA]]="ASG","",((Tb_HhPLAN[[#This Row],[CÁLCULO]]/(SUMIFS(Tb_HhPLAN[Ajustado],Tb_HhPLAN[SS],Tb_HhPLAN[[#This Row],[SS]])-_xlfn.XLOOKUP(Tb_HhPLAN[[#This Row],[COD-AUX]],Tb_HhPLAN[COD-SS],Tb_HhPLAN[Ajustado],"",0,1)))*_xlfn.XLOOKUP(Tb_HhPLAN[[#This Row],[COD-AUX]],Tb_HhPLAN[COD-SS],Tb_HhPLAN[Ajustado],"",0,1))+IF(A39="ASG",H39,IF(COUNTIF($A$2:A39,A39)=1,SUMIFS(Tb_HhPLAN[Ajustado],Tb_HhPLAN[COD-SS],Tb_HhPLAN[[#This Row],[COD-SS]]),""))),"")</f>
        <v>734.18604651162786</v>
      </c>
    </row>
    <row r="40" spans="1:10" x14ac:dyDescent="0.3">
      <c r="A40" t="str">
        <f>Tb_HhPLAN[[#This Row],[SS]]&amp;Tb_HhPLAN[[#This Row],[DISCIPLINA]]</f>
        <v>SS-10/2025CIVIL</v>
      </c>
      <c r="B40" t="str">
        <f>Tb_HhPLAN[[#This Row],[SS]]&amp;"ASG"</f>
        <v>SS-10/2025ASG</v>
      </c>
      <c r="C40" t="str">
        <f>LEFT(Tb_HhPLAN[[#This Row],[SS]],5)</f>
        <v>SS-10</v>
      </c>
      <c r="D40" t="str">
        <f t="shared" si="3"/>
        <v>SS-10/2025</v>
      </c>
      <c r="E40" t="s">
        <v>3010</v>
      </c>
      <c r="F40" t="s">
        <v>3040</v>
      </c>
      <c r="G40" t="s">
        <v>3098</v>
      </c>
      <c r="H40" s="375">
        <f t="shared" si="0"/>
        <v>192</v>
      </c>
      <c r="I40" s="380">
        <f>IF(A40="ASG", H40, IF(COUNTIF($A$2:A40,A40)=1, SUMIFS(Tb_HhPLAN[Ajustado], Tb_HhPLAN[COD-SS], Tb_HhPLAN[[#This Row],[COD-SS]]),""))</f>
        <v>192</v>
      </c>
      <c r="J40" s="380">
        <f>IFERROR(IF(Tb_HhPLAN[[#This Row],[DISCIPLINA]]="ASG","",((Tb_HhPLAN[[#This Row],[CÁLCULO]]/(SUMIFS(Tb_HhPLAN[Ajustado],Tb_HhPLAN[SS],Tb_HhPLAN[[#This Row],[SS]])-_xlfn.XLOOKUP(Tb_HhPLAN[[#This Row],[COD-AUX]],Tb_HhPLAN[COD-SS],Tb_HhPLAN[Ajustado],"",0,1)))*_xlfn.XLOOKUP(Tb_HhPLAN[[#This Row],[COD-AUX]],Tb_HhPLAN[COD-SS],Tb_HhPLAN[Ajustado],"",0,1))+IF(A40="ASG",H40,IF(COUNTIF($A$2:A40,A40)=1,SUMIFS(Tb_HhPLAN[Ajustado],Tb_HhPLAN[COD-SS],Tb_HhPLAN[[#This Row],[COD-SS]]),""))),"")</f>
        <v>320.37209302325584</v>
      </c>
    </row>
    <row r="41" spans="1:10" x14ac:dyDescent="0.3">
      <c r="A41" t="str">
        <f>Tb_HhPLAN[[#This Row],[SS]]&amp;Tb_HhPLAN[[#This Row],[DISCIPLINA]]</f>
        <v>SS-10/2025ELÉT</v>
      </c>
      <c r="B41" t="str">
        <f>Tb_HhPLAN[[#This Row],[SS]]&amp;"ASG"</f>
        <v>SS-10/2025ASG</v>
      </c>
      <c r="C41" t="str">
        <f>LEFT(Tb_HhPLAN[[#This Row],[SS]],5)</f>
        <v>SS-10</v>
      </c>
      <c r="D41" t="str">
        <f t="shared" si="3"/>
        <v>SS-10/2025</v>
      </c>
      <c r="E41" t="s">
        <v>3006</v>
      </c>
      <c r="F41" t="s">
        <v>3041</v>
      </c>
      <c r="G41" t="s">
        <v>3099</v>
      </c>
      <c r="H41" s="375">
        <f t="shared" si="0"/>
        <v>56</v>
      </c>
      <c r="I41" s="380">
        <f>IF(A41="ASG", H41, IF(COUNTIF($A$2:A41,A41)=1, SUMIFS(Tb_HhPLAN[Ajustado], Tb_HhPLAN[COD-SS], Tb_HhPLAN[[#This Row],[COD-SS]]),""))</f>
        <v>56</v>
      </c>
      <c r="J41" s="380">
        <f>IFERROR(IF(Tb_HhPLAN[[#This Row],[DISCIPLINA]]="ASG","",((Tb_HhPLAN[[#This Row],[CÁLCULO]]/(SUMIFS(Tb_HhPLAN[Ajustado],Tb_HhPLAN[SS],Tb_HhPLAN[[#This Row],[SS]])-_xlfn.XLOOKUP(Tb_HhPLAN[[#This Row],[COD-AUX]],Tb_HhPLAN[COD-SS],Tb_HhPLAN[Ajustado],"",0,1)))*_xlfn.XLOOKUP(Tb_HhPLAN[[#This Row],[COD-AUX]],Tb_HhPLAN[COD-SS],Tb_HhPLAN[Ajustado],"",0,1))+IF(A41="ASG",H41,IF(COUNTIF($A$2:A41,A41)=1,SUMIFS(Tb_HhPLAN[Ajustado],Tb_HhPLAN[COD-SS],Tb_HhPLAN[[#This Row],[COD-SS]]),""))),"")</f>
        <v>93.441860465116292</v>
      </c>
    </row>
    <row r="42" spans="1:10" x14ac:dyDescent="0.3">
      <c r="A42" t="str">
        <f>Tb_HhPLAN[[#This Row],[SS]]&amp;Tb_HhPLAN[[#This Row],[DISCIPLINA]]</f>
        <v>SS-10/2025MEC</v>
      </c>
      <c r="B42" t="str">
        <f>Tb_HhPLAN[[#This Row],[SS]]&amp;"ASG"</f>
        <v>SS-10/2025ASG</v>
      </c>
      <c r="C42" t="str">
        <f>LEFT(Tb_HhPLAN[[#This Row],[SS]],5)</f>
        <v>SS-10</v>
      </c>
      <c r="D42" t="str">
        <f t="shared" si="3"/>
        <v>SS-10/2025</v>
      </c>
      <c r="E42" t="s">
        <v>3008</v>
      </c>
      <c r="F42" t="s">
        <v>3042</v>
      </c>
      <c r="G42" t="s">
        <v>3097</v>
      </c>
      <c r="H42" s="375">
        <f t="shared" si="0"/>
        <v>224</v>
      </c>
      <c r="I42" s="380" t="str">
        <f>IF(A42="ASG", H42, IF(COUNTIF($A$2:A42,A42)=1, SUMIFS(Tb_HhPLAN[Ajustado], Tb_HhPLAN[COD-SS], Tb_HhPLAN[[#This Row],[COD-SS]]),""))</f>
        <v/>
      </c>
      <c r="J42" s="380" t="str">
        <f>IFERROR(IF(Tb_HhPLAN[[#This Row],[DISCIPLINA]]="ASG","",((Tb_HhPLAN[[#This Row],[CÁLCULO]]/(SUMIFS(Tb_HhPLAN[Ajustado],Tb_HhPLAN[SS],Tb_HhPLAN[[#This Row],[SS]])-_xlfn.XLOOKUP(Tb_HhPLAN[[#This Row],[COD-AUX]],Tb_HhPLAN[COD-SS],Tb_HhPLAN[Ajustado],"",0,1)))*_xlfn.XLOOKUP(Tb_HhPLAN[[#This Row],[COD-AUX]],Tb_HhPLAN[COD-SS],Tb_HhPLAN[Ajustado],"",0,1))+IF(A42="ASG",H42,IF(COUNTIF($A$2:A42,A42)=1,SUMIFS(Tb_HhPLAN[Ajustado],Tb_HhPLAN[COD-SS],Tb_HhPLAN[[#This Row],[COD-SS]]),""))),"")</f>
        <v/>
      </c>
    </row>
    <row r="43" spans="1:10" x14ac:dyDescent="0.3">
      <c r="A43" t="str">
        <f>Tb_HhPLAN[[#This Row],[SS]]&amp;Tb_HhPLAN[[#This Row],[DISCIPLINA]]</f>
        <v>SS-10/2025MEC</v>
      </c>
      <c r="B43" t="str">
        <f>Tb_HhPLAN[[#This Row],[SS]]&amp;"ASG"</f>
        <v>SS-10/2025ASG</v>
      </c>
      <c r="C43" t="str">
        <f>LEFT(Tb_HhPLAN[[#This Row],[SS]],5)</f>
        <v>SS-10</v>
      </c>
      <c r="D43" t="str">
        <f t="shared" si="3"/>
        <v>SS-10/2025</v>
      </c>
      <c r="E43" t="s">
        <v>3004</v>
      </c>
      <c r="F43" t="s">
        <v>3043</v>
      </c>
      <c r="G43" t="s">
        <v>3097</v>
      </c>
      <c r="H43" s="375">
        <f t="shared" si="0"/>
        <v>32</v>
      </c>
      <c r="I43" s="380" t="str">
        <f>IF(A43="ASG", H43, IF(COUNTIF($A$2:A43,A43)=1, SUMIFS(Tb_HhPLAN[Ajustado], Tb_HhPLAN[COD-SS], Tb_HhPLAN[[#This Row],[COD-SS]]),""))</f>
        <v/>
      </c>
      <c r="J43" s="380" t="str">
        <f>IFERROR(IF(Tb_HhPLAN[[#This Row],[DISCIPLINA]]="ASG","",((Tb_HhPLAN[[#This Row],[CÁLCULO]]/(SUMIFS(Tb_HhPLAN[Ajustado],Tb_HhPLAN[SS],Tb_HhPLAN[[#This Row],[SS]])-_xlfn.XLOOKUP(Tb_HhPLAN[[#This Row],[COD-AUX]],Tb_HhPLAN[COD-SS],Tb_HhPLAN[Ajustado],"",0,1)))*_xlfn.XLOOKUP(Tb_HhPLAN[[#This Row],[COD-AUX]],Tb_HhPLAN[COD-SS],Tb_HhPLAN[Ajustado],"",0,1))+IF(A43="ASG",H43,IF(COUNTIF($A$2:A43,A43)=1,SUMIFS(Tb_HhPLAN[Ajustado],Tb_HhPLAN[COD-SS],Tb_HhPLAN[[#This Row],[COD-SS]]),""))),"")</f>
        <v/>
      </c>
    </row>
    <row r="44" spans="1:10" x14ac:dyDescent="0.3">
      <c r="A44" t="str">
        <f>Tb_HhPLAN[[#This Row],[SS]]&amp;Tb_HhPLAN[[#This Row],[DISCIPLINA]]</f>
        <v>SS-11/2025ASG</v>
      </c>
      <c r="B44" t="str">
        <f>Tb_HhPLAN[[#This Row],[SS]]&amp;"ASG"</f>
        <v>SS-11/2025ASG</v>
      </c>
      <c r="C44" t="str">
        <f>LEFT(Tb_HhPLAN[[#This Row],[SS]],5)</f>
        <v>SS-11</v>
      </c>
      <c r="D44" t="s">
        <v>55</v>
      </c>
      <c r="E44" t="s">
        <v>3000</v>
      </c>
      <c r="F44" t="s">
        <v>3044</v>
      </c>
      <c r="G44" t="s">
        <v>3102</v>
      </c>
      <c r="H44" s="375">
        <f t="shared" si="0"/>
        <v>416</v>
      </c>
      <c r="I44" s="380">
        <f>IF(A44="ASG", H44, IF(COUNTIF($A$2:A44,A44)=1, SUMIFS(Tb_HhPLAN[Ajustado], Tb_HhPLAN[COD-SS], Tb_HhPLAN[[#This Row],[COD-SS]]),""))</f>
        <v>416</v>
      </c>
      <c r="J44" s="380" t="str">
        <f>IFERROR(IF(Tb_HhPLAN[[#This Row],[DISCIPLINA]]="ASG","",((Tb_HhPLAN[[#This Row],[CÁLCULO]]/(SUMIFS(Tb_HhPLAN[Ajustado],Tb_HhPLAN[SS],Tb_HhPLAN[[#This Row],[SS]])-_xlfn.XLOOKUP(Tb_HhPLAN[[#This Row],[COD-AUX]],Tb_HhPLAN[COD-SS],Tb_HhPLAN[Ajustado],"",0,1)))*_xlfn.XLOOKUP(Tb_HhPLAN[[#This Row],[COD-AUX]],Tb_HhPLAN[COD-SS],Tb_HhPLAN[Ajustado],"",0,1))+IF(A44="ASG",H44,IF(COUNTIF($A$2:A44,A44)=1,SUMIFS(Tb_HhPLAN[Ajustado],Tb_HhPLAN[COD-SS],Tb_HhPLAN[[#This Row],[COD-SS]]),""))),"")</f>
        <v/>
      </c>
    </row>
    <row r="45" spans="1:10" x14ac:dyDescent="0.3">
      <c r="A45" t="str">
        <f>Tb_HhPLAN[[#This Row],[SS]]&amp;Tb_HhPLAN[[#This Row],[DISCIPLINA]]</f>
        <v>SS-11/2025MEC</v>
      </c>
      <c r="B45" t="str">
        <f>Tb_HhPLAN[[#This Row],[SS]]&amp;"ASG"</f>
        <v>SS-11/2025ASG</v>
      </c>
      <c r="C45" t="str">
        <f>LEFT(Tb_HhPLAN[[#This Row],[SS]],5)</f>
        <v>SS-11</v>
      </c>
      <c r="D45" t="str">
        <f t="shared" si="3"/>
        <v>SS-11/2025</v>
      </c>
      <c r="E45" t="s">
        <v>3002</v>
      </c>
      <c r="F45" t="s">
        <v>3020</v>
      </c>
      <c r="G45" t="s">
        <v>3097</v>
      </c>
      <c r="H45" s="375">
        <f t="shared" si="0"/>
        <v>256</v>
      </c>
      <c r="I45" s="380">
        <f>IF(A45="ASG", H45, IF(COUNTIF($A$2:A45,A45)=1, SUMIFS(Tb_HhPLAN[Ajustado], Tb_HhPLAN[COD-SS], Tb_HhPLAN[[#This Row],[COD-SS]]),""))</f>
        <v>512</v>
      </c>
      <c r="J45" s="380">
        <f>IFERROR(IF(Tb_HhPLAN[[#This Row],[DISCIPLINA]]="ASG","",((Tb_HhPLAN[[#This Row],[CÁLCULO]]/(SUMIFS(Tb_HhPLAN[Ajustado],Tb_HhPLAN[SS],Tb_HhPLAN[[#This Row],[SS]])-_xlfn.XLOOKUP(Tb_HhPLAN[[#This Row],[COD-AUX]],Tb_HhPLAN[COD-SS],Tb_HhPLAN[Ajustado],"",0,1)))*_xlfn.XLOOKUP(Tb_HhPLAN[[#This Row],[COD-AUX]],Tb_HhPLAN[COD-SS],Tb_HhPLAN[Ajustado],"",0,1))+IF(A45="ASG",H45,IF(COUNTIF($A$2:A45,A45)=1,SUMIFS(Tb_HhPLAN[Ajustado],Tb_HhPLAN[COD-SS],Tb_HhPLAN[[#This Row],[COD-SS]]),""))),"")</f>
        <v>897.85507246376812</v>
      </c>
    </row>
    <row r="46" spans="1:10" x14ac:dyDescent="0.3">
      <c r="A46" t="str">
        <f>Tb_HhPLAN[[#This Row],[SS]]&amp;Tb_HhPLAN[[#This Row],[DISCIPLINA]]</f>
        <v>SS-11/2025ELÉT</v>
      </c>
      <c r="B46" t="str">
        <f>Tb_HhPLAN[[#This Row],[SS]]&amp;"ASG"</f>
        <v>SS-11/2025ASG</v>
      </c>
      <c r="C46" t="str">
        <f>LEFT(Tb_HhPLAN[[#This Row],[SS]],5)</f>
        <v>SS-11</v>
      </c>
      <c r="D46" t="str">
        <f t="shared" si="3"/>
        <v>SS-11/2025</v>
      </c>
      <c r="E46" t="s">
        <v>3006</v>
      </c>
      <c r="F46" t="s">
        <v>3045</v>
      </c>
      <c r="G46" t="s">
        <v>3099</v>
      </c>
      <c r="H46" s="375">
        <f t="shared" si="0"/>
        <v>40</v>
      </c>
      <c r="I46" s="380">
        <f>IF(A46="ASG", H46, IF(COUNTIF($A$2:A46,A46)=1, SUMIFS(Tb_HhPLAN[Ajustado], Tb_HhPLAN[COD-SS], Tb_HhPLAN[[#This Row],[COD-SS]]),""))</f>
        <v>40</v>
      </c>
      <c r="J46" s="380">
        <f>IFERROR(IF(Tb_HhPLAN[[#This Row],[DISCIPLINA]]="ASG","",((Tb_HhPLAN[[#This Row],[CÁLCULO]]/(SUMIFS(Tb_HhPLAN[Ajustado],Tb_HhPLAN[SS],Tb_HhPLAN[[#This Row],[SS]])-_xlfn.XLOOKUP(Tb_HhPLAN[[#This Row],[COD-AUX]],Tb_HhPLAN[COD-SS],Tb_HhPLAN[Ajustado],"",0,1)))*_xlfn.XLOOKUP(Tb_HhPLAN[[#This Row],[COD-AUX]],Tb_HhPLAN[COD-SS],Tb_HhPLAN[Ajustado],"",0,1))+IF(A46="ASG",H46,IF(COUNTIF($A$2:A46,A46)=1,SUMIFS(Tb_HhPLAN[Ajustado],Tb_HhPLAN[COD-SS],Tb_HhPLAN[[#This Row],[COD-SS]]),""))),"")</f>
        <v>70.14492753623189</v>
      </c>
    </row>
    <row r="47" spans="1:10" x14ac:dyDescent="0.3">
      <c r="A47" t="str">
        <f>Tb_HhPLAN[[#This Row],[SS]]&amp;Tb_HhPLAN[[#This Row],[DISCIPLINA]]</f>
        <v>SS-11/2025MEC</v>
      </c>
      <c r="B47" t="str">
        <f>Tb_HhPLAN[[#This Row],[SS]]&amp;"ASG"</f>
        <v>SS-11/2025ASG</v>
      </c>
      <c r="C47" t="str">
        <f>LEFT(Tb_HhPLAN[[#This Row],[SS]],5)</f>
        <v>SS-11</v>
      </c>
      <c r="D47" t="str">
        <f t="shared" si="3"/>
        <v>SS-11/2025</v>
      </c>
      <c r="E47" t="s">
        <v>3008</v>
      </c>
      <c r="F47" t="s">
        <v>3020</v>
      </c>
      <c r="G47" t="s">
        <v>3097</v>
      </c>
      <c r="H47" s="375">
        <f t="shared" si="0"/>
        <v>256</v>
      </c>
      <c r="I47" s="380" t="str">
        <f>IF(A47="ASG", H47, IF(COUNTIF($A$2:A47,A47)=1, SUMIFS(Tb_HhPLAN[Ajustado], Tb_HhPLAN[COD-SS], Tb_HhPLAN[[#This Row],[COD-SS]]),""))</f>
        <v/>
      </c>
      <c r="J47" s="380" t="str">
        <f>IFERROR(IF(Tb_HhPLAN[[#This Row],[DISCIPLINA]]="ASG","",((Tb_HhPLAN[[#This Row],[CÁLCULO]]/(SUMIFS(Tb_HhPLAN[Ajustado],Tb_HhPLAN[SS],Tb_HhPLAN[[#This Row],[SS]])-_xlfn.XLOOKUP(Tb_HhPLAN[[#This Row],[COD-AUX]],Tb_HhPLAN[COD-SS],Tb_HhPLAN[Ajustado],"",0,1)))*_xlfn.XLOOKUP(Tb_HhPLAN[[#This Row],[COD-AUX]],Tb_HhPLAN[COD-SS],Tb_HhPLAN[Ajustado],"",0,1))+IF(A47="ASG",H47,IF(COUNTIF($A$2:A47,A47)=1,SUMIFS(Tb_HhPLAN[Ajustado],Tb_HhPLAN[COD-SS],Tb_HhPLAN[[#This Row],[COD-SS]]),""))),"")</f>
        <v/>
      </c>
    </row>
    <row r="48" spans="1:10" x14ac:dyDescent="0.3">
      <c r="A48" t="str">
        <f>Tb_HhPLAN[[#This Row],[SS]]&amp;Tb_HhPLAN[[#This Row],[DISCIPLINA]]</f>
        <v>SS-12/2025ASG</v>
      </c>
      <c r="B48" t="str">
        <f>Tb_HhPLAN[[#This Row],[SS]]&amp;"ASG"</f>
        <v>SS-12/2025ASG</v>
      </c>
      <c r="C48" t="str">
        <f>LEFT(Tb_HhPLAN[[#This Row],[SS]],5)</f>
        <v>SS-12</v>
      </c>
      <c r="D48" t="s">
        <v>56</v>
      </c>
      <c r="E48" t="s">
        <v>3000</v>
      </c>
      <c r="F48" t="s">
        <v>3046</v>
      </c>
      <c r="G48" t="s">
        <v>3102</v>
      </c>
      <c r="H48" s="375">
        <f t="shared" si="0"/>
        <v>982</v>
      </c>
      <c r="I48" s="380">
        <f>IF(A48="ASG", H48, IF(COUNTIF($A$2:A48,A48)=1, SUMIFS(Tb_HhPLAN[Ajustado], Tb_HhPLAN[COD-SS], Tb_HhPLAN[[#This Row],[COD-SS]]),""))</f>
        <v>982</v>
      </c>
      <c r="J48" s="380" t="str">
        <f>IFERROR(IF(Tb_HhPLAN[[#This Row],[DISCIPLINA]]="ASG","",((Tb_HhPLAN[[#This Row],[CÁLCULO]]/(SUMIFS(Tb_HhPLAN[Ajustado],Tb_HhPLAN[SS],Tb_HhPLAN[[#This Row],[SS]])-_xlfn.XLOOKUP(Tb_HhPLAN[[#This Row],[COD-AUX]],Tb_HhPLAN[COD-SS],Tb_HhPLAN[Ajustado],"",0,1)))*_xlfn.XLOOKUP(Tb_HhPLAN[[#This Row],[COD-AUX]],Tb_HhPLAN[COD-SS],Tb_HhPLAN[Ajustado],"",0,1))+IF(A48="ASG",H48,IF(COUNTIF($A$2:A48,A48)=1,SUMIFS(Tb_HhPLAN[Ajustado],Tb_HhPLAN[COD-SS],Tb_HhPLAN[[#This Row],[COD-SS]]),""))),"")</f>
        <v/>
      </c>
    </row>
    <row r="49" spans="1:10" x14ac:dyDescent="0.3">
      <c r="A49" t="str">
        <f>Tb_HhPLAN[[#This Row],[SS]]&amp;Tb_HhPLAN[[#This Row],[DISCIPLINA]]</f>
        <v>SS-12/2025MEC</v>
      </c>
      <c r="B49" t="str">
        <f>Tb_HhPLAN[[#This Row],[SS]]&amp;"ASG"</f>
        <v>SS-12/2025ASG</v>
      </c>
      <c r="C49" t="str">
        <f>LEFT(Tb_HhPLAN[[#This Row],[SS]],5)</f>
        <v>SS-12</v>
      </c>
      <c r="D49" t="str">
        <f t="shared" si="3"/>
        <v>SS-12/2025</v>
      </c>
      <c r="E49" t="s">
        <v>3002</v>
      </c>
      <c r="F49" t="s">
        <v>3047</v>
      </c>
      <c r="G49" t="s">
        <v>3097</v>
      </c>
      <c r="H49" s="375">
        <f t="shared" si="0"/>
        <v>198</v>
      </c>
      <c r="I49" s="380">
        <f>IF(A49="ASG", H49, IF(COUNTIF($A$2:A49,A49)=1, SUMIFS(Tb_HhPLAN[Ajustado], Tb_HhPLAN[COD-SS], Tb_HhPLAN[[#This Row],[COD-SS]]),""))</f>
        <v>388</v>
      </c>
      <c r="J49" s="380">
        <f>IFERROR(IF(Tb_HhPLAN[[#This Row],[DISCIPLINA]]="ASG","",((Tb_HhPLAN[[#This Row],[CÁLCULO]]/(SUMIFS(Tb_HhPLAN[Ajustado],Tb_HhPLAN[SS],Tb_HhPLAN[[#This Row],[SS]])-_xlfn.XLOOKUP(Tb_HhPLAN[[#This Row],[COD-AUX]],Tb_HhPLAN[COD-SS],Tb_HhPLAN[Ajustado],"",0,1)))*_xlfn.XLOOKUP(Tb_HhPLAN[[#This Row],[COD-AUX]],Tb_HhPLAN[COD-SS],Tb_HhPLAN[Ajustado],"",0,1))+IF(A49="ASG",H49,IF(COUNTIF($A$2:A49,A49)=1,SUMIFS(Tb_HhPLAN[Ajustado],Tb_HhPLAN[COD-SS],Tb_HhPLAN[[#This Row],[COD-SS]]),""))),"")</f>
        <v>765.99206349206349</v>
      </c>
    </row>
    <row r="50" spans="1:10" x14ac:dyDescent="0.3">
      <c r="A50" t="str">
        <f>Tb_HhPLAN[[#This Row],[SS]]&amp;Tb_HhPLAN[[#This Row],[DISCIPLINA]]</f>
        <v>SS-12/2025ELÉT</v>
      </c>
      <c r="B50" t="str">
        <f>Tb_HhPLAN[[#This Row],[SS]]&amp;"ASG"</f>
        <v>SS-12/2025ASG</v>
      </c>
      <c r="C50" t="str">
        <f>LEFT(Tb_HhPLAN[[#This Row],[SS]],5)</f>
        <v>SS-12</v>
      </c>
      <c r="D50" t="str">
        <f t="shared" si="3"/>
        <v>SS-12/2025</v>
      </c>
      <c r="E50" t="s">
        <v>3006</v>
      </c>
      <c r="F50" t="s">
        <v>3048</v>
      </c>
      <c r="G50" t="s">
        <v>3099</v>
      </c>
      <c r="H50" s="375">
        <f t="shared" si="0"/>
        <v>264</v>
      </c>
      <c r="I50" s="380">
        <f>IF(A50="ASG", H50, IF(COUNTIF($A$2:A50,A50)=1, SUMIFS(Tb_HhPLAN[Ajustado], Tb_HhPLAN[COD-SS], Tb_HhPLAN[[#This Row],[COD-SS]]),""))</f>
        <v>264</v>
      </c>
      <c r="J50" s="380">
        <f>IFERROR(IF(Tb_HhPLAN[[#This Row],[DISCIPLINA]]="ASG","",((Tb_HhPLAN[[#This Row],[CÁLCULO]]/(SUMIFS(Tb_HhPLAN[Ajustado],Tb_HhPLAN[SS],Tb_HhPLAN[[#This Row],[SS]])-_xlfn.XLOOKUP(Tb_HhPLAN[[#This Row],[COD-AUX]],Tb_HhPLAN[COD-SS],Tb_HhPLAN[Ajustado],"",0,1)))*_xlfn.XLOOKUP(Tb_HhPLAN[[#This Row],[COD-AUX]],Tb_HhPLAN[COD-SS],Tb_HhPLAN[Ajustado],"",0,1))+IF(A50="ASG",H50,IF(COUNTIF($A$2:A50,A50)=1,SUMIFS(Tb_HhPLAN[Ajustado],Tb_HhPLAN[COD-SS],Tb_HhPLAN[[#This Row],[COD-SS]]),""))),"")</f>
        <v>521.19047619047615</v>
      </c>
    </row>
    <row r="51" spans="1:10" x14ac:dyDescent="0.3">
      <c r="A51" t="str">
        <f>Tb_HhPLAN[[#This Row],[SS]]&amp;Tb_HhPLAN[[#This Row],[DISCIPLINA]]</f>
        <v>SS-12/2025MEC</v>
      </c>
      <c r="B51" t="str">
        <f>Tb_HhPLAN[[#This Row],[SS]]&amp;"ASG"</f>
        <v>SS-12/2025ASG</v>
      </c>
      <c r="C51" t="str">
        <f>LEFT(Tb_HhPLAN[[#This Row],[SS]],5)</f>
        <v>SS-12</v>
      </c>
      <c r="D51" t="str">
        <f t="shared" si="3"/>
        <v>SS-12/2025</v>
      </c>
      <c r="E51" t="s">
        <v>3008</v>
      </c>
      <c r="F51" t="s">
        <v>3049</v>
      </c>
      <c r="G51" t="s">
        <v>3097</v>
      </c>
      <c r="H51" s="375">
        <f t="shared" si="0"/>
        <v>190</v>
      </c>
      <c r="I51" s="380" t="str">
        <f>IF(A51="ASG", H51, IF(COUNTIF($A$2:A51,A51)=1, SUMIFS(Tb_HhPLAN[Ajustado], Tb_HhPLAN[COD-SS], Tb_HhPLAN[[#This Row],[COD-SS]]),""))</f>
        <v/>
      </c>
      <c r="J51" s="380" t="str">
        <f>IFERROR(IF(Tb_HhPLAN[[#This Row],[DISCIPLINA]]="ASG","",((Tb_HhPLAN[[#This Row],[CÁLCULO]]/(SUMIFS(Tb_HhPLAN[Ajustado],Tb_HhPLAN[SS],Tb_HhPLAN[[#This Row],[SS]])-_xlfn.XLOOKUP(Tb_HhPLAN[[#This Row],[COD-AUX]],Tb_HhPLAN[COD-SS],Tb_HhPLAN[Ajustado],"",0,1)))*_xlfn.XLOOKUP(Tb_HhPLAN[[#This Row],[COD-AUX]],Tb_HhPLAN[COD-SS],Tb_HhPLAN[Ajustado],"",0,1))+IF(A51="ASG",H51,IF(COUNTIF($A$2:A51,A51)=1,SUMIFS(Tb_HhPLAN[Ajustado],Tb_HhPLAN[COD-SS],Tb_HhPLAN[[#This Row],[COD-SS]]),""))),"")</f>
        <v/>
      </c>
    </row>
    <row r="52" spans="1:10" x14ac:dyDescent="0.3">
      <c r="A52" t="str">
        <f>Tb_HhPLAN[[#This Row],[SS]]&amp;Tb_HhPLAN[[#This Row],[DISCIPLINA]]</f>
        <v>SS-12/2025CIVIL</v>
      </c>
      <c r="B52" t="str">
        <f>Tb_HhPLAN[[#This Row],[SS]]&amp;"ASG"</f>
        <v>SS-12/2025ASG</v>
      </c>
      <c r="C52" t="str">
        <f>LEFT(Tb_HhPLAN[[#This Row],[SS]],5)</f>
        <v>SS-12</v>
      </c>
      <c r="D52" t="str">
        <f t="shared" si="3"/>
        <v>SS-12/2025</v>
      </c>
      <c r="E52" t="s">
        <v>3010</v>
      </c>
      <c r="F52" t="s">
        <v>3050</v>
      </c>
      <c r="G52" t="s">
        <v>3098</v>
      </c>
      <c r="H52" s="375">
        <f t="shared" si="0"/>
        <v>356</v>
      </c>
      <c r="I52" s="380">
        <f>IF(A52="ASG", H52, IF(COUNTIF($A$2:A52,A52)=1, SUMIFS(Tb_HhPLAN[Ajustado], Tb_HhPLAN[COD-SS], Tb_HhPLAN[[#This Row],[COD-SS]]),""))</f>
        <v>356</v>
      </c>
      <c r="J52" s="380">
        <f>IFERROR(IF(Tb_HhPLAN[[#This Row],[DISCIPLINA]]="ASG","",((Tb_HhPLAN[[#This Row],[CÁLCULO]]/(SUMIFS(Tb_HhPLAN[Ajustado],Tb_HhPLAN[SS],Tb_HhPLAN[[#This Row],[SS]])-_xlfn.XLOOKUP(Tb_HhPLAN[[#This Row],[COD-AUX]],Tb_HhPLAN[COD-SS],Tb_HhPLAN[Ajustado],"",0,1)))*_xlfn.XLOOKUP(Tb_HhPLAN[[#This Row],[COD-AUX]],Tb_HhPLAN[COD-SS],Tb_HhPLAN[Ajustado],"",0,1))+IF(A52="ASG",H52,IF(COUNTIF($A$2:A52,A52)=1,SUMIFS(Tb_HhPLAN[Ajustado],Tb_HhPLAN[COD-SS],Tb_HhPLAN[[#This Row],[COD-SS]]),""))),"")</f>
        <v>702.81746031746036</v>
      </c>
    </row>
    <row r="53" spans="1:10" x14ac:dyDescent="0.3">
      <c r="A53" t="str">
        <f>Tb_HhPLAN[[#This Row],[SS]]&amp;Tb_HhPLAN[[#This Row],[DISCIPLINA]]</f>
        <v>SS-13/2025</v>
      </c>
      <c r="B53" t="str">
        <f>Tb_HhPLAN[[#This Row],[SS]]&amp;"ASG"</f>
        <v>SS-13/2025ASG</v>
      </c>
      <c r="C53" t="str">
        <f>LEFT(Tb_HhPLAN[[#This Row],[SS]],5)</f>
        <v>SS-13</v>
      </c>
      <c r="D53" s="381" t="s">
        <v>138</v>
      </c>
      <c r="E53" s="381"/>
      <c r="F53" s="381"/>
      <c r="G53" s="381"/>
      <c r="H53" s="382"/>
      <c r="I53" s="380">
        <f>IF(A53="ASG", H53, IF(COUNTIF($A$2:A53,A53)=1, SUMIFS(Tb_HhPLAN[Ajustado], Tb_HhPLAN[COD-SS], Tb_HhPLAN[[#This Row],[COD-SS]]),""))</f>
        <v>0</v>
      </c>
      <c r="J53" s="380" t="str">
        <f>IFERROR(IF(Tb_HhPLAN[[#This Row],[DISCIPLINA]]="ASG","",((Tb_HhPLAN[[#This Row],[CÁLCULO]]/(SUMIFS(Tb_HhPLAN[Ajustado],Tb_HhPLAN[SS],Tb_HhPLAN[[#This Row],[SS]])-_xlfn.XLOOKUP(Tb_HhPLAN[[#This Row],[COD-AUX]],Tb_HhPLAN[COD-SS],Tb_HhPLAN[Ajustado],"",0,1)))*_xlfn.XLOOKUP(Tb_HhPLAN[[#This Row],[COD-AUX]],Tb_HhPLAN[COD-SS],Tb_HhPLAN[Ajustado],"",0,1))+IF(A53="ASG",H53,IF(COUNTIF($A$2:A53,A53)=1,SUMIFS(Tb_HhPLAN[Ajustado],Tb_HhPLAN[COD-SS],Tb_HhPLAN[[#This Row],[COD-SS]]),""))),"")</f>
        <v/>
      </c>
    </row>
    <row r="54" spans="1:10" x14ac:dyDescent="0.3">
      <c r="A54" t="str">
        <f>Tb_HhPLAN[[#This Row],[SS]]&amp;Tb_HhPLAN[[#This Row],[DISCIPLINA]]</f>
        <v>SS-14/2025ASG</v>
      </c>
      <c r="B54" t="str">
        <f>Tb_HhPLAN[[#This Row],[SS]]&amp;"ASG"</f>
        <v>SS-14/2025ASG</v>
      </c>
      <c r="C54" t="str">
        <f>LEFT(Tb_HhPLAN[[#This Row],[SS]],5)</f>
        <v>SS-14</v>
      </c>
      <c r="D54" t="s">
        <v>57</v>
      </c>
      <c r="E54" t="s">
        <v>3000</v>
      </c>
      <c r="F54" t="s">
        <v>3051</v>
      </c>
      <c r="G54" t="s">
        <v>3102</v>
      </c>
      <c r="H54" s="375">
        <f t="shared" si="0"/>
        <v>4880</v>
      </c>
      <c r="I54" s="380">
        <f>IF(A54="ASG", H54, IF(COUNTIF($A$2:A54,A54)=1, SUMIFS(Tb_HhPLAN[Ajustado], Tb_HhPLAN[COD-SS], Tb_HhPLAN[[#This Row],[COD-SS]]),""))</f>
        <v>4880</v>
      </c>
      <c r="J54" s="380" t="str">
        <f>IFERROR(IF(Tb_HhPLAN[[#This Row],[DISCIPLINA]]="ASG","",((Tb_HhPLAN[[#This Row],[CÁLCULO]]/(SUMIFS(Tb_HhPLAN[Ajustado],Tb_HhPLAN[SS],Tb_HhPLAN[[#This Row],[SS]])-_xlfn.XLOOKUP(Tb_HhPLAN[[#This Row],[COD-AUX]],Tb_HhPLAN[COD-SS],Tb_HhPLAN[Ajustado],"",0,1)))*_xlfn.XLOOKUP(Tb_HhPLAN[[#This Row],[COD-AUX]],Tb_HhPLAN[COD-SS],Tb_HhPLAN[Ajustado],"",0,1))+IF(A54="ASG",H54,IF(COUNTIF($A$2:A54,A54)=1,SUMIFS(Tb_HhPLAN[Ajustado],Tb_HhPLAN[COD-SS],Tb_HhPLAN[[#This Row],[COD-SS]]),""))),"")</f>
        <v/>
      </c>
    </row>
    <row r="55" spans="1:10" x14ac:dyDescent="0.3">
      <c r="A55" t="str">
        <f>Tb_HhPLAN[[#This Row],[SS]]&amp;Tb_HhPLAN[[#This Row],[DISCIPLINA]]</f>
        <v>SS-14/2025CIVIL</v>
      </c>
      <c r="B55" t="str">
        <f>Tb_HhPLAN[[#This Row],[SS]]&amp;"ASG"</f>
        <v>SS-14/2025ASG</v>
      </c>
      <c r="C55" t="str">
        <f>LEFT(Tb_HhPLAN[[#This Row],[SS]],5)</f>
        <v>SS-14</v>
      </c>
      <c r="D55" t="str">
        <f t="shared" ref="D55:D56" si="5">D54</f>
        <v>SS-14/2025</v>
      </c>
      <c r="E55" t="s">
        <v>3010</v>
      </c>
      <c r="F55" t="s">
        <v>3052</v>
      </c>
      <c r="G55" t="s">
        <v>3098</v>
      </c>
      <c r="H55" s="375">
        <f t="shared" si="0"/>
        <v>4639.2</v>
      </c>
      <c r="I55" s="380">
        <f>IF(A55="ASG", H55, IF(COUNTIF($A$2:A55,A55)=1, SUMIFS(Tb_HhPLAN[Ajustado], Tb_HhPLAN[COD-SS], Tb_HhPLAN[[#This Row],[COD-SS]]),""))</f>
        <v>4639.2</v>
      </c>
      <c r="J55" s="380">
        <f>IFERROR(IF(Tb_HhPLAN[[#This Row],[DISCIPLINA]]="ASG","",((Tb_HhPLAN[[#This Row],[CÁLCULO]]/(SUMIFS(Tb_HhPLAN[Ajustado],Tb_HhPLAN[SS],Tb_HhPLAN[[#This Row],[SS]])-_xlfn.XLOOKUP(Tb_HhPLAN[[#This Row],[COD-AUX]],Tb_HhPLAN[COD-SS],Tb_HhPLAN[Ajustado],"",0,1)))*_xlfn.XLOOKUP(Tb_HhPLAN[[#This Row],[COD-AUX]],Tb_HhPLAN[COD-SS],Tb_HhPLAN[Ajustado],"",0,1))+IF(A55="ASG",H55,IF(COUNTIF($A$2:A55,A55)=1,SUMIFS(Tb_HhPLAN[Ajustado],Tb_HhPLAN[COD-SS],Tb_HhPLAN[[#This Row],[COD-SS]]),""))),"")</f>
        <v>9462.8451186772909</v>
      </c>
    </row>
    <row r="56" spans="1:10" x14ac:dyDescent="0.3">
      <c r="A56" t="str">
        <f>Tb_HhPLAN[[#This Row],[SS]]&amp;Tb_HhPLAN[[#This Row],[DISCIPLINA]]</f>
        <v>SS-14/2025ELÉT</v>
      </c>
      <c r="B56" t="str">
        <f>Tb_HhPLAN[[#This Row],[SS]]&amp;"ASG"</f>
        <v>SS-14/2025ASG</v>
      </c>
      <c r="C56" t="str">
        <f>LEFT(Tb_HhPLAN[[#This Row],[SS]],5)</f>
        <v>SS-14</v>
      </c>
      <c r="D56" t="str">
        <f t="shared" si="5"/>
        <v>SS-14/2025</v>
      </c>
      <c r="E56" t="s">
        <v>3006</v>
      </c>
      <c r="F56" t="s">
        <v>3053</v>
      </c>
      <c r="G56" t="s">
        <v>3099</v>
      </c>
      <c r="H56" s="375">
        <f t="shared" si="0"/>
        <v>54.2</v>
      </c>
      <c r="I56" s="380">
        <f>IF(A56="ASG", H56, IF(COUNTIF($A$2:A56,A56)=1, SUMIFS(Tb_HhPLAN[Ajustado], Tb_HhPLAN[COD-SS], Tb_HhPLAN[[#This Row],[COD-SS]]),""))</f>
        <v>54.2</v>
      </c>
      <c r="J56" s="380">
        <f>IFERROR(IF(Tb_HhPLAN[[#This Row],[DISCIPLINA]]="ASG","",((Tb_HhPLAN[[#This Row],[CÁLCULO]]/(SUMIFS(Tb_HhPLAN[Ajustado],Tb_HhPLAN[SS],Tb_HhPLAN[[#This Row],[SS]])-_xlfn.XLOOKUP(Tb_HhPLAN[[#This Row],[COD-AUX]],Tb_HhPLAN[COD-SS],Tb_HhPLAN[Ajustado],"",0,1)))*_xlfn.XLOOKUP(Tb_HhPLAN[[#This Row],[COD-AUX]],Tb_HhPLAN[COD-SS],Tb_HhPLAN[Ajustado],"",0,1))+IF(A56="ASG",H56,IF(COUNTIF($A$2:A56,A56)=1,SUMIFS(Tb_HhPLAN[Ajustado],Tb_HhPLAN[COD-SS],Tb_HhPLAN[[#This Row],[COD-SS]]),""))),"")</f>
        <v>110.55488132270847</v>
      </c>
    </row>
    <row r="57" spans="1:10" x14ac:dyDescent="0.3">
      <c r="A57" t="str">
        <f>Tb_HhPLAN[[#This Row],[SS]]&amp;Tb_HhPLAN[[#This Row],[DISCIPLINA]]</f>
        <v>SS-15/2025ASG</v>
      </c>
      <c r="B57" t="str">
        <f>Tb_HhPLAN[[#This Row],[SS]]&amp;"ASG"</f>
        <v>SS-15/2025ASG</v>
      </c>
      <c r="C57" t="str">
        <f>LEFT(Tb_HhPLAN[[#This Row],[SS]],5)</f>
        <v>SS-15</v>
      </c>
      <c r="D57" t="s">
        <v>58</v>
      </c>
      <c r="E57" t="s">
        <v>3000</v>
      </c>
      <c r="F57" t="s">
        <v>3054</v>
      </c>
      <c r="G57" t="s">
        <v>3102</v>
      </c>
      <c r="H57" s="375">
        <f t="shared" si="0"/>
        <v>548</v>
      </c>
      <c r="I57" s="380">
        <f>IF(A57="ASG", H57, IF(COUNTIF($A$2:A57,A57)=1, SUMIFS(Tb_HhPLAN[Ajustado], Tb_HhPLAN[COD-SS], Tb_HhPLAN[[#This Row],[COD-SS]]),""))</f>
        <v>548</v>
      </c>
      <c r="J57" s="380" t="str">
        <f>IFERROR(IF(Tb_HhPLAN[[#This Row],[DISCIPLINA]]="ASG","",((Tb_HhPLAN[[#This Row],[CÁLCULO]]/(SUMIFS(Tb_HhPLAN[Ajustado],Tb_HhPLAN[SS],Tb_HhPLAN[[#This Row],[SS]])-_xlfn.XLOOKUP(Tb_HhPLAN[[#This Row],[COD-AUX]],Tb_HhPLAN[COD-SS],Tb_HhPLAN[Ajustado],"",0,1)))*_xlfn.XLOOKUP(Tb_HhPLAN[[#This Row],[COD-AUX]],Tb_HhPLAN[COD-SS],Tb_HhPLAN[Ajustado],"",0,1))+IF(A57="ASG",H57,IF(COUNTIF($A$2:A57,A57)=1,SUMIFS(Tb_HhPLAN[Ajustado],Tb_HhPLAN[COD-SS],Tb_HhPLAN[[#This Row],[COD-SS]]),""))),"")</f>
        <v/>
      </c>
    </row>
    <row r="58" spans="1:10" x14ac:dyDescent="0.3">
      <c r="A58" t="str">
        <f>Tb_HhPLAN[[#This Row],[SS]]&amp;Tb_HhPLAN[[#This Row],[DISCIPLINA]]</f>
        <v>SS-15/2025ELÉT</v>
      </c>
      <c r="B58" t="str">
        <f>Tb_HhPLAN[[#This Row],[SS]]&amp;"ASG"</f>
        <v>SS-15/2025ASG</v>
      </c>
      <c r="C58" t="str">
        <f>LEFT(Tb_HhPLAN[[#This Row],[SS]],5)</f>
        <v>SS-15</v>
      </c>
      <c r="D58" t="str">
        <f t="shared" ref="D58:D59" si="6">D57</f>
        <v>SS-15/2025</v>
      </c>
      <c r="E58" t="s">
        <v>3006</v>
      </c>
      <c r="F58" t="s">
        <v>3043</v>
      </c>
      <c r="G58" t="s">
        <v>3099</v>
      </c>
      <c r="H58" s="375">
        <f t="shared" si="0"/>
        <v>32</v>
      </c>
      <c r="I58" s="380">
        <f>IF(A58="ASG", H58, IF(COUNTIF($A$2:A58,A58)=1, SUMIFS(Tb_HhPLAN[Ajustado], Tb_HhPLAN[COD-SS], Tb_HhPLAN[[#This Row],[COD-SS]]),""))</f>
        <v>32</v>
      </c>
      <c r="J58" s="380">
        <f>IFERROR(IF(Tb_HhPLAN[[#This Row],[DISCIPLINA]]="ASG","",((Tb_HhPLAN[[#This Row],[CÁLCULO]]/(SUMIFS(Tb_HhPLAN[Ajustado],Tb_HhPLAN[SS],Tb_HhPLAN[[#This Row],[SS]])-_xlfn.XLOOKUP(Tb_HhPLAN[[#This Row],[COD-AUX]],Tb_HhPLAN[COD-SS],Tb_HhPLAN[Ajustado],"",0,1)))*_xlfn.XLOOKUP(Tb_HhPLAN[[#This Row],[COD-AUX]],Tb_HhPLAN[COD-SS],Tb_HhPLAN[Ajustado],"",0,1))+IF(A58="ASG",H58,IF(COUNTIF($A$2:A58,A58)=1,SUMIFS(Tb_HhPLAN[Ajustado],Tb_HhPLAN[COD-SS],Tb_HhPLAN[[#This Row],[COD-SS]]),""))),"")</f>
        <v>66.793650793650784</v>
      </c>
    </row>
    <row r="59" spans="1:10" x14ac:dyDescent="0.3">
      <c r="A59" t="str">
        <f>Tb_HhPLAN[[#This Row],[SS]]&amp;Tb_HhPLAN[[#This Row],[DISCIPLINA]]</f>
        <v>SS-15/2025MEC</v>
      </c>
      <c r="B59" t="str">
        <f>Tb_HhPLAN[[#This Row],[SS]]&amp;"ASG"</f>
        <v>SS-15/2025ASG</v>
      </c>
      <c r="C59" t="str">
        <f>LEFT(Tb_HhPLAN[[#This Row],[SS]],5)</f>
        <v>SS-15</v>
      </c>
      <c r="D59" t="str">
        <f t="shared" si="6"/>
        <v>SS-15/2025</v>
      </c>
      <c r="E59" t="s">
        <v>3008</v>
      </c>
      <c r="F59" t="s">
        <v>3055</v>
      </c>
      <c r="G59" t="s">
        <v>3097</v>
      </c>
      <c r="H59" s="375">
        <f t="shared" si="0"/>
        <v>472</v>
      </c>
      <c r="I59" s="380">
        <f>IF(A59="ASG", H59, IF(COUNTIF($A$2:A59,A59)=1, SUMIFS(Tb_HhPLAN[Ajustado], Tb_HhPLAN[COD-SS], Tb_HhPLAN[[#This Row],[COD-SS]]),""))</f>
        <v>472</v>
      </c>
      <c r="J59" s="380">
        <f>IFERROR(IF(Tb_HhPLAN[[#This Row],[DISCIPLINA]]="ASG","",((Tb_HhPLAN[[#This Row],[CÁLCULO]]/(SUMIFS(Tb_HhPLAN[Ajustado],Tb_HhPLAN[SS],Tb_HhPLAN[[#This Row],[SS]])-_xlfn.XLOOKUP(Tb_HhPLAN[[#This Row],[COD-AUX]],Tb_HhPLAN[COD-SS],Tb_HhPLAN[Ajustado],"",0,1)))*_xlfn.XLOOKUP(Tb_HhPLAN[[#This Row],[COD-AUX]],Tb_HhPLAN[COD-SS],Tb_HhPLAN[Ajustado],"",0,1))+IF(A59="ASG",H59,IF(COUNTIF($A$2:A59,A59)=1,SUMIFS(Tb_HhPLAN[Ajustado],Tb_HhPLAN[COD-SS],Tb_HhPLAN[[#This Row],[COD-SS]]),""))),"")</f>
        <v>985.20634920634916</v>
      </c>
    </row>
    <row r="60" spans="1:10" x14ac:dyDescent="0.3">
      <c r="A60" t="str">
        <f>Tb_HhPLAN[[#This Row],[SS]]&amp;Tb_HhPLAN[[#This Row],[DISCIPLINA]]</f>
        <v>SS-16/2025ASG</v>
      </c>
      <c r="B60" t="str">
        <f>Tb_HhPLAN[[#This Row],[SS]]&amp;"ASG"</f>
        <v>SS-16/2025ASG</v>
      </c>
      <c r="C60" t="str">
        <f>LEFT(Tb_HhPLAN[[#This Row],[SS]],5)</f>
        <v>SS-16</v>
      </c>
      <c r="D60" t="s">
        <v>59</v>
      </c>
      <c r="E60" t="s">
        <v>3000</v>
      </c>
      <c r="F60" t="s">
        <v>3056</v>
      </c>
      <c r="G60" t="s">
        <v>3102</v>
      </c>
      <c r="H60" s="375">
        <f t="shared" si="0"/>
        <v>300</v>
      </c>
      <c r="I60" s="380">
        <f>IF(A60="ASG", H60, IF(COUNTIF($A$2:A60,A60)=1, SUMIFS(Tb_HhPLAN[Ajustado], Tb_HhPLAN[COD-SS], Tb_HhPLAN[[#This Row],[COD-SS]]),""))</f>
        <v>300</v>
      </c>
      <c r="J60" s="380" t="str">
        <f>IFERROR(IF(Tb_HhPLAN[[#This Row],[DISCIPLINA]]="ASG","",((Tb_HhPLAN[[#This Row],[CÁLCULO]]/(SUMIFS(Tb_HhPLAN[Ajustado],Tb_HhPLAN[SS],Tb_HhPLAN[[#This Row],[SS]])-_xlfn.XLOOKUP(Tb_HhPLAN[[#This Row],[COD-AUX]],Tb_HhPLAN[COD-SS],Tb_HhPLAN[Ajustado],"",0,1)))*_xlfn.XLOOKUP(Tb_HhPLAN[[#This Row],[COD-AUX]],Tb_HhPLAN[COD-SS],Tb_HhPLAN[Ajustado],"",0,1))+IF(A60="ASG",H60,IF(COUNTIF($A$2:A60,A60)=1,SUMIFS(Tb_HhPLAN[Ajustado],Tb_HhPLAN[COD-SS],Tb_HhPLAN[[#This Row],[COD-SS]]),""))),"")</f>
        <v/>
      </c>
    </row>
    <row r="61" spans="1:10" x14ac:dyDescent="0.3">
      <c r="A61" t="str">
        <f>Tb_HhPLAN[[#This Row],[SS]]&amp;Tb_HhPLAN[[#This Row],[DISCIPLINA]]</f>
        <v>SS-16/2025MEC</v>
      </c>
      <c r="B61" t="str">
        <f>Tb_HhPLAN[[#This Row],[SS]]&amp;"ASG"</f>
        <v>SS-16/2025ASG</v>
      </c>
      <c r="C61" t="str">
        <f>LEFT(Tb_HhPLAN[[#This Row],[SS]],5)</f>
        <v>SS-16</v>
      </c>
      <c r="D61" t="str">
        <f t="shared" ref="D61:D62" si="7">D60</f>
        <v>SS-16/2025</v>
      </c>
      <c r="E61" t="s">
        <v>3002</v>
      </c>
      <c r="F61" t="s">
        <v>3057</v>
      </c>
      <c r="G61" t="s">
        <v>3097</v>
      </c>
      <c r="H61" s="375">
        <f t="shared" si="0"/>
        <v>72</v>
      </c>
      <c r="I61" s="380">
        <f>IF(A61="ASG", H61, IF(COUNTIF($A$2:A61,A61)=1, SUMIFS(Tb_HhPLAN[Ajustado], Tb_HhPLAN[COD-SS], Tb_HhPLAN[[#This Row],[COD-SS]]),""))</f>
        <v>176</v>
      </c>
      <c r="J61" s="380">
        <f>IFERROR(IF(Tb_HhPLAN[[#This Row],[DISCIPLINA]]="ASG","",((Tb_HhPLAN[[#This Row],[CÁLCULO]]/(SUMIFS(Tb_HhPLAN[Ajustado],Tb_HhPLAN[SS],Tb_HhPLAN[[#This Row],[SS]])-_xlfn.XLOOKUP(Tb_HhPLAN[[#This Row],[COD-AUX]],Tb_HhPLAN[COD-SS],Tb_HhPLAN[Ajustado],"",0,1)))*_xlfn.XLOOKUP(Tb_HhPLAN[[#This Row],[COD-AUX]],Tb_HhPLAN[COD-SS],Tb_HhPLAN[Ajustado],"",0,1))+IF(A61="ASG",H61,IF(COUNTIF($A$2:A61,A61)=1,SUMIFS(Tb_HhPLAN[Ajustado],Tb_HhPLAN[COD-SS],Tb_HhPLAN[[#This Row],[COD-SS]]),""))),"")</f>
        <v>476</v>
      </c>
    </row>
    <row r="62" spans="1:10" x14ac:dyDescent="0.3">
      <c r="A62" t="str">
        <f>Tb_HhPLAN[[#This Row],[SS]]&amp;Tb_HhPLAN[[#This Row],[DISCIPLINA]]</f>
        <v>SS-16/2025MEC</v>
      </c>
      <c r="B62" t="str">
        <f>Tb_HhPLAN[[#This Row],[SS]]&amp;"ASG"</f>
        <v>SS-16/2025ASG</v>
      </c>
      <c r="C62" t="str">
        <f>LEFT(Tb_HhPLAN[[#This Row],[SS]],5)</f>
        <v>SS-16</v>
      </c>
      <c r="D62" t="str">
        <f t="shared" si="7"/>
        <v>SS-16/2025</v>
      </c>
      <c r="E62" t="s">
        <v>3004</v>
      </c>
      <c r="F62" t="s">
        <v>3058</v>
      </c>
      <c r="G62" t="s">
        <v>3097</v>
      </c>
      <c r="H62" s="375">
        <f t="shared" si="0"/>
        <v>104</v>
      </c>
      <c r="I62" s="380" t="str">
        <f>IF(A62="ASG", H62, IF(COUNTIF($A$2:A62,A62)=1, SUMIFS(Tb_HhPLAN[Ajustado], Tb_HhPLAN[COD-SS], Tb_HhPLAN[[#This Row],[COD-SS]]),""))</f>
        <v/>
      </c>
      <c r="J62" s="380" t="str">
        <f>IFERROR(IF(Tb_HhPLAN[[#This Row],[DISCIPLINA]]="ASG","",((Tb_HhPLAN[[#This Row],[CÁLCULO]]/(SUMIFS(Tb_HhPLAN[Ajustado],Tb_HhPLAN[SS],Tb_HhPLAN[[#This Row],[SS]])-_xlfn.XLOOKUP(Tb_HhPLAN[[#This Row],[COD-AUX]],Tb_HhPLAN[COD-SS],Tb_HhPLAN[Ajustado],"",0,1)))*_xlfn.XLOOKUP(Tb_HhPLAN[[#This Row],[COD-AUX]],Tb_HhPLAN[COD-SS],Tb_HhPLAN[Ajustado],"",0,1))+IF(A62="ASG",H62,IF(COUNTIF($A$2:A62,A62)=1,SUMIFS(Tb_HhPLAN[Ajustado],Tb_HhPLAN[COD-SS],Tb_HhPLAN[[#This Row],[COD-SS]]),""))),"")</f>
        <v/>
      </c>
    </row>
    <row r="63" spans="1:10" x14ac:dyDescent="0.3">
      <c r="A63" t="str">
        <f>Tb_HhPLAN[[#This Row],[SS]]&amp;Tb_HhPLAN[[#This Row],[DISCIPLINA]]</f>
        <v>SS-17/2025ASG</v>
      </c>
      <c r="B63" t="str">
        <f>Tb_HhPLAN[[#This Row],[SS]]&amp;"ASG"</f>
        <v>SS-17/2025ASG</v>
      </c>
      <c r="C63" t="str">
        <f>LEFT(Tb_HhPLAN[[#This Row],[SS]],5)</f>
        <v>SS-17</v>
      </c>
      <c r="D63" t="s">
        <v>60</v>
      </c>
      <c r="E63" t="s">
        <v>3000</v>
      </c>
      <c r="F63" t="s">
        <v>3250</v>
      </c>
      <c r="G63" t="s">
        <v>3102</v>
      </c>
      <c r="H63" s="375">
        <f t="shared" si="0"/>
        <v>930.4</v>
      </c>
      <c r="I63" s="380">
        <f>IF(A63="ASG", H63, IF(COUNTIF($A$2:A63,A63)=1, SUMIFS(Tb_HhPLAN[Ajustado], Tb_HhPLAN[COD-SS], Tb_HhPLAN[[#This Row],[COD-SS]]),""))</f>
        <v>930.4</v>
      </c>
      <c r="J63" s="380" t="str">
        <f>IFERROR(IF(Tb_HhPLAN[[#This Row],[DISCIPLINA]]="ASG","",((Tb_HhPLAN[[#This Row],[CÁLCULO]]/(SUMIFS(Tb_HhPLAN[Ajustado],Tb_HhPLAN[SS],Tb_HhPLAN[[#This Row],[SS]])-_xlfn.XLOOKUP(Tb_HhPLAN[[#This Row],[COD-AUX]],Tb_HhPLAN[COD-SS],Tb_HhPLAN[Ajustado],"",0,1)))*_xlfn.XLOOKUP(Tb_HhPLAN[[#This Row],[COD-AUX]],Tb_HhPLAN[COD-SS],Tb_HhPLAN[Ajustado],"",0,1))+IF(A63="ASG",H63,IF(COUNTIF($A$2:A63,A63)=1,SUMIFS(Tb_HhPLAN[Ajustado],Tb_HhPLAN[COD-SS],Tb_HhPLAN[[#This Row],[COD-SS]]),""))),"")</f>
        <v/>
      </c>
    </row>
    <row r="64" spans="1:10" x14ac:dyDescent="0.3">
      <c r="A64" t="str">
        <f>Tb_HhPLAN[[#This Row],[SS]]&amp;Tb_HhPLAN[[#This Row],[DISCIPLINA]]</f>
        <v>SS-17/2025ELÉT</v>
      </c>
      <c r="B64" t="str">
        <f>Tb_HhPLAN[[#This Row],[SS]]&amp;"ASG"</f>
        <v>SS-17/2025ASG</v>
      </c>
      <c r="C64" t="str">
        <f>LEFT(Tb_HhPLAN[[#This Row],[SS]],5)</f>
        <v>SS-17</v>
      </c>
      <c r="D64" t="str">
        <f t="shared" ref="D64:D65" si="8">D63</f>
        <v>SS-17/2025</v>
      </c>
      <c r="E64" t="s">
        <v>3006</v>
      </c>
      <c r="F64" t="s">
        <v>3060</v>
      </c>
      <c r="G64" t="s">
        <v>3099</v>
      </c>
      <c r="H64" s="375">
        <f t="shared" si="0"/>
        <v>914.16</v>
      </c>
      <c r="I64" s="380">
        <f>IF(A64="ASG", H64, IF(COUNTIF($A$2:A64,A64)=1, SUMIFS(Tb_HhPLAN[Ajustado], Tb_HhPLAN[COD-SS], Tb_HhPLAN[[#This Row],[COD-SS]]),""))</f>
        <v>914.16</v>
      </c>
      <c r="J64" s="380">
        <f>IFERROR(IF(Tb_HhPLAN[[#This Row],[DISCIPLINA]]="ASG","",((Tb_HhPLAN[[#This Row],[CÁLCULO]]/(SUMIFS(Tb_HhPLAN[Ajustado],Tb_HhPLAN[SS],Tb_HhPLAN[[#This Row],[SS]])-_xlfn.XLOOKUP(Tb_HhPLAN[[#This Row],[COD-AUX]],Tb_HhPLAN[COD-SS],Tb_HhPLAN[Ajustado],"",0,1)))*_xlfn.XLOOKUP(Tb_HhPLAN[[#This Row],[COD-AUX]],Tb_HhPLAN[COD-SS],Tb_HhPLAN[Ajustado],"",0,1))+IF(A64="ASG",H64,IF(COUNTIF($A$2:A64,A64)=1,SUMIFS(Tb_HhPLAN[Ajustado],Tb_HhPLAN[COD-SS],Tb_HhPLAN[[#This Row],[COD-SS]]),""))),"")</f>
        <v>1813.0930176714296</v>
      </c>
    </row>
    <row r="65" spans="1:10" x14ac:dyDescent="0.3">
      <c r="A65" t="str">
        <f>Tb_HhPLAN[[#This Row],[SS]]&amp;Tb_HhPLAN[[#This Row],[DISCIPLINA]]</f>
        <v>SS-17/2025MEC</v>
      </c>
      <c r="B65" t="str">
        <f>Tb_HhPLAN[[#This Row],[SS]]&amp;"ASG"</f>
        <v>SS-17/2025ASG</v>
      </c>
      <c r="C65" t="str">
        <f>LEFT(Tb_HhPLAN[[#This Row],[SS]],5)</f>
        <v>SS-17</v>
      </c>
      <c r="D65" t="str">
        <f t="shared" si="8"/>
        <v>SS-17/2025</v>
      </c>
      <c r="E65" t="s">
        <v>3004</v>
      </c>
      <c r="F65" t="s">
        <v>3043</v>
      </c>
      <c r="G65" t="s">
        <v>3097</v>
      </c>
      <c r="H65" s="375">
        <f t="shared" si="0"/>
        <v>32</v>
      </c>
      <c r="I65" s="380">
        <f>IF(A65="ASG", H65, IF(COUNTIF($A$2:A65,A65)=1, SUMIFS(Tb_HhPLAN[Ajustado], Tb_HhPLAN[COD-SS], Tb_HhPLAN[[#This Row],[COD-SS]]),""))</f>
        <v>32</v>
      </c>
      <c r="J65" s="380">
        <f>IFERROR(IF(Tb_HhPLAN[[#This Row],[DISCIPLINA]]="ASG","",((Tb_HhPLAN[[#This Row],[CÁLCULO]]/(SUMIFS(Tb_HhPLAN[Ajustado],Tb_HhPLAN[SS],Tb_HhPLAN[[#This Row],[SS]])-_xlfn.XLOOKUP(Tb_HhPLAN[[#This Row],[COD-AUX]],Tb_HhPLAN[COD-SS],Tb_HhPLAN[Ajustado],"",0,1)))*_xlfn.XLOOKUP(Tb_HhPLAN[[#This Row],[COD-AUX]],Tb_HhPLAN[COD-SS],Tb_HhPLAN[Ajustado],"",0,1))+IF(A65="ASG",H65,IF(COUNTIF($A$2:A65,A65)=1,SUMIFS(Tb_HhPLAN[Ajustado],Tb_HhPLAN[COD-SS],Tb_HhPLAN[[#This Row],[COD-SS]]),""))),"")</f>
        <v>63.466982328570225</v>
      </c>
    </row>
    <row r="66" spans="1:10" x14ac:dyDescent="0.3">
      <c r="A66" t="str">
        <f>Tb_HhPLAN[[#This Row],[SS]]&amp;Tb_HhPLAN[[#This Row],[DISCIPLINA]]</f>
        <v>SS-18/2025ASG</v>
      </c>
      <c r="B66" t="str">
        <f>Tb_HhPLAN[[#This Row],[SS]]&amp;"ASG"</f>
        <v>SS-18/2025ASG</v>
      </c>
      <c r="C66" t="str">
        <f>LEFT(Tb_HhPLAN[[#This Row],[SS]],5)</f>
        <v>SS-18</v>
      </c>
      <c r="D66" t="s">
        <v>61</v>
      </c>
      <c r="E66" t="s">
        <v>3000</v>
      </c>
      <c r="F66" t="s">
        <v>3061</v>
      </c>
      <c r="G66" t="s">
        <v>3102</v>
      </c>
      <c r="H66" s="375">
        <f t="shared" ref="H66:H124" si="9">VALUE(SUBSTITUTE(F66," hrs",""))</f>
        <v>404</v>
      </c>
      <c r="I66" s="380">
        <f>IF(A66="ASG", H66, IF(COUNTIF($A$2:A66,A66)=1, SUMIFS(Tb_HhPLAN[Ajustado], Tb_HhPLAN[COD-SS], Tb_HhPLAN[[#This Row],[COD-SS]]),""))</f>
        <v>404</v>
      </c>
      <c r="J66" s="380" t="str">
        <f>IFERROR(IF(Tb_HhPLAN[[#This Row],[DISCIPLINA]]="ASG","",((Tb_HhPLAN[[#This Row],[CÁLCULO]]/(SUMIFS(Tb_HhPLAN[Ajustado],Tb_HhPLAN[SS],Tb_HhPLAN[[#This Row],[SS]])-_xlfn.XLOOKUP(Tb_HhPLAN[[#This Row],[COD-AUX]],Tb_HhPLAN[COD-SS],Tb_HhPLAN[Ajustado],"",0,1)))*_xlfn.XLOOKUP(Tb_HhPLAN[[#This Row],[COD-AUX]],Tb_HhPLAN[COD-SS],Tb_HhPLAN[Ajustado],"",0,1))+IF(A66="ASG",H66,IF(COUNTIF($A$2:A66,A66)=1,SUMIFS(Tb_HhPLAN[Ajustado],Tb_HhPLAN[COD-SS],Tb_HhPLAN[[#This Row],[COD-SS]]),""))),"")</f>
        <v/>
      </c>
    </row>
    <row r="67" spans="1:10" x14ac:dyDescent="0.3">
      <c r="A67" t="str">
        <f>Tb_HhPLAN[[#This Row],[SS]]&amp;Tb_HhPLAN[[#This Row],[DISCIPLINA]]</f>
        <v>SS-18/2025CIVIL</v>
      </c>
      <c r="B67" t="str">
        <f>Tb_HhPLAN[[#This Row],[SS]]&amp;"ASG"</f>
        <v>SS-18/2025ASG</v>
      </c>
      <c r="C67" t="str">
        <f>LEFT(Tb_HhPLAN[[#This Row],[SS]],5)</f>
        <v>SS-18</v>
      </c>
      <c r="D67" t="str">
        <f t="shared" ref="D67:D69" si="10">D66</f>
        <v>SS-18/2025</v>
      </c>
      <c r="E67" t="s">
        <v>3010</v>
      </c>
      <c r="F67" t="s">
        <v>3062</v>
      </c>
      <c r="G67" t="s">
        <v>3098</v>
      </c>
      <c r="H67" s="375">
        <f t="shared" si="9"/>
        <v>276</v>
      </c>
      <c r="I67" s="380">
        <f>IF(A67="ASG", H67, IF(COUNTIF($A$2:A67,A67)=1, SUMIFS(Tb_HhPLAN[Ajustado], Tb_HhPLAN[COD-SS], Tb_HhPLAN[[#This Row],[COD-SS]]),""))</f>
        <v>276</v>
      </c>
      <c r="J67" s="380">
        <f>IFERROR(IF(Tb_HhPLAN[[#This Row],[DISCIPLINA]]="ASG","",((Tb_HhPLAN[[#This Row],[CÁLCULO]]/(SUMIFS(Tb_HhPLAN[Ajustado],Tb_HhPLAN[SS],Tb_HhPLAN[[#This Row],[SS]])-_xlfn.XLOOKUP(Tb_HhPLAN[[#This Row],[COD-AUX]],Tb_HhPLAN[COD-SS],Tb_HhPLAN[Ajustado],"",0,1)))*_xlfn.XLOOKUP(Tb_HhPLAN[[#This Row],[COD-AUX]],Tb_HhPLAN[COD-SS],Tb_HhPLAN[Ajustado],"",0,1))+IF(A67="ASG",H67,IF(COUNTIF($A$2:A67,A67)=1,SUMIFS(Tb_HhPLAN[Ajustado],Tb_HhPLAN[COD-SS],Tb_HhPLAN[[#This Row],[COD-SS]]),""))),"")</f>
        <v>560.44897959183675</v>
      </c>
    </row>
    <row r="68" spans="1:10" x14ac:dyDescent="0.3">
      <c r="A68" t="str">
        <f>Tb_HhPLAN[[#This Row],[SS]]&amp;Tb_HhPLAN[[#This Row],[DISCIPLINA]]</f>
        <v>SS-18/2025ELÉT</v>
      </c>
      <c r="B68" t="str">
        <f>Tb_HhPLAN[[#This Row],[SS]]&amp;"ASG"</f>
        <v>SS-18/2025ASG</v>
      </c>
      <c r="C68" t="str">
        <f>LEFT(Tb_HhPLAN[[#This Row],[SS]],5)</f>
        <v>SS-18</v>
      </c>
      <c r="D68" t="str">
        <f t="shared" si="10"/>
        <v>SS-18/2025</v>
      </c>
      <c r="E68" t="s">
        <v>3006</v>
      </c>
      <c r="F68" t="s">
        <v>3063</v>
      </c>
      <c r="G68" t="s">
        <v>3099</v>
      </c>
      <c r="H68" s="375">
        <f t="shared" si="9"/>
        <v>84</v>
      </c>
      <c r="I68" s="380">
        <f>IF(A68="ASG", H68, IF(COUNTIF($A$2:A68,A68)=1, SUMIFS(Tb_HhPLAN[Ajustado], Tb_HhPLAN[COD-SS], Tb_HhPLAN[[#This Row],[COD-SS]]),""))</f>
        <v>84</v>
      </c>
      <c r="J68" s="380">
        <f>IFERROR(IF(Tb_HhPLAN[[#This Row],[DISCIPLINA]]="ASG","",((Tb_HhPLAN[[#This Row],[CÁLCULO]]/(SUMIFS(Tb_HhPLAN[Ajustado],Tb_HhPLAN[SS],Tb_HhPLAN[[#This Row],[SS]])-_xlfn.XLOOKUP(Tb_HhPLAN[[#This Row],[COD-AUX]],Tb_HhPLAN[COD-SS],Tb_HhPLAN[Ajustado],"",0,1)))*_xlfn.XLOOKUP(Tb_HhPLAN[[#This Row],[COD-AUX]],Tb_HhPLAN[COD-SS],Tb_HhPLAN[Ajustado],"",0,1))+IF(A68="ASG",H68,IF(COUNTIF($A$2:A68,A68)=1,SUMIFS(Tb_HhPLAN[Ajustado],Tb_HhPLAN[COD-SS],Tb_HhPLAN[[#This Row],[COD-SS]]),""))),"")</f>
        <v>170.57142857142856</v>
      </c>
    </row>
    <row r="69" spans="1:10" x14ac:dyDescent="0.3">
      <c r="A69" t="str">
        <f>Tb_HhPLAN[[#This Row],[SS]]&amp;Tb_HhPLAN[[#This Row],[DISCIPLINA]]</f>
        <v>SS-18/2025PINT</v>
      </c>
      <c r="B69" t="str">
        <f>Tb_HhPLAN[[#This Row],[SS]]&amp;"ASG"</f>
        <v>SS-18/2025ASG</v>
      </c>
      <c r="C69" t="str">
        <f>LEFT(Tb_HhPLAN[[#This Row],[SS]],5)</f>
        <v>SS-18</v>
      </c>
      <c r="D69" t="str">
        <f t="shared" si="10"/>
        <v>SS-18/2025</v>
      </c>
      <c r="E69" t="s">
        <v>3012</v>
      </c>
      <c r="F69" t="s">
        <v>3043</v>
      </c>
      <c r="G69" t="s">
        <v>3100</v>
      </c>
      <c r="H69" s="375">
        <f t="shared" si="9"/>
        <v>32</v>
      </c>
      <c r="I69" s="380">
        <f>IF(A69="ASG", H69, IF(COUNTIF($A$2:A69,A69)=1, SUMIFS(Tb_HhPLAN[Ajustado], Tb_HhPLAN[COD-SS], Tb_HhPLAN[[#This Row],[COD-SS]]),""))</f>
        <v>32</v>
      </c>
      <c r="J69" s="380">
        <f>IFERROR(IF(Tb_HhPLAN[[#This Row],[DISCIPLINA]]="ASG","",((Tb_HhPLAN[[#This Row],[CÁLCULO]]/(SUMIFS(Tb_HhPLAN[Ajustado],Tb_HhPLAN[SS],Tb_HhPLAN[[#This Row],[SS]])-_xlfn.XLOOKUP(Tb_HhPLAN[[#This Row],[COD-AUX]],Tb_HhPLAN[COD-SS],Tb_HhPLAN[Ajustado],"",0,1)))*_xlfn.XLOOKUP(Tb_HhPLAN[[#This Row],[COD-AUX]],Tb_HhPLAN[COD-SS],Tb_HhPLAN[Ajustado],"",0,1))+IF(A69="ASG",H69,IF(COUNTIF($A$2:A69,A69)=1,SUMIFS(Tb_HhPLAN[Ajustado],Tb_HhPLAN[COD-SS],Tb_HhPLAN[[#This Row],[COD-SS]]),""))),"")</f>
        <v>64.979591836734699</v>
      </c>
    </row>
    <row r="70" spans="1:10" x14ac:dyDescent="0.3">
      <c r="A70" t="str">
        <f>Tb_HhPLAN[[#This Row],[SS]]&amp;Tb_HhPLAN[[#This Row],[DISCIPLINA]]</f>
        <v>SS-19/2025ASG</v>
      </c>
      <c r="B70" t="str">
        <f>Tb_HhPLAN[[#This Row],[SS]]&amp;"ASG"</f>
        <v>SS-19/2025ASG</v>
      </c>
      <c r="C70" t="str">
        <f>LEFT(Tb_HhPLAN[[#This Row],[SS]],5)</f>
        <v>SS-19</v>
      </c>
      <c r="D70" t="s">
        <v>62</v>
      </c>
      <c r="E70" t="s">
        <v>3000</v>
      </c>
      <c r="F70" t="s">
        <v>3064</v>
      </c>
      <c r="G70" t="s">
        <v>3102</v>
      </c>
      <c r="H70" s="375">
        <f t="shared" si="9"/>
        <v>366</v>
      </c>
      <c r="I70" s="380">
        <f>IF(A70="ASG", H70, IF(COUNTIF($A$2:A70,A70)=1, SUMIFS(Tb_HhPLAN[Ajustado], Tb_HhPLAN[COD-SS], Tb_HhPLAN[[#This Row],[COD-SS]]),""))</f>
        <v>366</v>
      </c>
      <c r="J70" s="380" t="str">
        <f>IFERROR(IF(Tb_HhPLAN[[#This Row],[DISCIPLINA]]="ASG","",((Tb_HhPLAN[[#This Row],[CÁLCULO]]/(SUMIFS(Tb_HhPLAN[Ajustado],Tb_HhPLAN[SS],Tb_HhPLAN[[#This Row],[SS]])-_xlfn.XLOOKUP(Tb_HhPLAN[[#This Row],[COD-AUX]],Tb_HhPLAN[COD-SS],Tb_HhPLAN[Ajustado],"",0,1)))*_xlfn.XLOOKUP(Tb_HhPLAN[[#This Row],[COD-AUX]],Tb_HhPLAN[COD-SS],Tb_HhPLAN[Ajustado],"",0,1))+IF(A70="ASG",H70,IF(COUNTIF($A$2:A70,A70)=1,SUMIFS(Tb_HhPLAN[Ajustado],Tb_HhPLAN[COD-SS],Tb_HhPLAN[[#This Row],[COD-SS]]),""))),"")</f>
        <v/>
      </c>
    </row>
    <row r="71" spans="1:10" x14ac:dyDescent="0.3">
      <c r="A71" t="str">
        <f>Tb_HhPLAN[[#This Row],[SS]]&amp;Tb_HhPLAN[[#This Row],[DISCIPLINA]]</f>
        <v>SS-19/2025CIVIL</v>
      </c>
      <c r="B71" t="str">
        <f>Tb_HhPLAN[[#This Row],[SS]]&amp;"ASG"</f>
        <v>SS-19/2025ASG</v>
      </c>
      <c r="C71" t="str">
        <f>LEFT(Tb_HhPLAN[[#This Row],[SS]],5)</f>
        <v>SS-19</v>
      </c>
      <c r="D71" t="str">
        <f t="shared" ref="D71" si="11">D70</f>
        <v>SS-19/2025</v>
      </c>
      <c r="E71" t="s">
        <v>3010</v>
      </c>
      <c r="F71" t="s">
        <v>3065</v>
      </c>
      <c r="G71" t="s">
        <v>3098</v>
      </c>
      <c r="H71" s="375">
        <f t="shared" si="9"/>
        <v>350</v>
      </c>
      <c r="I71" s="380">
        <f>IF(A71="ASG", H71, IF(COUNTIF($A$2:A71,A71)=1, SUMIFS(Tb_HhPLAN[Ajustado], Tb_HhPLAN[COD-SS], Tb_HhPLAN[[#This Row],[COD-SS]]),""))</f>
        <v>350</v>
      </c>
      <c r="J71" s="380">
        <f>IFERROR(IF(Tb_HhPLAN[[#This Row],[DISCIPLINA]]="ASG","",((Tb_HhPLAN[[#This Row],[CÁLCULO]]/(SUMIFS(Tb_HhPLAN[Ajustado],Tb_HhPLAN[SS],Tb_HhPLAN[[#This Row],[SS]])-_xlfn.XLOOKUP(Tb_HhPLAN[[#This Row],[COD-AUX]],Tb_HhPLAN[COD-SS],Tb_HhPLAN[Ajustado],"",0,1)))*_xlfn.XLOOKUP(Tb_HhPLAN[[#This Row],[COD-AUX]],Tb_HhPLAN[COD-SS],Tb_HhPLAN[Ajustado],"",0,1))+IF(A71="ASG",H71,IF(COUNTIF($A$2:A71,A71)=1,SUMIFS(Tb_HhPLAN[Ajustado],Tb_HhPLAN[COD-SS],Tb_HhPLAN[[#This Row],[COD-SS]]),""))),"")</f>
        <v>716</v>
      </c>
    </row>
    <row r="72" spans="1:10" x14ac:dyDescent="0.3">
      <c r="A72" t="str">
        <f>Tb_HhPLAN[[#This Row],[SS]]&amp;Tb_HhPLAN[[#This Row],[DISCIPLINA]]</f>
        <v>SS-22/2025ASG</v>
      </c>
      <c r="B72" t="str">
        <f>Tb_HhPLAN[[#This Row],[SS]]&amp;"ASG"</f>
        <v>SS-22/2025ASG</v>
      </c>
      <c r="C72" t="str">
        <f>LEFT(Tb_HhPLAN[[#This Row],[SS]],5)</f>
        <v>SS-22</v>
      </c>
      <c r="D72" t="s">
        <v>164</v>
      </c>
      <c r="E72" t="s">
        <v>3000</v>
      </c>
      <c r="F72" t="s">
        <v>3066</v>
      </c>
      <c r="G72" t="s">
        <v>3102</v>
      </c>
      <c r="H72" s="375">
        <f t="shared" si="9"/>
        <v>105.2</v>
      </c>
      <c r="I72" s="380">
        <f>IF(A72="ASG", H72, IF(COUNTIF($A$2:A72,A72)=1, SUMIFS(Tb_HhPLAN[Ajustado], Tb_HhPLAN[COD-SS], Tb_HhPLAN[[#This Row],[COD-SS]]),""))</f>
        <v>105.2</v>
      </c>
      <c r="J72" s="380" t="str">
        <f>IFERROR(IF(Tb_HhPLAN[[#This Row],[DISCIPLINA]]="ASG","",((Tb_HhPLAN[[#This Row],[CÁLCULO]]/(SUMIFS(Tb_HhPLAN[Ajustado],Tb_HhPLAN[SS],Tb_HhPLAN[[#This Row],[SS]])-_xlfn.XLOOKUP(Tb_HhPLAN[[#This Row],[COD-AUX]],Tb_HhPLAN[COD-SS],Tb_HhPLAN[Ajustado],"",0,1)))*_xlfn.XLOOKUP(Tb_HhPLAN[[#This Row],[COD-AUX]],Tb_HhPLAN[COD-SS],Tb_HhPLAN[Ajustado],"",0,1))+IF(A72="ASG",H72,IF(COUNTIF($A$2:A72,A72)=1,SUMIFS(Tb_HhPLAN[Ajustado],Tb_HhPLAN[COD-SS],Tb_HhPLAN[[#This Row],[COD-SS]]),""))),"")</f>
        <v/>
      </c>
    </row>
    <row r="73" spans="1:10" x14ac:dyDescent="0.3">
      <c r="A73" t="str">
        <f>Tb_HhPLAN[[#This Row],[SS]]&amp;Tb_HhPLAN[[#This Row],[DISCIPLINA]]</f>
        <v>SS-22/2025CIVIL</v>
      </c>
      <c r="B73" t="str">
        <f>Tb_HhPLAN[[#This Row],[SS]]&amp;"ASG"</f>
        <v>SS-22/2025ASG</v>
      </c>
      <c r="C73" t="str">
        <f>LEFT(Tb_HhPLAN[[#This Row],[SS]],5)</f>
        <v>SS-22</v>
      </c>
      <c r="D73" t="str">
        <f t="shared" ref="D73:D74" si="12">D72</f>
        <v>SS-22/2025</v>
      </c>
      <c r="E73" t="s">
        <v>3010</v>
      </c>
      <c r="F73" t="s">
        <v>3067</v>
      </c>
      <c r="G73" t="s">
        <v>3098</v>
      </c>
      <c r="H73" s="375">
        <f t="shared" si="9"/>
        <v>50.4</v>
      </c>
      <c r="I73" s="380">
        <f>IF(A73="ASG", H73, IF(COUNTIF($A$2:A73,A73)=1, SUMIFS(Tb_HhPLAN[Ajustado], Tb_HhPLAN[COD-SS], Tb_HhPLAN[[#This Row],[COD-SS]]),""))</f>
        <v>50.4</v>
      </c>
      <c r="J73" s="380">
        <f>IFERROR(IF(Tb_HhPLAN[[#This Row],[DISCIPLINA]]="ASG","",((Tb_HhPLAN[[#This Row],[CÁLCULO]]/(SUMIFS(Tb_HhPLAN[Ajustado],Tb_HhPLAN[SS],Tb_HhPLAN[[#This Row],[SS]])-_xlfn.XLOOKUP(Tb_HhPLAN[[#This Row],[COD-AUX]],Tb_HhPLAN[COD-SS],Tb_HhPLAN[Ajustado],"",0,1)))*_xlfn.XLOOKUP(Tb_HhPLAN[[#This Row],[COD-AUX]],Tb_HhPLAN[COD-SS],Tb_HhPLAN[Ajustado],"",0,1))+IF(A73="ASG",H73,IF(COUNTIF($A$2:A73,A73)=1,SUMIFS(Tb_HhPLAN[Ajustado],Tb_HhPLAN[COD-SS],Tb_HhPLAN[[#This Row],[COD-SS]]),""))),"")</f>
        <v>108.79295154185021</v>
      </c>
    </row>
    <row r="74" spans="1:10" x14ac:dyDescent="0.3">
      <c r="A74" t="str">
        <f>Tb_HhPLAN[[#This Row],[SS]]&amp;Tb_HhPLAN[[#This Row],[DISCIPLINA]]</f>
        <v>SS-22/2025ELÉT</v>
      </c>
      <c r="B74" t="str">
        <f>Tb_HhPLAN[[#This Row],[SS]]&amp;"ASG"</f>
        <v>SS-22/2025ASG</v>
      </c>
      <c r="C74" t="str">
        <f>LEFT(Tb_HhPLAN[[#This Row],[SS]],5)</f>
        <v>SS-22</v>
      </c>
      <c r="D74" t="str">
        <f t="shared" si="12"/>
        <v>SS-22/2025</v>
      </c>
      <c r="E74" t="s">
        <v>3006</v>
      </c>
      <c r="F74" t="s">
        <v>3068</v>
      </c>
      <c r="G74" t="s">
        <v>3099</v>
      </c>
      <c r="H74" s="375">
        <f t="shared" si="9"/>
        <v>40.4</v>
      </c>
      <c r="I74" s="380">
        <f>IF(A74="ASG", H74, IF(COUNTIF($A$2:A74,A74)=1, SUMIFS(Tb_HhPLAN[Ajustado], Tb_HhPLAN[COD-SS], Tb_HhPLAN[[#This Row],[COD-SS]]),""))</f>
        <v>40.4</v>
      </c>
      <c r="J74" s="380">
        <f>IFERROR(IF(Tb_HhPLAN[[#This Row],[DISCIPLINA]]="ASG","",((Tb_HhPLAN[[#This Row],[CÁLCULO]]/(SUMIFS(Tb_HhPLAN[Ajustado],Tb_HhPLAN[SS],Tb_HhPLAN[[#This Row],[SS]])-_xlfn.XLOOKUP(Tb_HhPLAN[[#This Row],[COD-AUX]],Tb_HhPLAN[COD-SS],Tb_HhPLAN[Ajustado],"",0,1)))*_xlfn.XLOOKUP(Tb_HhPLAN[[#This Row],[COD-AUX]],Tb_HhPLAN[COD-SS],Tb_HhPLAN[Ajustado],"",0,1))+IF(A74="ASG",H74,IF(COUNTIF($A$2:A74,A74)=1,SUMIFS(Tb_HhPLAN[Ajustado],Tb_HhPLAN[COD-SS],Tb_HhPLAN[[#This Row],[COD-SS]]),""))),"")</f>
        <v>87.207048458149785</v>
      </c>
    </row>
    <row r="75" spans="1:10" x14ac:dyDescent="0.3">
      <c r="A75" t="str">
        <f>Tb_HhPLAN[[#This Row],[SS]]&amp;Tb_HhPLAN[[#This Row],[DISCIPLINA]]</f>
        <v>SS-23/2025</v>
      </c>
      <c r="B75" t="str">
        <f>Tb_HhPLAN[[#This Row],[SS]]&amp;"ASG"</f>
        <v>SS-23/2025ASG</v>
      </c>
      <c r="C75" t="str">
        <f>LEFT(Tb_HhPLAN[[#This Row],[SS]],5)</f>
        <v>SS-23</v>
      </c>
      <c r="D75" s="381" t="s">
        <v>165</v>
      </c>
      <c r="E75" s="381"/>
      <c r="F75" s="381"/>
      <c r="G75" s="381"/>
      <c r="H75" s="382"/>
      <c r="I75" s="380">
        <f>IF(A75="ASG", H75, IF(COUNTIF($A$2:A75,A75)=1, SUMIFS(Tb_HhPLAN[Ajustado], Tb_HhPLAN[COD-SS], Tb_HhPLAN[[#This Row],[COD-SS]]),""))</f>
        <v>0</v>
      </c>
      <c r="J75" s="380" t="str">
        <f>IFERROR(IF(Tb_HhPLAN[[#This Row],[DISCIPLINA]]="ASG","",((Tb_HhPLAN[[#This Row],[CÁLCULO]]/(SUMIFS(Tb_HhPLAN[Ajustado],Tb_HhPLAN[SS],Tb_HhPLAN[[#This Row],[SS]])-_xlfn.XLOOKUP(Tb_HhPLAN[[#This Row],[COD-AUX]],Tb_HhPLAN[COD-SS],Tb_HhPLAN[Ajustado],"",0,1)))*_xlfn.XLOOKUP(Tb_HhPLAN[[#This Row],[COD-AUX]],Tb_HhPLAN[COD-SS],Tb_HhPLAN[Ajustado],"",0,1))+IF(A75="ASG",H75,IF(COUNTIF($A$2:A75,A75)=1,SUMIFS(Tb_HhPLAN[Ajustado],Tb_HhPLAN[COD-SS],Tb_HhPLAN[[#This Row],[COD-SS]]),""))),"")</f>
        <v/>
      </c>
    </row>
    <row r="76" spans="1:10" x14ac:dyDescent="0.3">
      <c r="A76" t="str">
        <f>Tb_HhPLAN[[#This Row],[SS]]&amp;Tb_HhPLAN[[#This Row],[DISCIPLINA]]</f>
        <v>SS-24/2025ASG</v>
      </c>
      <c r="B76" t="str">
        <f>Tb_HhPLAN[[#This Row],[SS]]&amp;"ASG"</f>
        <v>SS-24/2025ASG</v>
      </c>
      <c r="C76" t="str">
        <f>LEFT(Tb_HhPLAN[[#This Row],[SS]],5)</f>
        <v>SS-24</v>
      </c>
      <c r="D76" t="s">
        <v>166</v>
      </c>
      <c r="E76" t="s">
        <v>3000</v>
      </c>
      <c r="F76" t="s">
        <v>3059</v>
      </c>
      <c r="G76" t="s">
        <v>3102</v>
      </c>
      <c r="H76" s="375">
        <f t="shared" si="9"/>
        <v>16</v>
      </c>
      <c r="I76" s="380">
        <f>IF(A76="ASG", H76, IF(COUNTIF($A$2:A76,A76)=1, SUMIFS(Tb_HhPLAN[Ajustado], Tb_HhPLAN[COD-SS], Tb_HhPLAN[[#This Row],[COD-SS]]),""))</f>
        <v>16</v>
      </c>
      <c r="J76" s="380" t="str">
        <f>IFERROR(IF(Tb_HhPLAN[[#This Row],[DISCIPLINA]]="ASG","",((Tb_HhPLAN[[#This Row],[CÁLCULO]]/(SUMIFS(Tb_HhPLAN[Ajustado],Tb_HhPLAN[SS],Tb_HhPLAN[[#This Row],[SS]])-_xlfn.XLOOKUP(Tb_HhPLAN[[#This Row],[COD-AUX]],Tb_HhPLAN[COD-SS],Tb_HhPLAN[Ajustado],"",0,1)))*_xlfn.XLOOKUP(Tb_HhPLAN[[#This Row],[COD-AUX]],Tb_HhPLAN[COD-SS],Tb_HhPLAN[Ajustado],"",0,1))+IF(A76="ASG",H76,IF(COUNTIF($A$2:A76,A76)=1,SUMIFS(Tb_HhPLAN[Ajustado],Tb_HhPLAN[COD-SS],Tb_HhPLAN[[#This Row],[COD-SS]]),""))),"")</f>
        <v/>
      </c>
    </row>
    <row r="77" spans="1:10" x14ac:dyDescent="0.3">
      <c r="A77" t="str">
        <f>Tb_HhPLAN[[#This Row],[SS]]&amp;Tb_HhPLAN[[#This Row],[DISCIPLINA]]</f>
        <v>SS-24/2025MEC</v>
      </c>
      <c r="B77" t="str">
        <f>Tb_HhPLAN[[#This Row],[SS]]&amp;"ASG"</f>
        <v>SS-24/2025ASG</v>
      </c>
      <c r="C77" t="str">
        <f>LEFT(Tb_HhPLAN[[#This Row],[SS]],5)</f>
        <v>SS-24</v>
      </c>
      <c r="D77" t="str">
        <f t="shared" ref="D77" si="13">D76</f>
        <v>SS-24/2025</v>
      </c>
      <c r="E77" t="s">
        <v>3002</v>
      </c>
      <c r="F77" t="s">
        <v>3272</v>
      </c>
      <c r="G77" t="s">
        <v>3097</v>
      </c>
      <c r="H77" s="375">
        <f>VALUE(SUBSTITUTE(F77," hrs",""))</f>
        <v>0.01</v>
      </c>
      <c r="I77" s="380">
        <f>IF(A77="ASG", H77, IF(COUNTIF($A$2:A77,A77)=1, SUMIFS(Tb_HhPLAN[Ajustado], Tb_HhPLAN[COD-SS], Tb_HhPLAN[[#This Row],[COD-SS]]),""))</f>
        <v>0.01</v>
      </c>
      <c r="J77" s="380">
        <f>IFERROR(IF(Tb_HhPLAN[[#This Row],[DISCIPLINA]]="ASG","",((Tb_HhPLAN[[#This Row],[CÁLCULO]]/(SUMIFS(Tb_HhPLAN[Ajustado],Tb_HhPLAN[SS],Tb_HhPLAN[[#This Row],[SS]])-_xlfn.XLOOKUP(Tb_HhPLAN[[#This Row],[COD-AUX]],Tb_HhPLAN[COD-SS],Tb_HhPLAN[Ajustado],"",0,1)))*_xlfn.XLOOKUP(Tb_HhPLAN[[#This Row],[COD-AUX]],Tb_HhPLAN[COD-SS],Tb_HhPLAN[Ajustado],"",0,1))+IF(A77="ASG",H77,IF(COUNTIF($A$2:A77,A77)=1,SUMIFS(Tb_HhPLAN[Ajustado],Tb_HhPLAN[COD-SS],Tb_HhPLAN[[#This Row],[COD-SS]]),""))),"")</f>
        <v>16.0099999999975</v>
      </c>
    </row>
    <row r="78" spans="1:10" x14ac:dyDescent="0.3">
      <c r="A78" t="str">
        <f>Tb_HhPLAN[[#This Row],[SS]]&amp;Tb_HhPLAN[[#This Row],[DISCIPLINA]]</f>
        <v>SS-25/2025</v>
      </c>
      <c r="B78" t="str">
        <f>Tb_HhPLAN[[#This Row],[SS]]&amp;"ASG"</f>
        <v>SS-25/2025ASG</v>
      </c>
      <c r="C78" t="str">
        <f>LEFT(Tb_HhPLAN[[#This Row],[SS]],5)</f>
        <v>SS-25</v>
      </c>
      <c r="D78" s="381" t="s">
        <v>234</v>
      </c>
      <c r="E78" s="381"/>
      <c r="F78" s="381"/>
      <c r="G78" s="381"/>
      <c r="H78" s="382"/>
      <c r="I78" s="380">
        <f>IF(A78="ASG", H78, IF(COUNTIF($A$2:A78,A78)=1, SUMIFS(Tb_HhPLAN[Ajustado], Tb_HhPLAN[COD-SS], Tb_HhPLAN[[#This Row],[COD-SS]]),""))</f>
        <v>0</v>
      </c>
      <c r="J78" s="380" t="str">
        <f>IFERROR(IF(Tb_HhPLAN[[#This Row],[DISCIPLINA]]="ASG","",((Tb_HhPLAN[[#This Row],[CÁLCULO]]/(SUMIFS(Tb_HhPLAN[Ajustado],Tb_HhPLAN[SS],Tb_HhPLAN[[#This Row],[SS]])-_xlfn.XLOOKUP(Tb_HhPLAN[[#This Row],[COD-AUX]],Tb_HhPLAN[COD-SS],Tb_HhPLAN[Ajustado],"",0,1)))*_xlfn.XLOOKUP(Tb_HhPLAN[[#This Row],[COD-AUX]],Tb_HhPLAN[COD-SS],Tb_HhPLAN[Ajustado],"",0,1))+IF(A78="ASG",H78,IF(COUNTIF($A$2:A78,A78)=1,SUMIFS(Tb_HhPLAN[Ajustado],Tb_HhPLAN[COD-SS],Tb_HhPLAN[[#This Row],[COD-SS]]),""))),"")</f>
        <v/>
      </c>
    </row>
    <row r="79" spans="1:10" x14ac:dyDescent="0.3">
      <c r="A79" t="str">
        <f>Tb_HhPLAN[[#This Row],[SS]]&amp;Tb_HhPLAN[[#This Row],[DISCIPLINA]]</f>
        <v>SS-26/2025ASG</v>
      </c>
      <c r="B79" t="str">
        <f>Tb_HhPLAN[[#This Row],[SS]]&amp;"ASG"</f>
        <v>SS-26/2025ASG</v>
      </c>
      <c r="C79" t="str">
        <f>LEFT(Tb_HhPLAN[[#This Row],[SS]],5)</f>
        <v>SS-26</v>
      </c>
      <c r="D79" t="s">
        <v>240</v>
      </c>
      <c r="E79" t="s">
        <v>3000</v>
      </c>
      <c r="F79" t="s">
        <v>3069</v>
      </c>
      <c r="G79" t="s">
        <v>3102</v>
      </c>
      <c r="H79" s="375">
        <f t="shared" si="9"/>
        <v>1499.2</v>
      </c>
      <c r="I79" s="380">
        <f>IF(A79="ASG", H79, IF(COUNTIF($A$2:A79,A79)=1, SUMIFS(Tb_HhPLAN[Ajustado], Tb_HhPLAN[COD-SS], Tb_HhPLAN[[#This Row],[COD-SS]]),""))</f>
        <v>1499.2</v>
      </c>
      <c r="J79" s="380" t="str">
        <f>IFERROR(IF(Tb_HhPLAN[[#This Row],[DISCIPLINA]]="ASG","",((Tb_HhPLAN[[#This Row],[CÁLCULO]]/(SUMIFS(Tb_HhPLAN[Ajustado],Tb_HhPLAN[SS],Tb_HhPLAN[[#This Row],[SS]])-_xlfn.XLOOKUP(Tb_HhPLAN[[#This Row],[COD-AUX]],Tb_HhPLAN[COD-SS],Tb_HhPLAN[Ajustado],"",0,1)))*_xlfn.XLOOKUP(Tb_HhPLAN[[#This Row],[COD-AUX]],Tb_HhPLAN[COD-SS],Tb_HhPLAN[Ajustado],"",0,1))+IF(A79="ASG",H79,IF(COUNTIF($A$2:A79,A79)=1,SUMIFS(Tb_HhPLAN[Ajustado],Tb_HhPLAN[COD-SS],Tb_HhPLAN[[#This Row],[COD-SS]]),""))),"")</f>
        <v/>
      </c>
    </row>
    <row r="80" spans="1:10" x14ac:dyDescent="0.3">
      <c r="A80" t="str">
        <f>Tb_HhPLAN[[#This Row],[SS]]&amp;Tb_HhPLAN[[#This Row],[DISCIPLINA]]</f>
        <v>SS-26/2025MEC</v>
      </c>
      <c r="B80" t="str">
        <f>Tb_HhPLAN[[#This Row],[SS]]&amp;"ASG"</f>
        <v>SS-26/2025ASG</v>
      </c>
      <c r="C80" t="str">
        <f>LEFT(Tb_HhPLAN[[#This Row],[SS]],5)</f>
        <v>SS-26</v>
      </c>
      <c r="D80" t="str">
        <f t="shared" ref="D80:D83" si="14">D79</f>
        <v>SS-26/2025</v>
      </c>
      <c r="E80" t="s">
        <v>3002</v>
      </c>
      <c r="F80" t="s">
        <v>3070</v>
      </c>
      <c r="G80" t="s">
        <v>3097</v>
      </c>
      <c r="H80" s="375">
        <f t="shared" si="9"/>
        <v>816</v>
      </c>
      <c r="I80" s="380">
        <f>IF(A80="ASG", H80, IF(COUNTIF($A$2:A80,A80)=1, SUMIFS(Tb_HhPLAN[Ajustado], Tb_HhPLAN[COD-SS], Tb_HhPLAN[[#This Row],[COD-SS]]),""))</f>
        <v>1632</v>
      </c>
      <c r="J80" s="380">
        <f>IFERROR(IF(Tb_HhPLAN[[#This Row],[DISCIPLINA]]="ASG","",((Tb_HhPLAN[[#This Row],[CÁLCULO]]/(SUMIFS(Tb_HhPLAN[Ajustado],Tb_HhPLAN[SS],Tb_HhPLAN[[#This Row],[SS]])-_xlfn.XLOOKUP(Tb_HhPLAN[[#This Row],[COD-AUX]],Tb_HhPLAN[COD-SS],Tb_HhPLAN[Ajustado],"",0,1)))*_xlfn.XLOOKUP(Tb_HhPLAN[[#This Row],[COD-AUX]],Tb_HhPLAN[COD-SS],Tb_HhPLAN[Ajustado],"",0,1))+IF(A80="ASG",H80,IF(COUNTIF($A$2:A80,A80)=1,SUMIFS(Tb_HhPLAN[Ajustado],Tb_HhPLAN[COD-SS],Tb_HhPLAN[[#This Row],[COD-SS]]),""))),"")</f>
        <v>2872.7172413793105</v>
      </c>
    </row>
    <row r="81" spans="1:12" x14ac:dyDescent="0.3">
      <c r="A81" t="str">
        <f>Tb_HhPLAN[[#This Row],[SS]]&amp;Tb_HhPLAN[[#This Row],[DISCIPLINA]]</f>
        <v>SS-26/2025CIVIL</v>
      </c>
      <c r="B81" t="str">
        <f>Tb_HhPLAN[[#This Row],[SS]]&amp;"ASG"</f>
        <v>SS-26/2025ASG</v>
      </c>
      <c r="C81" t="str">
        <f>LEFT(Tb_HhPLAN[[#This Row],[SS]],5)</f>
        <v>SS-26</v>
      </c>
      <c r="D81" t="str">
        <f t="shared" si="14"/>
        <v>SS-26/2025</v>
      </c>
      <c r="E81" t="s">
        <v>3010</v>
      </c>
      <c r="F81" t="s">
        <v>3071</v>
      </c>
      <c r="G81" t="s">
        <v>3098</v>
      </c>
      <c r="H81" s="375">
        <f t="shared" si="9"/>
        <v>168</v>
      </c>
      <c r="I81" s="380">
        <f>IF(A81="ASG", H81, IF(COUNTIF($A$2:A81,A81)=1, SUMIFS(Tb_HhPLAN[Ajustado], Tb_HhPLAN[COD-SS], Tb_HhPLAN[[#This Row],[COD-SS]]),""))</f>
        <v>168</v>
      </c>
      <c r="J81" s="380">
        <f>IFERROR(IF(Tb_HhPLAN[[#This Row],[DISCIPLINA]]="ASG","",((Tb_HhPLAN[[#This Row],[CÁLCULO]]/(SUMIFS(Tb_HhPLAN[Ajustado],Tb_HhPLAN[SS],Tb_HhPLAN[[#This Row],[SS]])-_xlfn.XLOOKUP(Tb_HhPLAN[[#This Row],[COD-AUX]],Tb_HhPLAN[COD-SS],Tb_HhPLAN[Ajustado],"",0,1)))*_xlfn.XLOOKUP(Tb_HhPLAN[[#This Row],[COD-AUX]],Tb_HhPLAN[COD-SS],Tb_HhPLAN[Ajustado],"",0,1))+IF(A81="ASG",H81,IF(COUNTIF($A$2:A81,A81)=1,SUMIFS(Tb_HhPLAN[Ajustado],Tb_HhPLAN[COD-SS],Tb_HhPLAN[[#This Row],[COD-SS]]),""))),"")</f>
        <v>295.72089249492905</v>
      </c>
    </row>
    <row r="82" spans="1:12" x14ac:dyDescent="0.3">
      <c r="A82" t="str">
        <f>Tb_HhPLAN[[#This Row],[SS]]&amp;Tb_HhPLAN[[#This Row],[DISCIPLINA]]</f>
        <v>SS-26/2025ELÉT</v>
      </c>
      <c r="B82" t="str">
        <f>Tb_HhPLAN[[#This Row],[SS]]&amp;"ASG"</f>
        <v>SS-26/2025ASG</v>
      </c>
      <c r="C82" t="str">
        <f>LEFT(Tb_HhPLAN[[#This Row],[SS]],5)</f>
        <v>SS-26</v>
      </c>
      <c r="D82" t="str">
        <f t="shared" si="14"/>
        <v>SS-26/2025</v>
      </c>
      <c r="E82" t="s">
        <v>3006</v>
      </c>
      <c r="F82" t="s">
        <v>3072</v>
      </c>
      <c r="G82" t="s">
        <v>3099</v>
      </c>
      <c r="H82" s="375">
        <f t="shared" si="9"/>
        <v>172</v>
      </c>
      <c r="I82" s="380">
        <f>IF(A82="ASG", H82, IF(COUNTIF($A$2:A82,A82)=1, SUMIFS(Tb_HhPLAN[Ajustado], Tb_HhPLAN[COD-SS], Tb_HhPLAN[[#This Row],[COD-SS]]),""))</f>
        <v>172</v>
      </c>
      <c r="J82" s="380">
        <f>IFERROR(IF(Tb_HhPLAN[[#This Row],[DISCIPLINA]]="ASG","",((Tb_HhPLAN[[#This Row],[CÁLCULO]]/(SUMIFS(Tb_HhPLAN[Ajustado],Tb_HhPLAN[SS],Tb_HhPLAN[[#This Row],[SS]])-_xlfn.XLOOKUP(Tb_HhPLAN[[#This Row],[COD-AUX]],Tb_HhPLAN[COD-SS],Tb_HhPLAN[Ajustado],"",0,1)))*_xlfn.XLOOKUP(Tb_HhPLAN[[#This Row],[COD-AUX]],Tb_HhPLAN[COD-SS],Tb_HhPLAN[Ajustado],"",0,1))+IF(A82="ASG",H82,IF(COUNTIF($A$2:A82,A82)=1,SUMIFS(Tb_HhPLAN[Ajustado],Tb_HhPLAN[COD-SS],Tb_HhPLAN[[#This Row],[COD-SS]]),""))),"")</f>
        <v>302.76186612576066</v>
      </c>
    </row>
    <row r="83" spans="1:12" x14ac:dyDescent="0.3">
      <c r="A83" t="str">
        <f>Tb_HhPLAN[[#This Row],[SS]]&amp;Tb_HhPLAN[[#This Row],[DISCIPLINA]]</f>
        <v>SS-26/2025MEC</v>
      </c>
      <c r="B83" t="str">
        <f>Tb_HhPLAN[[#This Row],[SS]]&amp;"ASG"</f>
        <v>SS-26/2025ASG</v>
      </c>
      <c r="C83" t="str">
        <f>LEFT(Tb_HhPLAN[[#This Row],[SS]],5)</f>
        <v>SS-26</v>
      </c>
      <c r="D83" t="str">
        <f t="shared" si="14"/>
        <v>SS-26/2025</v>
      </c>
      <c r="E83" t="s">
        <v>3008</v>
      </c>
      <c r="F83" t="s">
        <v>3070</v>
      </c>
      <c r="G83" t="s">
        <v>3097</v>
      </c>
      <c r="H83" s="375">
        <f t="shared" si="9"/>
        <v>816</v>
      </c>
      <c r="I83" s="380" t="str">
        <f>IF(A83="ASG", H83, IF(COUNTIF($A$2:A83,A83)=1, SUMIFS(Tb_HhPLAN[Ajustado], Tb_HhPLAN[COD-SS], Tb_HhPLAN[[#This Row],[COD-SS]]),""))</f>
        <v/>
      </c>
      <c r="J83" s="380" t="str">
        <f>IFERROR(IF(Tb_HhPLAN[[#This Row],[DISCIPLINA]]="ASG","",((Tb_HhPLAN[[#This Row],[CÁLCULO]]/(SUMIFS(Tb_HhPLAN[Ajustado],Tb_HhPLAN[SS],Tb_HhPLAN[[#This Row],[SS]])-_xlfn.XLOOKUP(Tb_HhPLAN[[#This Row],[COD-AUX]],Tb_HhPLAN[COD-SS],Tb_HhPLAN[Ajustado],"",0,1)))*_xlfn.XLOOKUP(Tb_HhPLAN[[#This Row],[COD-AUX]],Tb_HhPLAN[COD-SS],Tb_HhPLAN[Ajustado],"",0,1))+IF(A83="ASG",H83,IF(COUNTIF($A$2:A83,A83)=1,SUMIFS(Tb_HhPLAN[Ajustado],Tb_HhPLAN[COD-SS],Tb_HhPLAN[[#This Row],[COD-SS]]),""))),"")</f>
        <v/>
      </c>
    </row>
    <row r="84" spans="1:12" x14ac:dyDescent="0.3">
      <c r="A84" t="str">
        <f>Tb_HhPLAN[[#This Row],[SS]]&amp;Tb_HhPLAN[[#This Row],[DISCIPLINA]]</f>
        <v>SS-27/2025ASG</v>
      </c>
      <c r="B84" t="str">
        <f>Tb_HhPLAN[[#This Row],[SS]]&amp;"ASG"</f>
        <v>SS-27/2025ASG</v>
      </c>
      <c r="C84" t="str">
        <f>LEFT(Tb_HhPLAN[[#This Row],[SS]],5)</f>
        <v>SS-27</v>
      </c>
      <c r="D84" t="s">
        <v>241</v>
      </c>
      <c r="E84" t="s">
        <v>3000</v>
      </c>
      <c r="F84" t="s">
        <v>3073</v>
      </c>
      <c r="G84" t="s">
        <v>3102</v>
      </c>
      <c r="H84" s="375">
        <f t="shared" si="9"/>
        <v>202</v>
      </c>
      <c r="I84" s="380">
        <f>IF(A84="ASG", H84, IF(COUNTIF($A$2:A84,A84)=1, SUMIFS(Tb_HhPLAN[Ajustado], Tb_HhPLAN[COD-SS], Tb_HhPLAN[[#This Row],[COD-SS]]),""))</f>
        <v>202</v>
      </c>
      <c r="J84" s="380" t="str">
        <f>IFERROR(IF(Tb_HhPLAN[[#This Row],[DISCIPLINA]]="ASG","",((Tb_HhPLAN[[#This Row],[CÁLCULO]]/(SUMIFS(Tb_HhPLAN[Ajustado],Tb_HhPLAN[SS],Tb_HhPLAN[[#This Row],[SS]])-_xlfn.XLOOKUP(Tb_HhPLAN[[#This Row],[COD-AUX]],Tb_HhPLAN[COD-SS],Tb_HhPLAN[Ajustado],"",0,1)))*_xlfn.XLOOKUP(Tb_HhPLAN[[#This Row],[COD-AUX]],Tb_HhPLAN[COD-SS],Tb_HhPLAN[Ajustado],"",0,1))+IF(A84="ASG",H84,IF(COUNTIF($A$2:A84,A84)=1,SUMIFS(Tb_HhPLAN[Ajustado],Tb_HhPLAN[COD-SS],Tb_HhPLAN[[#This Row],[COD-SS]]),""))),"")</f>
        <v/>
      </c>
    </row>
    <row r="85" spans="1:12" x14ac:dyDescent="0.3">
      <c r="A85" t="str">
        <f>Tb_HhPLAN[[#This Row],[SS]]&amp;Tb_HhPLAN[[#This Row],[DISCIPLINA]]</f>
        <v>SS-27/2025MEC</v>
      </c>
      <c r="B85" t="str">
        <f>Tb_HhPLAN[[#This Row],[SS]]&amp;"ASG"</f>
        <v>SS-27/2025ASG</v>
      </c>
      <c r="C85" t="str">
        <f>LEFT(Tb_HhPLAN[[#This Row],[SS]],5)</f>
        <v>SS-27</v>
      </c>
      <c r="D85" t="str">
        <f t="shared" ref="D85:D88" si="15">D84</f>
        <v>SS-27/2025</v>
      </c>
      <c r="E85" t="s">
        <v>3002</v>
      </c>
      <c r="F85" t="s">
        <v>3074</v>
      </c>
      <c r="G85" t="s">
        <v>3097</v>
      </c>
      <c r="H85" s="375">
        <f t="shared" si="9"/>
        <v>116</v>
      </c>
      <c r="I85" s="380">
        <f>IF(A85="ASG", H85, IF(COUNTIF($A$2:A85,A85)=1, SUMIFS(Tb_HhPLAN[Ajustado], Tb_HhPLAN[COD-SS], Tb_HhPLAN[[#This Row],[COD-SS]]),""))</f>
        <v>232</v>
      </c>
      <c r="J85" s="380">
        <f>IFERROR(IF(Tb_HhPLAN[[#This Row],[DISCIPLINA]]="ASG","",((Tb_HhPLAN[[#This Row],[CÁLCULO]]/(SUMIFS(Tb_HhPLAN[Ajustado],Tb_HhPLAN[SS],Tb_HhPLAN[[#This Row],[SS]])-_xlfn.XLOOKUP(Tb_HhPLAN[[#This Row],[COD-AUX]],Tb_HhPLAN[COD-SS],Tb_HhPLAN[Ajustado],"",0,1)))*_xlfn.XLOOKUP(Tb_HhPLAN[[#This Row],[COD-AUX]],Tb_HhPLAN[COD-SS],Tb_HhPLAN[Ajustado],"",0,1))+IF(A85="ASG",H85,IF(COUNTIF($A$2:A85,A85)=1,SUMIFS(Tb_HhPLAN[Ajustado],Tb_HhPLAN[COD-SS],Tb_HhPLAN[[#This Row],[COD-SS]]),""))),"")</f>
        <v>377.17967781908305</v>
      </c>
    </row>
    <row r="86" spans="1:12" x14ac:dyDescent="0.3">
      <c r="A86" t="str">
        <f>Tb_HhPLAN[[#This Row],[SS]]&amp;Tb_HhPLAN[[#This Row],[DISCIPLINA]]</f>
        <v>SS-27/2025ELÉT</v>
      </c>
      <c r="B86" t="str">
        <f>Tb_HhPLAN[[#This Row],[SS]]&amp;"ASG"</f>
        <v>SS-27/2025ASG</v>
      </c>
      <c r="C86" t="str">
        <f>LEFT(Tb_HhPLAN[[#This Row],[SS]],5)</f>
        <v>SS-27</v>
      </c>
      <c r="D86" t="str">
        <f t="shared" si="15"/>
        <v>SS-27/2025</v>
      </c>
      <c r="E86" t="s">
        <v>3006</v>
      </c>
      <c r="F86" t="s">
        <v>3057</v>
      </c>
      <c r="G86" t="s">
        <v>3099</v>
      </c>
      <c r="H86" s="375">
        <f t="shared" si="9"/>
        <v>72</v>
      </c>
      <c r="I86" s="380">
        <f>IF(A86="ASG", H86, IF(COUNTIF($A$2:A86,A86)=1, SUMIFS(Tb_HhPLAN[Ajustado], Tb_HhPLAN[COD-SS], Tb_HhPLAN[[#This Row],[COD-SS]]),""))</f>
        <v>72</v>
      </c>
      <c r="J86" s="380">
        <f>IFERROR(IF(Tb_HhPLAN[[#This Row],[DISCIPLINA]]="ASG","",((Tb_HhPLAN[[#This Row],[CÁLCULO]]/(SUMIFS(Tb_HhPLAN[Ajustado],Tb_HhPLAN[SS],Tb_HhPLAN[[#This Row],[SS]])-_xlfn.XLOOKUP(Tb_HhPLAN[[#This Row],[COD-AUX]],Tb_HhPLAN[COD-SS],Tb_HhPLAN[Ajustado],"",0,1)))*_xlfn.XLOOKUP(Tb_HhPLAN[[#This Row],[COD-AUX]],Tb_HhPLAN[COD-SS],Tb_HhPLAN[Ajustado],"",0,1))+IF(A86="ASG",H86,IF(COUNTIF($A$2:A86,A86)=1,SUMIFS(Tb_HhPLAN[Ajustado],Tb_HhPLAN[COD-SS],Tb_HhPLAN[[#This Row],[COD-SS]]),""))),"")</f>
        <v>117.05576208178439</v>
      </c>
    </row>
    <row r="87" spans="1:12" x14ac:dyDescent="0.3">
      <c r="A87" t="str">
        <f>Tb_HhPLAN[[#This Row],[SS]]&amp;Tb_HhPLAN[[#This Row],[DISCIPLINA]]</f>
        <v>SS-27/2025PINT</v>
      </c>
      <c r="B87" t="str">
        <f>Tb_HhPLAN[[#This Row],[SS]]&amp;"ASG"</f>
        <v>SS-27/2025ASG</v>
      </c>
      <c r="C87" t="str">
        <f>LEFT(Tb_HhPLAN[[#This Row],[SS]],5)</f>
        <v>SS-27</v>
      </c>
      <c r="D87" t="str">
        <f t="shared" si="15"/>
        <v>SS-27/2025</v>
      </c>
      <c r="E87" t="s">
        <v>3012</v>
      </c>
      <c r="F87" t="s">
        <v>3075</v>
      </c>
      <c r="G87" t="s">
        <v>3100</v>
      </c>
      <c r="H87" s="375">
        <f t="shared" si="9"/>
        <v>18.8</v>
      </c>
      <c r="I87" s="380">
        <f>IF(A87="ASG", H87, IF(COUNTIF($A$2:A87,A87)=1, SUMIFS(Tb_HhPLAN[Ajustado], Tb_HhPLAN[COD-SS], Tb_HhPLAN[[#This Row],[COD-SS]]),""))</f>
        <v>18.8</v>
      </c>
      <c r="J87" s="380">
        <f>IFERROR(IF(Tb_HhPLAN[[#This Row],[DISCIPLINA]]="ASG","",((Tb_HhPLAN[[#This Row],[CÁLCULO]]/(SUMIFS(Tb_HhPLAN[Ajustado],Tb_HhPLAN[SS],Tb_HhPLAN[[#This Row],[SS]])-_xlfn.XLOOKUP(Tb_HhPLAN[[#This Row],[COD-AUX]],Tb_HhPLAN[COD-SS],Tb_HhPLAN[Ajustado],"",0,1)))*_xlfn.XLOOKUP(Tb_HhPLAN[[#This Row],[COD-AUX]],Tb_HhPLAN[COD-SS],Tb_HhPLAN[Ajustado],"",0,1))+IF(A87="ASG",H87,IF(COUNTIF($A$2:A87,A87)=1,SUMIFS(Tb_HhPLAN[Ajustado],Tb_HhPLAN[COD-SS],Tb_HhPLAN[[#This Row],[COD-SS]]),""))),"")</f>
        <v>30.564560099132592</v>
      </c>
    </row>
    <row r="88" spans="1:12" x14ac:dyDescent="0.3">
      <c r="A88" t="str">
        <f>Tb_HhPLAN[[#This Row],[SS]]&amp;Tb_HhPLAN[[#This Row],[DISCIPLINA]]</f>
        <v>SS-27/2025MEC</v>
      </c>
      <c r="B88" t="str">
        <f>Tb_HhPLAN[[#This Row],[SS]]&amp;"ASG"</f>
        <v>SS-27/2025ASG</v>
      </c>
      <c r="C88" t="str">
        <f>LEFT(Tb_HhPLAN[[#This Row],[SS]],5)</f>
        <v>SS-27</v>
      </c>
      <c r="D88" t="str">
        <f t="shared" si="15"/>
        <v>SS-27/2025</v>
      </c>
      <c r="E88" t="s">
        <v>3008</v>
      </c>
      <c r="F88" t="s">
        <v>3074</v>
      </c>
      <c r="G88" t="s">
        <v>3097</v>
      </c>
      <c r="H88" s="375">
        <f t="shared" si="9"/>
        <v>116</v>
      </c>
      <c r="I88" s="380" t="str">
        <f>IF(A88="ASG", H88, IF(COUNTIF($A$2:A88,A88)=1, SUMIFS(Tb_HhPLAN[Ajustado], Tb_HhPLAN[COD-SS], Tb_HhPLAN[[#This Row],[COD-SS]]),""))</f>
        <v/>
      </c>
      <c r="J88" s="380" t="str">
        <f>IFERROR(IF(Tb_HhPLAN[[#This Row],[DISCIPLINA]]="ASG","",((Tb_HhPLAN[[#This Row],[CÁLCULO]]/(SUMIFS(Tb_HhPLAN[Ajustado],Tb_HhPLAN[SS],Tb_HhPLAN[[#This Row],[SS]])-_xlfn.XLOOKUP(Tb_HhPLAN[[#This Row],[COD-AUX]],Tb_HhPLAN[COD-SS],Tb_HhPLAN[Ajustado],"",0,1)))*_xlfn.XLOOKUP(Tb_HhPLAN[[#This Row],[COD-AUX]],Tb_HhPLAN[COD-SS],Tb_HhPLAN[Ajustado],"",0,1))+IF(A88="ASG",H88,IF(COUNTIF($A$2:A88,A88)=1,SUMIFS(Tb_HhPLAN[Ajustado],Tb_HhPLAN[COD-SS],Tb_HhPLAN[[#This Row],[COD-SS]]),""))),"")</f>
        <v/>
      </c>
    </row>
    <row r="89" spans="1:12" x14ac:dyDescent="0.3">
      <c r="A89" t="str">
        <f>Tb_HhPLAN[[#This Row],[SS]]&amp;Tb_HhPLAN[[#This Row],[DISCIPLINA]]</f>
        <v>SS-28/2025ASG</v>
      </c>
      <c r="B89" t="str">
        <f>Tb_HhPLAN[[#This Row],[SS]]&amp;"ASG"</f>
        <v>SS-28/2025ASG</v>
      </c>
      <c r="C89" t="str">
        <f>LEFT(Tb_HhPLAN[[#This Row],[SS]],5)</f>
        <v>SS-28</v>
      </c>
      <c r="D89" t="s">
        <v>242</v>
      </c>
      <c r="E89" t="s">
        <v>3000</v>
      </c>
      <c r="F89" t="s">
        <v>3076</v>
      </c>
      <c r="G89" t="s">
        <v>3102</v>
      </c>
      <c r="H89" s="375">
        <f t="shared" si="9"/>
        <v>1552</v>
      </c>
      <c r="I89" s="380">
        <f>IF(A89="ASG", H89, IF(COUNTIF($A$2:A89,A89)=1, SUMIFS(Tb_HhPLAN[Ajustado], Tb_HhPLAN[COD-SS], Tb_HhPLAN[[#This Row],[COD-SS]]),""))</f>
        <v>1552</v>
      </c>
      <c r="J89" s="380" t="str">
        <f>IFERROR(IF(Tb_HhPLAN[[#This Row],[DISCIPLINA]]="ASG","",((Tb_HhPLAN[[#This Row],[CÁLCULO]]/(SUMIFS(Tb_HhPLAN[Ajustado],Tb_HhPLAN[SS],Tb_HhPLAN[[#This Row],[SS]])-_xlfn.XLOOKUP(Tb_HhPLAN[[#This Row],[COD-AUX]],Tb_HhPLAN[COD-SS],Tb_HhPLAN[Ajustado],"",0,1)))*_xlfn.XLOOKUP(Tb_HhPLAN[[#This Row],[COD-AUX]],Tb_HhPLAN[COD-SS],Tb_HhPLAN[Ajustado],"",0,1))+IF(A89="ASG",H89,IF(COUNTIF($A$2:A89,A89)=1,SUMIFS(Tb_HhPLAN[Ajustado],Tb_HhPLAN[COD-SS],Tb_HhPLAN[[#This Row],[COD-SS]]),""))),"")</f>
        <v/>
      </c>
    </row>
    <row r="90" spans="1:12" x14ac:dyDescent="0.3">
      <c r="A90" t="str">
        <f>Tb_HhPLAN[[#This Row],[SS]]&amp;Tb_HhPLAN[[#This Row],[DISCIPLINA]]</f>
        <v>SS-28/2025MEC</v>
      </c>
      <c r="B90" t="str">
        <f>Tb_HhPLAN[[#This Row],[SS]]&amp;"ASG"</f>
        <v>SS-28/2025ASG</v>
      </c>
      <c r="C90" t="str">
        <f>LEFT(Tb_HhPLAN[[#This Row],[SS]],5)</f>
        <v>SS-28</v>
      </c>
      <c r="D90" t="str">
        <f t="shared" ref="D90:D93" si="16">D89</f>
        <v>SS-28/2025</v>
      </c>
      <c r="E90" t="s">
        <v>3002</v>
      </c>
      <c r="F90" t="s">
        <v>3077</v>
      </c>
      <c r="G90" t="s">
        <v>3097</v>
      </c>
      <c r="H90" s="375">
        <f t="shared" si="9"/>
        <v>800</v>
      </c>
      <c r="I90" s="380">
        <f>IF(A90="ASG", H90, IF(COUNTIF($A$2:A90,A90)=1, SUMIFS(Tb_HhPLAN[Ajustado], Tb_HhPLAN[COD-SS], Tb_HhPLAN[[#This Row],[COD-SS]]),""))</f>
        <v>1600</v>
      </c>
      <c r="J90" s="380">
        <f>IFERROR(IF(Tb_HhPLAN[[#This Row],[DISCIPLINA]]="ASG","",((Tb_HhPLAN[[#This Row],[CÁLCULO]]/(SUMIFS(Tb_HhPLAN[Ajustado],Tb_HhPLAN[SS],Tb_HhPLAN[[#This Row],[SS]])-_xlfn.XLOOKUP(Tb_HhPLAN[[#This Row],[COD-AUX]],Tb_HhPLAN[COD-SS],Tb_HhPLAN[Ajustado],"",0,1)))*_xlfn.XLOOKUP(Tb_HhPLAN[[#This Row],[COD-AUX]],Tb_HhPLAN[COD-SS],Tb_HhPLAN[Ajustado],"",0,1))+IF(A90="ASG",H90,IF(COUNTIF($A$2:A90,A90)=1,SUMIFS(Tb_HhPLAN[Ajustado],Tb_HhPLAN[COD-SS],Tb_HhPLAN[[#This Row],[COD-SS]]),""))),"")</f>
        <v>2859.2292089249495</v>
      </c>
    </row>
    <row r="91" spans="1:12" x14ac:dyDescent="0.3">
      <c r="A91" t="str">
        <f>Tb_HhPLAN[[#This Row],[SS]]&amp;Tb_HhPLAN[[#This Row],[DISCIPLINA]]</f>
        <v>SS-28/2025PINT</v>
      </c>
      <c r="B91" t="str">
        <f>Tb_HhPLAN[[#This Row],[SS]]&amp;"ASG"</f>
        <v>SS-28/2025ASG</v>
      </c>
      <c r="C91" t="str">
        <f>LEFT(Tb_HhPLAN[[#This Row],[SS]],5)</f>
        <v>SS-28</v>
      </c>
      <c r="D91" s="386" t="str">
        <f t="shared" si="16"/>
        <v>SS-28/2025</v>
      </c>
      <c r="E91" s="386" t="s">
        <v>3012</v>
      </c>
      <c r="F91" s="386" t="s">
        <v>3071</v>
      </c>
      <c r="G91" s="386" t="s">
        <v>3100</v>
      </c>
      <c r="H91" s="387">
        <f t="shared" si="9"/>
        <v>168</v>
      </c>
      <c r="I91" s="388">
        <f>IF(A91="ASG", H91, IF(COUNTIF($A$2:A91,A91)=1, SUMIFS(Tb_HhPLAN[Ajustado], Tb_HhPLAN[COD-SS], Tb_HhPLAN[[#This Row],[COD-SS]]),""))</f>
        <v>168</v>
      </c>
      <c r="J91" s="388">
        <f>IFERROR(IF(Tb_HhPLAN[[#This Row],[DISCIPLINA]]="ASG","",((Tb_HhPLAN[[#This Row],[CÁLCULO]]/(SUMIFS(Tb_HhPLAN[Ajustado],Tb_HhPLAN[SS],Tb_HhPLAN[[#This Row],[SS]])-_xlfn.XLOOKUP(Tb_HhPLAN[[#This Row],[COD-AUX]],Tb_HhPLAN[COD-SS],Tb_HhPLAN[Ajustado],"",0,1)))*_xlfn.XLOOKUP(Tb_HhPLAN[[#This Row],[COD-AUX]],Tb_HhPLAN[COD-SS],Tb_HhPLAN[Ajustado],"",0,1))+IF(A91="ASG",H91,IF(COUNTIF($A$2:A91,A91)=1,SUMIFS(Tb_HhPLAN[Ajustado],Tb_HhPLAN[COD-SS],Tb_HhPLAN[[#This Row],[COD-SS]]),""))),"")</f>
        <v>300.21906693711969</v>
      </c>
      <c r="L91" t="s">
        <v>3258</v>
      </c>
    </row>
    <row r="92" spans="1:12" x14ac:dyDescent="0.3">
      <c r="A92" t="str">
        <f>Tb_HhPLAN[[#This Row],[SS]]&amp;Tb_HhPLAN[[#This Row],[DISCIPLINA]]</f>
        <v>SS-28/2025ELÉT</v>
      </c>
      <c r="B92" t="str">
        <f>Tb_HhPLAN[[#This Row],[SS]]&amp;"ASG"</f>
        <v>SS-28/2025ASG</v>
      </c>
      <c r="C92" t="str">
        <f>LEFT(Tb_HhPLAN[[#This Row],[SS]],5)</f>
        <v>SS-28</v>
      </c>
      <c r="D92" t="str">
        <f t="shared" si="16"/>
        <v>SS-28/2025</v>
      </c>
      <c r="E92" t="s">
        <v>3006</v>
      </c>
      <c r="F92" t="s">
        <v>3078</v>
      </c>
      <c r="G92" t="s">
        <v>3099</v>
      </c>
      <c r="H92" s="375">
        <f t="shared" si="9"/>
        <v>204</v>
      </c>
      <c r="I92" s="380">
        <f>IF(A92="ASG", H92, IF(COUNTIF($A$2:A92,A92)=1, SUMIFS(Tb_HhPLAN[Ajustado], Tb_HhPLAN[COD-SS], Tb_HhPLAN[[#This Row],[COD-SS]]),""))</f>
        <v>204</v>
      </c>
      <c r="J92" s="380">
        <f>IFERROR(IF(Tb_HhPLAN[[#This Row],[DISCIPLINA]]="ASG","",((Tb_HhPLAN[[#This Row],[CÁLCULO]]/(SUMIFS(Tb_HhPLAN[Ajustado],Tb_HhPLAN[SS],Tb_HhPLAN[[#This Row],[SS]])-_xlfn.XLOOKUP(Tb_HhPLAN[[#This Row],[COD-AUX]],Tb_HhPLAN[COD-SS],Tb_HhPLAN[Ajustado],"",0,1)))*_xlfn.XLOOKUP(Tb_HhPLAN[[#This Row],[COD-AUX]],Tb_HhPLAN[COD-SS],Tb_HhPLAN[Ajustado],"",0,1))+IF(A92="ASG",H92,IF(COUNTIF($A$2:A92,A92)=1,SUMIFS(Tb_HhPLAN[Ajustado],Tb_HhPLAN[COD-SS],Tb_HhPLAN[[#This Row],[COD-SS]]),""))),"")</f>
        <v>364.55172413793105</v>
      </c>
    </row>
    <row r="93" spans="1:12" x14ac:dyDescent="0.3">
      <c r="A93" t="str">
        <f>Tb_HhPLAN[[#This Row],[SS]]&amp;Tb_HhPLAN[[#This Row],[DISCIPLINA]]</f>
        <v>SS-28/2025MEC</v>
      </c>
      <c r="B93" t="str">
        <f>Tb_HhPLAN[[#This Row],[SS]]&amp;"ASG"</f>
        <v>SS-28/2025ASG</v>
      </c>
      <c r="C93" t="str">
        <f>LEFT(Tb_HhPLAN[[#This Row],[SS]],5)</f>
        <v>SS-28</v>
      </c>
      <c r="D93" t="str">
        <f t="shared" si="16"/>
        <v>SS-28/2025</v>
      </c>
      <c r="E93" t="s">
        <v>3008</v>
      </c>
      <c r="F93" t="s">
        <v>3077</v>
      </c>
      <c r="G93" t="s">
        <v>3097</v>
      </c>
      <c r="H93" s="375">
        <f t="shared" si="9"/>
        <v>800</v>
      </c>
      <c r="I93" s="380" t="str">
        <f>IF(A93="ASG", H93, IF(COUNTIF($A$2:A93,A93)=1, SUMIFS(Tb_HhPLAN[Ajustado], Tb_HhPLAN[COD-SS], Tb_HhPLAN[[#This Row],[COD-SS]]),""))</f>
        <v/>
      </c>
      <c r="J93" s="380" t="str">
        <f>IFERROR(IF(Tb_HhPLAN[[#This Row],[DISCIPLINA]]="ASG","",((Tb_HhPLAN[[#This Row],[CÁLCULO]]/(SUMIFS(Tb_HhPLAN[Ajustado],Tb_HhPLAN[SS],Tb_HhPLAN[[#This Row],[SS]])-_xlfn.XLOOKUP(Tb_HhPLAN[[#This Row],[COD-AUX]],Tb_HhPLAN[COD-SS],Tb_HhPLAN[Ajustado],"",0,1)))*_xlfn.XLOOKUP(Tb_HhPLAN[[#This Row],[COD-AUX]],Tb_HhPLAN[COD-SS],Tb_HhPLAN[Ajustado],"",0,1))+IF(A93="ASG",H93,IF(COUNTIF($A$2:A93,A93)=1,SUMIFS(Tb_HhPLAN[Ajustado],Tb_HhPLAN[COD-SS],Tb_HhPLAN[[#This Row],[COD-SS]]),""))),"")</f>
        <v/>
      </c>
    </row>
    <row r="94" spans="1:12" x14ac:dyDescent="0.3">
      <c r="A94" t="str">
        <f>Tb_HhPLAN[[#This Row],[SS]]&amp;Tb_HhPLAN[[#This Row],[DISCIPLINA]]</f>
        <v>SS-29/2025ASG</v>
      </c>
      <c r="B94" t="str">
        <f>Tb_HhPLAN[[#This Row],[SS]]&amp;"ASG"</f>
        <v>SS-29/2025ASG</v>
      </c>
      <c r="C94" t="str">
        <f>LEFT(Tb_HhPLAN[[#This Row],[SS]],5)</f>
        <v>SS-29</v>
      </c>
      <c r="D94" t="s">
        <v>243</v>
      </c>
      <c r="E94" t="s">
        <v>3000</v>
      </c>
      <c r="F94" t="s">
        <v>3079</v>
      </c>
      <c r="G94" t="s">
        <v>3102</v>
      </c>
      <c r="H94" s="375">
        <f t="shared" si="9"/>
        <v>1187.2</v>
      </c>
      <c r="I94" s="380">
        <f>IF(A94="ASG", H94, IF(COUNTIF($A$2:A94,A94)=1, SUMIFS(Tb_HhPLAN[Ajustado], Tb_HhPLAN[COD-SS], Tb_HhPLAN[[#This Row],[COD-SS]]),""))</f>
        <v>1187.2</v>
      </c>
      <c r="J94" s="380" t="str">
        <f>IFERROR(IF(Tb_HhPLAN[[#This Row],[DISCIPLINA]]="ASG","",((Tb_HhPLAN[[#This Row],[CÁLCULO]]/(SUMIFS(Tb_HhPLAN[Ajustado],Tb_HhPLAN[SS],Tb_HhPLAN[[#This Row],[SS]])-_xlfn.XLOOKUP(Tb_HhPLAN[[#This Row],[COD-AUX]],Tb_HhPLAN[COD-SS],Tb_HhPLAN[Ajustado],"",0,1)))*_xlfn.XLOOKUP(Tb_HhPLAN[[#This Row],[COD-AUX]],Tb_HhPLAN[COD-SS],Tb_HhPLAN[Ajustado],"",0,1))+IF(A94="ASG",H94,IF(COUNTIF($A$2:A94,A94)=1,SUMIFS(Tb_HhPLAN[Ajustado],Tb_HhPLAN[COD-SS],Tb_HhPLAN[[#This Row],[COD-SS]]),""))),"")</f>
        <v/>
      </c>
    </row>
    <row r="95" spans="1:12" x14ac:dyDescent="0.3">
      <c r="A95" t="str">
        <f>Tb_HhPLAN[[#This Row],[SS]]&amp;Tb_HhPLAN[[#This Row],[DISCIPLINA]]</f>
        <v>SS-29/2025MEC</v>
      </c>
      <c r="B95" t="str">
        <f>Tb_HhPLAN[[#This Row],[SS]]&amp;"ASG"</f>
        <v>SS-29/2025ASG</v>
      </c>
      <c r="C95" t="str">
        <f>LEFT(Tb_HhPLAN[[#This Row],[SS]],5)</f>
        <v>SS-29</v>
      </c>
      <c r="D95" t="str">
        <f t="shared" ref="D95:D97" si="17">D94</f>
        <v>SS-29/2025</v>
      </c>
      <c r="E95" t="s">
        <v>3002</v>
      </c>
      <c r="F95" t="s">
        <v>3080</v>
      </c>
      <c r="G95" t="s">
        <v>3097</v>
      </c>
      <c r="H95" s="375">
        <f t="shared" si="9"/>
        <v>280</v>
      </c>
      <c r="I95" s="380">
        <f>IF(A95="ASG", H95, IF(COUNTIF($A$2:A95,A95)=1, SUMIFS(Tb_HhPLAN[Ajustado], Tb_HhPLAN[COD-SS], Tb_HhPLAN[[#This Row],[COD-SS]]),""))</f>
        <v>280</v>
      </c>
      <c r="J95" s="380">
        <f>IFERROR(IF(Tb_HhPLAN[[#This Row],[DISCIPLINA]]="ASG","",((Tb_HhPLAN[[#This Row],[CÁLCULO]]/(SUMIFS(Tb_HhPLAN[Ajustado],Tb_HhPLAN[SS],Tb_HhPLAN[[#This Row],[SS]])-_xlfn.XLOOKUP(Tb_HhPLAN[[#This Row],[COD-AUX]],Tb_HhPLAN[COD-SS],Tb_HhPLAN[Ajustado],"",0,1)))*_xlfn.XLOOKUP(Tb_HhPLAN[[#This Row],[COD-AUX]],Tb_HhPLAN[COD-SS],Tb_HhPLAN[Ajustado],"",0,1))+IF(A95="ASG",H95,IF(COUNTIF($A$2:A95,A95)=1,SUMIFS(Tb_HhPLAN[Ajustado],Tb_HhPLAN[COD-SS],Tb_HhPLAN[[#This Row],[COD-SS]]),""))),"")</f>
        <v>834.02666666666664</v>
      </c>
    </row>
    <row r="96" spans="1:12" x14ac:dyDescent="0.3">
      <c r="A96" t="str">
        <f>Tb_HhPLAN[[#This Row],[SS]]&amp;Tb_HhPLAN[[#This Row],[DISCIPLINA]]</f>
        <v>SS-29/2025CIVIL</v>
      </c>
      <c r="B96" t="str">
        <f>Tb_HhPLAN[[#This Row],[SS]]&amp;"ASG"</f>
        <v>SS-29/2025ASG</v>
      </c>
      <c r="C96" t="str">
        <f>LEFT(Tb_HhPLAN[[#This Row],[SS]],5)</f>
        <v>SS-29</v>
      </c>
      <c r="D96" t="str">
        <f t="shared" si="17"/>
        <v>SS-29/2025</v>
      </c>
      <c r="E96" t="s">
        <v>3010</v>
      </c>
      <c r="F96" t="s">
        <v>3081</v>
      </c>
      <c r="G96" t="s">
        <v>3098</v>
      </c>
      <c r="H96" s="375">
        <f t="shared" si="9"/>
        <v>248</v>
      </c>
      <c r="I96" s="380">
        <f>IF(A96="ASG", H96, IF(COUNTIF($A$2:A96,A96)=1, SUMIFS(Tb_HhPLAN[Ajustado], Tb_HhPLAN[COD-SS], Tb_HhPLAN[[#This Row],[COD-SS]]),""))</f>
        <v>248</v>
      </c>
      <c r="J96" s="380">
        <f>IFERROR(IF(Tb_HhPLAN[[#This Row],[DISCIPLINA]]="ASG","",((Tb_HhPLAN[[#This Row],[CÁLCULO]]/(SUMIFS(Tb_HhPLAN[Ajustado],Tb_HhPLAN[SS],Tb_HhPLAN[[#This Row],[SS]])-_xlfn.XLOOKUP(Tb_HhPLAN[[#This Row],[COD-AUX]],Tb_HhPLAN[COD-SS],Tb_HhPLAN[Ajustado],"",0,1)))*_xlfn.XLOOKUP(Tb_HhPLAN[[#This Row],[COD-AUX]],Tb_HhPLAN[COD-SS],Tb_HhPLAN[Ajustado],"",0,1))+IF(A96="ASG",H96,IF(COUNTIF($A$2:A96,A96)=1,SUMIFS(Tb_HhPLAN[Ajustado],Tb_HhPLAN[COD-SS],Tb_HhPLAN[[#This Row],[COD-SS]]),""))),"")</f>
        <v>738.70933333333335</v>
      </c>
    </row>
    <row r="97" spans="1:10" x14ac:dyDescent="0.3">
      <c r="A97" t="str">
        <f>Tb_HhPLAN[[#This Row],[SS]]&amp;Tb_HhPLAN[[#This Row],[DISCIPLINA]]</f>
        <v>SS-29/2025PINT</v>
      </c>
      <c r="B97" t="str">
        <f>Tb_HhPLAN[[#This Row],[SS]]&amp;"ASG"</f>
        <v>SS-29/2025ASG</v>
      </c>
      <c r="C97" t="str">
        <f>LEFT(Tb_HhPLAN[[#This Row],[SS]],5)</f>
        <v>SS-29</v>
      </c>
      <c r="D97" t="str">
        <f t="shared" si="17"/>
        <v>SS-29/2025</v>
      </c>
      <c r="E97" t="s">
        <v>3012</v>
      </c>
      <c r="F97" t="s">
        <v>3057</v>
      </c>
      <c r="G97" t="s">
        <v>3100</v>
      </c>
      <c r="H97" s="375">
        <f t="shared" si="9"/>
        <v>72</v>
      </c>
      <c r="I97" s="380">
        <f>IF(A97="ASG", H97, IF(COUNTIF($A$2:A97,A97)=1, SUMIFS(Tb_HhPLAN[Ajustado], Tb_HhPLAN[COD-SS], Tb_HhPLAN[[#This Row],[COD-SS]]),""))</f>
        <v>72</v>
      </c>
      <c r="J97" s="380">
        <f>IFERROR(IF(Tb_HhPLAN[[#This Row],[DISCIPLINA]]="ASG","",((Tb_HhPLAN[[#This Row],[CÁLCULO]]/(SUMIFS(Tb_HhPLAN[Ajustado],Tb_HhPLAN[SS],Tb_HhPLAN[[#This Row],[SS]])-_xlfn.XLOOKUP(Tb_HhPLAN[[#This Row],[COD-AUX]],Tb_HhPLAN[COD-SS],Tb_HhPLAN[Ajustado],"",0,1)))*_xlfn.XLOOKUP(Tb_HhPLAN[[#This Row],[COD-AUX]],Tb_HhPLAN[COD-SS],Tb_HhPLAN[Ajustado],"",0,1))+IF(A97="ASG",H97,IF(COUNTIF($A$2:A97,A97)=1,SUMIFS(Tb_HhPLAN[Ajustado],Tb_HhPLAN[COD-SS],Tb_HhPLAN[[#This Row],[COD-SS]]),""))),"")</f>
        <v>214.464</v>
      </c>
    </row>
    <row r="98" spans="1:10" x14ac:dyDescent="0.3">
      <c r="A98" t="str">
        <f>Tb_HhPLAN[[#This Row],[SS]]&amp;Tb_HhPLAN[[#This Row],[DISCIPLINA]]</f>
        <v>SS-30/2025ASG</v>
      </c>
      <c r="B98" t="str">
        <f>Tb_HhPLAN[[#This Row],[SS]]&amp;"ASG"</f>
        <v>SS-30/2025ASG</v>
      </c>
      <c r="C98" t="str">
        <f>LEFT(Tb_HhPLAN[[#This Row],[SS]],5)</f>
        <v>SS-30</v>
      </c>
      <c r="D98" t="s">
        <v>244</v>
      </c>
      <c r="E98" t="s">
        <v>3000</v>
      </c>
      <c r="F98" t="s">
        <v>3082</v>
      </c>
      <c r="G98" t="s">
        <v>3102</v>
      </c>
      <c r="H98" s="375">
        <f t="shared" si="9"/>
        <v>296</v>
      </c>
      <c r="I98" s="380">
        <f>IF(A98="ASG", H98, IF(COUNTIF($A$2:A98,A98)=1, SUMIFS(Tb_HhPLAN[Ajustado], Tb_HhPLAN[COD-SS], Tb_HhPLAN[[#This Row],[COD-SS]]),""))</f>
        <v>296</v>
      </c>
      <c r="J98" s="380" t="str">
        <f>IFERROR(IF(Tb_HhPLAN[[#This Row],[DISCIPLINA]]="ASG","",((Tb_HhPLAN[[#This Row],[CÁLCULO]]/(SUMIFS(Tb_HhPLAN[Ajustado],Tb_HhPLAN[SS],Tb_HhPLAN[[#This Row],[SS]])-_xlfn.XLOOKUP(Tb_HhPLAN[[#This Row],[COD-AUX]],Tb_HhPLAN[COD-SS],Tb_HhPLAN[Ajustado],"",0,1)))*_xlfn.XLOOKUP(Tb_HhPLAN[[#This Row],[COD-AUX]],Tb_HhPLAN[COD-SS],Tb_HhPLAN[Ajustado],"",0,1))+IF(A98="ASG",H98,IF(COUNTIF($A$2:A98,A98)=1,SUMIFS(Tb_HhPLAN[Ajustado],Tb_HhPLAN[COD-SS],Tb_HhPLAN[[#This Row],[COD-SS]]),""))),"")</f>
        <v/>
      </c>
    </row>
    <row r="99" spans="1:10" x14ac:dyDescent="0.3">
      <c r="A99" t="str">
        <f>Tb_HhPLAN[[#This Row],[SS]]&amp;Tb_HhPLAN[[#This Row],[DISCIPLINA]]</f>
        <v>SS-30/2025CIVIL</v>
      </c>
      <c r="B99" t="str">
        <f>Tb_HhPLAN[[#This Row],[SS]]&amp;"ASG"</f>
        <v>SS-30/2025ASG</v>
      </c>
      <c r="C99" t="str">
        <f>LEFT(Tb_HhPLAN[[#This Row],[SS]],5)</f>
        <v>SS-30</v>
      </c>
      <c r="D99" t="str">
        <f t="shared" ref="D99" si="18">D98</f>
        <v>SS-30/2025</v>
      </c>
      <c r="E99" t="s">
        <v>3010</v>
      </c>
      <c r="F99" t="s">
        <v>3036</v>
      </c>
      <c r="G99" t="s">
        <v>3098</v>
      </c>
      <c r="H99" s="375">
        <f t="shared" si="9"/>
        <v>152</v>
      </c>
      <c r="I99" s="380">
        <f>IF(A99="ASG", H99, IF(COUNTIF($A$2:A99,A99)=1, SUMIFS(Tb_HhPLAN[Ajustado], Tb_HhPLAN[COD-SS], Tb_HhPLAN[[#This Row],[COD-SS]]),""))</f>
        <v>152</v>
      </c>
      <c r="J99" s="380">
        <f>IFERROR(IF(Tb_HhPLAN[[#This Row],[DISCIPLINA]]="ASG","",((Tb_HhPLAN[[#This Row],[CÁLCULO]]/(SUMIFS(Tb_HhPLAN[Ajustado],Tb_HhPLAN[SS],Tb_HhPLAN[[#This Row],[SS]])-_xlfn.XLOOKUP(Tb_HhPLAN[[#This Row],[COD-AUX]],Tb_HhPLAN[COD-SS],Tb_HhPLAN[Ajustado],"",0,1)))*_xlfn.XLOOKUP(Tb_HhPLAN[[#This Row],[COD-AUX]],Tb_HhPLAN[COD-SS],Tb_HhPLAN[Ajustado],"",0,1))+IF(A99="ASG",H99,IF(COUNTIF($A$2:A99,A99)=1,SUMIFS(Tb_HhPLAN[Ajustado],Tb_HhPLAN[COD-SS],Tb_HhPLAN[[#This Row],[COD-SS]]),""))),"")</f>
        <v>448</v>
      </c>
    </row>
    <row r="100" spans="1:10" x14ac:dyDescent="0.3">
      <c r="A100" t="str">
        <f>Tb_HhPLAN[[#This Row],[SS]]&amp;Tb_HhPLAN[[#This Row],[DISCIPLINA]]</f>
        <v>SS-31/2025ASG</v>
      </c>
      <c r="B100" t="str">
        <f>Tb_HhPLAN[[#This Row],[SS]]&amp;"ASG"</f>
        <v>SS-31/2025ASG</v>
      </c>
      <c r="C100" t="str">
        <f>LEFT(Tb_HhPLAN[[#This Row],[SS]],5)</f>
        <v>SS-31</v>
      </c>
      <c r="D100" t="s">
        <v>250</v>
      </c>
      <c r="E100" t="s">
        <v>3000</v>
      </c>
      <c r="F100" t="s">
        <v>3083</v>
      </c>
      <c r="G100" t="s">
        <v>3102</v>
      </c>
      <c r="H100" s="375">
        <f t="shared" si="9"/>
        <v>180</v>
      </c>
      <c r="I100" s="380">
        <f>IF(A100="ASG", H100, IF(COUNTIF($A$2:A100,A100)=1, SUMIFS(Tb_HhPLAN[Ajustado], Tb_HhPLAN[COD-SS], Tb_HhPLAN[[#This Row],[COD-SS]]),""))</f>
        <v>180</v>
      </c>
      <c r="J100" s="380" t="str">
        <f>IFERROR(IF(Tb_HhPLAN[[#This Row],[DISCIPLINA]]="ASG","",((Tb_HhPLAN[[#This Row],[CÁLCULO]]/(SUMIFS(Tb_HhPLAN[Ajustado],Tb_HhPLAN[SS],Tb_HhPLAN[[#This Row],[SS]])-_xlfn.XLOOKUP(Tb_HhPLAN[[#This Row],[COD-AUX]],Tb_HhPLAN[COD-SS],Tb_HhPLAN[Ajustado],"",0,1)))*_xlfn.XLOOKUP(Tb_HhPLAN[[#This Row],[COD-AUX]],Tb_HhPLAN[COD-SS],Tb_HhPLAN[Ajustado],"",0,1))+IF(A100="ASG",H100,IF(COUNTIF($A$2:A100,A100)=1,SUMIFS(Tb_HhPLAN[Ajustado],Tb_HhPLAN[COD-SS],Tb_HhPLAN[[#This Row],[COD-SS]]),""))),"")</f>
        <v/>
      </c>
    </row>
    <row r="101" spans="1:10" x14ac:dyDescent="0.3">
      <c r="A101" t="str">
        <f>Tb_HhPLAN[[#This Row],[SS]]&amp;Tb_HhPLAN[[#This Row],[DISCIPLINA]]</f>
        <v>SS-31/2025CIVIL</v>
      </c>
      <c r="B101" t="str">
        <f>Tb_HhPLAN[[#This Row],[SS]]&amp;"ASG"</f>
        <v>SS-31/2025ASG</v>
      </c>
      <c r="C101" t="str">
        <f>LEFT(Tb_HhPLAN[[#This Row],[SS]],5)</f>
        <v>SS-31</v>
      </c>
      <c r="D101" t="str">
        <f t="shared" ref="D101" si="19">D100</f>
        <v>SS-31/2025</v>
      </c>
      <c r="E101" t="s">
        <v>3010</v>
      </c>
      <c r="F101" t="s">
        <v>3028</v>
      </c>
      <c r="G101" t="s">
        <v>3098</v>
      </c>
      <c r="H101" s="375">
        <f t="shared" si="9"/>
        <v>112</v>
      </c>
      <c r="I101" s="380">
        <f>IF(A101="ASG", H101, IF(COUNTIF($A$2:A101,A101)=1, SUMIFS(Tb_HhPLAN[Ajustado], Tb_HhPLAN[COD-SS], Tb_HhPLAN[[#This Row],[COD-SS]]),""))</f>
        <v>112</v>
      </c>
      <c r="J101" s="380">
        <f>IFERROR(IF(Tb_HhPLAN[[#This Row],[DISCIPLINA]]="ASG","",((Tb_HhPLAN[[#This Row],[CÁLCULO]]/(SUMIFS(Tb_HhPLAN[Ajustado],Tb_HhPLAN[SS],Tb_HhPLAN[[#This Row],[SS]])-_xlfn.XLOOKUP(Tb_HhPLAN[[#This Row],[COD-AUX]],Tb_HhPLAN[COD-SS],Tb_HhPLAN[Ajustado],"",0,1)))*_xlfn.XLOOKUP(Tb_HhPLAN[[#This Row],[COD-AUX]],Tb_HhPLAN[COD-SS],Tb_HhPLAN[Ajustado],"",0,1))+IF(A101="ASG",H101,IF(COUNTIF($A$2:A101,A101)=1,SUMIFS(Tb_HhPLAN[Ajustado],Tb_HhPLAN[COD-SS],Tb_HhPLAN[[#This Row],[COD-SS]]),""))),"")</f>
        <v>292</v>
      </c>
    </row>
    <row r="102" spans="1:10" x14ac:dyDescent="0.3">
      <c r="A102" t="str">
        <f>Tb_HhPLAN[[#This Row],[SS]]&amp;Tb_HhPLAN[[#This Row],[DISCIPLINA]]</f>
        <v>SS-32/2025ASG</v>
      </c>
      <c r="B102" t="str">
        <f>Tb_HhPLAN[[#This Row],[SS]]&amp;"ASG"</f>
        <v>SS-32/2025ASG</v>
      </c>
      <c r="C102" t="str">
        <f>LEFT(Tb_HhPLAN[[#This Row],[SS]],5)</f>
        <v>SS-32</v>
      </c>
      <c r="D102" t="s">
        <v>417</v>
      </c>
      <c r="E102" t="s">
        <v>3000</v>
      </c>
      <c r="F102" t="s">
        <v>3023</v>
      </c>
      <c r="G102" t="s">
        <v>3102</v>
      </c>
      <c r="H102" s="375">
        <f t="shared" si="9"/>
        <v>120</v>
      </c>
      <c r="I102" s="380">
        <f>IF(A102="ASG", H102, IF(COUNTIF($A$2:A102,A102)=1, SUMIFS(Tb_HhPLAN[Ajustado], Tb_HhPLAN[COD-SS], Tb_HhPLAN[[#This Row],[COD-SS]]),""))</f>
        <v>120</v>
      </c>
      <c r="J102" s="380" t="str">
        <f>IFERROR(IF(Tb_HhPLAN[[#This Row],[DISCIPLINA]]="ASG","",((Tb_HhPLAN[[#This Row],[CÁLCULO]]/(SUMIFS(Tb_HhPLAN[Ajustado],Tb_HhPLAN[SS],Tb_HhPLAN[[#This Row],[SS]])-_xlfn.XLOOKUP(Tb_HhPLAN[[#This Row],[COD-AUX]],Tb_HhPLAN[COD-SS],Tb_HhPLAN[Ajustado],"",0,1)))*_xlfn.XLOOKUP(Tb_HhPLAN[[#This Row],[COD-AUX]],Tb_HhPLAN[COD-SS],Tb_HhPLAN[Ajustado],"",0,1))+IF(A102="ASG",H102,IF(COUNTIF($A$2:A102,A102)=1,SUMIFS(Tb_HhPLAN[Ajustado],Tb_HhPLAN[COD-SS],Tb_HhPLAN[[#This Row],[COD-SS]]),""))),"")</f>
        <v/>
      </c>
    </row>
    <row r="103" spans="1:10" x14ac:dyDescent="0.3">
      <c r="A103" t="str">
        <f>Tb_HhPLAN[[#This Row],[SS]]&amp;Tb_HhPLAN[[#This Row],[DISCIPLINA]]</f>
        <v>SS-32/2025MEC</v>
      </c>
      <c r="B103" t="str">
        <f>Tb_HhPLAN[[#This Row],[SS]]&amp;"ASG"</f>
        <v>SS-32/2025ASG</v>
      </c>
      <c r="C103" t="str">
        <f>LEFT(Tb_HhPLAN[[#This Row],[SS]],5)</f>
        <v>SS-32</v>
      </c>
      <c r="D103" t="str">
        <f t="shared" ref="D103:D104" si="20">D102</f>
        <v>SS-32/2025</v>
      </c>
      <c r="E103" t="s">
        <v>3002</v>
      </c>
      <c r="F103" t="s">
        <v>3039</v>
      </c>
      <c r="G103" t="s">
        <v>3097</v>
      </c>
      <c r="H103" s="375">
        <f t="shared" si="9"/>
        <v>184</v>
      </c>
      <c r="I103" s="380">
        <f>IF(A103="ASG", H103, IF(COUNTIF($A$2:A103,A103)=1, SUMIFS(Tb_HhPLAN[Ajustado], Tb_HhPLAN[COD-SS], Tb_HhPLAN[[#This Row],[COD-SS]]),""))</f>
        <v>352</v>
      </c>
      <c r="J103" s="380">
        <f>IFERROR(IF(Tb_HhPLAN[[#This Row],[DISCIPLINA]]="ASG","",((Tb_HhPLAN[[#This Row],[CÁLCULO]]/(SUMIFS(Tb_HhPLAN[Ajustado],Tb_HhPLAN[SS],Tb_HhPLAN[[#This Row],[SS]])-_xlfn.XLOOKUP(Tb_HhPLAN[[#This Row],[COD-AUX]],Tb_HhPLAN[COD-SS],Tb_HhPLAN[Ajustado],"",0,1)))*_xlfn.XLOOKUP(Tb_HhPLAN[[#This Row],[COD-AUX]],Tb_HhPLAN[COD-SS],Tb_HhPLAN[Ajustado],"",0,1))+IF(A103="ASG",H103,IF(COUNTIF($A$2:A103,A103)=1,SUMIFS(Tb_HhPLAN[Ajustado],Tb_HhPLAN[COD-SS],Tb_HhPLAN[[#This Row],[COD-SS]]),""))),"")</f>
        <v>472</v>
      </c>
    </row>
    <row r="104" spans="1:10" x14ac:dyDescent="0.3">
      <c r="A104" t="str">
        <f>Tb_HhPLAN[[#This Row],[SS]]&amp;Tb_HhPLAN[[#This Row],[DISCIPLINA]]</f>
        <v>SS-32/2025MEC</v>
      </c>
      <c r="B104" t="str">
        <f>Tb_HhPLAN[[#This Row],[SS]]&amp;"ASG"</f>
        <v>SS-32/2025ASG</v>
      </c>
      <c r="C104" t="str">
        <f>LEFT(Tb_HhPLAN[[#This Row],[SS]],5)</f>
        <v>SS-32</v>
      </c>
      <c r="D104" t="str">
        <f t="shared" si="20"/>
        <v>SS-32/2025</v>
      </c>
      <c r="E104" t="s">
        <v>3004</v>
      </c>
      <c r="F104" t="s">
        <v>3071</v>
      </c>
      <c r="G104" t="s">
        <v>3097</v>
      </c>
      <c r="H104" s="375">
        <f t="shared" si="9"/>
        <v>168</v>
      </c>
      <c r="I104" s="380" t="str">
        <f>IF(A104="ASG", H104, IF(COUNTIF($A$2:A104,A104)=1, SUMIFS(Tb_HhPLAN[Ajustado], Tb_HhPLAN[COD-SS], Tb_HhPLAN[[#This Row],[COD-SS]]),""))</f>
        <v/>
      </c>
      <c r="J104" s="380" t="str">
        <f>IFERROR(IF(Tb_HhPLAN[[#This Row],[DISCIPLINA]]="ASG","",((Tb_HhPLAN[[#This Row],[CÁLCULO]]/(SUMIFS(Tb_HhPLAN[Ajustado],Tb_HhPLAN[SS],Tb_HhPLAN[[#This Row],[SS]])-_xlfn.XLOOKUP(Tb_HhPLAN[[#This Row],[COD-AUX]],Tb_HhPLAN[COD-SS],Tb_HhPLAN[Ajustado],"",0,1)))*_xlfn.XLOOKUP(Tb_HhPLAN[[#This Row],[COD-AUX]],Tb_HhPLAN[COD-SS],Tb_HhPLAN[Ajustado],"",0,1))+IF(A104="ASG",H104,IF(COUNTIF($A$2:A104,A104)=1,SUMIFS(Tb_HhPLAN[Ajustado],Tb_HhPLAN[COD-SS],Tb_HhPLAN[[#This Row],[COD-SS]]),""))),"")</f>
        <v/>
      </c>
    </row>
    <row r="105" spans="1:10" x14ac:dyDescent="0.3">
      <c r="A105" t="str">
        <f>Tb_HhPLAN[[#This Row],[SS]]&amp;Tb_HhPLAN[[#This Row],[DISCIPLINA]]</f>
        <v>SS-33/2025ASG</v>
      </c>
      <c r="B105" t="str">
        <f>Tb_HhPLAN[[#This Row],[SS]]&amp;"ASG"</f>
        <v>SS-33/2025ASG</v>
      </c>
      <c r="C105" t="str">
        <f>LEFT(Tb_HhPLAN[[#This Row],[SS]],5)</f>
        <v>SS-33</v>
      </c>
      <c r="D105" t="s">
        <v>416</v>
      </c>
      <c r="E105" t="s">
        <v>3000</v>
      </c>
      <c r="F105" t="s">
        <v>3084</v>
      </c>
      <c r="G105" t="s">
        <v>3102</v>
      </c>
      <c r="H105" s="375">
        <f t="shared" si="9"/>
        <v>2602</v>
      </c>
      <c r="I105" s="380">
        <f>IF(A105="ASG", H105, IF(COUNTIF($A$2:A105,A105)=1, SUMIFS(Tb_HhPLAN[Ajustado], Tb_HhPLAN[COD-SS], Tb_HhPLAN[[#This Row],[COD-SS]]),""))</f>
        <v>2602</v>
      </c>
      <c r="J105" s="380" t="str">
        <f>IFERROR(IF(Tb_HhPLAN[[#This Row],[DISCIPLINA]]="ASG","",((Tb_HhPLAN[[#This Row],[CÁLCULO]]/(SUMIFS(Tb_HhPLAN[Ajustado],Tb_HhPLAN[SS],Tb_HhPLAN[[#This Row],[SS]])-_xlfn.XLOOKUP(Tb_HhPLAN[[#This Row],[COD-AUX]],Tb_HhPLAN[COD-SS],Tb_HhPLAN[Ajustado],"",0,1)))*_xlfn.XLOOKUP(Tb_HhPLAN[[#This Row],[COD-AUX]],Tb_HhPLAN[COD-SS],Tb_HhPLAN[Ajustado],"",0,1))+IF(A105="ASG",H105,IF(COUNTIF($A$2:A105,A105)=1,SUMIFS(Tb_HhPLAN[Ajustado],Tb_HhPLAN[COD-SS],Tb_HhPLAN[[#This Row],[COD-SS]]),""))),"")</f>
        <v/>
      </c>
    </row>
    <row r="106" spans="1:10" x14ac:dyDescent="0.3">
      <c r="A106" t="str">
        <f>Tb_HhPLAN[[#This Row],[SS]]&amp;Tb_HhPLAN[[#This Row],[DISCIPLINA]]</f>
        <v>SS-33/2025CIVIL</v>
      </c>
      <c r="B106" t="str">
        <f>Tb_HhPLAN[[#This Row],[SS]]&amp;"ASG"</f>
        <v>SS-33/2025ASG</v>
      </c>
      <c r="C106" t="str">
        <f>LEFT(Tb_HhPLAN[[#This Row],[SS]],5)</f>
        <v>SS-33</v>
      </c>
      <c r="D106" t="str">
        <f t="shared" ref="D106" si="21">D105</f>
        <v>SS-33/2025</v>
      </c>
      <c r="E106" t="s">
        <v>3010</v>
      </c>
      <c r="F106" t="s">
        <v>3085</v>
      </c>
      <c r="G106" t="s">
        <v>3098</v>
      </c>
      <c r="H106" s="375">
        <f t="shared" si="9"/>
        <v>1080</v>
      </c>
      <c r="I106" s="380">
        <f>IF(A106="ASG", H106, IF(COUNTIF($A$2:A106,A106)=1, SUMIFS(Tb_HhPLAN[Ajustado], Tb_HhPLAN[COD-SS], Tb_HhPLAN[[#This Row],[COD-SS]]),""))</f>
        <v>1080</v>
      </c>
      <c r="J106" s="380">
        <f>IFERROR(IF(Tb_HhPLAN[[#This Row],[DISCIPLINA]]="ASG","",((Tb_HhPLAN[[#This Row],[CÁLCULO]]/(SUMIFS(Tb_HhPLAN[Ajustado],Tb_HhPLAN[SS],Tb_HhPLAN[[#This Row],[SS]])-_xlfn.XLOOKUP(Tb_HhPLAN[[#This Row],[COD-AUX]],Tb_HhPLAN[COD-SS],Tb_HhPLAN[Ajustado],"",0,1)))*_xlfn.XLOOKUP(Tb_HhPLAN[[#This Row],[COD-AUX]],Tb_HhPLAN[COD-SS],Tb_HhPLAN[Ajustado],"",0,1))+IF(A106="ASG",H106,IF(COUNTIF($A$2:A106,A106)=1,SUMIFS(Tb_HhPLAN[Ajustado],Tb_HhPLAN[COD-SS],Tb_HhPLAN[[#This Row],[COD-SS]]),""))),"")</f>
        <v>3682</v>
      </c>
    </row>
    <row r="107" spans="1:10" x14ac:dyDescent="0.3">
      <c r="A107" t="str">
        <f>Tb_HhPLAN[[#This Row],[SS]]&amp;Tb_HhPLAN[[#This Row],[DISCIPLINA]]</f>
        <v>SS-00/2026</v>
      </c>
      <c r="B107" t="str">
        <f>Tb_HhPLAN[[#This Row],[SS]]&amp;"ASG"</f>
        <v>SS-00/2026ASG</v>
      </c>
      <c r="C107" t="str">
        <f>LEFT(Tb_HhPLAN[[#This Row],[SS]],5)</f>
        <v>SS-00</v>
      </c>
      <c r="D107" s="381" t="s">
        <v>3101</v>
      </c>
      <c r="E107" s="381"/>
      <c r="F107" s="381"/>
      <c r="G107" s="381"/>
      <c r="H107" s="382"/>
      <c r="I107" s="380">
        <f>IF(A107="ASG", H107, IF(COUNTIF($A$2:A107,A107)=1, SUMIFS(Tb_HhPLAN[Ajustado], Tb_HhPLAN[COD-SS], Tb_HhPLAN[[#This Row],[COD-SS]]),""))</f>
        <v>0</v>
      </c>
      <c r="J107" s="380" t="str">
        <f>IFERROR(IF(Tb_HhPLAN[[#This Row],[DISCIPLINA]]="ASG","",((Tb_HhPLAN[[#This Row],[CÁLCULO]]/(SUMIFS(Tb_HhPLAN[Ajustado],Tb_HhPLAN[SS],Tb_HhPLAN[[#This Row],[SS]])-_xlfn.XLOOKUP(Tb_HhPLAN[[#This Row],[COD-AUX]],Tb_HhPLAN[COD-SS],Tb_HhPLAN[Ajustado],"",0,1)))*_xlfn.XLOOKUP(Tb_HhPLAN[[#This Row],[COD-AUX]],Tb_HhPLAN[COD-SS],Tb_HhPLAN[Ajustado],"",0,1))+IF(A107="ASG",H107,IF(COUNTIF($A$2:A107,A107)=1,SUMIFS(Tb_HhPLAN[Ajustado],Tb_HhPLAN[COD-SS],Tb_HhPLAN[[#This Row],[COD-SS]]),""))),"")</f>
        <v/>
      </c>
    </row>
    <row r="108" spans="1:10" x14ac:dyDescent="0.3">
      <c r="A108" t="str">
        <f>Tb_HhPLAN[[#This Row],[SS]]&amp;Tb_HhPLAN[[#This Row],[DISCIPLINA]]</f>
        <v>SS-01/2026ASG</v>
      </c>
      <c r="B108" t="str">
        <f>Tb_HhPLAN[[#This Row],[SS]]&amp;"ASG"</f>
        <v>SS-01/2026ASG</v>
      </c>
      <c r="C108" t="str">
        <f>LEFT(Tb_HhPLAN[[#This Row],[SS]],5)</f>
        <v>SS-01</v>
      </c>
      <c r="D108" t="s">
        <v>445</v>
      </c>
      <c r="E108" t="s">
        <v>3000</v>
      </c>
      <c r="F108" t="s">
        <v>3086</v>
      </c>
      <c r="G108" t="s">
        <v>3102</v>
      </c>
      <c r="H108" s="375">
        <f t="shared" si="9"/>
        <v>448</v>
      </c>
      <c r="I108" s="380">
        <f>IF(A108="ASG", H108, IF(COUNTIF($A$2:A108,A108)=1, SUMIFS(Tb_HhPLAN[Ajustado], Tb_HhPLAN[COD-SS], Tb_HhPLAN[[#This Row],[COD-SS]]),""))</f>
        <v>448</v>
      </c>
      <c r="J108" s="380" t="str">
        <f>IFERROR(IF(Tb_HhPLAN[[#This Row],[DISCIPLINA]]="ASG","",((Tb_HhPLAN[[#This Row],[CÁLCULO]]/(SUMIFS(Tb_HhPLAN[Ajustado],Tb_HhPLAN[SS],Tb_HhPLAN[[#This Row],[SS]])-_xlfn.XLOOKUP(Tb_HhPLAN[[#This Row],[COD-AUX]],Tb_HhPLAN[COD-SS],Tb_HhPLAN[Ajustado],"",0,1)))*_xlfn.XLOOKUP(Tb_HhPLAN[[#This Row],[COD-AUX]],Tb_HhPLAN[COD-SS],Tb_HhPLAN[Ajustado],"",0,1))+IF(A108="ASG",H108,IF(COUNTIF($A$2:A108,A108)=1,SUMIFS(Tb_HhPLAN[Ajustado],Tb_HhPLAN[COD-SS],Tb_HhPLAN[[#This Row],[COD-SS]]),""))),"")</f>
        <v/>
      </c>
    </row>
    <row r="109" spans="1:10" x14ac:dyDescent="0.3">
      <c r="A109" t="str">
        <f>Tb_HhPLAN[[#This Row],[SS]]&amp;Tb_HhPLAN[[#This Row],[DISCIPLINA]]</f>
        <v>SS-01/2026CIVIL</v>
      </c>
      <c r="B109" t="str">
        <f>Tb_HhPLAN[[#This Row],[SS]]&amp;"ASG"</f>
        <v>SS-01/2026ASG</v>
      </c>
      <c r="C109" t="str">
        <f>LEFT(Tb_HhPLAN[[#This Row],[SS]],5)</f>
        <v>SS-01</v>
      </c>
      <c r="D109" t="str">
        <f t="shared" ref="D109:D110" si="22">D108</f>
        <v>SS-01/2026</v>
      </c>
      <c r="E109" t="s">
        <v>3010</v>
      </c>
      <c r="F109" t="s">
        <v>3087</v>
      </c>
      <c r="G109" t="s">
        <v>3098</v>
      </c>
      <c r="H109" s="375">
        <f t="shared" si="9"/>
        <v>203.2</v>
      </c>
      <c r="I109" s="380">
        <f>IF(A109="ASG", H109, IF(COUNTIF($A$2:A109,A109)=1, SUMIFS(Tb_HhPLAN[Ajustado], Tb_HhPLAN[COD-SS], Tb_HhPLAN[[#This Row],[COD-SS]]),""))</f>
        <v>203.2</v>
      </c>
      <c r="J109" s="380">
        <f>IFERROR(IF(Tb_HhPLAN[[#This Row],[DISCIPLINA]]="ASG","",((Tb_HhPLAN[[#This Row],[CÁLCULO]]/(SUMIFS(Tb_HhPLAN[Ajustado],Tb_HhPLAN[SS],Tb_HhPLAN[[#This Row],[SS]])-_xlfn.XLOOKUP(Tb_HhPLAN[[#This Row],[COD-AUX]],Tb_HhPLAN[COD-SS],Tb_HhPLAN[Ajustado],"",0,1)))*_xlfn.XLOOKUP(Tb_HhPLAN[[#This Row],[COD-AUX]],Tb_HhPLAN[COD-SS],Tb_HhPLAN[Ajustado],"",0,1))+IF(A109="ASG",H109,IF(COUNTIF($A$2:A109,A109)=1,SUMIFS(Tb_HhPLAN[Ajustado],Tb_HhPLAN[COD-SS],Tb_HhPLAN[[#This Row],[COD-SS]]),""))),"")</f>
        <v>565.59490445859865</v>
      </c>
    </row>
    <row r="110" spans="1:10" x14ac:dyDescent="0.3">
      <c r="A110" t="str">
        <f>Tb_HhPLAN[[#This Row],[SS]]&amp;Tb_HhPLAN[[#This Row],[DISCIPLINA]]</f>
        <v>SS-01/2026ELÉT</v>
      </c>
      <c r="B110" t="str">
        <f>Tb_HhPLAN[[#This Row],[SS]]&amp;"ASG"</f>
        <v>SS-01/2026ASG</v>
      </c>
      <c r="C110" t="str">
        <f>LEFT(Tb_HhPLAN[[#This Row],[SS]],5)</f>
        <v>SS-01</v>
      </c>
      <c r="D110" t="str">
        <f t="shared" si="22"/>
        <v>SS-01/2026</v>
      </c>
      <c r="E110" t="s">
        <v>3006</v>
      </c>
      <c r="F110" t="s">
        <v>3033</v>
      </c>
      <c r="G110" t="s">
        <v>3099</v>
      </c>
      <c r="H110" s="375">
        <f t="shared" si="9"/>
        <v>48</v>
      </c>
      <c r="I110" s="380">
        <f>IF(A110="ASG", H110, IF(COUNTIF($A$2:A110,A110)=1, SUMIFS(Tb_HhPLAN[Ajustado], Tb_HhPLAN[COD-SS], Tb_HhPLAN[[#This Row],[COD-SS]]),""))</f>
        <v>48</v>
      </c>
      <c r="J110" s="380">
        <f>IFERROR(IF(Tb_HhPLAN[[#This Row],[DISCIPLINA]]="ASG","",((Tb_HhPLAN[[#This Row],[CÁLCULO]]/(SUMIFS(Tb_HhPLAN[Ajustado],Tb_HhPLAN[SS],Tb_HhPLAN[[#This Row],[SS]])-_xlfn.XLOOKUP(Tb_HhPLAN[[#This Row],[COD-AUX]],Tb_HhPLAN[COD-SS],Tb_HhPLAN[Ajustado],"",0,1)))*_xlfn.XLOOKUP(Tb_HhPLAN[[#This Row],[COD-AUX]],Tb_HhPLAN[COD-SS],Tb_HhPLAN[Ajustado],"",0,1))+IF(A110="ASG",H110,IF(COUNTIF($A$2:A110,A110)=1,SUMIFS(Tb_HhPLAN[Ajustado],Tb_HhPLAN[COD-SS],Tb_HhPLAN[[#This Row],[COD-SS]]),""))),"")</f>
        <v>133.60509554140125</v>
      </c>
    </row>
    <row r="111" spans="1:10" x14ac:dyDescent="0.3">
      <c r="A111" t="str">
        <f>Tb_HhPLAN[[#This Row],[SS]]&amp;Tb_HhPLAN[[#This Row],[DISCIPLINA]]</f>
        <v>SS-02/2026ASG</v>
      </c>
      <c r="B111" t="str">
        <f>Tb_HhPLAN[[#This Row],[SS]]&amp;"ASG"</f>
        <v>SS-02/2026ASG</v>
      </c>
      <c r="C111" t="str">
        <f>LEFT(Tb_HhPLAN[[#This Row],[SS]],5)</f>
        <v>SS-02</v>
      </c>
      <c r="D111" t="s">
        <v>530</v>
      </c>
      <c r="E111" t="s">
        <v>3000</v>
      </c>
      <c r="F111" t="s">
        <v>3088</v>
      </c>
      <c r="G111" t="s">
        <v>3102</v>
      </c>
      <c r="H111" s="375">
        <f t="shared" si="9"/>
        <v>486.5</v>
      </c>
      <c r="I111" s="380">
        <f>IF(A111="ASG", H111, IF(COUNTIF($A$2:A111,A111)=1, SUMIFS(Tb_HhPLAN[Ajustado], Tb_HhPLAN[COD-SS], Tb_HhPLAN[[#This Row],[COD-SS]]),""))</f>
        <v>486.5</v>
      </c>
      <c r="J111" s="380" t="str">
        <f>IFERROR(IF(Tb_HhPLAN[[#This Row],[DISCIPLINA]]="ASG","",((Tb_HhPLAN[[#This Row],[CÁLCULO]]/(SUMIFS(Tb_HhPLAN[Ajustado],Tb_HhPLAN[SS],Tb_HhPLAN[[#This Row],[SS]])-_xlfn.XLOOKUP(Tb_HhPLAN[[#This Row],[COD-AUX]],Tb_HhPLAN[COD-SS],Tb_HhPLAN[Ajustado],"",0,1)))*_xlfn.XLOOKUP(Tb_HhPLAN[[#This Row],[COD-AUX]],Tb_HhPLAN[COD-SS],Tb_HhPLAN[Ajustado],"",0,1))+IF(A111="ASG",H111,IF(COUNTIF($A$2:A111,A111)=1,SUMIFS(Tb_HhPLAN[Ajustado],Tb_HhPLAN[COD-SS],Tb_HhPLAN[[#This Row],[COD-SS]]),""))),"")</f>
        <v/>
      </c>
    </row>
    <row r="112" spans="1:10" x14ac:dyDescent="0.3">
      <c r="A112" t="str">
        <f>Tb_HhPLAN[[#This Row],[SS]]&amp;Tb_HhPLAN[[#This Row],[DISCIPLINA]]</f>
        <v>SS-02/2026MEC</v>
      </c>
      <c r="B112" t="str">
        <f>Tb_HhPLAN[[#This Row],[SS]]&amp;"ASG"</f>
        <v>SS-02/2026ASG</v>
      </c>
      <c r="C112" t="str">
        <f>LEFT(Tb_HhPLAN[[#This Row],[SS]],5)</f>
        <v>SS-02</v>
      </c>
      <c r="D112" t="str">
        <f t="shared" ref="D112:D115" si="23">D111</f>
        <v>SS-02/2026</v>
      </c>
      <c r="E112" t="s">
        <v>3002</v>
      </c>
      <c r="F112" t="s">
        <v>3089</v>
      </c>
      <c r="G112" t="s">
        <v>3097</v>
      </c>
      <c r="H112" s="375">
        <f t="shared" si="9"/>
        <v>240</v>
      </c>
      <c r="I112" s="380">
        <f>IF(A112="ASG", H112, IF(COUNTIF($A$2:A112,A112)=1, SUMIFS(Tb_HhPLAN[Ajustado], Tb_HhPLAN[COD-SS], Tb_HhPLAN[[#This Row],[COD-SS]]),""))</f>
        <v>480</v>
      </c>
      <c r="J112" s="380">
        <f>IFERROR(IF(Tb_HhPLAN[[#This Row],[DISCIPLINA]]="ASG","",((Tb_HhPLAN[[#This Row],[CÁLCULO]]/(SUMIFS(Tb_HhPLAN[Ajustado],Tb_HhPLAN[SS],Tb_HhPLAN[[#This Row],[SS]])-_xlfn.XLOOKUP(Tb_HhPLAN[[#This Row],[COD-AUX]],Tb_HhPLAN[COD-SS],Tb_HhPLAN[Ajustado],"",0,1)))*_xlfn.XLOOKUP(Tb_HhPLAN[[#This Row],[COD-AUX]],Tb_HhPLAN[COD-SS],Tb_HhPLAN[Ajustado],"",0,1))+IF(A112="ASG",H112,IF(COUNTIF($A$2:A112,A112)=1,SUMIFS(Tb_HhPLAN[Ajustado],Tb_HhPLAN[COD-SS],Tb_HhPLAN[[#This Row],[COD-SS]]),""))),"")</f>
        <v>834.53261876205079</v>
      </c>
    </row>
    <row r="113" spans="1:10" x14ac:dyDescent="0.3">
      <c r="A113" t="str">
        <f>Tb_HhPLAN[[#This Row],[SS]]&amp;Tb_HhPLAN[[#This Row],[DISCIPLINA]]</f>
        <v>SS-02/2026ELÉT</v>
      </c>
      <c r="B113" t="str">
        <f>Tb_HhPLAN[[#This Row],[SS]]&amp;"ASG"</f>
        <v>SS-02/2026ASG</v>
      </c>
      <c r="C113" t="str">
        <f>LEFT(Tb_HhPLAN[[#This Row],[SS]],5)</f>
        <v>SS-02</v>
      </c>
      <c r="D113" t="str">
        <f t="shared" si="23"/>
        <v>SS-02/2026</v>
      </c>
      <c r="E113" t="s">
        <v>3006</v>
      </c>
      <c r="F113" t="s">
        <v>3090</v>
      </c>
      <c r="G113" t="s">
        <v>3099</v>
      </c>
      <c r="H113" s="375">
        <f t="shared" si="9"/>
        <v>114.67</v>
      </c>
      <c r="I113" s="380">
        <f>IF(A113="ASG", H113, IF(COUNTIF($A$2:A113,A113)=1, SUMIFS(Tb_HhPLAN[Ajustado], Tb_HhPLAN[COD-SS], Tb_HhPLAN[[#This Row],[COD-SS]]),""))</f>
        <v>114.67</v>
      </c>
      <c r="J113" s="380">
        <f>IFERROR(IF(Tb_HhPLAN[[#This Row],[DISCIPLINA]]="ASG","",((Tb_HhPLAN[[#This Row],[CÁLCULO]]/(SUMIFS(Tb_HhPLAN[Ajustado],Tb_HhPLAN[SS],Tb_HhPLAN[[#This Row],[SS]])-_xlfn.XLOOKUP(Tb_HhPLAN[[#This Row],[COD-AUX]],Tb_HhPLAN[COD-SS],Tb_HhPLAN[Ajustado],"",0,1)))*_xlfn.XLOOKUP(Tb_HhPLAN[[#This Row],[COD-AUX]],Tb_HhPLAN[COD-SS],Tb_HhPLAN[Ajustado],"",0,1))+IF(A113="ASG",H113,IF(COUNTIF($A$2:A113,A113)=1,SUMIFS(Tb_HhPLAN[Ajustado],Tb_HhPLAN[COD-SS],Tb_HhPLAN[[#This Row],[COD-SS]]),""))),"")</f>
        <v>199.36636540300907</v>
      </c>
    </row>
    <row r="114" spans="1:10" x14ac:dyDescent="0.3">
      <c r="A114" t="str">
        <f>Tb_HhPLAN[[#This Row],[SS]]&amp;Tb_HhPLAN[[#This Row],[DISCIPLINA]]</f>
        <v>SS-02/2026PINT</v>
      </c>
      <c r="B114" t="str">
        <f>Tb_HhPLAN[[#This Row],[SS]]&amp;"ASG"</f>
        <v>SS-02/2026ASG</v>
      </c>
      <c r="C114" t="str">
        <f>LEFT(Tb_HhPLAN[[#This Row],[SS]],5)</f>
        <v>SS-02</v>
      </c>
      <c r="D114" t="str">
        <f t="shared" si="23"/>
        <v>SS-02/2026</v>
      </c>
      <c r="E114" t="s">
        <v>3012</v>
      </c>
      <c r="F114" t="s">
        <v>3091</v>
      </c>
      <c r="G114" t="s">
        <v>3100</v>
      </c>
      <c r="H114" s="375">
        <f t="shared" si="9"/>
        <v>64</v>
      </c>
      <c r="I114" s="380">
        <f>IF(A114="ASG", H114, IF(COUNTIF($A$2:A114,A114)=1, SUMIFS(Tb_HhPLAN[Ajustado], Tb_HhPLAN[COD-SS], Tb_HhPLAN[[#This Row],[COD-SS]]),""))</f>
        <v>64</v>
      </c>
      <c r="J114" s="380">
        <f>IFERROR(IF(Tb_HhPLAN[[#This Row],[DISCIPLINA]]="ASG","",((Tb_HhPLAN[[#This Row],[CÁLCULO]]/(SUMIFS(Tb_HhPLAN[Ajustado],Tb_HhPLAN[SS],Tb_HhPLAN[[#This Row],[SS]])-_xlfn.XLOOKUP(Tb_HhPLAN[[#This Row],[COD-AUX]],Tb_HhPLAN[COD-SS],Tb_HhPLAN[Ajustado],"",0,1)))*_xlfn.XLOOKUP(Tb_HhPLAN[[#This Row],[COD-AUX]],Tb_HhPLAN[COD-SS],Tb_HhPLAN[Ajustado],"",0,1))+IF(A114="ASG",H114,IF(COUNTIF($A$2:A114,A114)=1,SUMIFS(Tb_HhPLAN[Ajustado],Tb_HhPLAN[COD-SS],Tb_HhPLAN[[#This Row],[COD-SS]]),""))),"")</f>
        <v>111.2710158349401</v>
      </c>
    </row>
    <row r="115" spans="1:10" x14ac:dyDescent="0.3">
      <c r="A115" t="str">
        <f>Tb_HhPLAN[[#This Row],[SS]]&amp;Tb_HhPLAN[[#This Row],[DISCIPLINA]]</f>
        <v>SS-02/2026MEC</v>
      </c>
      <c r="B115" t="str">
        <f>Tb_HhPLAN[[#This Row],[SS]]&amp;"ASG"</f>
        <v>SS-02/2026ASG</v>
      </c>
      <c r="C115" t="str">
        <f>LEFT(Tb_HhPLAN[[#This Row],[SS]],5)</f>
        <v>SS-02</v>
      </c>
      <c r="D115" t="str">
        <f t="shared" si="23"/>
        <v>SS-02/2026</v>
      </c>
      <c r="E115" t="s">
        <v>3008</v>
      </c>
      <c r="F115" t="s">
        <v>3089</v>
      </c>
      <c r="G115" t="s">
        <v>3097</v>
      </c>
      <c r="H115" s="375">
        <f t="shared" si="9"/>
        <v>240</v>
      </c>
      <c r="I115" s="380" t="str">
        <f>IF(A115="ASG", H115, IF(COUNTIF($A$2:A115,A115)=1, SUMIFS(Tb_HhPLAN[Ajustado], Tb_HhPLAN[COD-SS], Tb_HhPLAN[[#This Row],[COD-SS]]),""))</f>
        <v/>
      </c>
      <c r="J115" s="380" t="str">
        <f>IFERROR(IF(Tb_HhPLAN[[#This Row],[DISCIPLINA]]="ASG","",((Tb_HhPLAN[[#This Row],[CÁLCULO]]/(SUMIFS(Tb_HhPLAN[Ajustado],Tb_HhPLAN[SS],Tb_HhPLAN[[#This Row],[SS]])-_xlfn.XLOOKUP(Tb_HhPLAN[[#This Row],[COD-AUX]],Tb_HhPLAN[COD-SS],Tb_HhPLAN[Ajustado],"",0,1)))*_xlfn.XLOOKUP(Tb_HhPLAN[[#This Row],[COD-AUX]],Tb_HhPLAN[COD-SS],Tb_HhPLAN[Ajustado],"",0,1))+IF(A115="ASG",H115,IF(COUNTIF($A$2:A115,A115)=1,SUMIFS(Tb_HhPLAN[Ajustado],Tb_HhPLAN[COD-SS],Tb_HhPLAN[[#This Row],[COD-SS]]),""))),"")</f>
        <v/>
      </c>
    </row>
    <row r="116" spans="1:10" x14ac:dyDescent="0.3">
      <c r="A116" t="str">
        <f>Tb_HhPLAN[[#This Row],[SS]]&amp;Tb_HhPLAN[[#This Row],[DISCIPLINA]]</f>
        <v>SS-03/2026ASG</v>
      </c>
      <c r="B116" t="str">
        <f>Tb_HhPLAN[[#This Row],[SS]]&amp;"ASG"</f>
        <v>SS-03/2026ASG</v>
      </c>
      <c r="C116" t="str">
        <f>LEFT(Tb_HhPLAN[[#This Row],[SS]],5)</f>
        <v>SS-03</v>
      </c>
      <c r="D116" s="122" t="s">
        <v>531</v>
      </c>
      <c r="E116" s="122" t="s">
        <v>3000</v>
      </c>
      <c r="F116" s="122" t="s">
        <v>3313</v>
      </c>
      <c r="G116" s="122" t="s">
        <v>3102</v>
      </c>
      <c r="H116" s="383"/>
      <c r="I116" s="380">
        <f>IF(A116="ASG", H116, IF(COUNTIF($A$2:A116,A116)=1, SUMIFS(Tb_HhPLAN[Ajustado], Tb_HhPLAN[COD-SS], Tb_HhPLAN[[#This Row],[COD-SS]]),""))</f>
        <v>0</v>
      </c>
      <c r="J116" s="380" t="str">
        <f>IFERROR(IF(Tb_HhPLAN[[#This Row],[DISCIPLINA]]="ASG","",((Tb_HhPLAN[[#This Row],[CÁLCULO]]/(SUMIFS(Tb_HhPLAN[Ajustado],Tb_HhPLAN[SS],Tb_HhPLAN[[#This Row],[SS]])-_xlfn.XLOOKUP(Tb_HhPLAN[[#This Row],[COD-AUX]],Tb_HhPLAN[COD-SS],Tb_HhPLAN[Ajustado],"",0,1)))*_xlfn.XLOOKUP(Tb_HhPLAN[[#This Row],[COD-AUX]],Tb_HhPLAN[COD-SS],Tb_HhPLAN[Ajustado],"",0,1))+IF(A116="ASG",H116,IF(COUNTIF($A$2:A116,A116)=1,SUMIFS(Tb_HhPLAN[Ajustado],Tb_HhPLAN[COD-SS],Tb_HhPLAN[[#This Row],[COD-SS]]),""))),"")</f>
        <v/>
      </c>
    </row>
    <row r="117" spans="1:10" x14ac:dyDescent="0.3">
      <c r="A117" t="str">
        <f>Tb_HhPLAN[[#This Row],[SS]]&amp;Tb_HhPLAN[[#This Row],[DISCIPLINA]]</f>
        <v>SS-03/2026MEC</v>
      </c>
      <c r="B117" t="str">
        <f>Tb_HhPLAN[[#This Row],[SS]]&amp;"ASG"</f>
        <v>SS-03/2026ASG</v>
      </c>
      <c r="C117" t="str">
        <f>LEFT(Tb_HhPLAN[[#This Row],[SS]],5)</f>
        <v>SS-03</v>
      </c>
      <c r="D117" s="122" t="s">
        <v>531</v>
      </c>
      <c r="E117" s="122" t="s">
        <v>3002</v>
      </c>
      <c r="F117" s="122" t="s">
        <v>3081</v>
      </c>
      <c r="G117" s="122" t="s">
        <v>3097</v>
      </c>
      <c r="H117" s="383">
        <f>VALUE(SUBSTITUTE(F117," hrs",""))</f>
        <v>248</v>
      </c>
      <c r="I117" s="380">
        <f>IF(A117="ASG", H117, IF(COUNTIF($A$2:A117,A117)=1, SUMIFS(Tb_HhPLAN[Ajustado], Tb_HhPLAN[COD-SS], Tb_HhPLAN[[#This Row],[COD-SS]]),""))</f>
        <v>496</v>
      </c>
      <c r="J117" s="380">
        <f>IFERROR(IF(Tb_HhPLAN[[#This Row],[DISCIPLINA]]="ASG","",((Tb_HhPLAN[[#This Row],[CÁLCULO]]/(SUMIFS(Tb_HhPLAN[Ajustado],Tb_HhPLAN[SS],Tb_HhPLAN[[#This Row],[SS]])-_xlfn.XLOOKUP(Tb_HhPLAN[[#This Row],[COD-AUX]],Tb_HhPLAN[COD-SS],Tb_HhPLAN[Ajustado],"",0,1)))*_xlfn.XLOOKUP(Tb_HhPLAN[[#This Row],[COD-AUX]],Tb_HhPLAN[COD-SS],Tb_HhPLAN[Ajustado],"",0,1))+IF(A117="ASG",H117,IF(COUNTIF($A$2:A117,A117)=1,SUMIFS(Tb_HhPLAN[Ajustado],Tb_HhPLAN[COD-SS],Tb_HhPLAN[[#This Row],[COD-SS]]),""))),"")</f>
        <v>496</v>
      </c>
    </row>
    <row r="118" spans="1:10" x14ac:dyDescent="0.3">
      <c r="A118" t="str">
        <f>Tb_HhPLAN[[#This Row],[SS]]&amp;Tb_HhPLAN[[#This Row],[DISCIPLINA]]</f>
        <v>SS-03/2026ELÉT</v>
      </c>
      <c r="B118" t="str">
        <f>Tb_HhPLAN[[#This Row],[SS]]&amp;"ASG"</f>
        <v>SS-03/2026ASG</v>
      </c>
      <c r="C118" t="str">
        <f>LEFT(Tb_HhPLAN[[#This Row],[SS]],5)</f>
        <v>SS-03</v>
      </c>
      <c r="D118" s="122" t="s">
        <v>531</v>
      </c>
      <c r="E118" s="122" t="s">
        <v>3006</v>
      </c>
      <c r="F118" s="122" t="s">
        <v>3074</v>
      </c>
      <c r="G118" s="122" t="s">
        <v>3099</v>
      </c>
      <c r="H118" s="383">
        <f>VALUE(SUBSTITUTE(F118," hrs",""))</f>
        <v>116</v>
      </c>
      <c r="I118" s="380">
        <f>IF(A118="ASG", H118, IF(COUNTIF($A$2:A118,A118)=1, SUMIFS(Tb_HhPLAN[Ajustado], Tb_HhPLAN[COD-SS], Tb_HhPLAN[[#This Row],[COD-SS]]),""))</f>
        <v>116</v>
      </c>
      <c r="J118" s="380">
        <f>IFERROR(IF(Tb_HhPLAN[[#This Row],[DISCIPLINA]]="ASG","",((Tb_HhPLAN[[#This Row],[CÁLCULO]]/(SUMIFS(Tb_HhPLAN[Ajustado],Tb_HhPLAN[SS],Tb_HhPLAN[[#This Row],[SS]])-_xlfn.XLOOKUP(Tb_HhPLAN[[#This Row],[COD-AUX]],Tb_HhPLAN[COD-SS],Tb_HhPLAN[Ajustado],"",0,1)))*_xlfn.XLOOKUP(Tb_HhPLAN[[#This Row],[COD-AUX]],Tb_HhPLAN[COD-SS],Tb_HhPLAN[Ajustado],"",0,1))+IF(A118="ASG",H118,IF(COUNTIF($A$2:A118,A118)=1,SUMIFS(Tb_HhPLAN[Ajustado],Tb_HhPLAN[COD-SS],Tb_HhPLAN[[#This Row],[COD-SS]]),""))),"")</f>
        <v>116</v>
      </c>
    </row>
    <row r="119" spans="1:10" x14ac:dyDescent="0.3">
      <c r="A119" t="str">
        <f>Tb_HhPLAN[[#This Row],[SS]]&amp;Tb_HhPLAN[[#This Row],[DISCIPLINA]]</f>
        <v>SS-03/2026PINT</v>
      </c>
      <c r="B119" t="str">
        <f>Tb_HhPLAN[[#This Row],[SS]]&amp;"ASG"</f>
        <v>SS-03/2026ASG</v>
      </c>
      <c r="C119" t="str">
        <f>LEFT(Tb_HhPLAN[[#This Row],[SS]],5)</f>
        <v>SS-03</v>
      </c>
      <c r="D119" s="122" t="s">
        <v>531</v>
      </c>
      <c r="E119" s="122" t="s">
        <v>3012</v>
      </c>
      <c r="F119" s="122" t="s">
        <v>3058</v>
      </c>
      <c r="G119" s="122" t="s">
        <v>3100</v>
      </c>
      <c r="H119" s="383">
        <f>VALUE(SUBSTITUTE(F119," hrs",""))</f>
        <v>104</v>
      </c>
      <c r="I119" s="380">
        <f>IF(A119="ASG", H119, IF(COUNTIF($A$2:A119,A119)=1, SUMIFS(Tb_HhPLAN[Ajustado], Tb_HhPLAN[COD-SS], Tb_HhPLAN[[#This Row],[COD-SS]]),""))</f>
        <v>104</v>
      </c>
      <c r="J119" s="380">
        <f>IFERROR(IF(Tb_HhPLAN[[#This Row],[DISCIPLINA]]="ASG","",((Tb_HhPLAN[[#This Row],[CÁLCULO]]/(SUMIFS(Tb_HhPLAN[Ajustado],Tb_HhPLAN[SS],Tb_HhPLAN[[#This Row],[SS]])-_xlfn.XLOOKUP(Tb_HhPLAN[[#This Row],[COD-AUX]],Tb_HhPLAN[COD-SS],Tb_HhPLAN[Ajustado],"",0,1)))*_xlfn.XLOOKUP(Tb_HhPLAN[[#This Row],[COD-AUX]],Tb_HhPLAN[COD-SS],Tb_HhPLAN[Ajustado],"",0,1))+IF(A119="ASG",H119,IF(COUNTIF($A$2:A119,A119)=1,SUMIFS(Tb_HhPLAN[Ajustado],Tb_HhPLAN[COD-SS],Tb_HhPLAN[[#This Row],[COD-SS]]),""))),"")</f>
        <v>104</v>
      </c>
    </row>
    <row r="120" spans="1:10" x14ac:dyDescent="0.3">
      <c r="A120" t="str">
        <f>Tb_HhPLAN[[#This Row],[SS]]&amp;Tb_HhPLAN[[#This Row],[DISCIPLINA]]</f>
        <v>SS-03/2026MEC</v>
      </c>
      <c r="B120" t="str">
        <f>Tb_HhPLAN[[#This Row],[SS]]&amp;"ASG"</f>
        <v>SS-03/2026ASG</v>
      </c>
      <c r="C120" t="str">
        <f>LEFT(Tb_HhPLAN[[#This Row],[SS]],5)</f>
        <v>SS-03</v>
      </c>
      <c r="D120" s="122" t="s">
        <v>531</v>
      </c>
      <c r="E120" s="122" t="s">
        <v>3008</v>
      </c>
      <c r="F120" s="122" t="s">
        <v>3081</v>
      </c>
      <c r="G120" s="122" t="s">
        <v>3097</v>
      </c>
      <c r="H120" s="383">
        <f>VALUE(SUBSTITUTE(F120," hrs",""))</f>
        <v>248</v>
      </c>
      <c r="I120" s="380" t="str">
        <f>IF(A120="ASG", H120, IF(COUNTIF($A$2:A120,A120)=1, SUMIFS(Tb_HhPLAN[Ajustado], Tb_HhPLAN[COD-SS], Tb_HhPLAN[[#This Row],[COD-SS]]),""))</f>
        <v/>
      </c>
      <c r="J120" s="380" t="str">
        <f>IFERROR(IF(Tb_HhPLAN[[#This Row],[DISCIPLINA]]="ASG","",((Tb_HhPLAN[[#This Row],[CÁLCULO]]/(SUMIFS(Tb_HhPLAN[Ajustado],Tb_HhPLAN[SS],Tb_HhPLAN[[#This Row],[SS]])-_xlfn.XLOOKUP(Tb_HhPLAN[[#This Row],[COD-AUX]],Tb_HhPLAN[COD-SS],Tb_HhPLAN[Ajustado],"",0,1)))*_xlfn.XLOOKUP(Tb_HhPLAN[[#This Row],[COD-AUX]],Tb_HhPLAN[COD-SS],Tb_HhPLAN[Ajustado],"",0,1))+IF(A120="ASG",H120,IF(COUNTIF($A$2:A120,A120)=1,SUMIFS(Tb_HhPLAN[Ajustado],Tb_HhPLAN[COD-SS],Tb_HhPLAN[[#This Row],[COD-SS]]),""))),"")</f>
        <v/>
      </c>
    </row>
    <row r="121" spans="1:10" x14ac:dyDescent="0.3">
      <c r="A121" t="str">
        <f>Tb_HhPLAN[[#This Row],[SS]]&amp;Tb_HhPLAN[[#This Row],[DISCIPLINA]]</f>
        <v>SS-04/2026ASG</v>
      </c>
      <c r="B121" t="str">
        <f>Tb_HhPLAN[[#This Row],[SS]]&amp;"ASG"</f>
        <v>SS-04/2026ASG</v>
      </c>
      <c r="C121" t="str">
        <f>LEFT(Tb_HhPLAN[[#This Row],[SS]],5)</f>
        <v>SS-04</v>
      </c>
      <c r="D121" t="s">
        <v>532</v>
      </c>
      <c r="E121" t="s">
        <v>3000</v>
      </c>
      <c r="F121" t="s">
        <v>3092</v>
      </c>
      <c r="G121" t="s">
        <v>3102</v>
      </c>
      <c r="H121" s="375">
        <f t="shared" si="9"/>
        <v>795.2</v>
      </c>
      <c r="I121" s="380">
        <f>IF(A121="ASG", H121, IF(COUNTIF($A$2:A121,A121)=1, SUMIFS(Tb_HhPLAN[Ajustado], Tb_HhPLAN[COD-SS], Tb_HhPLAN[[#This Row],[COD-SS]]),""))</f>
        <v>795.2</v>
      </c>
      <c r="J121" s="380" t="str">
        <f>IFERROR(IF(Tb_HhPLAN[[#This Row],[DISCIPLINA]]="ASG","",((Tb_HhPLAN[[#This Row],[CÁLCULO]]/(SUMIFS(Tb_HhPLAN[Ajustado],Tb_HhPLAN[SS],Tb_HhPLAN[[#This Row],[SS]])-_xlfn.XLOOKUP(Tb_HhPLAN[[#This Row],[COD-AUX]],Tb_HhPLAN[COD-SS],Tb_HhPLAN[Ajustado],"",0,1)))*_xlfn.XLOOKUP(Tb_HhPLAN[[#This Row],[COD-AUX]],Tb_HhPLAN[COD-SS],Tb_HhPLAN[Ajustado],"",0,1))+IF(A121="ASG",H121,IF(COUNTIF($A$2:A121,A121)=1,SUMIFS(Tb_HhPLAN[Ajustado],Tb_HhPLAN[COD-SS],Tb_HhPLAN[[#This Row],[COD-SS]]),""))),"")</f>
        <v/>
      </c>
    </row>
    <row r="122" spans="1:10" x14ac:dyDescent="0.3">
      <c r="A122" t="str">
        <f>Tb_HhPLAN[[#This Row],[SS]]&amp;Tb_HhPLAN[[#This Row],[DISCIPLINA]]</f>
        <v>SS-04/2026MEC</v>
      </c>
      <c r="B122" t="str">
        <f>Tb_HhPLAN[[#This Row],[SS]]&amp;"ASG"</f>
        <v>SS-04/2026ASG</v>
      </c>
      <c r="C122" t="str">
        <f>LEFT(Tb_HhPLAN[[#This Row],[SS]],5)</f>
        <v>SS-04</v>
      </c>
      <c r="D122" t="str">
        <f t="shared" ref="D122:D124" si="24">D121</f>
        <v>SS-04/2026</v>
      </c>
      <c r="E122" t="s">
        <v>3002</v>
      </c>
      <c r="F122" t="s">
        <v>3093</v>
      </c>
      <c r="G122" t="s">
        <v>3097</v>
      </c>
      <c r="H122" s="375">
        <f t="shared" si="9"/>
        <v>752</v>
      </c>
      <c r="I122" s="380">
        <f>IF(A122="ASG", H122, IF(COUNTIF($A$2:A122,A122)=1, SUMIFS(Tb_HhPLAN[Ajustado], Tb_HhPLAN[COD-SS], Tb_HhPLAN[[#This Row],[COD-SS]]),""))</f>
        <v>752</v>
      </c>
      <c r="J122" s="380">
        <f>IFERROR(IF(Tb_HhPLAN[[#This Row],[DISCIPLINA]]="ASG","",((Tb_HhPLAN[[#This Row],[CÁLCULO]]/(SUMIFS(Tb_HhPLAN[Ajustado],Tb_HhPLAN[SS],Tb_HhPLAN[[#This Row],[SS]])-_xlfn.XLOOKUP(Tb_HhPLAN[[#This Row],[COD-AUX]],Tb_HhPLAN[COD-SS],Tb_HhPLAN[Ajustado],"",0,1)))*_xlfn.XLOOKUP(Tb_HhPLAN[[#This Row],[COD-AUX]],Tb_HhPLAN[COD-SS],Tb_HhPLAN[Ajustado],"",0,1))+IF(A122="ASG",H122,IF(COUNTIF($A$2:A122,A122)=1,SUMIFS(Tb_HhPLAN[Ajustado],Tb_HhPLAN[COD-SS],Tb_HhPLAN[[#This Row],[COD-SS]]),""))),"")</f>
        <v>1129.5191919191921</v>
      </c>
    </row>
    <row r="123" spans="1:10" x14ac:dyDescent="0.3">
      <c r="A123" t="str">
        <f>Tb_HhPLAN[[#This Row],[SS]]&amp;Tb_HhPLAN[[#This Row],[DISCIPLINA]]</f>
        <v>SS-04/2026CIVIL</v>
      </c>
      <c r="B123" t="str">
        <f>Tb_HhPLAN[[#This Row],[SS]]&amp;"ASG"</f>
        <v>SS-04/2026ASG</v>
      </c>
      <c r="C123" t="str">
        <f>LEFT(Tb_HhPLAN[[#This Row],[SS]],5)</f>
        <v>SS-04</v>
      </c>
      <c r="D123" t="str">
        <f t="shared" si="24"/>
        <v>SS-04/2026</v>
      </c>
      <c r="E123" t="s">
        <v>3010</v>
      </c>
      <c r="F123" t="s">
        <v>3094</v>
      </c>
      <c r="G123" t="s">
        <v>3098</v>
      </c>
      <c r="H123" s="375">
        <f t="shared" si="9"/>
        <v>632</v>
      </c>
      <c r="I123" s="380">
        <f>IF(A123="ASG", H123, IF(COUNTIF($A$2:A123,A123)=1, SUMIFS(Tb_HhPLAN[Ajustado], Tb_HhPLAN[COD-SS], Tb_HhPLAN[[#This Row],[COD-SS]]),""))</f>
        <v>632</v>
      </c>
      <c r="J123" s="380">
        <f>IFERROR(IF(Tb_HhPLAN[[#This Row],[DISCIPLINA]]="ASG","",((Tb_HhPLAN[[#This Row],[CÁLCULO]]/(SUMIFS(Tb_HhPLAN[Ajustado],Tb_HhPLAN[SS],Tb_HhPLAN[[#This Row],[SS]])-_xlfn.XLOOKUP(Tb_HhPLAN[[#This Row],[COD-AUX]],Tb_HhPLAN[COD-SS],Tb_HhPLAN[Ajustado],"",0,1)))*_xlfn.XLOOKUP(Tb_HhPLAN[[#This Row],[COD-AUX]],Tb_HhPLAN[COD-SS],Tb_HhPLAN[Ajustado],"",0,1))+IF(A123="ASG",H123,IF(COUNTIF($A$2:A123,A123)=1,SUMIFS(Tb_HhPLAN[Ajustado],Tb_HhPLAN[COD-SS],Tb_HhPLAN[[#This Row],[COD-SS]]),""))),"")</f>
        <v>949.2767676767678</v>
      </c>
    </row>
    <row r="124" spans="1:10" x14ac:dyDescent="0.3">
      <c r="A124" t="str">
        <f>Tb_HhPLAN[[#This Row],[SS]]&amp;Tb_HhPLAN[[#This Row],[DISCIPLINA]]</f>
        <v>SS-04/2026PINT</v>
      </c>
      <c r="B124" t="str">
        <f>Tb_HhPLAN[[#This Row],[SS]]&amp;"ASG"</f>
        <v>SS-04/2026ASG</v>
      </c>
      <c r="C124" t="str">
        <f>LEFT(Tb_HhPLAN[[#This Row],[SS]],5)</f>
        <v>SS-04</v>
      </c>
      <c r="D124" t="str">
        <f t="shared" si="24"/>
        <v>SS-04/2026</v>
      </c>
      <c r="E124" t="s">
        <v>3012</v>
      </c>
      <c r="F124" t="s">
        <v>3095</v>
      </c>
      <c r="G124" t="s">
        <v>3100</v>
      </c>
      <c r="H124" s="375">
        <f t="shared" si="9"/>
        <v>200</v>
      </c>
      <c r="I124" s="380">
        <f>IF(A124="ASG", H124, IF(COUNTIF($A$2:A125,A124)=1, SUMIFS(Tb_HhPLAN[Ajustado], Tb_HhPLAN[COD-SS], Tb_HhPLAN[[#This Row],[COD-SS]]),""))</f>
        <v>200</v>
      </c>
      <c r="J124" s="380">
        <f>IFERROR(IF(Tb_HhPLAN[[#This Row],[DISCIPLINA]]="ASG","",((Tb_HhPLAN[[#This Row],[CÁLCULO]]/(SUMIFS(Tb_HhPLAN[Ajustado],Tb_HhPLAN[SS],Tb_HhPLAN[[#This Row],[SS]])-_xlfn.XLOOKUP(Tb_HhPLAN[[#This Row],[COD-AUX]],Tb_HhPLAN[COD-SS],Tb_HhPLAN[Ajustado],"",0,1)))*_xlfn.XLOOKUP(Tb_HhPLAN[[#This Row],[COD-AUX]],Tb_HhPLAN[COD-SS],Tb_HhPLAN[Ajustado],"",0,1))+IF(A124="ASG",H124,IF(COUNTIF($A$2:A125,A124)=1,SUMIFS(Tb_HhPLAN[Ajustado],Tb_HhPLAN[COD-SS],Tb_HhPLAN[[#This Row],[COD-SS]]),""))),"")</f>
        <v>300.40404040404042</v>
      </c>
    </row>
    <row r="125" spans="1:10" x14ac:dyDescent="0.3">
      <c r="A125" t="str">
        <f>Tb_HhPLAN[[#This Row],[SS]]&amp;Tb_HhPLAN[[#This Row],[DISCIPLINA]]</f>
        <v>SS-05/2026</v>
      </c>
      <c r="B125" t="str">
        <f>Tb_HhPLAN[[#This Row],[SS]]&amp;"ASG"</f>
        <v>SS-05/2026ASG</v>
      </c>
      <c r="C125" t="str">
        <f>LEFT(Tb_HhPLAN[[#This Row],[SS]],5)</f>
        <v>SS-05</v>
      </c>
      <c r="D125" s="381" t="s">
        <v>621</v>
      </c>
      <c r="H125" s="375"/>
      <c r="I125" s="380"/>
      <c r="J125" s="380"/>
    </row>
    <row r="126" spans="1:10" x14ac:dyDescent="0.3">
      <c r="A126" t="str">
        <f>Tb_HhPLAN[[#This Row],[SS]]&amp;Tb_HhPLAN[[#This Row],[DISCIPLINA]]</f>
        <v>SS-06/2026ASG</v>
      </c>
      <c r="B126" t="str">
        <f>Tb_HhPLAN[[#This Row],[SS]]&amp;"ASG"</f>
        <v>SS-06/2026ASG</v>
      </c>
      <c r="C126" t="str">
        <f>LEFT(Tb_HhPLAN[[#This Row],[SS]],5)</f>
        <v>SS-06</v>
      </c>
      <c r="D126" t="s">
        <v>642</v>
      </c>
      <c r="E126" t="s">
        <v>3000</v>
      </c>
      <c r="F126" t="s">
        <v>3311</v>
      </c>
      <c r="G126" t="s">
        <v>3102</v>
      </c>
      <c r="H126" s="375">
        <f>VALUE(SUBSTITUTE(F126," hrs",""))</f>
        <v>83.2</v>
      </c>
      <c r="I126" s="380">
        <f>IF(A126="ASG", H126, IF(COUNTIF($A$2:A126,A126)=1, SUMIFS(Tb_HhPLAN[Ajustado], Tb_HhPLAN[COD-SS], Tb_HhPLAN[[#This Row],[COD-SS]]),""))</f>
        <v>83.2</v>
      </c>
      <c r="J126" s="380" t="str">
        <f>IFERROR(IF(Tb_HhPLAN[[#This Row],[DISCIPLINA]]="ASG","",((Tb_HhPLAN[[#This Row],[CÁLCULO]]/(SUMIFS(Tb_HhPLAN[Ajustado],Tb_HhPLAN[SS],Tb_HhPLAN[[#This Row],[SS]])-_xlfn.XLOOKUP(Tb_HhPLAN[[#This Row],[COD-AUX]],Tb_HhPLAN[COD-SS],Tb_HhPLAN[Ajustado],"",0,1)))*_xlfn.XLOOKUP(Tb_HhPLAN[[#This Row],[COD-AUX]],Tb_HhPLAN[COD-SS],Tb_HhPLAN[Ajustado],"",0,1))+IF(A126="ASG",H126,IF(COUNTIF($A$2:A126,A126)=1,SUMIFS(Tb_HhPLAN[Ajustado],Tb_HhPLAN[COD-SS],Tb_HhPLAN[[#This Row],[COD-SS]]),""))),"")</f>
        <v/>
      </c>
    </row>
    <row r="127" spans="1:10" x14ac:dyDescent="0.3">
      <c r="A127" t="str">
        <f>Tb_HhPLAN[[#This Row],[SS]]&amp;Tb_HhPLAN[[#This Row],[DISCIPLINA]]</f>
        <v>SS-06/2026CIVIL</v>
      </c>
      <c r="B127" t="str">
        <f>Tb_HhPLAN[[#This Row],[SS]]&amp;"ASG"</f>
        <v>SS-06/2026ASG</v>
      </c>
      <c r="C127" t="str">
        <f>LEFT(Tb_HhPLAN[[#This Row],[SS]],5)</f>
        <v>SS-06</v>
      </c>
      <c r="D127" t="s">
        <v>642</v>
      </c>
      <c r="E127" t="s">
        <v>3010</v>
      </c>
      <c r="F127" t="s">
        <v>3037</v>
      </c>
      <c r="G127" t="s">
        <v>3098</v>
      </c>
      <c r="H127" s="375">
        <f t="shared" ref="H127:H128" si="25">VALUE(SUBSTITUTE(F127," hrs",""))</f>
        <v>24</v>
      </c>
      <c r="I127" s="380">
        <f>IF(A127="ASG", H127, IF(COUNTIF($A$2:A127,A127)=1, SUMIFS(Tb_HhPLAN[Ajustado], Tb_HhPLAN[COD-SS], Tb_HhPLAN[[#This Row],[COD-SS]]),""))</f>
        <v>24</v>
      </c>
      <c r="J127" s="380">
        <f>IFERROR(IF(Tb_HhPLAN[[#This Row],[DISCIPLINA]]="ASG","",((Tb_HhPLAN[[#This Row],[CÁLCULO]]/(SUMIFS(Tb_HhPLAN[Ajustado],Tb_HhPLAN[SS],Tb_HhPLAN[[#This Row],[SS]])-_xlfn.XLOOKUP(Tb_HhPLAN[[#This Row],[COD-AUX]],Tb_HhPLAN[COD-SS],Tb_HhPLAN[Ajustado],"",0,1)))*_xlfn.XLOOKUP(Tb_HhPLAN[[#This Row],[COD-AUX]],Tb_HhPLAN[COD-SS],Tb_HhPLAN[Ajustado],"",0,1))+IF(A127="ASG",H127,IF(COUNTIF($A$2:A127,A127)=1,SUMIFS(Tb_HhPLAN[Ajustado],Tb_HhPLAN[COD-SS],Tb_HhPLAN[[#This Row],[COD-SS]]),""))),"")</f>
        <v>53.714285714285715</v>
      </c>
    </row>
    <row r="128" spans="1:10" x14ac:dyDescent="0.3">
      <c r="A128" t="str">
        <f>Tb_HhPLAN[[#This Row],[SS]]&amp;Tb_HhPLAN[[#This Row],[DISCIPLINA]]</f>
        <v>SS-06/2026ELÉT</v>
      </c>
      <c r="B128" t="str">
        <f>Tb_HhPLAN[[#This Row],[SS]]&amp;"ASG"</f>
        <v>SS-06/2026ASG</v>
      </c>
      <c r="C128" t="str">
        <f>LEFT(Tb_HhPLAN[[#This Row],[SS]],5)</f>
        <v>SS-06</v>
      </c>
      <c r="D128" t="s">
        <v>642</v>
      </c>
      <c r="E128" t="s">
        <v>3006</v>
      </c>
      <c r="F128" t="s">
        <v>3312</v>
      </c>
      <c r="G128" t="s">
        <v>3099</v>
      </c>
      <c r="H128" s="375">
        <f t="shared" si="25"/>
        <v>43.2</v>
      </c>
      <c r="I128" s="380">
        <f>IF(A128="ASG", H128, IF(COUNTIF($A$2:A128,A128)=1, SUMIFS(Tb_HhPLAN[Ajustado], Tb_HhPLAN[COD-SS], Tb_HhPLAN[[#This Row],[COD-SS]]),""))</f>
        <v>43.2</v>
      </c>
      <c r="J128" s="380">
        <f>IFERROR(IF(Tb_HhPLAN[[#This Row],[DISCIPLINA]]="ASG","",((Tb_HhPLAN[[#This Row],[CÁLCULO]]/(SUMIFS(Tb_HhPLAN[Ajustado],Tb_HhPLAN[SS],Tb_HhPLAN[[#This Row],[SS]])-_xlfn.XLOOKUP(Tb_HhPLAN[[#This Row],[COD-AUX]],Tb_HhPLAN[COD-SS],Tb_HhPLAN[Ajustado],"",0,1)))*_xlfn.XLOOKUP(Tb_HhPLAN[[#This Row],[COD-AUX]],Tb_HhPLAN[COD-SS],Tb_HhPLAN[Ajustado],"",0,1))+IF(A128="ASG",H128,IF(COUNTIF($A$2:A128,A128)=1,SUMIFS(Tb_HhPLAN[Ajustado],Tb_HhPLAN[COD-SS],Tb_HhPLAN[[#This Row],[COD-SS]]),""))),"")</f>
        <v>96.685714285714297</v>
      </c>
    </row>
  </sheetData>
  <phoneticPr fontId="2" type="noConversion"/>
  <conditionalFormatting sqref="A2:J128">
    <cfRule type="expression" priority="3">
      <formula>ISEVEN(VALUE(RIGHT($C2,2)))</formula>
    </cfRule>
    <cfRule type="expression" dxfId="78" priority="4">
      <formula>ISODD(VALUE(RIGHT($C2,2)))</formula>
    </cfRule>
  </conditionalFormatting>
  <conditionalFormatting sqref="D125">
    <cfRule type="expression" priority="1">
      <formula>ISEVEN(VALUE(RIGHT($C125,2)))</formula>
    </cfRule>
    <cfRule type="expression" dxfId="77" priority="2">
      <formula>ISODD(VALUE(RIGHT($C125,2)))</formula>
    </cfRule>
  </conditionalFormatting>
  <dataValidations count="1">
    <dataValidation type="list" allowBlank="1" showInputMessage="1" showErrorMessage="1" sqref="G2:G128" xr:uid="{E077149D-D830-408A-9EE3-0C9F41412859}">
      <formula1>"MEC,CIVIL,ELÉT,PINT,ASG"</formula1>
    </dataValidation>
  </dataValidations>
  <pageMargins left="0.511811024" right="0.511811024" top="0.78740157499999996" bottom="0.78740157499999996" header="0.31496062000000002" footer="0.31496062000000002"/>
  <pageSetup paperSize="9" orientation="portrait" r:id="rId1"/>
  <ignoredErrors>
    <ignoredError sqref="I124:J124" calculatedColumn="1"/>
  </ignoredErrors>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01878-C1C1-4B3D-B487-A91B5EE3E607}">
  <dimension ref="A1:D97"/>
  <sheetViews>
    <sheetView showGridLines="0" workbookViewId="0">
      <pane ySplit="1" topLeftCell="A2" activePane="bottomLeft" state="frozen"/>
      <selection pane="bottomLeft"/>
    </sheetView>
  </sheetViews>
  <sheetFormatPr defaultRowHeight="14.4" x14ac:dyDescent="0.3"/>
  <cols>
    <col min="1" max="1" width="10.5546875" bestFit="1" customWidth="1"/>
    <col min="2" max="2" width="12.6640625" bestFit="1" customWidth="1"/>
    <col min="3" max="3" width="13.109375" bestFit="1" customWidth="1"/>
    <col min="4" max="4" width="8.109375" bestFit="1" customWidth="1"/>
    <col min="5" max="5" width="22.109375" bestFit="1" customWidth="1"/>
  </cols>
  <sheetData>
    <row r="1" spans="1:4" x14ac:dyDescent="0.3">
      <c r="A1" t="s">
        <v>18</v>
      </c>
      <c r="B1" t="s">
        <v>2</v>
      </c>
      <c r="C1" t="s">
        <v>3096</v>
      </c>
      <c r="D1" t="s">
        <v>248</v>
      </c>
    </row>
    <row r="2" spans="1:4" x14ac:dyDescent="0.3">
      <c r="A2" t="s">
        <v>445</v>
      </c>
      <c r="B2" t="s">
        <v>90</v>
      </c>
      <c r="C2" t="s">
        <v>3098</v>
      </c>
      <c r="D2" s="380">
        <v>24</v>
      </c>
    </row>
    <row r="3" spans="1:4" x14ac:dyDescent="0.3">
      <c r="A3" t="s">
        <v>445</v>
      </c>
      <c r="B3" t="s">
        <v>90</v>
      </c>
      <c r="C3" t="s">
        <v>3097</v>
      </c>
      <c r="D3" s="380">
        <v>0</v>
      </c>
    </row>
    <row r="4" spans="1:4" x14ac:dyDescent="0.3">
      <c r="A4" t="s">
        <v>445</v>
      </c>
      <c r="B4" t="s">
        <v>90</v>
      </c>
      <c r="C4" t="s">
        <v>3100</v>
      </c>
      <c r="D4" s="380">
        <v>0</v>
      </c>
    </row>
    <row r="5" spans="1:4" x14ac:dyDescent="0.3">
      <c r="A5" t="s">
        <v>445</v>
      </c>
      <c r="B5" t="s">
        <v>90</v>
      </c>
      <c r="C5" t="s">
        <v>3099</v>
      </c>
      <c r="D5" s="380">
        <v>0</v>
      </c>
    </row>
    <row r="6" spans="1:4" x14ac:dyDescent="0.3">
      <c r="A6" t="s">
        <v>439</v>
      </c>
      <c r="B6" t="s">
        <v>90</v>
      </c>
      <c r="C6" t="s">
        <v>3097</v>
      </c>
      <c r="D6" s="380">
        <v>4618.2781456953644</v>
      </c>
    </row>
    <row r="7" spans="1:4" x14ac:dyDescent="0.3">
      <c r="A7" t="s">
        <v>439</v>
      </c>
      <c r="B7" t="s">
        <v>90</v>
      </c>
      <c r="C7" t="s">
        <v>3100</v>
      </c>
      <c r="D7" s="380">
        <v>953.77483443708616</v>
      </c>
    </row>
    <row r="8" spans="1:4" x14ac:dyDescent="0.3">
      <c r="A8" t="s">
        <v>439</v>
      </c>
      <c r="B8" t="s">
        <v>90</v>
      </c>
      <c r="C8" t="s">
        <v>3099</v>
      </c>
      <c r="D8" s="380">
        <v>421.66887417218544</v>
      </c>
    </row>
    <row r="9" spans="1:4" x14ac:dyDescent="0.3">
      <c r="A9" t="s">
        <v>439</v>
      </c>
      <c r="B9" t="s">
        <v>90</v>
      </c>
      <c r="C9" t="s">
        <v>3098</v>
      </c>
      <c r="D9" s="380">
        <v>70.278145695364245</v>
      </c>
    </row>
    <row r="10" spans="1:4" x14ac:dyDescent="0.3">
      <c r="A10" t="s">
        <v>440</v>
      </c>
      <c r="B10" t="s">
        <v>90</v>
      </c>
      <c r="C10" t="s">
        <v>3098</v>
      </c>
      <c r="D10" s="380">
        <v>38.322891566265064</v>
      </c>
    </row>
    <row r="11" spans="1:4" x14ac:dyDescent="0.3">
      <c r="A11" t="s">
        <v>440</v>
      </c>
      <c r="B11" t="s">
        <v>90</v>
      </c>
      <c r="C11" t="s">
        <v>3097</v>
      </c>
      <c r="D11" s="380">
        <v>3037.0891566265059</v>
      </c>
    </row>
    <row r="12" spans="1:4" x14ac:dyDescent="0.3">
      <c r="A12" t="s">
        <v>440</v>
      </c>
      <c r="B12" t="s">
        <v>90</v>
      </c>
      <c r="C12" t="s">
        <v>3100</v>
      </c>
      <c r="D12" s="380">
        <v>316.16385542168678</v>
      </c>
    </row>
    <row r="13" spans="1:4" x14ac:dyDescent="0.3">
      <c r="A13" t="s">
        <v>440</v>
      </c>
      <c r="B13" t="s">
        <v>90</v>
      </c>
      <c r="C13" t="s">
        <v>3099</v>
      </c>
      <c r="D13" s="380">
        <v>584.42409638554216</v>
      </c>
    </row>
    <row r="14" spans="1:4" x14ac:dyDescent="0.3">
      <c r="A14" t="s">
        <v>441</v>
      </c>
      <c r="B14" t="s">
        <v>90</v>
      </c>
      <c r="C14" t="s">
        <v>3097</v>
      </c>
      <c r="D14" s="380">
        <v>1882.042105263158</v>
      </c>
    </row>
    <row r="15" spans="1:4" x14ac:dyDescent="0.3">
      <c r="A15" t="s">
        <v>441</v>
      </c>
      <c r="B15" t="s">
        <v>90</v>
      </c>
      <c r="C15" t="s">
        <v>3098</v>
      </c>
      <c r="D15" s="380">
        <v>169.2842105263158</v>
      </c>
    </row>
    <row r="16" spans="1:4" x14ac:dyDescent="0.3">
      <c r="A16" t="s">
        <v>441</v>
      </c>
      <c r="B16" t="s">
        <v>90</v>
      </c>
      <c r="C16" t="s">
        <v>3100</v>
      </c>
      <c r="D16" s="380">
        <v>856.378947368421</v>
      </c>
    </row>
    <row r="17" spans="1:4" x14ac:dyDescent="0.3">
      <c r="A17" t="s">
        <v>441</v>
      </c>
      <c r="B17" t="s">
        <v>90</v>
      </c>
      <c r="C17" t="s">
        <v>3099</v>
      </c>
      <c r="D17" s="380">
        <v>876.29473684210529</v>
      </c>
    </row>
    <row r="18" spans="1:4" x14ac:dyDescent="0.3">
      <c r="A18" t="s">
        <v>442</v>
      </c>
      <c r="B18" t="s">
        <v>90</v>
      </c>
      <c r="C18" t="s">
        <v>3099</v>
      </c>
      <c r="D18" s="380">
        <v>237.4869109947644</v>
      </c>
    </row>
    <row r="19" spans="1:4" x14ac:dyDescent="0.3">
      <c r="A19" t="s">
        <v>442</v>
      </c>
      <c r="B19" t="s">
        <v>90</v>
      </c>
      <c r="C19" t="s">
        <v>3097</v>
      </c>
      <c r="D19" s="380">
        <v>1617.1727748691098</v>
      </c>
    </row>
    <row r="20" spans="1:4" x14ac:dyDescent="0.3">
      <c r="A20" t="s">
        <v>442</v>
      </c>
      <c r="B20" t="s">
        <v>90</v>
      </c>
      <c r="C20" t="s">
        <v>3098</v>
      </c>
      <c r="D20" s="380">
        <v>33.926701570680628</v>
      </c>
    </row>
    <row r="21" spans="1:4" x14ac:dyDescent="0.3">
      <c r="A21" t="s">
        <v>442</v>
      </c>
      <c r="B21" t="s">
        <v>90</v>
      </c>
      <c r="C21" t="s">
        <v>3100</v>
      </c>
      <c r="D21" s="380">
        <v>271.41361256544502</v>
      </c>
    </row>
    <row r="22" spans="1:4" x14ac:dyDescent="0.3">
      <c r="A22" t="s">
        <v>443</v>
      </c>
      <c r="B22" t="s">
        <v>90</v>
      </c>
      <c r="C22" t="s">
        <v>3097</v>
      </c>
      <c r="D22" s="380">
        <v>379.77358490566036</v>
      </c>
    </row>
    <row r="23" spans="1:4" x14ac:dyDescent="0.3">
      <c r="A23" t="s">
        <v>443</v>
      </c>
      <c r="B23" t="s">
        <v>90</v>
      </c>
      <c r="C23" t="s">
        <v>3099</v>
      </c>
      <c r="D23" s="380">
        <v>102.64150943396227</v>
      </c>
    </row>
    <row r="24" spans="1:4" x14ac:dyDescent="0.3">
      <c r="A24" t="s">
        <v>443</v>
      </c>
      <c r="B24" t="s">
        <v>90</v>
      </c>
      <c r="C24" t="s">
        <v>3100</v>
      </c>
      <c r="D24" s="380">
        <v>61.584905660377359</v>
      </c>
    </row>
    <row r="25" spans="1:4" x14ac:dyDescent="0.3">
      <c r="A25" t="s">
        <v>443</v>
      </c>
      <c r="B25" t="s">
        <v>90</v>
      </c>
      <c r="C25" t="s">
        <v>3098</v>
      </c>
      <c r="D25" s="380">
        <v>0</v>
      </c>
    </row>
    <row r="26" spans="1:4" x14ac:dyDescent="0.3">
      <c r="A26" t="s">
        <v>444</v>
      </c>
      <c r="B26" t="s">
        <v>90</v>
      </c>
      <c r="C26" t="s">
        <v>3098</v>
      </c>
      <c r="D26" s="380">
        <v>109.24024640657083</v>
      </c>
    </row>
    <row r="27" spans="1:4" x14ac:dyDescent="0.3">
      <c r="A27" t="s">
        <v>444</v>
      </c>
      <c r="B27" t="s">
        <v>90</v>
      </c>
      <c r="C27" t="s">
        <v>3097</v>
      </c>
      <c r="D27" s="380">
        <v>2179.3429158110885</v>
      </c>
    </row>
    <row r="28" spans="1:4" x14ac:dyDescent="0.3">
      <c r="A28" t="s">
        <v>444</v>
      </c>
      <c r="B28" t="s">
        <v>90</v>
      </c>
      <c r="C28" t="s">
        <v>3099</v>
      </c>
      <c r="D28" s="380">
        <v>87.392197125256672</v>
      </c>
    </row>
    <row r="29" spans="1:4" x14ac:dyDescent="0.3">
      <c r="A29" t="s">
        <v>444</v>
      </c>
      <c r="B29" t="s">
        <v>90</v>
      </c>
      <c r="C29" t="s">
        <v>3100</v>
      </c>
      <c r="D29" s="380">
        <v>284.02464065708421</v>
      </c>
    </row>
    <row r="30" spans="1:4" x14ac:dyDescent="0.3">
      <c r="A30" t="s">
        <v>54</v>
      </c>
      <c r="B30" t="s">
        <v>90</v>
      </c>
      <c r="C30" t="s">
        <v>3097</v>
      </c>
      <c r="D30" s="380">
        <v>501.04347826086956</v>
      </c>
    </row>
    <row r="31" spans="1:4" x14ac:dyDescent="0.3">
      <c r="A31" t="s">
        <v>54</v>
      </c>
      <c r="B31" t="s">
        <v>90</v>
      </c>
      <c r="C31" t="s">
        <v>3098</v>
      </c>
      <c r="D31" s="380">
        <v>23.304347826086957</v>
      </c>
    </row>
    <row r="32" spans="1:4" x14ac:dyDescent="0.3">
      <c r="A32" t="s">
        <v>54</v>
      </c>
      <c r="B32" t="s">
        <v>90</v>
      </c>
      <c r="C32" t="s">
        <v>3099</v>
      </c>
      <c r="D32" s="380">
        <v>11.652173913043478</v>
      </c>
    </row>
    <row r="33" spans="1:4" x14ac:dyDescent="0.3">
      <c r="A33" t="s">
        <v>54</v>
      </c>
      <c r="B33" t="s">
        <v>90</v>
      </c>
      <c r="C33" t="s">
        <v>3100</v>
      </c>
      <c r="D33" s="380">
        <v>0</v>
      </c>
    </row>
    <row r="34" spans="1:4" x14ac:dyDescent="0.3">
      <c r="A34" t="s">
        <v>55</v>
      </c>
      <c r="B34" t="s">
        <v>90</v>
      </c>
      <c r="C34" t="s">
        <v>3098</v>
      </c>
      <c r="D34" s="380">
        <v>0</v>
      </c>
    </row>
    <row r="35" spans="1:4" x14ac:dyDescent="0.3">
      <c r="A35" t="s">
        <v>55</v>
      </c>
      <c r="B35" t="s">
        <v>90</v>
      </c>
      <c r="C35" t="s">
        <v>3097</v>
      </c>
      <c r="D35" s="380">
        <v>1803.8333333333333</v>
      </c>
    </row>
    <row r="36" spans="1:4" x14ac:dyDescent="0.3">
      <c r="A36" t="s">
        <v>55</v>
      </c>
      <c r="B36" t="s">
        <v>90</v>
      </c>
      <c r="C36" t="s">
        <v>3100</v>
      </c>
      <c r="D36" s="380">
        <v>0</v>
      </c>
    </row>
    <row r="37" spans="1:4" x14ac:dyDescent="0.3">
      <c r="A37" t="s">
        <v>55</v>
      </c>
      <c r="B37" t="s">
        <v>90</v>
      </c>
      <c r="C37" t="s">
        <v>3099</v>
      </c>
      <c r="D37" s="380">
        <v>92.166666666666657</v>
      </c>
    </row>
    <row r="38" spans="1:4" x14ac:dyDescent="0.3">
      <c r="A38" t="s">
        <v>56</v>
      </c>
      <c r="B38" t="s">
        <v>90</v>
      </c>
      <c r="C38" t="s">
        <v>3100</v>
      </c>
      <c r="D38" s="380">
        <v>0</v>
      </c>
    </row>
    <row r="39" spans="1:4" x14ac:dyDescent="0.3">
      <c r="A39" t="s">
        <v>56</v>
      </c>
      <c r="B39" t="s">
        <v>90</v>
      </c>
      <c r="C39" t="s">
        <v>3099</v>
      </c>
      <c r="D39" s="380">
        <v>389.0526315789474</v>
      </c>
    </row>
    <row r="40" spans="1:4" x14ac:dyDescent="0.3">
      <c r="A40" t="s">
        <v>56</v>
      </c>
      <c r="B40" t="s">
        <v>90</v>
      </c>
      <c r="C40" t="s">
        <v>3098</v>
      </c>
      <c r="D40" s="380">
        <v>986.52631578947376</v>
      </c>
    </row>
    <row r="41" spans="1:4" x14ac:dyDescent="0.3">
      <c r="A41" t="s">
        <v>56</v>
      </c>
      <c r="B41" t="s">
        <v>90</v>
      </c>
      <c r="C41" t="s">
        <v>3097</v>
      </c>
      <c r="D41" s="380">
        <v>736.42105263157896</v>
      </c>
    </row>
    <row r="42" spans="1:4" x14ac:dyDescent="0.3">
      <c r="A42" t="s">
        <v>58</v>
      </c>
      <c r="B42" t="s">
        <v>87</v>
      </c>
      <c r="C42" t="s">
        <v>3099</v>
      </c>
      <c r="D42" s="380">
        <v>17.655172413793103</v>
      </c>
    </row>
    <row r="43" spans="1:4" x14ac:dyDescent="0.3">
      <c r="A43" t="s">
        <v>58</v>
      </c>
      <c r="B43" t="s">
        <v>87</v>
      </c>
      <c r="C43" t="s">
        <v>3100</v>
      </c>
      <c r="D43" s="380">
        <v>0</v>
      </c>
    </row>
    <row r="44" spans="1:4" x14ac:dyDescent="0.3">
      <c r="A44" t="s">
        <v>58</v>
      </c>
      <c r="B44" t="s">
        <v>87</v>
      </c>
      <c r="C44" t="s">
        <v>3097</v>
      </c>
      <c r="D44" s="380">
        <v>2030.344827586207</v>
      </c>
    </row>
    <row r="45" spans="1:4" x14ac:dyDescent="0.3">
      <c r="A45" t="s">
        <v>58</v>
      </c>
      <c r="B45" t="s">
        <v>87</v>
      </c>
      <c r="C45" t="s">
        <v>3098</v>
      </c>
      <c r="D45" s="380">
        <v>0</v>
      </c>
    </row>
    <row r="46" spans="1:4" x14ac:dyDescent="0.3">
      <c r="A46" t="s">
        <v>59</v>
      </c>
      <c r="B46" t="s">
        <v>87</v>
      </c>
      <c r="C46" t="s">
        <v>3099</v>
      </c>
      <c r="D46" s="380">
        <v>0</v>
      </c>
    </row>
    <row r="47" spans="1:4" x14ac:dyDescent="0.3">
      <c r="A47" t="s">
        <v>59</v>
      </c>
      <c r="B47" t="s">
        <v>87</v>
      </c>
      <c r="C47" t="s">
        <v>3100</v>
      </c>
      <c r="D47" s="380">
        <v>0</v>
      </c>
    </row>
    <row r="48" spans="1:4" x14ac:dyDescent="0.3">
      <c r="A48" t="s">
        <v>59</v>
      </c>
      <c r="B48" t="s">
        <v>87</v>
      </c>
      <c r="C48" t="s">
        <v>3097</v>
      </c>
      <c r="D48" s="380">
        <v>1208</v>
      </c>
    </row>
    <row r="49" spans="1:4" x14ac:dyDescent="0.3">
      <c r="A49" t="s">
        <v>59</v>
      </c>
      <c r="B49" t="s">
        <v>87</v>
      </c>
      <c r="C49" t="s">
        <v>3098</v>
      </c>
      <c r="D49" s="380">
        <v>0</v>
      </c>
    </row>
    <row r="50" spans="1:4" x14ac:dyDescent="0.3">
      <c r="A50" t="s">
        <v>60</v>
      </c>
      <c r="B50" t="s">
        <v>87</v>
      </c>
      <c r="C50" t="s">
        <v>3099</v>
      </c>
      <c r="D50" s="380">
        <v>1952</v>
      </c>
    </row>
    <row r="51" spans="1:4" x14ac:dyDescent="0.3">
      <c r="A51" t="s">
        <v>60</v>
      </c>
      <c r="B51" t="s">
        <v>87</v>
      </c>
      <c r="C51" t="s">
        <v>3100</v>
      </c>
      <c r="D51" s="380">
        <v>0</v>
      </c>
    </row>
    <row r="52" spans="1:4" x14ac:dyDescent="0.3">
      <c r="A52" t="s">
        <v>60</v>
      </c>
      <c r="B52" t="s">
        <v>87</v>
      </c>
      <c r="C52" t="s">
        <v>3097</v>
      </c>
      <c r="D52" s="380">
        <v>0</v>
      </c>
    </row>
    <row r="53" spans="1:4" x14ac:dyDescent="0.3">
      <c r="A53" t="s">
        <v>60</v>
      </c>
      <c r="B53" t="s">
        <v>87</v>
      </c>
      <c r="C53" t="s">
        <v>3098</v>
      </c>
      <c r="D53" s="380">
        <v>0</v>
      </c>
    </row>
    <row r="54" spans="1:4" x14ac:dyDescent="0.3">
      <c r="A54" t="s">
        <v>61</v>
      </c>
      <c r="B54" t="s">
        <v>90</v>
      </c>
      <c r="C54" t="s">
        <v>3099</v>
      </c>
      <c r="D54" s="380">
        <v>150.26086956521738</v>
      </c>
    </row>
    <row r="55" spans="1:4" x14ac:dyDescent="0.3">
      <c r="A55" t="s">
        <v>61</v>
      </c>
      <c r="B55" t="s">
        <v>90</v>
      </c>
      <c r="C55" t="s">
        <v>3097</v>
      </c>
      <c r="D55" s="380">
        <v>0</v>
      </c>
    </row>
    <row r="56" spans="1:4" x14ac:dyDescent="0.3">
      <c r="A56" t="s">
        <v>61</v>
      </c>
      <c r="B56" t="s">
        <v>90</v>
      </c>
      <c r="C56" t="s">
        <v>3098</v>
      </c>
      <c r="D56" s="380">
        <v>588.52173913043475</v>
      </c>
    </row>
    <row r="57" spans="1:4" x14ac:dyDescent="0.3">
      <c r="A57" t="s">
        <v>61</v>
      </c>
      <c r="B57" t="s">
        <v>90</v>
      </c>
      <c r="C57" t="s">
        <v>3100</v>
      </c>
      <c r="D57" s="380">
        <v>413.21739130434781</v>
      </c>
    </row>
    <row r="58" spans="1:4" x14ac:dyDescent="0.3">
      <c r="A58" t="s">
        <v>62</v>
      </c>
      <c r="B58" t="s">
        <v>87</v>
      </c>
      <c r="C58" t="s">
        <v>3099</v>
      </c>
      <c r="D58" s="380">
        <v>0</v>
      </c>
    </row>
    <row r="59" spans="1:4" x14ac:dyDescent="0.3">
      <c r="A59" t="s">
        <v>62</v>
      </c>
      <c r="B59" t="s">
        <v>87</v>
      </c>
      <c r="C59" t="s">
        <v>3100</v>
      </c>
      <c r="D59" s="380">
        <v>0</v>
      </c>
    </row>
    <row r="60" spans="1:4" x14ac:dyDescent="0.3">
      <c r="A60" t="s">
        <v>62</v>
      </c>
      <c r="B60" t="s">
        <v>87</v>
      </c>
      <c r="C60" t="s">
        <v>3097</v>
      </c>
      <c r="D60" s="380">
        <v>0</v>
      </c>
    </row>
    <row r="61" spans="1:4" x14ac:dyDescent="0.3">
      <c r="A61" t="s">
        <v>62</v>
      </c>
      <c r="B61" t="s">
        <v>87</v>
      </c>
      <c r="C61" t="s">
        <v>3098</v>
      </c>
      <c r="D61" s="380">
        <v>848</v>
      </c>
    </row>
    <row r="62" spans="1:4" x14ac:dyDescent="0.3">
      <c r="A62" t="s">
        <v>164</v>
      </c>
      <c r="B62" t="s">
        <v>170</v>
      </c>
      <c r="C62" t="s">
        <v>3099</v>
      </c>
      <c r="D62" s="380">
        <v>96</v>
      </c>
    </row>
    <row r="63" spans="1:4" x14ac:dyDescent="0.3">
      <c r="A63" t="s">
        <v>164</v>
      </c>
      <c r="B63" t="s">
        <v>170</v>
      </c>
      <c r="C63" t="s">
        <v>3100</v>
      </c>
      <c r="D63" s="380">
        <v>0</v>
      </c>
    </row>
    <row r="64" spans="1:4" x14ac:dyDescent="0.3">
      <c r="A64" t="s">
        <v>164</v>
      </c>
      <c r="B64" t="s">
        <v>170</v>
      </c>
      <c r="C64" t="s">
        <v>3097</v>
      </c>
      <c r="D64" s="380">
        <v>0</v>
      </c>
    </row>
    <row r="65" spans="1:4" x14ac:dyDescent="0.3">
      <c r="A65" t="s">
        <v>164</v>
      </c>
      <c r="B65" t="s">
        <v>170</v>
      </c>
      <c r="C65" t="s">
        <v>3098</v>
      </c>
      <c r="D65" s="380">
        <v>816</v>
      </c>
    </row>
    <row r="66" spans="1:4" x14ac:dyDescent="0.3">
      <c r="A66" t="s">
        <v>165</v>
      </c>
      <c r="B66" t="s">
        <v>90</v>
      </c>
      <c r="C66" t="s">
        <v>3098</v>
      </c>
      <c r="D66" s="380">
        <v>0</v>
      </c>
    </row>
    <row r="67" spans="1:4" x14ac:dyDescent="0.3">
      <c r="A67" t="s">
        <v>165</v>
      </c>
      <c r="B67" t="s">
        <v>90</v>
      </c>
      <c r="C67" t="s">
        <v>3097</v>
      </c>
      <c r="D67" s="380">
        <v>96</v>
      </c>
    </row>
    <row r="68" spans="1:4" x14ac:dyDescent="0.3">
      <c r="A68" t="s">
        <v>165</v>
      </c>
      <c r="B68" t="s">
        <v>90</v>
      </c>
      <c r="C68" t="s">
        <v>3099</v>
      </c>
      <c r="D68" s="380">
        <v>0</v>
      </c>
    </row>
    <row r="69" spans="1:4" x14ac:dyDescent="0.3">
      <c r="A69" t="s">
        <v>165</v>
      </c>
      <c r="B69" t="s">
        <v>90</v>
      </c>
      <c r="C69" t="s">
        <v>3100</v>
      </c>
      <c r="D69" s="380">
        <v>0</v>
      </c>
    </row>
    <row r="70" spans="1:4" x14ac:dyDescent="0.3">
      <c r="A70" t="s">
        <v>166</v>
      </c>
      <c r="B70" t="s">
        <v>87</v>
      </c>
      <c r="C70" t="s">
        <v>3099</v>
      </c>
      <c r="D70" s="380">
        <v>0</v>
      </c>
    </row>
    <row r="71" spans="1:4" x14ac:dyDescent="0.3">
      <c r="A71" t="s">
        <v>166</v>
      </c>
      <c r="B71" t="s">
        <v>87</v>
      </c>
      <c r="C71" t="s">
        <v>3100</v>
      </c>
      <c r="D71" s="380">
        <v>0</v>
      </c>
    </row>
    <row r="72" spans="1:4" x14ac:dyDescent="0.3">
      <c r="A72" t="s">
        <v>166</v>
      </c>
      <c r="B72" t="s">
        <v>87</v>
      </c>
      <c r="C72" t="s">
        <v>3097</v>
      </c>
      <c r="D72" s="380">
        <v>176</v>
      </c>
    </row>
    <row r="73" spans="1:4" x14ac:dyDescent="0.3">
      <c r="A73" t="s">
        <v>166</v>
      </c>
      <c r="B73" t="s">
        <v>87</v>
      </c>
      <c r="C73" t="s">
        <v>3098</v>
      </c>
      <c r="D73" s="380">
        <v>0</v>
      </c>
    </row>
    <row r="74" spans="1:4" x14ac:dyDescent="0.3">
      <c r="A74" t="s">
        <v>240</v>
      </c>
      <c r="B74" t="s">
        <v>90</v>
      </c>
      <c r="C74" t="s">
        <v>3097</v>
      </c>
      <c r="D74" s="380">
        <v>220</v>
      </c>
    </row>
    <row r="75" spans="1:4" x14ac:dyDescent="0.3">
      <c r="A75" t="s">
        <v>240</v>
      </c>
      <c r="B75" t="s">
        <v>90</v>
      </c>
      <c r="C75" t="s">
        <v>3099</v>
      </c>
      <c r="D75" s="380">
        <v>220</v>
      </c>
    </row>
    <row r="76" spans="1:4" x14ac:dyDescent="0.3">
      <c r="A76" t="s">
        <v>240</v>
      </c>
      <c r="B76" t="s">
        <v>90</v>
      </c>
      <c r="C76" t="s">
        <v>3100</v>
      </c>
      <c r="D76" s="380">
        <v>0</v>
      </c>
    </row>
    <row r="77" spans="1:4" x14ac:dyDescent="0.3">
      <c r="A77" t="s">
        <v>240</v>
      </c>
      <c r="B77" t="s">
        <v>90</v>
      </c>
      <c r="C77" t="s">
        <v>3098</v>
      </c>
      <c r="D77" s="380">
        <v>0</v>
      </c>
    </row>
    <row r="78" spans="1:4" x14ac:dyDescent="0.3">
      <c r="A78" t="s">
        <v>241</v>
      </c>
      <c r="B78" t="s">
        <v>90</v>
      </c>
      <c r="C78" t="s">
        <v>3097</v>
      </c>
      <c r="D78" s="380">
        <v>327.8840579710145</v>
      </c>
    </row>
    <row r="79" spans="1:4" x14ac:dyDescent="0.3">
      <c r="A79" t="s">
        <v>241</v>
      </c>
      <c r="B79" t="s">
        <v>90</v>
      </c>
      <c r="C79" t="s">
        <v>3098</v>
      </c>
      <c r="D79" s="380">
        <v>0</v>
      </c>
    </row>
    <row r="80" spans="1:4" x14ac:dyDescent="0.3">
      <c r="A80" t="s">
        <v>241</v>
      </c>
      <c r="B80" t="s">
        <v>90</v>
      </c>
      <c r="C80" t="s">
        <v>3099</v>
      </c>
      <c r="D80" s="380">
        <v>0</v>
      </c>
    </row>
    <row r="81" spans="1:4" x14ac:dyDescent="0.3">
      <c r="A81" t="s">
        <v>241</v>
      </c>
      <c r="B81" t="s">
        <v>90</v>
      </c>
      <c r="C81" t="s">
        <v>3100</v>
      </c>
      <c r="D81" s="380">
        <v>76.115942028985501</v>
      </c>
    </row>
    <row r="82" spans="1:4" x14ac:dyDescent="0.3">
      <c r="A82" t="s">
        <v>242</v>
      </c>
      <c r="B82" t="s">
        <v>90</v>
      </c>
      <c r="C82" t="s">
        <v>3099</v>
      </c>
      <c r="D82" s="380">
        <v>0</v>
      </c>
    </row>
    <row r="83" spans="1:4" x14ac:dyDescent="0.3">
      <c r="A83" t="s">
        <v>242</v>
      </c>
      <c r="B83" t="s">
        <v>90</v>
      </c>
      <c r="C83" t="s">
        <v>3100</v>
      </c>
      <c r="D83" s="380">
        <v>129.5</v>
      </c>
    </row>
    <row r="84" spans="1:4" x14ac:dyDescent="0.3">
      <c r="A84" t="s">
        <v>242</v>
      </c>
      <c r="B84" t="s">
        <v>90</v>
      </c>
      <c r="C84" t="s">
        <v>3098</v>
      </c>
      <c r="D84" s="380">
        <v>0</v>
      </c>
    </row>
    <row r="85" spans="1:4" x14ac:dyDescent="0.3">
      <c r="A85" t="s">
        <v>242</v>
      </c>
      <c r="B85" t="s">
        <v>90</v>
      </c>
      <c r="C85" t="s">
        <v>3097</v>
      </c>
      <c r="D85" s="380">
        <v>166.5</v>
      </c>
    </row>
    <row r="86" spans="1:4" x14ac:dyDescent="0.3">
      <c r="A86" t="s">
        <v>243</v>
      </c>
      <c r="B86" t="s">
        <v>90</v>
      </c>
      <c r="C86" t="s">
        <v>3097</v>
      </c>
      <c r="D86" s="380">
        <v>60</v>
      </c>
    </row>
    <row r="87" spans="1:4" x14ac:dyDescent="0.3">
      <c r="A87" t="s">
        <v>243</v>
      </c>
      <c r="B87" t="s">
        <v>90</v>
      </c>
      <c r="C87" t="s">
        <v>3099</v>
      </c>
      <c r="D87" s="380">
        <v>0</v>
      </c>
    </row>
    <row r="88" spans="1:4" x14ac:dyDescent="0.3">
      <c r="A88" t="s">
        <v>243</v>
      </c>
      <c r="B88" t="s">
        <v>90</v>
      </c>
      <c r="C88" t="s">
        <v>3098</v>
      </c>
      <c r="D88" s="380">
        <v>180</v>
      </c>
    </row>
    <row r="89" spans="1:4" x14ac:dyDescent="0.3">
      <c r="A89" t="s">
        <v>243</v>
      </c>
      <c r="B89" t="s">
        <v>90</v>
      </c>
      <c r="C89" t="s">
        <v>3100</v>
      </c>
      <c r="D89" s="380">
        <v>0</v>
      </c>
    </row>
    <row r="90" spans="1:4" x14ac:dyDescent="0.3">
      <c r="A90" t="s">
        <v>250</v>
      </c>
      <c r="B90" t="s">
        <v>90</v>
      </c>
      <c r="C90" t="s">
        <v>3098</v>
      </c>
      <c r="D90" s="380">
        <v>168</v>
      </c>
    </row>
    <row r="91" spans="1:4" x14ac:dyDescent="0.3">
      <c r="A91" t="s">
        <v>250</v>
      </c>
      <c r="B91" t="s">
        <v>90</v>
      </c>
      <c r="C91" t="s">
        <v>3100</v>
      </c>
      <c r="D91" s="380">
        <v>128</v>
      </c>
    </row>
    <row r="92" spans="1:4" x14ac:dyDescent="0.3">
      <c r="A92" t="s">
        <v>250</v>
      </c>
      <c r="B92" t="s">
        <v>90</v>
      </c>
      <c r="C92" t="s">
        <v>3099</v>
      </c>
      <c r="D92" s="380">
        <v>0</v>
      </c>
    </row>
    <row r="93" spans="1:4" x14ac:dyDescent="0.3">
      <c r="A93" t="s">
        <v>250</v>
      </c>
      <c r="B93" t="s">
        <v>90</v>
      </c>
      <c r="C93" t="s">
        <v>3097</v>
      </c>
      <c r="D93" s="380">
        <v>0</v>
      </c>
    </row>
    <row r="94" spans="1:4" x14ac:dyDescent="0.3">
      <c r="A94" t="s">
        <v>417</v>
      </c>
      <c r="B94" t="s">
        <v>90</v>
      </c>
      <c r="C94" t="s">
        <v>3097</v>
      </c>
      <c r="D94" s="380">
        <v>304.47761194029852</v>
      </c>
    </row>
    <row r="95" spans="1:4" x14ac:dyDescent="0.3">
      <c r="A95" t="s">
        <v>417</v>
      </c>
      <c r="B95" t="s">
        <v>90</v>
      </c>
      <c r="C95" t="s">
        <v>3098</v>
      </c>
      <c r="D95" s="380">
        <v>0</v>
      </c>
    </row>
    <row r="96" spans="1:4" x14ac:dyDescent="0.3">
      <c r="A96" t="s">
        <v>417</v>
      </c>
      <c r="B96" t="s">
        <v>90</v>
      </c>
      <c r="C96" t="s">
        <v>3099</v>
      </c>
      <c r="D96" s="380">
        <v>0</v>
      </c>
    </row>
    <row r="97" spans="1:4" x14ac:dyDescent="0.3">
      <c r="A97" t="s">
        <v>417</v>
      </c>
      <c r="B97" t="s">
        <v>90</v>
      </c>
      <c r="C97" t="s">
        <v>3100</v>
      </c>
      <c r="D97" s="380">
        <v>295.52238805970148</v>
      </c>
    </row>
  </sheetData>
  <pageMargins left="0.511811024" right="0.511811024" top="0.78740157499999996" bottom="0.78740157499999996" header="0.31496062000000002" footer="0.31496062000000002"/>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89413-3447-450B-9D38-873004A0E7B3}">
  <sheetPr codeName="Planilha9"/>
  <dimension ref="A1:E145"/>
  <sheetViews>
    <sheetView showGridLines="0" workbookViewId="0">
      <selection activeCell="C65" sqref="C65"/>
    </sheetView>
  </sheetViews>
  <sheetFormatPr defaultRowHeight="14.4" x14ac:dyDescent="0.3"/>
  <cols>
    <col min="1" max="1" width="10.5546875" bestFit="1" customWidth="1"/>
    <col min="2" max="2" width="12.6640625" customWidth="1"/>
    <col min="3" max="3" width="13.109375" bestFit="1" customWidth="1"/>
    <col min="4" max="4" width="12" bestFit="1" customWidth="1"/>
    <col min="5" max="5" width="22.109375" bestFit="1" customWidth="1"/>
    <col min="6" max="6" width="11.6640625" bestFit="1" customWidth="1"/>
    <col min="7" max="7" width="7.5546875" bestFit="1" customWidth="1"/>
    <col min="8" max="8" width="7.6640625" bestFit="1" customWidth="1"/>
    <col min="9" max="9" width="7.109375" bestFit="1" customWidth="1"/>
    <col min="10" max="10" width="7.44140625" bestFit="1" customWidth="1"/>
    <col min="11" max="11" width="13.5546875" bestFit="1" customWidth="1"/>
    <col min="12" max="12" width="14" bestFit="1" customWidth="1"/>
    <col min="13" max="13" width="13.44140625" bestFit="1" customWidth="1"/>
    <col min="14" max="14" width="13.6640625" bestFit="1" customWidth="1"/>
    <col min="15" max="15" width="11.88671875" bestFit="1" customWidth="1"/>
    <col min="16" max="16" width="13.44140625" bestFit="1" customWidth="1"/>
    <col min="17" max="17" width="13.6640625" bestFit="1" customWidth="1"/>
    <col min="18" max="18" width="11.88671875" bestFit="1" customWidth="1"/>
    <col min="19" max="19" width="29.88671875" bestFit="1" customWidth="1"/>
    <col min="20" max="20" width="22.5546875" customWidth="1"/>
    <col min="21" max="21" width="11.88671875" bestFit="1" customWidth="1"/>
  </cols>
  <sheetData>
    <row r="1" spans="1:5" x14ac:dyDescent="0.3">
      <c r="A1" t="s">
        <v>18</v>
      </c>
      <c r="B1" t="s">
        <v>2</v>
      </c>
      <c r="C1" t="s">
        <v>3096</v>
      </c>
      <c r="D1" t="s">
        <v>248</v>
      </c>
      <c r="E1" t="s">
        <v>3104</v>
      </c>
    </row>
    <row r="2" spans="1:5" x14ac:dyDescent="0.3">
      <c r="A2" t="s">
        <v>439</v>
      </c>
      <c r="B2" t="s">
        <v>90</v>
      </c>
      <c r="C2" t="s">
        <v>3097</v>
      </c>
      <c r="D2">
        <v>4618.2781456953644</v>
      </c>
      <c r="E2" t="s">
        <v>3105</v>
      </c>
    </row>
    <row r="3" spans="1:5" x14ac:dyDescent="0.3">
      <c r="A3" t="s">
        <v>439</v>
      </c>
      <c r="B3" t="s">
        <v>90</v>
      </c>
      <c r="C3" t="s">
        <v>3098</v>
      </c>
      <c r="D3">
        <v>70.278145695364245</v>
      </c>
      <c r="E3" t="s">
        <v>3106</v>
      </c>
    </row>
    <row r="4" spans="1:5" x14ac:dyDescent="0.3">
      <c r="A4" t="s">
        <v>439</v>
      </c>
      <c r="B4" t="s">
        <v>90</v>
      </c>
      <c r="C4" t="s">
        <v>3099</v>
      </c>
      <c r="D4">
        <v>421.66887417218544</v>
      </c>
      <c r="E4" t="s">
        <v>3107</v>
      </c>
    </row>
    <row r="5" spans="1:5" x14ac:dyDescent="0.3">
      <c r="A5" t="s">
        <v>439</v>
      </c>
      <c r="B5" t="s">
        <v>90</v>
      </c>
      <c r="C5" t="s">
        <v>3100</v>
      </c>
      <c r="D5">
        <v>953.77483443708616</v>
      </c>
      <c r="E5" t="s">
        <v>3108</v>
      </c>
    </row>
    <row r="6" spans="1:5" x14ac:dyDescent="0.3">
      <c r="A6" t="s">
        <v>440</v>
      </c>
      <c r="B6" t="s">
        <v>90</v>
      </c>
      <c r="C6" t="s">
        <v>3097</v>
      </c>
      <c r="D6">
        <v>3037.0891566265059</v>
      </c>
      <c r="E6" t="s">
        <v>3109</v>
      </c>
    </row>
    <row r="7" spans="1:5" x14ac:dyDescent="0.3">
      <c r="A7" t="s">
        <v>440</v>
      </c>
      <c r="B7" t="s">
        <v>90</v>
      </c>
      <c r="C7" t="s">
        <v>3098</v>
      </c>
      <c r="D7">
        <v>38.322891566265064</v>
      </c>
      <c r="E7" t="s">
        <v>3110</v>
      </c>
    </row>
    <row r="8" spans="1:5" x14ac:dyDescent="0.3">
      <c r="A8" t="s">
        <v>440</v>
      </c>
      <c r="B8" t="s">
        <v>90</v>
      </c>
      <c r="C8" t="s">
        <v>3099</v>
      </c>
      <c r="D8">
        <v>584.42409638554216</v>
      </c>
      <c r="E8" t="s">
        <v>3111</v>
      </c>
    </row>
    <row r="9" spans="1:5" x14ac:dyDescent="0.3">
      <c r="A9" t="s">
        <v>440</v>
      </c>
      <c r="B9" t="s">
        <v>90</v>
      </c>
      <c r="C9" t="s">
        <v>3100</v>
      </c>
      <c r="D9">
        <v>316.16385542168678</v>
      </c>
      <c r="E9" t="s">
        <v>3112</v>
      </c>
    </row>
    <row r="10" spans="1:5" x14ac:dyDescent="0.3">
      <c r="A10" t="s">
        <v>441</v>
      </c>
      <c r="B10" t="s">
        <v>90</v>
      </c>
      <c r="C10" t="s">
        <v>3097</v>
      </c>
      <c r="D10">
        <v>1882.042105263158</v>
      </c>
      <c r="E10" t="s">
        <v>3113</v>
      </c>
    </row>
    <row r="11" spans="1:5" x14ac:dyDescent="0.3">
      <c r="A11" t="s">
        <v>441</v>
      </c>
      <c r="B11" t="s">
        <v>90</v>
      </c>
      <c r="C11" t="s">
        <v>3098</v>
      </c>
      <c r="D11">
        <v>169.2842105263158</v>
      </c>
      <c r="E11" t="s">
        <v>3114</v>
      </c>
    </row>
    <row r="12" spans="1:5" x14ac:dyDescent="0.3">
      <c r="A12" t="s">
        <v>441</v>
      </c>
      <c r="B12" t="s">
        <v>90</v>
      </c>
      <c r="C12" t="s">
        <v>3099</v>
      </c>
      <c r="D12">
        <v>876.29473684210529</v>
      </c>
      <c r="E12" t="s">
        <v>3115</v>
      </c>
    </row>
    <row r="13" spans="1:5" x14ac:dyDescent="0.3">
      <c r="A13" t="s">
        <v>441</v>
      </c>
      <c r="B13" t="s">
        <v>90</v>
      </c>
      <c r="C13" t="s">
        <v>3100</v>
      </c>
      <c r="D13">
        <v>856.378947368421</v>
      </c>
      <c r="E13" t="s">
        <v>3116</v>
      </c>
    </row>
    <row r="14" spans="1:5" x14ac:dyDescent="0.3">
      <c r="A14" t="s">
        <v>442</v>
      </c>
      <c r="B14" t="s">
        <v>90</v>
      </c>
      <c r="C14" t="s">
        <v>3097</v>
      </c>
      <c r="D14">
        <v>1617.1727748691098</v>
      </c>
      <c r="E14" t="s">
        <v>3117</v>
      </c>
    </row>
    <row r="15" spans="1:5" x14ac:dyDescent="0.3">
      <c r="A15" t="s">
        <v>442</v>
      </c>
      <c r="B15" t="s">
        <v>90</v>
      </c>
      <c r="C15" t="s">
        <v>3098</v>
      </c>
      <c r="D15">
        <v>33.926701570680628</v>
      </c>
      <c r="E15" t="s">
        <v>3118</v>
      </c>
    </row>
    <row r="16" spans="1:5" x14ac:dyDescent="0.3">
      <c r="A16" t="s">
        <v>442</v>
      </c>
      <c r="B16" t="s">
        <v>90</v>
      </c>
      <c r="C16" t="s">
        <v>3099</v>
      </c>
      <c r="D16">
        <v>237.4869109947644</v>
      </c>
      <c r="E16" t="s">
        <v>3119</v>
      </c>
    </row>
    <row r="17" spans="1:5" x14ac:dyDescent="0.3">
      <c r="A17" t="s">
        <v>442</v>
      </c>
      <c r="B17" t="s">
        <v>90</v>
      </c>
      <c r="C17" t="s">
        <v>3100</v>
      </c>
      <c r="D17">
        <v>271.41361256544502</v>
      </c>
      <c r="E17" t="s">
        <v>3120</v>
      </c>
    </row>
    <row r="18" spans="1:5" x14ac:dyDescent="0.3">
      <c r="A18" t="s">
        <v>443</v>
      </c>
      <c r="B18" t="s">
        <v>90</v>
      </c>
      <c r="C18" t="s">
        <v>3097</v>
      </c>
      <c r="D18">
        <v>379.77358490566036</v>
      </c>
      <c r="E18" t="s">
        <v>3121</v>
      </c>
    </row>
    <row r="19" spans="1:5" x14ac:dyDescent="0.3">
      <c r="A19" t="s">
        <v>443</v>
      </c>
      <c r="B19" t="s">
        <v>90</v>
      </c>
      <c r="C19" t="s">
        <v>3098</v>
      </c>
      <c r="D19">
        <v>0</v>
      </c>
      <c r="E19" t="s">
        <v>3122</v>
      </c>
    </row>
    <row r="20" spans="1:5" x14ac:dyDescent="0.3">
      <c r="A20" t="s">
        <v>443</v>
      </c>
      <c r="B20" t="s">
        <v>90</v>
      </c>
      <c r="C20" t="s">
        <v>3099</v>
      </c>
      <c r="D20">
        <v>102.64150943396227</v>
      </c>
      <c r="E20" t="s">
        <v>3123</v>
      </c>
    </row>
    <row r="21" spans="1:5" x14ac:dyDescent="0.3">
      <c r="A21" t="s">
        <v>443</v>
      </c>
      <c r="B21" t="s">
        <v>90</v>
      </c>
      <c r="C21" t="s">
        <v>3100</v>
      </c>
      <c r="D21">
        <v>61.584905660377359</v>
      </c>
      <c r="E21" t="s">
        <v>3124</v>
      </c>
    </row>
    <row r="22" spans="1:5" x14ac:dyDescent="0.3">
      <c r="A22" t="s">
        <v>444</v>
      </c>
      <c r="B22" t="s">
        <v>90</v>
      </c>
      <c r="C22" t="s">
        <v>3097</v>
      </c>
      <c r="D22">
        <v>2179.3429158110885</v>
      </c>
      <c r="E22" t="s">
        <v>3125</v>
      </c>
    </row>
    <row r="23" spans="1:5" x14ac:dyDescent="0.3">
      <c r="A23" t="s">
        <v>444</v>
      </c>
      <c r="B23" t="s">
        <v>90</v>
      </c>
      <c r="C23" t="s">
        <v>3098</v>
      </c>
      <c r="D23">
        <v>109.24024640657083</v>
      </c>
      <c r="E23" t="s">
        <v>3126</v>
      </c>
    </row>
    <row r="24" spans="1:5" x14ac:dyDescent="0.3">
      <c r="A24" t="s">
        <v>444</v>
      </c>
      <c r="B24" t="s">
        <v>90</v>
      </c>
      <c r="C24" t="s">
        <v>3099</v>
      </c>
      <c r="D24">
        <v>87.392197125256672</v>
      </c>
      <c r="E24" t="s">
        <v>3127</v>
      </c>
    </row>
    <row r="25" spans="1:5" x14ac:dyDescent="0.3">
      <c r="A25" t="s">
        <v>444</v>
      </c>
      <c r="B25" t="s">
        <v>90</v>
      </c>
      <c r="C25" t="s">
        <v>3100</v>
      </c>
      <c r="D25">
        <v>284.02464065708421</v>
      </c>
      <c r="E25" t="s">
        <v>3128</v>
      </c>
    </row>
    <row r="26" spans="1:5" x14ac:dyDescent="0.3">
      <c r="A26" t="s">
        <v>54</v>
      </c>
      <c r="B26" t="s">
        <v>90</v>
      </c>
      <c r="C26" t="s">
        <v>3097</v>
      </c>
      <c r="D26">
        <v>501.04347826086956</v>
      </c>
      <c r="E26" t="s">
        <v>3129</v>
      </c>
    </row>
    <row r="27" spans="1:5" x14ac:dyDescent="0.3">
      <c r="A27" t="s">
        <v>54</v>
      </c>
      <c r="B27" t="s">
        <v>90</v>
      </c>
      <c r="C27" t="s">
        <v>3098</v>
      </c>
      <c r="D27">
        <v>23.304347826086957</v>
      </c>
      <c r="E27" t="s">
        <v>3130</v>
      </c>
    </row>
    <row r="28" spans="1:5" x14ac:dyDescent="0.3">
      <c r="A28" t="s">
        <v>54</v>
      </c>
      <c r="B28" t="s">
        <v>90</v>
      </c>
      <c r="C28" t="s">
        <v>3099</v>
      </c>
      <c r="D28">
        <v>11.652173913043478</v>
      </c>
      <c r="E28" t="s">
        <v>3131</v>
      </c>
    </row>
    <row r="29" spans="1:5" x14ac:dyDescent="0.3">
      <c r="A29" t="s">
        <v>54</v>
      </c>
      <c r="B29" t="s">
        <v>90</v>
      </c>
      <c r="C29" t="s">
        <v>3100</v>
      </c>
      <c r="D29">
        <v>0</v>
      </c>
      <c r="E29" t="s">
        <v>3132</v>
      </c>
    </row>
    <row r="30" spans="1:5" x14ac:dyDescent="0.3">
      <c r="A30" t="s">
        <v>55</v>
      </c>
      <c r="B30" t="s">
        <v>90</v>
      </c>
      <c r="C30" t="s">
        <v>3097</v>
      </c>
      <c r="D30">
        <v>1803.8333333333333</v>
      </c>
      <c r="E30" t="s">
        <v>3133</v>
      </c>
    </row>
    <row r="31" spans="1:5" x14ac:dyDescent="0.3">
      <c r="A31" t="s">
        <v>55</v>
      </c>
      <c r="B31" t="s">
        <v>90</v>
      </c>
      <c r="C31" t="s">
        <v>3098</v>
      </c>
      <c r="D31">
        <v>0</v>
      </c>
      <c r="E31" t="s">
        <v>3134</v>
      </c>
    </row>
    <row r="32" spans="1:5" x14ac:dyDescent="0.3">
      <c r="A32" t="s">
        <v>55</v>
      </c>
      <c r="B32" t="s">
        <v>90</v>
      </c>
      <c r="C32" t="s">
        <v>3099</v>
      </c>
      <c r="D32">
        <v>92.166666666666657</v>
      </c>
      <c r="E32" t="s">
        <v>3135</v>
      </c>
    </row>
    <row r="33" spans="1:5" x14ac:dyDescent="0.3">
      <c r="A33" t="s">
        <v>55</v>
      </c>
      <c r="B33" t="s">
        <v>90</v>
      </c>
      <c r="C33" t="s">
        <v>3100</v>
      </c>
      <c r="D33">
        <v>0</v>
      </c>
      <c r="E33" t="s">
        <v>3136</v>
      </c>
    </row>
    <row r="34" spans="1:5" x14ac:dyDescent="0.3">
      <c r="A34" t="s">
        <v>56</v>
      </c>
      <c r="B34" t="s">
        <v>90</v>
      </c>
      <c r="C34" t="s">
        <v>3097</v>
      </c>
      <c r="D34">
        <v>736.42105263157896</v>
      </c>
      <c r="E34" t="s">
        <v>3137</v>
      </c>
    </row>
    <row r="35" spans="1:5" x14ac:dyDescent="0.3">
      <c r="A35" t="s">
        <v>56</v>
      </c>
      <c r="B35" t="s">
        <v>90</v>
      </c>
      <c r="C35" t="s">
        <v>3098</v>
      </c>
      <c r="D35">
        <v>986.52631578947376</v>
      </c>
      <c r="E35" t="s">
        <v>3138</v>
      </c>
    </row>
    <row r="36" spans="1:5" x14ac:dyDescent="0.3">
      <c r="A36" t="s">
        <v>56</v>
      </c>
      <c r="B36" t="s">
        <v>90</v>
      </c>
      <c r="C36" t="s">
        <v>3099</v>
      </c>
      <c r="D36">
        <v>389.0526315789474</v>
      </c>
      <c r="E36" t="s">
        <v>3139</v>
      </c>
    </row>
    <row r="37" spans="1:5" x14ac:dyDescent="0.3">
      <c r="A37" t="s">
        <v>56</v>
      </c>
      <c r="B37" t="s">
        <v>90</v>
      </c>
      <c r="C37" t="s">
        <v>3100</v>
      </c>
      <c r="D37">
        <v>0</v>
      </c>
      <c r="E37" t="s">
        <v>3140</v>
      </c>
    </row>
    <row r="38" spans="1:5" x14ac:dyDescent="0.3">
      <c r="A38" t="s">
        <v>57</v>
      </c>
      <c r="B38" t="s">
        <v>87</v>
      </c>
      <c r="C38" t="s">
        <v>3097</v>
      </c>
      <c r="E38" t="s">
        <v>3141</v>
      </c>
    </row>
    <row r="39" spans="1:5" x14ac:dyDescent="0.3">
      <c r="A39" t="s">
        <v>57</v>
      </c>
      <c r="B39" t="s">
        <v>87</v>
      </c>
      <c r="C39" t="s">
        <v>3098</v>
      </c>
      <c r="E39" t="s">
        <v>3142</v>
      </c>
    </row>
    <row r="40" spans="1:5" x14ac:dyDescent="0.3">
      <c r="A40" t="s">
        <v>57</v>
      </c>
      <c r="B40" t="s">
        <v>87</v>
      </c>
      <c r="C40" t="s">
        <v>3099</v>
      </c>
      <c r="E40" t="s">
        <v>3143</v>
      </c>
    </row>
    <row r="41" spans="1:5" x14ac:dyDescent="0.3">
      <c r="A41" t="s">
        <v>57</v>
      </c>
      <c r="B41" t="s">
        <v>87</v>
      </c>
      <c r="C41" t="s">
        <v>3100</v>
      </c>
      <c r="E41" t="s">
        <v>3144</v>
      </c>
    </row>
    <row r="42" spans="1:5" x14ac:dyDescent="0.3">
      <c r="A42" t="s">
        <v>58</v>
      </c>
      <c r="B42" t="s">
        <v>87</v>
      </c>
      <c r="C42" t="s">
        <v>3097</v>
      </c>
      <c r="E42" t="s">
        <v>3145</v>
      </c>
    </row>
    <row r="43" spans="1:5" x14ac:dyDescent="0.3">
      <c r="A43" t="s">
        <v>58</v>
      </c>
      <c r="B43" t="s">
        <v>87</v>
      </c>
      <c r="C43" t="s">
        <v>3098</v>
      </c>
      <c r="E43" t="s">
        <v>3146</v>
      </c>
    </row>
    <row r="44" spans="1:5" x14ac:dyDescent="0.3">
      <c r="A44" t="s">
        <v>58</v>
      </c>
      <c r="B44" t="s">
        <v>87</v>
      </c>
      <c r="C44" t="s">
        <v>3099</v>
      </c>
      <c r="E44" t="s">
        <v>3147</v>
      </c>
    </row>
    <row r="45" spans="1:5" x14ac:dyDescent="0.3">
      <c r="A45" t="s">
        <v>58</v>
      </c>
      <c r="B45" t="s">
        <v>87</v>
      </c>
      <c r="C45" t="s">
        <v>3100</v>
      </c>
      <c r="E45" t="s">
        <v>3148</v>
      </c>
    </row>
    <row r="46" spans="1:5" x14ac:dyDescent="0.3">
      <c r="A46" t="s">
        <v>59</v>
      </c>
      <c r="B46" t="s">
        <v>87</v>
      </c>
      <c r="C46" t="s">
        <v>3097</v>
      </c>
      <c r="E46" t="s">
        <v>3149</v>
      </c>
    </row>
    <row r="47" spans="1:5" x14ac:dyDescent="0.3">
      <c r="A47" t="s">
        <v>59</v>
      </c>
      <c r="B47" t="s">
        <v>87</v>
      </c>
      <c r="C47" t="s">
        <v>3098</v>
      </c>
      <c r="E47" t="s">
        <v>3150</v>
      </c>
    </row>
    <row r="48" spans="1:5" x14ac:dyDescent="0.3">
      <c r="A48" t="s">
        <v>59</v>
      </c>
      <c r="B48" t="s">
        <v>87</v>
      </c>
      <c r="C48" t="s">
        <v>3099</v>
      </c>
      <c r="E48" t="s">
        <v>3151</v>
      </c>
    </row>
    <row r="49" spans="1:5" x14ac:dyDescent="0.3">
      <c r="A49" t="s">
        <v>59</v>
      </c>
      <c r="B49" t="s">
        <v>87</v>
      </c>
      <c r="C49" t="s">
        <v>3100</v>
      </c>
      <c r="E49" t="s">
        <v>3152</v>
      </c>
    </row>
    <row r="50" spans="1:5" x14ac:dyDescent="0.3">
      <c r="A50" t="s">
        <v>60</v>
      </c>
      <c r="B50" t="s">
        <v>87</v>
      </c>
      <c r="C50" t="s">
        <v>3097</v>
      </c>
      <c r="E50" t="s">
        <v>3153</v>
      </c>
    </row>
    <row r="51" spans="1:5" x14ac:dyDescent="0.3">
      <c r="A51" t="s">
        <v>60</v>
      </c>
      <c r="B51" t="s">
        <v>87</v>
      </c>
      <c r="C51" t="s">
        <v>3098</v>
      </c>
      <c r="E51" t="s">
        <v>3154</v>
      </c>
    </row>
    <row r="52" spans="1:5" x14ac:dyDescent="0.3">
      <c r="A52" t="s">
        <v>60</v>
      </c>
      <c r="B52" t="s">
        <v>87</v>
      </c>
      <c r="C52" t="s">
        <v>3099</v>
      </c>
      <c r="E52" t="s">
        <v>3155</v>
      </c>
    </row>
    <row r="53" spans="1:5" x14ac:dyDescent="0.3">
      <c r="A53" t="s">
        <v>60</v>
      </c>
      <c r="B53" t="s">
        <v>87</v>
      </c>
      <c r="C53" t="s">
        <v>3100</v>
      </c>
      <c r="E53" t="s">
        <v>3156</v>
      </c>
    </row>
    <row r="54" spans="1:5" x14ac:dyDescent="0.3">
      <c r="A54" t="s">
        <v>61</v>
      </c>
      <c r="B54" t="s">
        <v>90</v>
      </c>
      <c r="C54" t="s">
        <v>3097</v>
      </c>
      <c r="D54">
        <v>0</v>
      </c>
      <c r="E54" t="s">
        <v>3157</v>
      </c>
    </row>
    <row r="55" spans="1:5" x14ac:dyDescent="0.3">
      <c r="A55" t="s">
        <v>61</v>
      </c>
      <c r="B55" t="s">
        <v>90</v>
      </c>
      <c r="C55" t="s">
        <v>3098</v>
      </c>
      <c r="D55">
        <v>588.52173913043475</v>
      </c>
      <c r="E55" t="s">
        <v>3158</v>
      </c>
    </row>
    <row r="56" spans="1:5" x14ac:dyDescent="0.3">
      <c r="A56" t="s">
        <v>61</v>
      </c>
      <c r="B56" t="s">
        <v>90</v>
      </c>
      <c r="C56" t="s">
        <v>3099</v>
      </c>
      <c r="D56">
        <v>150.26086956521738</v>
      </c>
      <c r="E56" t="s">
        <v>3159</v>
      </c>
    </row>
    <row r="57" spans="1:5" x14ac:dyDescent="0.3">
      <c r="A57" t="s">
        <v>61</v>
      </c>
      <c r="B57" t="s">
        <v>90</v>
      </c>
      <c r="C57" t="s">
        <v>3100</v>
      </c>
      <c r="D57">
        <v>413.21739130434781</v>
      </c>
      <c r="E57" t="s">
        <v>3160</v>
      </c>
    </row>
    <row r="58" spans="1:5" x14ac:dyDescent="0.3">
      <c r="A58" t="s">
        <v>62</v>
      </c>
      <c r="B58" t="s">
        <v>87</v>
      </c>
      <c r="C58" t="s">
        <v>3097</v>
      </c>
      <c r="E58" t="s">
        <v>3161</v>
      </c>
    </row>
    <row r="59" spans="1:5" x14ac:dyDescent="0.3">
      <c r="A59" t="s">
        <v>62</v>
      </c>
      <c r="B59" t="s">
        <v>87</v>
      </c>
      <c r="C59" t="s">
        <v>3098</v>
      </c>
      <c r="E59" t="s">
        <v>3162</v>
      </c>
    </row>
    <row r="60" spans="1:5" x14ac:dyDescent="0.3">
      <c r="A60" t="s">
        <v>62</v>
      </c>
      <c r="B60" t="s">
        <v>87</v>
      </c>
      <c r="C60" t="s">
        <v>3099</v>
      </c>
      <c r="E60" t="s">
        <v>3163</v>
      </c>
    </row>
    <row r="61" spans="1:5" x14ac:dyDescent="0.3">
      <c r="A61" t="s">
        <v>62</v>
      </c>
      <c r="B61" t="s">
        <v>87</v>
      </c>
      <c r="C61" t="s">
        <v>3100</v>
      </c>
      <c r="E61" t="s">
        <v>3164</v>
      </c>
    </row>
    <row r="62" spans="1:5" x14ac:dyDescent="0.3">
      <c r="A62" t="s">
        <v>63</v>
      </c>
      <c r="B62" t="s">
        <v>90</v>
      </c>
      <c r="C62" t="s">
        <v>3097</v>
      </c>
      <c r="E62" t="s">
        <v>3165</v>
      </c>
    </row>
    <row r="63" spans="1:5" x14ac:dyDescent="0.3">
      <c r="A63" t="s">
        <v>63</v>
      </c>
      <c r="B63" t="s">
        <v>90</v>
      </c>
      <c r="C63" t="s">
        <v>3098</v>
      </c>
      <c r="E63" t="s">
        <v>3166</v>
      </c>
    </row>
    <row r="64" spans="1:5" x14ac:dyDescent="0.3">
      <c r="A64" t="s">
        <v>63</v>
      </c>
      <c r="B64" t="s">
        <v>90</v>
      </c>
      <c r="C64" t="s">
        <v>3099</v>
      </c>
      <c r="E64" t="s">
        <v>3167</v>
      </c>
    </row>
    <row r="65" spans="1:5" x14ac:dyDescent="0.3">
      <c r="A65" t="s">
        <v>63</v>
      </c>
      <c r="B65" t="s">
        <v>90</v>
      </c>
      <c r="C65" t="s">
        <v>3100</v>
      </c>
      <c r="E65" t="s">
        <v>3168</v>
      </c>
    </row>
    <row r="66" spans="1:5" x14ac:dyDescent="0.3">
      <c r="A66" t="s">
        <v>163</v>
      </c>
      <c r="B66" t="s">
        <v>90</v>
      </c>
      <c r="C66" t="s">
        <v>3097</v>
      </c>
      <c r="E66" t="s">
        <v>3169</v>
      </c>
    </row>
    <row r="67" spans="1:5" x14ac:dyDescent="0.3">
      <c r="A67" t="s">
        <v>163</v>
      </c>
      <c r="B67" t="s">
        <v>90</v>
      </c>
      <c r="C67" t="s">
        <v>3098</v>
      </c>
      <c r="E67" t="s">
        <v>3170</v>
      </c>
    </row>
    <row r="68" spans="1:5" x14ac:dyDescent="0.3">
      <c r="A68" t="s">
        <v>163</v>
      </c>
      <c r="B68" t="s">
        <v>90</v>
      </c>
      <c r="C68" t="s">
        <v>3099</v>
      </c>
      <c r="E68" t="s">
        <v>3171</v>
      </c>
    </row>
    <row r="69" spans="1:5" x14ac:dyDescent="0.3">
      <c r="A69" t="s">
        <v>163</v>
      </c>
      <c r="B69" t="s">
        <v>90</v>
      </c>
      <c r="C69" t="s">
        <v>3100</v>
      </c>
      <c r="E69" t="s">
        <v>3172</v>
      </c>
    </row>
    <row r="70" spans="1:5" x14ac:dyDescent="0.3">
      <c r="A70" t="s">
        <v>164</v>
      </c>
      <c r="B70" t="s">
        <v>170</v>
      </c>
      <c r="C70" t="s">
        <v>3097</v>
      </c>
      <c r="E70" t="s">
        <v>3173</v>
      </c>
    </row>
    <row r="71" spans="1:5" x14ac:dyDescent="0.3">
      <c r="A71" t="s">
        <v>164</v>
      </c>
      <c r="B71" t="s">
        <v>170</v>
      </c>
      <c r="C71" t="s">
        <v>3098</v>
      </c>
      <c r="E71" t="s">
        <v>3174</v>
      </c>
    </row>
    <row r="72" spans="1:5" x14ac:dyDescent="0.3">
      <c r="A72" t="s">
        <v>164</v>
      </c>
      <c r="B72" t="s">
        <v>170</v>
      </c>
      <c r="C72" t="s">
        <v>3099</v>
      </c>
      <c r="E72" t="s">
        <v>3175</v>
      </c>
    </row>
    <row r="73" spans="1:5" x14ac:dyDescent="0.3">
      <c r="A73" t="s">
        <v>164</v>
      </c>
      <c r="B73" t="s">
        <v>170</v>
      </c>
      <c r="C73" t="s">
        <v>3100</v>
      </c>
      <c r="E73" t="s">
        <v>3176</v>
      </c>
    </row>
    <row r="74" spans="1:5" x14ac:dyDescent="0.3">
      <c r="A74" t="s">
        <v>165</v>
      </c>
      <c r="B74" t="s">
        <v>90</v>
      </c>
      <c r="C74" t="s">
        <v>3097</v>
      </c>
      <c r="D74">
        <v>96</v>
      </c>
      <c r="E74" t="s">
        <v>3177</v>
      </c>
    </row>
    <row r="75" spans="1:5" x14ac:dyDescent="0.3">
      <c r="A75" t="s">
        <v>165</v>
      </c>
      <c r="B75" t="s">
        <v>90</v>
      </c>
      <c r="C75" t="s">
        <v>3098</v>
      </c>
      <c r="D75">
        <v>0</v>
      </c>
      <c r="E75" t="s">
        <v>3178</v>
      </c>
    </row>
    <row r="76" spans="1:5" x14ac:dyDescent="0.3">
      <c r="A76" t="s">
        <v>165</v>
      </c>
      <c r="B76" t="s">
        <v>90</v>
      </c>
      <c r="C76" t="s">
        <v>3099</v>
      </c>
      <c r="D76">
        <v>0</v>
      </c>
      <c r="E76" t="s">
        <v>3179</v>
      </c>
    </row>
    <row r="77" spans="1:5" x14ac:dyDescent="0.3">
      <c r="A77" t="s">
        <v>165</v>
      </c>
      <c r="B77" t="s">
        <v>90</v>
      </c>
      <c r="C77" t="s">
        <v>3100</v>
      </c>
      <c r="D77">
        <v>0</v>
      </c>
      <c r="E77" t="s">
        <v>3180</v>
      </c>
    </row>
    <row r="78" spans="1:5" x14ac:dyDescent="0.3">
      <c r="A78" t="s">
        <v>166</v>
      </c>
      <c r="B78" t="s">
        <v>87</v>
      </c>
      <c r="C78" t="s">
        <v>3097</v>
      </c>
      <c r="E78" t="s">
        <v>3181</v>
      </c>
    </row>
    <row r="79" spans="1:5" x14ac:dyDescent="0.3">
      <c r="A79" t="s">
        <v>166</v>
      </c>
      <c r="B79" t="s">
        <v>87</v>
      </c>
      <c r="C79" t="s">
        <v>3098</v>
      </c>
      <c r="E79" t="s">
        <v>3182</v>
      </c>
    </row>
    <row r="80" spans="1:5" x14ac:dyDescent="0.3">
      <c r="A80" t="s">
        <v>166</v>
      </c>
      <c r="B80" t="s">
        <v>87</v>
      </c>
      <c r="C80" t="s">
        <v>3099</v>
      </c>
      <c r="E80" t="s">
        <v>3183</v>
      </c>
    </row>
    <row r="81" spans="1:5" x14ac:dyDescent="0.3">
      <c r="A81" t="s">
        <v>166</v>
      </c>
      <c r="B81" t="s">
        <v>87</v>
      </c>
      <c r="C81" t="s">
        <v>3100</v>
      </c>
      <c r="E81" t="s">
        <v>3184</v>
      </c>
    </row>
    <row r="82" spans="1:5" x14ac:dyDescent="0.3">
      <c r="A82" t="s">
        <v>234</v>
      </c>
      <c r="B82" t="s">
        <v>90</v>
      </c>
      <c r="C82" t="s">
        <v>3097</v>
      </c>
      <c r="E82" t="s">
        <v>3185</v>
      </c>
    </row>
    <row r="83" spans="1:5" x14ac:dyDescent="0.3">
      <c r="A83" t="s">
        <v>234</v>
      </c>
      <c r="B83" t="s">
        <v>90</v>
      </c>
      <c r="C83" t="s">
        <v>3098</v>
      </c>
      <c r="E83" t="s">
        <v>3186</v>
      </c>
    </row>
    <row r="84" spans="1:5" x14ac:dyDescent="0.3">
      <c r="A84" t="s">
        <v>234</v>
      </c>
      <c r="B84" t="s">
        <v>90</v>
      </c>
      <c r="C84" t="s">
        <v>3099</v>
      </c>
      <c r="E84" t="s">
        <v>3187</v>
      </c>
    </row>
    <row r="85" spans="1:5" x14ac:dyDescent="0.3">
      <c r="A85" t="s">
        <v>234</v>
      </c>
      <c r="B85" t="s">
        <v>90</v>
      </c>
      <c r="C85" t="s">
        <v>3100</v>
      </c>
      <c r="E85" t="s">
        <v>3188</v>
      </c>
    </row>
    <row r="86" spans="1:5" x14ac:dyDescent="0.3">
      <c r="A86" t="s">
        <v>240</v>
      </c>
      <c r="B86" t="s">
        <v>90</v>
      </c>
      <c r="C86" t="s">
        <v>3097</v>
      </c>
      <c r="D86">
        <v>220</v>
      </c>
      <c r="E86" t="s">
        <v>3189</v>
      </c>
    </row>
    <row r="87" spans="1:5" x14ac:dyDescent="0.3">
      <c r="A87" t="s">
        <v>240</v>
      </c>
      <c r="B87" t="s">
        <v>90</v>
      </c>
      <c r="C87" t="s">
        <v>3098</v>
      </c>
      <c r="D87">
        <v>0</v>
      </c>
      <c r="E87" t="s">
        <v>3190</v>
      </c>
    </row>
    <row r="88" spans="1:5" x14ac:dyDescent="0.3">
      <c r="A88" t="s">
        <v>240</v>
      </c>
      <c r="B88" t="s">
        <v>90</v>
      </c>
      <c r="C88" t="s">
        <v>3099</v>
      </c>
      <c r="D88">
        <v>220</v>
      </c>
      <c r="E88" t="s">
        <v>3191</v>
      </c>
    </row>
    <row r="89" spans="1:5" x14ac:dyDescent="0.3">
      <c r="A89" t="s">
        <v>240</v>
      </c>
      <c r="B89" t="s">
        <v>90</v>
      </c>
      <c r="C89" t="s">
        <v>3100</v>
      </c>
      <c r="D89">
        <v>0</v>
      </c>
      <c r="E89" t="s">
        <v>3192</v>
      </c>
    </row>
    <row r="90" spans="1:5" x14ac:dyDescent="0.3">
      <c r="A90" t="s">
        <v>241</v>
      </c>
      <c r="B90" t="s">
        <v>90</v>
      </c>
      <c r="C90" t="s">
        <v>3097</v>
      </c>
      <c r="D90">
        <v>327.8840579710145</v>
      </c>
      <c r="E90" t="s">
        <v>3193</v>
      </c>
    </row>
    <row r="91" spans="1:5" x14ac:dyDescent="0.3">
      <c r="A91" t="s">
        <v>241</v>
      </c>
      <c r="B91" t="s">
        <v>90</v>
      </c>
      <c r="C91" t="s">
        <v>3098</v>
      </c>
      <c r="D91">
        <v>0</v>
      </c>
      <c r="E91" t="s">
        <v>3194</v>
      </c>
    </row>
    <row r="92" spans="1:5" x14ac:dyDescent="0.3">
      <c r="A92" t="s">
        <v>241</v>
      </c>
      <c r="B92" t="s">
        <v>90</v>
      </c>
      <c r="C92" t="s">
        <v>3099</v>
      </c>
      <c r="D92">
        <v>0</v>
      </c>
      <c r="E92" t="s">
        <v>3195</v>
      </c>
    </row>
    <row r="93" spans="1:5" x14ac:dyDescent="0.3">
      <c r="A93" t="s">
        <v>241</v>
      </c>
      <c r="B93" t="s">
        <v>90</v>
      </c>
      <c r="C93" t="s">
        <v>3100</v>
      </c>
      <c r="D93">
        <v>76.115942028985501</v>
      </c>
      <c r="E93" t="s">
        <v>3196</v>
      </c>
    </row>
    <row r="94" spans="1:5" x14ac:dyDescent="0.3">
      <c r="A94" t="s">
        <v>242</v>
      </c>
      <c r="B94" t="s">
        <v>90</v>
      </c>
      <c r="C94" t="s">
        <v>3097</v>
      </c>
      <c r="D94">
        <v>166.5</v>
      </c>
      <c r="E94" t="s">
        <v>3197</v>
      </c>
    </row>
    <row r="95" spans="1:5" x14ac:dyDescent="0.3">
      <c r="A95" t="s">
        <v>242</v>
      </c>
      <c r="B95" t="s">
        <v>90</v>
      </c>
      <c r="C95" t="s">
        <v>3098</v>
      </c>
      <c r="D95">
        <v>0</v>
      </c>
      <c r="E95" t="s">
        <v>3198</v>
      </c>
    </row>
    <row r="96" spans="1:5" x14ac:dyDescent="0.3">
      <c r="A96" t="s">
        <v>242</v>
      </c>
      <c r="B96" t="s">
        <v>90</v>
      </c>
      <c r="C96" t="s">
        <v>3099</v>
      </c>
      <c r="D96">
        <v>0</v>
      </c>
      <c r="E96" t="s">
        <v>3199</v>
      </c>
    </row>
    <row r="97" spans="1:5" x14ac:dyDescent="0.3">
      <c r="A97" t="s">
        <v>242</v>
      </c>
      <c r="B97" t="s">
        <v>90</v>
      </c>
      <c r="C97" t="s">
        <v>3100</v>
      </c>
      <c r="D97">
        <v>129.5</v>
      </c>
      <c r="E97" t="s">
        <v>3200</v>
      </c>
    </row>
    <row r="98" spans="1:5" x14ac:dyDescent="0.3">
      <c r="A98" t="s">
        <v>243</v>
      </c>
      <c r="B98" t="s">
        <v>90</v>
      </c>
      <c r="C98" t="s">
        <v>3097</v>
      </c>
      <c r="D98">
        <v>60</v>
      </c>
      <c r="E98" t="s">
        <v>3201</v>
      </c>
    </row>
    <row r="99" spans="1:5" x14ac:dyDescent="0.3">
      <c r="A99" t="s">
        <v>243</v>
      </c>
      <c r="B99" t="s">
        <v>90</v>
      </c>
      <c r="C99" t="s">
        <v>3098</v>
      </c>
      <c r="D99">
        <v>180</v>
      </c>
      <c r="E99" t="s">
        <v>3202</v>
      </c>
    </row>
    <row r="100" spans="1:5" x14ac:dyDescent="0.3">
      <c r="A100" t="s">
        <v>243</v>
      </c>
      <c r="B100" t="s">
        <v>90</v>
      </c>
      <c r="C100" t="s">
        <v>3099</v>
      </c>
      <c r="D100">
        <v>0</v>
      </c>
      <c r="E100" t="s">
        <v>3203</v>
      </c>
    </row>
    <row r="101" spans="1:5" x14ac:dyDescent="0.3">
      <c r="A101" t="s">
        <v>243</v>
      </c>
      <c r="B101" t="s">
        <v>90</v>
      </c>
      <c r="C101" t="s">
        <v>3100</v>
      </c>
      <c r="D101">
        <v>0</v>
      </c>
      <c r="E101" t="s">
        <v>3204</v>
      </c>
    </row>
    <row r="102" spans="1:5" x14ac:dyDescent="0.3">
      <c r="A102" t="s">
        <v>244</v>
      </c>
      <c r="B102" t="s">
        <v>87</v>
      </c>
      <c r="C102" t="s">
        <v>3097</v>
      </c>
      <c r="E102" t="s">
        <v>3205</v>
      </c>
    </row>
    <row r="103" spans="1:5" x14ac:dyDescent="0.3">
      <c r="A103" t="s">
        <v>244</v>
      </c>
      <c r="B103" t="s">
        <v>87</v>
      </c>
      <c r="C103" t="s">
        <v>3098</v>
      </c>
      <c r="E103" t="s">
        <v>3206</v>
      </c>
    </row>
    <row r="104" spans="1:5" x14ac:dyDescent="0.3">
      <c r="A104" t="s">
        <v>244</v>
      </c>
      <c r="B104" t="s">
        <v>87</v>
      </c>
      <c r="C104" t="s">
        <v>3099</v>
      </c>
      <c r="E104" t="s">
        <v>3207</v>
      </c>
    </row>
    <row r="105" spans="1:5" x14ac:dyDescent="0.3">
      <c r="A105" t="s">
        <v>244</v>
      </c>
      <c r="B105" t="s">
        <v>87</v>
      </c>
      <c r="C105" t="s">
        <v>3100</v>
      </c>
      <c r="E105" t="s">
        <v>3208</v>
      </c>
    </row>
    <row r="106" spans="1:5" x14ac:dyDescent="0.3">
      <c r="A106" t="s">
        <v>250</v>
      </c>
      <c r="B106" t="s">
        <v>90</v>
      </c>
      <c r="C106" t="s">
        <v>3097</v>
      </c>
      <c r="D106">
        <v>0</v>
      </c>
      <c r="E106" t="s">
        <v>3209</v>
      </c>
    </row>
    <row r="107" spans="1:5" x14ac:dyDescent="0.3">
      <c r="A107" t="s">
        <v>250</v>
      </c>
      <c r="B107" t="s">
        <v>90</v>
      </c>
      <c r="C107" t="s">
        <v>3098</v>
      </c>
      <c r="D107">
        <v>168</v>
      </c>
      <c r="E107" t="s">
        <v>3210</v>
      </c>
    </row>
    <row r="108" spans="1:5" x14ac:dyDescent="0.3">
      <c r="A108" t="s">
        <v>250</v>
      </c>
      <c r="B108" t="s">
        <v>90</v>
      </c>
      <c r="C108" t="s">
        <v>3099</v>
      </c>
      <c r="D108">
        <v>0</v>
      </c>
      <c r="E108" t="s">
        <v>3211</v>
      </c>
    </row>
    <row r="109" spans="1:5" x14ac:dyDescent="0.3">
      <c r="A109" t="s">
        <v>250</v>
      </c>
      <c r="B109" t="s">
        <v>90</v>
      </c>
      <c r="C109" t="s">
        <v>3100</v>
      </c>
      <c r="D109">
        <v>128</v>
      </c>
      <c r="E109" t="s">
        <v>3212</v>
      </c>
    </row>
    <row r="110" spans="1:5" x14ac:dyDescent="0.3">
      <c r="A110" t="s">
        <v>417</v>
      </c>
      <c r="B110" t="s">
        <v>90</v>
      </c>
      <c r="C110" t="s">
        <v>3097</v>
      </c>
      <c r="D110">
        <v>304.47761194029852</v>
      </c>
      <c r="E110" t="s">
        <v>3213</v>
      </c>
    </row>
    <row r="111" spans="1:5" x14ac:dyDescent="0.3">
      <c r="A111" t="s">
        <v>417</v>
      </c>
      <c r="B111" t="s">
        <v>90</v>
      </c>
      <c r="C111" t="s">
        <v>3098</v>
      </c>
      <c r="D111">
        <v>0</v>
      </c>
      <c r="E111" t="s">
        <v>3214</v>
      </c>
    </row>
    <row r="112" spans="1:5" x14ac:dyDescent="0.3">
      <c r="A112" t="s">
        <v>417</v>
      </c>
      <c r="B112" t="s">
        <v>90</v>
      </c>
      <c r="C112" t="s">
        <v>3099</v>
      </c>
      <c r="D112">
        <v>0</v>
      </c>
      <c r="E112" t="s">
        <v>3215</v>
      </c>
    </row>
    <row r="113" spans="1:5" x14ac:dyDescent="0.3">
      <c r="A113" t="s">
        <v>417</v>
      </c>
      <c r="B113" t="s">
        <v>90</v>
      </c>
      <c r="C113" t="s">
        <v>3100</v>
      </c>
      <c r="D113">
        <v>295.52238805970148</v>
      </c>
      <c r="E113" t="s">
        <v>3216</v>
      </c>
    </row>
    <row r="114" spans="1:5" x14ac:dyDescent="0.3">
      <c r="A114" t="s">
        <v>416</v>
      </c>
      <c r="B114" t="s">
        <v>87</v>
      </c>
      <c r="C114" t="s">
        <v>3097</v>
      </c>
      <c r="E114" t="s">
        <v>3217</v>
      </c>
    </row>
    <row r="115" spans="1:5" x14ac:dyDescent="0.3">
      <c r="A115" t="s">
        <v>416</v>
      </c>
      <c r="B115" t="s">
        <v>87</v>
      </c>
      <c r="C115" t="s">
        <v>3098</v>
      </c>
      <c r="E115" t="s">
        <v>3218</v>
      </c>
    </row>
    <row r="116" spans="1:5" x14ac:dyDescent="0.3">
      <c r="A116" t="s">
        <v>416</v>
      </c>
      <c r="B116" t="s">
        <v>87</v>
      </c>
      <c r="C116" t="s">
        <v>3099</v>
      </c>
      <c r="E116" t="s">
        <v>3219</v>
      </c>
    </row>
    <row r="117" spans="1:5" x14ac:dyDescent="0.3">
      <c r="A117" t="s">
        <v>416</v>
      </c>
      <c r="B117" t="s">
        <v>87</v>
      </c>
      <c r="C117" t="s">
        <v>3100</v>
      </c>
      <c r="E117" t="s">
        <v>3220</v>
      </c>
    </row>
    <row r="118" spans="1:5" x14ac:dyDescent="0.3">
      <c r="A118" t="s">
        <v>445</v>
      </c>
      <c r="B118" t="s">
        <v>90</v>
      </c>
      <c r="C118" t="s">
        <v>3097</v>
      </c>
      <c r="D118">
        <v>0</v>
      </c>
      <c r="E118" t="s">
        <v>3221</v>
      </c>
    </row>
    <row r="119" spans="1:5" x14ac:dyDescent="0.3">
      <c r="A119" t="s">
        <v>445</v>
      </c>
      <c r="B119" t="s">
        <v>90</v>
      </c>
      <c r="C119" t="s">
        <v>3098</v>
      </c>
      <c r="D119">
        <v>24</v>
      </c>
      <c r="E119" t="s">
        <v>3222</v>
      </c>
    </row>
    <row r="120" spans="1:5" x14ac:dyDescent="0.3">
      <c r="A120" t="s">
        <v>445</v>
      </c>
      <c r="B120" t="s">
        <v>90</v>
      </c>
      <c r="C120" t="s">
        <v>3099</v>
      </c>
      <c r="D120">
        <v>0</v>
      </c>
      <c r="E120" t="s">
        <v>3223</v>
      </c>
    </row>
    <row r="121" spans="1:5" x14ac:dyDescent="0.3">
      <c r="A121" t="s">
        <v>445</v>
      </c>
      <c r="B121" t="s">
        <v>90</v>
      </c>
      <c r="C121" t="s">
        <v>3100</v>
      </c>
      <c r="D121">
        <v>0</v>
      </c>
      <c r="E121" t="s">
        <v>3224</v>
      </c>
    </row>
    <row r="122" spans="1:5" x14ac:dyDescent="0.3">
      <c r="A122" t="s">
        <v>530</v>
      </c>
      <c r="B122" t="s">
        <v>90</v>
      </c>
      <c r="C122" t="s">
        <v>3097</v>
      </c>
      <c r="E122" t="s">
        <v>3225</v>
      </c>
    </row>
    <row r="123" spans="1:5" x14ac:dyDescent="0.3">
      <c r="A123" t="s">
        <v>530</v>
      </c>
      <c r="B123" t="s">
        <v>90</v>
      </c>
      <c r="C123" t="s">
        <v>3098</v>
      </c>
      <c r="E123" t="s">
        <v>3226</v>
      </c>
    </row>
    <row r="124" spans="1:5" x14ac:dyDescent="0.3">
      <c r="A124" t="s">
        <v>530</v>
      </c>
      <c r="B124" t="s">
        <v>90</v>
      </c>
      <c r="C124" t="s">
        <v>3099</v>
      </c>
      <c r="E124" t="s">
        <v>3227</v>
      </c>
    </row>
    <row r="125" spans="1:5" x14ac:dyDescent="0.3">
      <c r="A125" t="s">
        <v>530</v>
      </c>
      <c r="B125" t="s">
        <v>90</v>
      </c>
      <c r="C125" t="s">
        <v>3100</v>
      </c>
      <c r="E125" t="s">
        <v>3228</v>
      </c>
    </row>
    <row r="126" spans="1:5" x14ac:dyDescent="0.3">
      <c r="A126" t="s">
        <v>531</v>
      </c>
      <c r="B126" t="s">
        <v>90</v>
      </c>
      <c r="C126" t="s">
        <v>3097</v>
      </c>
      <c r="E126" t="s">
        <v>3229</v>
      </c>
    </row>
    <row r="127" spans="1:5" x14ac:dyDescent="0.3">
      <c r="A127" t="s">
        <v>531</v>
      </c>
      <c r="B127" t="s">
        <v>90</v>
      </c>
      <c r="C127" t="s">
        <v>3098</v>
      </c>
      <c r="E127" t="s">
        <v>3230</v>
      </c>
    </row>
    <row r="128" spans="1:5" x14ac:dyDescent="0.3">
      <c r="A128" t="s">
        <v>531</v>
      </c>
      <c r="B128" t="s">
        <v>90</v>
      </c>
      <c r="C128" t="s">
        <v>3099</v>
      </c>
      <c r="E128" t="s">
        <v>3231</v>
      </c>
    </row>
    <row r="129" spans="1:5" x14ac:dyDescent="0.3">
      <c r="A129" t="s">
        <v>531</v>
      </c>
      <c r="B129" t="s">
        <v>90</v>
      </c>
      <c r="C129" t="s">
        <v>3100</v>
      </c>
      <c r="E129" t="s">
        <v>3232</v>
      </c>
    </row>
    <row r="130" spans="1:5" x14ac:dyDescent="0.3">
      <c r="A130" t="s">
        <v>532</v>
      </c>
      <c r="B130" t="s">
        <v>90</v>
      </c>
      <c r="C130" t="s">
        <v>3097</v>
      </c>
      <c r="E130" t="s">
        <v>3233</v>
      </c>
    </row>
    <row r="131" spans="1:5" x14ac:dyDescent="0.3">
      <c r="A131" t="s">
        <v>532</v>
      </c>
      <c r="B131" t="s">
        <v>90</v>
      </c>
      <c r="C131" t="s">
        <v>3098</v>
      </c>
      <c r="E131" t="s">
        <v>3234</v>
      </c>
    </row>
    <row r="132" spans="1:5" x14ac:dyDescent="0.3">
      <c r="A132" t="s">
        <v>532</v>
      </c>
      <c r="B132" t="s">
        <v>90</v>
      </c>
      <c r="C132" t="s">
        <v>3099</v>
      </c>
      <c r="E132" t="s">
        <v>3235</v>
      </c>
    </row>
    <row r="133" spans="1:5" x14ac:dyDescent="0.3">
      <c r="A133" t="s">
        <v>532</v>
      </c>
      <c r="B133" t="s">
        <v>90</v>
      </c>
      <c r="C133" t="s">
        <v>3100</v>
      </c>
      <c r="E133" t="s">
        <v>3236</v>
      </c>
    </row>
    <row r="134" spans="1:5" x14ac:dyDescent="0.3">
      <c r="A134" t="s">
        <v>621</v>
      </c>
      <c r="B134" t="s">
        <v>90</v>
      </c>
      <c r="C134" t="s">
        <v>3097</v>
      </c>
      <c r="E134" t="s">
        <v>3237</v>
      </c>
    </row>
    <row r="135" spans="1:5" x14ac:dyDescent="0.3">
      <c r="A135" t="s">
        <v>621</v>
      </c>
      <c r="B135" t="s">
        <v>90</v>
      </c>
      <c r="C135" t="s">
        <v>3098</v>
      </c>
      <c r="E135" t="s">
        <v>3238</v>
      </c>
    </row>
    <row r="136" spans="1:5" x14ac:dyDescent="0.3">
      <c r="A136" t="s">
        <v>621</v>
      </c>
      <c r="B136" t="s">
        <v>90</v>
      </c>
      <c r="C136" t="s">
        <v>3099</v>
      </c>
      <c r="E136" t="s">
        <v>3239</v>
      </c>
    </row>
    <row r="137" spans="1:5" x14ac:dyDescent="0.3">
      <c r="A137" t="s">
        <v>621</v>
      </c>
      <c r="B137" t="s">
        <v>90</v>
      </c>
      <c r="C137" t="s">
        <v>3100</v>
      </c>
      <c r="E137" t="s">
        <v>3240</v>
      </c>
    </row>
    <row r="138" spans="1:5" x14ac:dyDescent="0.3">
      <c r="A138" t="s">
        <v>642</v>
      </c>
      <c r="B138" t="s">
        <v>87</v>
      </c>
      <c r="C138" t="s">
        <v>3097</v>
      </c>
      <c r="E138" t="s">
        <v>3241</v>
      </c>
    </row>
    <row r="139" spans="1:5" x14ac:dyDescent="0.3">
      <c r="A139" t="s">
        <v>642</v>
      </c>
      <c r="B139" t="s">
        <v>87</v>
      </c>
      <c r="C139" t="s">
        <v>3098</v>
      </c>
      <c r="E139" t="s">
        <v>3242</v>
      </c>
    </row>
    <row r="140" spans="1:5" x14ac:dyDescent="0.3">
      <c r="A140" t="s">
        <v>642</v>
      </c>
      <c r="B140" t="s">
        <v>87</v>
      </c>
      <c r="C140" t="s">
        <v>3099</v>
      </c>
      <c r="E140" t="s">
        <v>3243</v>
      </c>
    </row>
    <row r="141" spans="1:5" x14ac:dyDescent="0.3">
      <c r="A141" t="s">
        <v>642</v>
      </c>
      <c r="B141" t="s">
        <v>87</v>
      </c>
      <c r="C141" t="s">
        <v>3100</v>
      </c>
      <c r="E141" t="s">
        <v>3244</v>
      </c>
    </row>
    <row r="142" spans="1:5" x14ac:dyDescent="0.3">
      <c r="A142" t="s">
        <v>624</v>
      </c>
      <c r="B142" t="s">
        <v>90</v>
      </c>
      <c r="C142" t="s">
        <v>3097</v>
      </c>
      <c r="E142" t="s">
        <v>3245</v>
      </c>
    </row>
    <row r="143" spans="1:5" x14ac:dyDescent="0.3">
      <c r="A143" t="s">
        <v>624</v>
      </c>
      <c r="B143" t="s">
        <v>90</v>
      </c>
      <c r="C143" t="s">
        <v>3098</v>
      </c>
      <c r="E143" t="s">
        <v>3246</v>
      </c>
    </row>
    <row r="144" spans="1:5" x14ac:dyDescent="0.3">
      <c r="A144" t="s">
        <v>624</v>
      </c>
      <c r="B144" t="s">
        <v>90</v>
      </c>
      <c r="C144" t="s">
        <v>3099</v>
      </c>
      <c r="E144" t="s">
        <v>3247</v>
      </c>
    </row>
    <row r="145" spans="1:5" x14ac:dyDescent="0.3">
      <c r="A145" t="s">
        <v>624</v>
      </c>
      <c r="B145" t="s">
        <v>90</v>
      </c>
      <c r="C145" t="s">
        <v>3100</v>
      </c>
      <c r="E145" t="s">
        <v>3248</v>
      </c>
    </row>
  </sheetData>
  <phoneticPr fontId="2" type="noConversion"/>
  <pageMargins left="0.511811024" right="0.511811024" top="0.78740157499999996" bottom="0.78740157499999996" header="0.31496062000000002" footer="0.31496062000000002"/>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55F57-932E-4983-9F66-13E6107C639F}">
  <sheetPr codeName="Planilha11"/>
  <dimension ref="A1:E145"/>
  <sheetViews>
    <sheetView showGridLines="0" topLeftCell="A25" workbookViewId="0">
      <selection activeCell="D42" sqref="D42:D45"/>
    </sheetView>
  </sheetViews>
  <sheetFormatPr defaultRowHeight="14.4" x14ac:dyDescent="0.3"/>
  <cols>
    <col min="1" max="1" width="10.5546875" bestFit="1" customWidth="1"/>
    <col min="2" max="2" width="12.6640625" bestFit="1" customWidth="1"/>
    <col min="3" max="3" width="13.109375" bestFit="1" customWidth="1"/>
    <col min="4" max="4" width="7.5546875" bestFit="1" customWidth="1"/>
    <col min="5" max="5" width="22.109375" bestFit="1" customWidth="1"/>
    <col min="6" max="6" width="7.6640625" bestFit="1" customWidth="1"/>
    <col min="7" max="7" width="7.109375" bestFit="1" customWidth="1"/>
    <col min="8" max="8" width="7.44140625" bestFit="1" customWidth="1"/>
    <col min="9" max="9" width="7" bestFit="1" customWidth="1"/>
    <col min="10" max="10" width="10.109375" bestFit="1" customWidth="1"/>
    <col min="11" max="11" width="5.6640625" customWidth="1"/>
  </cols>
  <sheetData>
    <row r="1" spans="1:5" x14ac:dyDescent="0.3">
      <c r="A1" t="s">
        <v>18</v>
      </c>
      <c r="B1" t="s">
        <v>2</v>
      </c>
      <c r="C1" t="s">
        <v>3096</v>
      </c>
      <c r="D1" t="s">
        <v>248</v>
      </c>
      <c r="E1" t="s">
        <v>3104</v>
      </c>
    </row>
    <row r="2" spans="1:5" x14ac:dyDescent="0.3">
      <c r="A2" t="s">
        <v>439</v>
      </c>
      <c r="B2" t="s">
        <v>90</v>
      </c>
      <c r="C2" t="s">
        <v>3097</v>
      </c>
      <c r="D2" s="379"/>
      <c r="E2" t="s">
        <v>3105</v>
      </c>
    </row>
    <row r="3" spans="1:5" x14ac:dyDescent="0.3">
      <c r="A3" t="s">
        <v>439</v>
      </c>
      <c r="B3" t="s">
        <v>90</v>
      </c>
      <c r="C3" t="s">
        <v>3098</v>
      </c>
      <c r="D3" s="379"/>
      <c r="E3" t="s">
        <v>3106</v>
      </c>
    </row>
    <row r="4" spans="1:5" x14ac:dyDescent="0.3">
      <c r="A4" t="s">
        <v>439</v>
      </c>
      <c r="B4" t="s">
        <v>90</v>
      </c>
      <c r="C4" t="s">
        <v>3099</v>
      </c>
      <c r="D4" s="379"/>
      <c r="E4" t="s">
        <v>3107</v>
      </c>
    </row>
    <row r="5" spans="1:5" x14ac:dyDescent="0.3">
      <c r="A5" t="s">
        <v>439</v>
      </c>
      <c r="B5" t="s">
        <v>90</v>
      </c>
      <c r="C5" t="s">
        <v>3100</v>
      </c>
      <c r="D5" s="379"/>
      <c r="E5" t="s">
        <v>3108</v>
      </c>
    </row>
    <row r="6" spans="1:5" x14ac:dyDescent="0.3">
      <c r="A6" t="s">
        <v>440</v>
      </c>
      <c r="B6" t="s">
        <v>90</v>
      </c>
      <c r="C6" t="s">
        <v>3097</v>
      </c>
      <c r="D6" s="379"/>
      <c r="E6" t="s">
        <v>3109</v>
      </c>
    </row>
    <row r="7" spans="1:5" x14ac:dyDescent="0.3">
      <c r="A7" t="s">
        <v>440</v>
      </c>
      <c r="B7" t="s">
        <v>90</v>
      </c>
      <c r="C7" t="s">
        <v>3098</v>
      </c>
      <c r="D7" s="379"/>
      <c r="E7" t="s">
        <v>3110</v>
      </c>
    </row>
    <row r="8" spans="1:5" x14ac:dyDescent="0.3">
      <c r="A8" t="s">
        <v>440</v>
      </c>
      <c r="B8" t="s">
        <v>90</v>
      </c>
      <c r="C8" t="s">
        <v>3099</v>
      </c>
      <c r="D8" s="379"/>
      <c r="E8" t="s">
        <v>3111</v>
      </c>
    </row>
    <row r="9" spans="1:5" x14ac:dyDescent="0.3">
      <c r="A9" t="s">
        <v>440</v>
      </c>
      <c r="B9" t="s">
        <v>90</v>
      </c>
      <c r="C9" t="s">
        <v>3100</v>
      </c>
      <c r="D9" s="379"/>
      <c r="E9" t="s">
        <v>3112</v>
      </c>
    </row>
    <row r="10" spans="1:5" x14ac:dyDescent="0.3">
      <c r="A10" t="s">
        <v>441</v>
      </c>
      <c r="B10" t="s">
        <v>90</v>
      </c>
      <c r="C10" t="s">
        <v>3097</v>
      </c>
      <c r="D10" s="379"/>
      <c r="E10" t="s">
        <v>3113</v>
      </c>
    </row>
    <row r="11" spans="1:5" x14ac:dyDescent="0.3">
      <c r="A11" t="s">
        <v>441</v>
      </c>
      <c r="B11" t="s">
        <v>90</v>
      </c>
      <c r="C11" t="s">
        <v>3098</v>
      </c>
      <c r="D11" s="379"/>
      <c r="E11" t="s">
        <v>3114</v>
      </c>
    </row>
    <row r="12" spans="1:5" x14ac:dyDescent="0.3">
      <c r="A12" t="s">
        <v>441</v>
      </c>
      <c r="B12" t="s">
        <v>90</v>
      </c>
      <c r="C12" t="s">
        <v>3099</v>
      </c>
      <c r="D12" s="379"/>
      <c r="E12" t="s">
        <v>3115</v>
      </c>
    </row>
    <row r="13" spans="1:5" x14ac:dyDescent="0.3">
      <c r="A13" t="s">
        <v>441</v>
      </c>
      <c r="B13" t="s">
        <v>90</v>
      </c>
      <c r="C13" t="s">
        <v>3100</v>
      </c>
      <c r="D13" s="379"/>
      <c r="E13" t="s">
        <v>3116</v>
      </c>
    </row>
    <row r="14" spans="1:5" x14ac:dyDescent="0.3">
      <c r="A14" t="s">
        <v>442</v>
      </c>
      <c r="B14" t="s">
        <v>90</v>
      </c>
      <c r="C14" t="s">
        <v>3097</v>
      </c>
      <c r="D14" s="379"/>
      <c r="E14" t="s">
        <v>3117</v>
      </c>
    </row>
    <row r="15" spans="1:5" x14ac:dyDescent="0.3">
      <c r="A15" t="s">
        <v>442</v>
      </c>
      <c r="B15" t="s">
        <v>90</v>
      </c>
      <c r="C15" t="s">
        <v>3098</v>
      </c>
      <c r="D15" s="379"/>
      <c r="E15" t="s">
        <v>3118</v>
      </c>
    </row>
    <row r="16" spans="1:5" x14ac:dyDescent="0.3">
      <c r="A16" t="s">
        <v>442</v>
      </c>
      <c r="B16" t="s">
        <v>90</v>
      </c>
      <c r="C16" t="s">
        <v>3099</v>
      </c>
      <c r="D16" s="379"/>
      <c r="E16" t="s">
        <v>3119</v>
      </c>
    </row>
    <row r="17" spans="1:5" x14ac:dyDescent="0.3">
      <c r="A17" t="s">
        <v>442</v>
      </c>
      <c r="B17" t="s">
        <v>90</v>
      </c>
      <c r="C17" t="s">
        <v>3100</v>
      </c>
      <c r="D17" s="379"/>
      <c r="E17" t="s">
        <v>3120</v>
      </c>
    </row>
    <row r="18" spans="1:5" x14ac:dyDescent="0.3">
      <c r="A18" t="s">
        <v>443</v>
      </c>
      <c r="B18" t="s">
        <v>90</v>
      </c>
      <c r="C18" t="s">
        <v>3097</v>
      </c>
      <c r="D18" s="379"/>
      <c r="E18" t="s">
        <v>3121</v>
      </c>
    </row>
    <row r="19" spans="1:5" x14ac:dyDescent="0.3">
      <c r="A19" t="s">
        <v>443</v>
      </c>
      <c r="B19" t="s">
        <v>90</v>
      </c>
      <c r="C19" t="s">
        <v>3098</v>
      </c>
      <c r="D19" s="379"/>
      <c r="E19" t="s">
        <v>3122</v>
      </c>
    </row>
    <row r="20" spans="1:5" x14ac:dyDescent="0.3">
      <c r="A20" t="s">
        <v>443</v>
      </c>
      <c r="B20" t="s">
        <v>90</v>
      </c>
      <c r="C20" t="s">
        <v>3099</v>
      </c>
      <c r="D20" s="379"/>
      <c r="E20" t="s">
        <v>3123</v>
      </c>
    </row>
    <row r="21" spans="1:5" x14ac:dyDescent="0.3">
      <c r="A21" t="s">
        <v>443</v>
      </c>
      <c r="B21" t="s">
        <v>90</v>
      </c>
      <c r="C21" t="s">
        <v>3100</v>
      </c>
      <c r="D21" s="379"/>
      <c r="E21" t="s">
        <v>3124</v>
      </c>
    </row>
    <row r="22" spans="1:5" x14ac:dyDescent="0.3">
      <c r="A22" t="s">
        <v>444</v>
      </c>
      <c r="B22" t="s">
        <v>90</v>
      </c>
      <c r="C22" t="s">
        <v>3097</v>
      </c>
      <c r="D22" s="379"/>
      <c r="E22" t="s">
        <v>3125</v>
      </c>
    </row>
    <row r="23" spans="1:5" x14ac:dyDescent="0.3">
      <c r="A23" t="s">
        <v>444</v>
      </c>
      <c r="B23" t="s">
        <v>90</v>
      </c>
      <c r="C23" t="s">
        <v>3098</v>
      </c>
      <c r="D23" s="379"/>
      <c r="E23" t="s">
        <v>3126</v>
      </c>
    </row>
    <row r="24" spans="1:5" x14ac:dyDescent="0.3">
      <c r="A24" t="s">
        <v>444</v>
      </c>
      <c r="B24" t="s">
        <v>90</v>
      </c>
      <c r="C24" t="s">
        <v>3099</v>
      </c>
      <c r="D24" s="379"/>
      <c r="E24" t="s">
        <v>3127</v>
      </c>
    </row>
    <row r="25" spans="1:5" x14ac:dyDescent="0.3">
      <c r="A25" t="s">
        <v>444</v>
      </c>
      <c r="B25" t="s">
        <v>90</v>
      </c>
      <c r="C25" t="s">
        <v>3100</v>
      </c>
      <c r="D25" s="379"/>
      <c r="E25" t="s">
        <v>3128</v>
      </c>
    </row>
    <row r="26" spans="1:5" x14ac:dyDescent="0.3">
      <c r="A26" t="s">
        <v>54</v>
      </c>
      <c r="B26" t="s">
        <v>90</v>
      </c>
      <c r="C26" t="s">
        <v>3097</v>
      </c>
      <c r="D26" s="379"/>
      <c r="E26" t="s">
        <v>3129</v>
      </c>
    </row>
    <row r="27" spans="1:5" x14ac:dyDescent="0.3">
      <c r="A27" t="s">
        <v>54</v>
      </c>
      <c r="B27" t="s">
        <v>90</v>
      </c>
      <c r="C27" t="s">
        <v>3098</v>
      </c>
      <c r="D27" s="379"/>
      <c r="E27" t="s">
        <v>3130</v>
      </c>
    </row>
    <row r="28" spans="1:5" x14ac:dyDescent="0.3">
      <c r="A28" t="s">
        <v>54</v>
      </c>
      <c r="B28" t="s">
        <v>90</v>
      </c>
      <c r="C28" t="s">
        <v>3099</v>
      </c>
      <c r="D28" s="379"/>
      <c r="E28" t="s">
        <v>3131</v>
      </c>
    </row>
    <row r="29" spans="1:5" x14ac:dyDescent="0.3">
      <c r="A29" t="s">
        <v>54</v>
      </c>
      <c r="B29" t="s">
        <v>90</v>
      </c>
      <c r="C29" t="s">
        <v>3100</v>
      </c>
      <c r="D29" s="379"/>
      <c r="E29" t="s">
        <v>3132</v>
      </c>
    </row>
    <row r="30" spans="1:5" x14ac:dyDescent="0.3">
      <c r="A30" t="s">
        <v>55</v>
      </c>
      <c r="B30" t="s">
        <v>90</v>
      </c>
      <c r="C30" t="s">
        <v>3097</v>
      </c>
      <c r="D30" s="379"/>
      <c r="E30" t="s">
        <v>3133</v>
      </c>
    </row>
    <row r="31" spans="1:5" x14ac:dyDescent="0.3">
      <c r="A31" t="s">
        <v>55</v>
      </c>
      <c r="B31" t="s">
        <v>90</v>
      </c>
      <c r="C31" t="s">
        <v>3098</v>
      </c>
      <c r="D31" s="379"/>
      <c r="E31" t="s">
        <v>3134</v>
      </c>
    </row>
    <row r="32" spans="1:5" x14ac:dyDescent="0.3">
      <c r="A32" t="s">
        <v>55</v>
      </c>
      <c r="B32" t="s">
        <v>90</v>
      </c>
      <c r="C32" t="s">
        <v>3099</v>
      </c>
      <c r="D32" s="379"/>
      <c r="E32" t="s">
        <v>3135</v>
      </c>
    </row>
    <row r="33" spans="1:5" x14ac:dyDescent="0.3">
      <c r="A33" t="s">
        <v>55</v>
      </c>
      <c r="B33" t="s">
        <v>90</v>
      </c>
      <c r="C33" t="s">
        <v>3100</v>
      </c>
      <c r="D33" s="379"/>
      <c r="E33" t="s">
        <v>3136</v>
      </c>
    </row>
    <row r="34" spans="1:5" x14ac:dyDescent="0.3">
      <c r="A34" t="s">
        <v>56</v>
      </c>
      <c r="B34" t="s">
        <v>90</v>
      </c>
      <c r="C34" t="s">
        <v>3097</v>
      </c>
      <c r="D34" s="379"/>
      <c r="E34" t="s">
        <v>3137</v>
      </c>
    </row>
    <row r="35" spans="1:5" x14ac:dyDescent="0.3">
      <c r="A35" t="s">
        <v>56</v>
      </c>
      <c r="B35" t="s">
        <v>90</v>
      </c>
      <c r="C35" t="s">
        <v>3098</v>
      </c>
      <c r="D35" s="379"/>
      <c r="E35" t="s">
        <v>3138</v>
      </c>
    </row>
    <row r="36" spans="1:5" x14ac:dyDescent="0.3">
      <c r="A36" t="s">
        <v>56</v>
      </c>
      <c r="B36" t="s">
        <v>90</v>
      </c>
      <c r="C36" t="s">
        <v>3099</v>
      </c>
      <c r="D36" s="379"/>
      <c r="E36" t="s">
        <v>3139</v>
      </c>
    </row>
    <row r="37" spans="1:5" x14ac:dyDescent="0.3">
      <c r="A37" t="s">
        <v>56</v>
      </c>
      <c r="B37" t="s">
        <v>90</v>
      </c>
      <c r="C37" t="s">
        <v>3100</v>
      </c>
      <c r="D37" s="379"/>
      <c r="E37" t="s">
        <v>3140</v>
      </c>
    </row>
    <row r="38" spans="1:5" x14ac:dyDescent="0.3">
      <c r="A38" t="s">
        <v>57</v>
      </c>
      <c r="B38" t="s">
        <v>87</v>
      </c>
      <c r="C38" t="s">
        <v>3097</v>
      </c>
      <c r="D38" s="379"/>
      <c r="E38" t="s">
        <v>3141</v>
      </c>
    </row>
    <row r="39" spans="1:5" x14ac:dyDescent="0.3">
      <c r="A39" t="s">
        <v>57</v>
      </c>
      <c r="B39" t="s">
        <v>87</v>
      </c>
      <c r="C39" t="s">
        <v>3098</v>
      </c>
      <c r="D39" s="379"/>
      <c r="E39" t="s">
        <v>3142</v>
      </c>
    </row>
    <row r="40" spans="1:5" x14ac:dyDescent="0.3">
      <c r="A40" t="s">
        <v>57</v>
      </c>
      <c r="B40" t="s">
        <v>87</v>
      </c>
      <c r="C40" t="s">
        <v>3099</v>
      </c>
      <c r="D40" s="379"/>
      <c r="E40" t="s">
        <v>3143</v>
      </c>
    </row>
    <row r="41" spans="1:5" x14ac:dyDescent="0.3">
      <c r="A41" t="s">
        <v>57</v>
      </c>
      <c r="B41" t="s">
        <v>87</v>
      </c>
      <c r="C41" t="s">
        <v>3100</v>
      </c>
      <c r="D41" s="379"/>
      <c r="E41" t="s">
        <v>3144</v>
      </c>
    </row>
    <row r="42" spans="1:5" x14ac:dyDescent="0.3">
      <c r="A42" t="s">
        <v>58</v>
      </c>
      <c r="B42" t="s">
        <v>87</v>
      </c>
      <c r="C42" t="s">
        <v>3097</v>
      </c>
      <c r="D42" s="379">
        <v>2030.344827586207</v>
      </c>
      <c r="E42" t="s">
        <v>3145</v>
      </c>
    </row>
    <row r="43" spans="1:5" x14ac:dyDescent="0.3">
      <c r="A43" t="s">
        <v>58</v>
      </c>
      <c r="B43" t="s">
        <v>87</v>
      </c>
      <c r="C43" t="s">
        <v>3098</v>
      </c>
      <c r="D43" s="379">
        <v>0</v>
      </c>
      <c r="E43" t="s">
        <v>3146</v>
      </c>
    </row>
    <row r="44" spans="1:5" x14ac:dyDescent="0.3">
      <c r="A44" t="s">
        <v>58</v>
      </c>
      <c r="B44" t="s">
        <v>87</v>
      </c>
      <c r="C44" t="s">
        <v>3099</v>
      </c>
      <c r="D44" s="379">
        <v>17.655172413793103</v>
      </c>
      <c r="E44" t="s">
        <v>3147</v>
      </c>
    </row>
    <row r="45" spans="1:5" x14ac:dyDescent="0.3">
      <c r="A45" t="s">
        <v>58</v>
      </c>
      <c r="B45" t="s">
        <v>87</v>
      </c>
      <c r="C45" t="s">
        <v>3100</v>
      </c>
      <c r="D45" s="379">
        <v>0</v>
      </c>
      <c r="E45" t="s">
        <v>3148</v>
      </c>
    </row>
    <row r="46" spans="1:5" x14ac:dyDescent="0.3">
      <c r="A46" t="s">
        <v>59</v>
      </c>
      <c r="B46" t="s">
        <v>87</v>
      </c>
      <c r="C46" t="s">
        <v>3097</v>
      </c>
      <c r="D46" s="379">
        <v>1208</v>
      </c>
      <c r="E46" t="s">
        <v>3149</v>
      </c>
    </row>
    <row r="47" spans="1:5" x14ac:dyDescent="0.3">
      <c r="A47" t="s">
        <v>59</v>
      </c>
      <c r="B47" t="s">
        <v>87</v>
      </c>
      <c r="C47" t="s">
        <v>3098</v>
      </c>
      <c r="D47" s="379">
        <v>0</v>
      </c>
      <c r="E47" t="s">
        <v>3150</v>
      </c>
    </row>
    <row r="48" spans="1:5" x14ac:dyDescent="0.3">
      <c r="A48" t="s">
        <v>59</v>
      </c>
      <c r="B48" t="s">
        <v>87</v>
      </c>
      <c r="C48" t="s">
        <v>3099</v>
      </c>
      <c r="D48" s="379">
        <v>0</v>
      </c>
      <c r="E48" t="s">
        <v>3151</v>
      </c>
    </row>
    <row r="49" spans="1:5" x14ac:dyDescent="0.3">
      <c r="A49" t="s">
        <v>59</v>
      </c>
      <c r="B49" t="s">
        <v>87</v>
      </c>
      <c r="C49" t="s">
        <v>3100</v>
      </c>
      <c r="D49" s="379">
        <v>0</v>
      </c>
      <c r="E49" t="s">
        <v>3152</v>
      </c>
    </row>
    <row r="50" spans="1:5" x14ac:dyDescent="0.3">
      <c r="A50" t="s">
        <v>60</v>
      </c>
      <c r="B50" t="s">
        <v>87</v>
      </c>
      <c r="C50" t="s">
        <v>3097</v>
      </c>
      <c r="D50" s="379">
        <v>0</v>
      </c>
      <c r="E50" t="s">
        <v>3153</v>
      </c>
    </row>
    <row r="51" spans="1:5" x14ac:dyDescent="0.3">
      <c r="A51" t="s">
        <v>60</v>
      </c>
      <c r="B51" t="s">
        <v>87</v>
      </c>
      <c r="C51" t="s">
        <v>3098</v>
      </c>
      <c r="D51" s="379">
        <v>0</v>
      </c>
      <c r="E51" t="s">
        <v>3154</v>
      </c>
    </row>
    <row r="52" spans="1:5" x14ac:dyDescent="0.3">
      <c r="A52" t="s">
        <v>60</v>
      </c>
      <c r="B52" t="s">
        <v>87</v>
      </c>
      <c r="C52" t="s">
        <v>3099</v>
      </c>
      <c r="D52" s="379">
        <v>1952</v>
      </c>
      <c r="E52" t="s">
        <v>3155</v>
      </c>
    </row>
    <row r="53" spans="1:5" x14ac:dyDescent="0.3">
      <c r="A53" t="s">
        <v>60</v>
      </c>
      <c r="B53" t="s">
        <v>87</v>
      </c>
      <c r="C53" t="s">
        <v>3100</v>
      </c>
      <c r="D53" s="379">
        <v>0</v>
      </c>
      <c r="E53" t="s">
        <v>3156</v>
      </c>
    </row>
    <row r="54" spans="1:5" x14ac:dyDescent="0.3">
      <c r="A54" t="s">
        <v>61</v>
      </c>
      <c r="B54" t="s">
        <v>90</v>
      </c>
      <c r="C54" t="s">
        <v>3097</v>
      </c>
      <c r="D54" s="379"/>
      <c r="E54" t="s">
        <v>3157</v>
      </c>
    </row>
    <row r="55" spans="1:5" x14ac:dyDescent="0.3">
      <c r="A55" t="s">
        <v>61</v>
      </c>
      <c r="B55" t="s">
        <v>90</v>
      </c>
      <c r="C55" t="s">
        <v>3098</v>
      </c>
      <c r="D55" s="379"/>
      <c r="E55" t="s">
        <v>3158</v>
      </c>
    </row>
    <row r="56" spans="1:5" x14ac:dyDescent="0.3">
      <c r="A56" t="s">
        <v>61</v>
      </c>
      <c r="B56" t="s">
        <v>90</v>
      </c>
      <c r="C56" t="s">
        <v>3099</v>
      </c>
      <c r="D56" s="379"/>
      <c r="E56" t="s">
        <v>3159</v>
      </c>
    </row>
    <row r="57" spans="1:5" x14ac:dyDescent="0.3">
      <c r="A57" t="s">
        <v>61</v>
      </c>
      <c r="B57" t="s">
        <v>90</v>
      </c>
      <c r="C57" t="s">
        <v>3100</v>
      </c>
      <c r="D57" s="379"/>
      <c r="E57" t="s">
        <v>3160</v>
      </c>
    </row>
    <row r="58" spans="1:5" x14ac:dyDescent="0.3">
      <c r="A58" t="s">
        <v>62</v>
      </c>
      <c r="B58" t="s">
        <v>87</v>
      </c>
      <c r="C58" t="s">
        <v>3097</v>
      </c>
      <c r="D58" s="379">
        <v>0</v>
      </c>
      <c r="E58" t="s">
        <v>3161</v>
      </c>
    </row>
    <row r="59" spans="1:5" x14ac:dyDescent="0.3">
      <c r="A59" t="s">
        <v>62</v>
      </c>
      <c r="B59" t="s">
        <v>87</v>
      </c>
      <c r="C59" t="s">
        <v>3098</v>
      </c>
      <c r="D59" s="379">
        <v>848</v>
      </c>
      <c r="E59" t="s">
        <v>3162</v>
      </c>
    </row>
    <row r="60" spans="1:5" x14ac:dyDescent="0.3">
      <c r="A60" t="s">
        <v>62</v>
      </c>
      <c r="B60" t="s">
        <v>87</v>
      </c>
      <c r="C60" t="s">
        <v>3099</v>
      </c>
      <c r="D60" s="379">
        <v>0</v>
      </c>
      <c r="E60" t="s">
        <v>3163</v>
      </c>
    </row>
    <row r="61" spans="1:5" x14ac:dyDescent="0.3">
      <c r="A61" t="s">
        <v>62</v>
      </c>
      <c r="B61" t="s">
        <v>87</v>
      </c>
      <c r="C61" t="s">
        <v>3100</v>
      </c>
      <c r="D61" s="379">
        <v>0</v>
      </c>
      <c r="E61" t="s">
        <v>3164</v>
      </c>
    </row>
    <row r="62" spans="1:5" x14ac:dyDescent="0.3">
      <c r="A62" t="s">
        <v>63</v>
      </c>
      <c r="B62" t="s">
        <v>90</v>
      </c>
      <c r="C62" t="s">
        <v>3097</v>
      </c>
      <c r="D62" s="379"/>
      <c r="E62" t="s">
        <v>3165</v>
      </c>
    </row>
    <row r="63" spans="1:5" x14ac:dyDescent="0.3">
      <c r="A63" t="s">
        <v>63</v>
      </c>
      <c r="B63" t="s">
        <v>90</v>
      </c>
      <c r="C63" t="s">
        <v>3098</v>
      </c>
      <c r="D63" s="379"/>
      <c r="E63" t="s">
        <v>3166</v>
      </c>
    </row>
    <row r="64" spans="1:5" x14ac:dyDescent="0.3">
      <c r="A64" t="s">
        <v>63</v>
      </c>
      <c r="B64" t="s">
        <v>90</v>
      </c>
      <c r="C64" t="s">
        <v>3099</v>
      </c>
      <c r="D64" s="379"/>
      <c r="E64" t="s">
        <v>3167</v>
      </c>
    </row>
    <row r="65" spans="1:5" x14ac:dyDescent="0.3">
      <c r="A65" t="s">
        <v>63</v>
      </c>
      <c r="B65" t="s">
        <v>90</v>
      </c>
      <c r="C65" t="s">
        <v>3100</v>
      </c>
      <c r="D65" s="379"/>
      <c r="E65" t="s">
        <v>3168</v>
      </c>
    </row>
    <row r="66" spans="1:5" x14ac:dyDescent="0.3">
      <c r="A66" t="s">
        <v>163</v>
      </c>
      <c r="B66" t="s">
        <v>90</v>
      </c>
      <c r="C66" t="s">
        <v>3097</v>
      </c>
      <c r="D66" s="379"/>
      <c r="E66" t="s">
        <v>3169</v>
      </c>
    </row>
    <row r="67" spans="1:5" x14ac:dyDescent="0.3">
      <c r="A67" t="s">
        <v>163</v>
      </c>
      <c r="B67" t="s">
        <v>90</v>
      </c>
      <c r="C67" t="s">
        <v>3098</v>
      </c>
      <c r="D67" s="379"/>
      <c r="E67" t="s">
        <v>3170</v>
      </c>
    </row>
    <row r="68" spans="1:5" x14ac:dyDescent="0.3">
      <c r="A68" t="s">
        <v>163</v>
      </c>
      <c r="B68" t="s">
        <v>90</v>
      </c>
      <c r="C68" t="s">
        <v>3099</v>
      </c>
      <c r="D68" s="379"/>
      <c r="E68" t="s">
        <v>3171</v>
      </c>
    </row>
    <row r="69" spans="1:5" x14ac:dyDescent="0.3">
      <c r="A69" t="s">
        <v>163</v>
      </c>
      <c r="B69" t="s">
        <v>90</v>
      </c>
      <c r="C69" t="s">
        <v>3100</v>
      </c>
      <c r="D69" s="379"/>
      <c r="E69" t="s">
        <v>3172</v>
      </c>
    </row>
    <row r="70" spans="1:5" x14ac:dyDescent="0.3">
      <c r="A70" t="s">
        <v>164</v>
      </c>
      <c r="B70" t="s">
        <v>170</v>
      </c>
      <c r="C70" t="s">
        <v>3097</v>
      </c>
      <c r="D70" s="379">
        <v>0</v>
      </c>
      <c r="E70" t="s">
        <v>3173</v>
      </c>
    </row>
    <row r="71" spans="1:5" x14ac:dyDescent="0.3">
      <c r="A71" t="s">
        <v>164</v>
      </c>
      <c r="B71" t="s">
        <v>170</v>
      </c>
      <c r="C71" t="s">
        <v>3098</v>
      </c>
      <c r="D71" s="379">
        <v>816</v>
      </c>
      <c r="E71" t="s">
        <v>3174</v>
      </c>
    </row>
    <row r="72" spans="1:5" x14ac:dyDescent="0.3">
      <c r="A72" t="s">
        <v>164</v>
      </c>
      <c r="B72" t="s">
        <v>170</v>
      </c>
      <c r="C72" t="s">
        <v>3099</v>
      </c>
      <c r="D72" s="379">
        <v>96</v>
      </c>
      <c r="E72" t="s">
        <v>3175</v>
      </c>
    </row>
    <row r="73" spans="1:5" x14ac:dyDescent="0.3">
      <c r="A73" t="s">
        <v>164</v>
      </c>
      <c r="B73" t="s">
        <v>170</v>
      </c>
      <c r="C73" t="s">
        <v>3100</v>
      </c>
      <c r="D73" s="379">
        <v>0</v>
      </c>
      <c r="E73" t="s">
        <v>3176</v>
      </c>
    </row>
    <row r="74" spans="1:5" x14ac:dyDescent="0.3">
      <c r="A74" t="s">
        <v>165</v>
      </c>
      <c r="B74" t="s">
        <v>90</v>
      </c>
      <c r="C74" t="s">
        <v>3097</v>
      </c>
      <c r="D74" s="379"/>
      <c r="E74" t="s">
        <v>3177</v>
      </c>
    </row>
    <row r="75" spans="1:5" x14ac:dyDescent="0.3">
      <c r="A75" t="s">
        <v>165</v>
      </c>
      <c r="B75" t="s">
        <v>90</v>
      </c>
      <c r="C75" t="s">
        <v>3098</v>
      </c>
      <c r="D75" s="379"/>
      <c r="E75" t="s">
        <v>3178</v>
      </c>
    </row>
    <row r="76" spans="1:5" x14ac:dyDescent="0.3">
      <c r="A76" t="s">
        <v>165</v>
      </c>
      <c r="B76" t="s">
        <v>90</v>
      </c>
      <c r="C76" t="s">
        <v>3099</v>
      </c>
      <c r="D76" s="379"/>
      <c r="E76" t="s">
        <v>3179</v>
      </c>
    </row>
    <row r="77" spans="1:5" x14ac:dyDescent="0.3">
      <c r="A77" t="s">
        <v>165</v>
      </c>
      <c r="B77" t="s">
        <v>90</v>
      </c>
      <c r="C77" t="s">
        <v>3100</v>
      </c>
      <c r="D77" s="379"/>
      <c r="E77" t="s">
        <v>3180</v>
      </c>
    </row>
    <row r="78" spans="1:5" x14ac:dyDescent="0.3">
      <c r="A78" t="s">
        <v>166</v>
      </c>
      <c r="B78" t="s">
        <v>87</v>
      </c>
      <c r="C78" t="s">
        <v>3097</v>
      </c>
      <c r="D78" s="379">
        <v>176</v>
      </c>
      <c r="E78" t="s">
        <v>3181</v>
      </c>
    </row>
    <row r="79" spans="1:5" x14ac:dyDescent="0.3">
      <c r="A79" t="s">
        <v>166</v>
      </c>
      <c r="B79" t="s">
        <v>87</v>
      </c>
      <c r="C79" t="s">
        <v>3098</v>
      </c>
      <c r="D79" s="379">
        <v>0</v>
      </c>
      <c r="E79" t="s">
        <v>3182</v>
      </c>
    </row>
    <row r="80" spans="1:5" x14ac:dyDescent="0.3">
      <c r="A80" t="s">
        <v>166</v>
      </c>
      <c r="B80" t="s">
        <v>87</v>
      </c>
      <c r="C80" t="s">
        <v>3099</v>
      </c>
      <c r="D80" s="379">
        <v>0</v>
      </c>
      <c r="E80" t="s">
        <v>3183</v>
      </c>
    </row>
    <row r="81" spans="1:5" x14ac:dyDescent="0.3">
      <c r="A81" t="s">
        <v>166</v>
      </c>
      <c r="B81" t="s">
        <v>87</v>
      </c>
      <c r="C81" t="s">
        <v>3100</v>
      </c>
      <c r="D81" s="379">
        <v>0</v>
      </c>
      <c r="E81" t="s">
        <v>3184</v>
      </c>
    </row>
    <row r="82" spans="1:5" x14ac:dyDescent="0.3">
      <c r="A82" t="s">
        <v>234</v>
      </c>
      <c r="B82" t="s">
        <v>90</v>
      </c>
      <c r="C82" t="s">
        <v>3097</v>
      </c>
      <c r="D82" s="379"/>
      <c r="E82" t="s">
        <v>3185</v>
      </c>
    </row>
    <row r="83" spans="1:5" x14ac:dyDescent="0.3">
      <c r="A83" t="s">
        <v>234</v>
      </c>
      <c r="B83" t="s">
        <v>90</v>
      </c>
      <c r="C83" t="s">
        <v>3098</v>
      </c>
      <c r="D83" s="379"/>
      <c r="E83" t="s">
        <v>3186</v>
      </c>
    </row>
    <row r="84" spans="1:5" x14ac:dyDescent="0.3">
      <c r="A84" t="s">
        <v>234</v>
      </c>
      <c r="B84" t="s">
        <v>90</v>
      </c>
      <c r="C84" t="s">
        <v>3099</v>
      </c>
      <c r="D84" s="379"/>
      <c r="E84" t="s">
        <v>3187</v>
      </c>
    </row>
    <row r="85" spans="1:5" x14ac:dyDescent="0.3">
      <c r="A85" t="s">
        <v>234</v>
      </c>
      <c r="B85" t="s">
        <v>90</v>
      </c>
      <c r="C85" t="s">
        <v>3100</v>
      </c>
      <c r="D85" s="379"/>
      <c r="E85" t="s">
        <v>3188</v>
      </c>
    </row>
    <row r="86" spans="1:5" x14ac:dyDescent="0.3">
      <c r="A86" t="s">
        <v>240</v>
      </c>
      <c r="B86" t="s">
        <v>90</v>
      </c>
      <c r="C86" t="s">
        <v>3097</v>
      </c>
      <c r="D86" s="379"/>
      <c r="E86" t="s">
        <v>3189</v>
      </c>
    </row>
    <row r="87" spans="1:5" x14ac:dyDescent="0.3">
      <c r="A87" t="s">
        <v>240</v>
      </c>
      <c r="B87" t="s">
        <v>90</v>
      </c>
      <c r="C87" t="s">
        <v>3098</v>
      </c>
      <c r="D87" s="379"/>
      <c r="E87" t="s">
        <v>3190</v>
      </c>
    </row>
    <row r="88" spans="1:5" x14ac:dyDescent="0.3">
      <c r="A88" t="s">
        <v>240</v>
      </c>
      <c r="B88" t="s">
        <v>90</v>
      </c>
      <c r="C88" t="s">
        <v>3099</v>
      </c>
      <c r="D88" s="379"/>
      <c r="E88" t="s">
        <v>3191</v>
      </c>
    </row>
    <row r="89" spans="1:5" x14ac:dyDescent="0.3">
      <c r="A89" t="s">
        <v>240</v>
      </c>
      <c r="B89" t="s">
        <v>90</v>
      </c>
      <c r="C89" t="s">
        <v>3100</v>
      </c>
      <c r="D89" s="379"/>
      <c r="E89" t="s">
        <v>3192</v>
      </c>
    </row>
    <row r="90" spans="1:5" x14ac:dyDescent="0.3">
      <c r="A90" t="s">
        <v>241</v>
      </c>
      <c r="B90" t="s">
        <v>90</v>
      </c>
      <c r="C90" t="s">
        <v>3097</v>
      </c>
      <c r="D90" s="379"/>
      <c r="E90" t="s">
        <v>3193</v>
      </c>
    </row>
    <row r="91" spans="1:5" x14ac:dyDescent="0.3">
      <c r="A91" t="s">
        <v>241</v>
      </c>
      <c r="B91" t="s">
        <v>90</v>
      </c>
      <c r="C91" t="s">
        <v>3098</v>
      </c>
      <c r="D91" s="379"/>
      <c r="E91" t="s">
        <v>3194</v>
      </c>
    </row>
    <row r="92" spans="1:5" x14ac:dyDescent="0.3">
      <c r="A92" t="s">
        <v>241</v>
      </c>
      <c r="B92" t="s">
        <v>90</v>
      </c>
      <c r="C92" t="s">
        <v>3099</v>
      </c>
      <c r="D92" s="379"/>
      <c r="E92" t="s">
        <v>3195</v>
      </c>
    </row>
    <row r="93" spans="1:5" x14ac:dyDescent="0.3">
      <c r="A93" t="s">
        <v>241</v>
      </c>
      <c r="B93" t="s">
        <v>90</v>
      </c>
      <c r="C93" t="s">
        <v>3100</v>
      </c>
      <c r="D93" s="379"/>
      <c r="E93" t="s">
        <v>3196</v>
      </c>
    </row>
    <row r="94" spans="1:5" x14ac:dyDescent="0.3">
      <c r="A94" t="s">
        <v>242</v>
      </c>
      <c r="B94" t="s">
        <v>90</v>
      </c>
      <c r="C94" t="s">
        <v>3097</v>
      </c>
      <c r="D94" s="379"/>
      <c r="E94" t="s">
        <v>3197</v>
      </c>
    </row>
    <row r="95" spans="1:5" x14ac:dyDescent="0.3">
      <c r="A95" t="s">
        <v>242</v>
      </c>
      <c r="B95" t="s">
        <v>90</v>
      </c>
      <c r="C95" t="s">
        <v>3098</v>
      </c>
      <c r="D95" s="379"/>
      <c r="E95" t="s">
        <v>3198</v>
      </c>
    </row>
    <row r="96" spans="1:5" x14ac:dyDescent="0.3">
      <c r="A96" t="s">
        <v>242</v>
      </c>
      <c r="B96" t="s">
        <v>90</v>
      </c>
      <c r="C96" t="s">
        <v>3099</v>
      </c>
      <c r="D96" s="379"/>
      <c r="E96" t="s">
        <v>3199</v>
      </c>
    </row>
    <row r="97" spans="1:5" x14ac:dyDescent="0.3">
      <c r="A97" t="s">
        <v>242</v>
      </c>
      <c r="B97" t="s">
        <v>90</v>
      </c>
      <c r="C97" t="s">
        <v>3100</v>
      </c>
      <c r="D97" s="379"/>
      <c r="E97" t="s">
        <v>3200</v>
      </c>
    </row>
    <row r="98" spans="1:5" x14ac:dyDescent="0.3">
      <c r="A98" t="s">
        <v>243</v>
      </c>
      <c r="B98" t="s">
        <v>90</v>
      </c>
      <c r="C98" t="s">
        <v>3097</v>
      </c>
      <c r="D98" s="379"/>
      <c r="E98" t="s">
        <v>3201</v>
      </c>
    </row>
    <row r="99" spans="1:5" x14ac:dyDescent="0.3">
      <c r="A99" t="s">
        <v>243</v>
      </c>
      <c r="B99" t="s">
        <v>90</v>
      </c>
      <c r="C99" t="s">
        <v>3098</v>
      </c>
      <c r="D99" s="379"/>
      <c r="E99" t="s">
        <v>3202</v>
      </c>
    </row>
    <row r="100" spans="1:5" x14ac:dyDescent="0.3">
      <c r="A100" t="s">
        <v>243</v>
      </c>
      <c r="B100" t="s">
        <v>90</v>
      </c>
      <c r="C100" t="s">
        <v>3099</v>
      </c>
      <c r="D100" s="379"/>
      <c r="E100" t="s">
        <v>3203</v>
      </c>
    </row>
    <row r="101" spans="1:5" x14ac:dyDescent="0.3">
      <c r="A101" t="s">
        <v>243</v>
      </c>
      <c r="B101" t="s">
        <v>90</v>
      </c>
      <c r="C101" t="s">
        <v>3100</v>
      </c>
      <c r="D101" s="379"/>
      <c r="E101" t="s">
        <v>3204</v>
      </c>
    </row>
    <row r="102" spans="1:5" x14ac:dyDescent="0.3">
      <c r="A102" t="s">
        <v>244</v>
      </c>
      <c r="B102" t="s">
        <v>87</v>
      </c>
      <c r="C102" t="s">
        <v>3097</v>
      </c>
      <c r="D102" s="379"/>
      <c r="E102" t="s">
        <v>3205</v>
      </c>
    </row>
    <row r="103" spans="1:5" x14ac:dyDescent="0.3">
      <c r="A103" t="s">
        <v>244</v>
      </c>
      <c r="B103" t="s">
        <v>87</v>
      </c>
      <c r="C103" t="s">
        <v>3098</v>
      </c>
      <c r="D103" s="379"/>
      <c r="E103" t="s">
        <v>3206</v>
      </c>
    </row>
    <row r="104" spans="1:5" x14ac:dyDescent="0.3">
      <c r="A104" t="s">
        <v>244</v>
      </c>
      <c r="B104" t="s">
        <v>87</v>
      </c>
      <c r="C104" t="s">
        <v>3099</v>
      </c>
      <c r="D104" s="379"/>
      <c r="E104" t="s">
        <v>3207</v>
      </c>
    </row>
    <row r="105" spans="1:5" x14ac:dyDescent="0.3">
      <c r="A105" t="s">
        <v>244</v>
      </c>
      <c r="B105" t="s">
        <v>87</v>
      </c>
      <c r="C105" t="s">
        <v>3100</v>
      </c>
      <c r="D105" s="379"/>
      <c r="E105" t="s">
        <v>3208</v>
      </c>
    </row>
    <row r="106" spans="1:5" x14ac:dyDescent="0.3">
      <c r="A106" t="s">
        <v>250</v>
      </c>
      <c r="B106" t="s">
        <v>90</v>
      </c>
      <c r="C106" t="s">
        <v>3097</v>
      </c>
      <c r="D106" s="379"/>
      <c r="E106" t="s">
        <v>3209</v>
      </c>
    </row>
    <row r="107" spans="1:5" x14ac:dyDescent="0.3">
      <c r="A107" t="s">
        <v>250</v>
      </c>
      <c r="B107" t="s">
        <v>90</v>
      </c>
      <c r="C107" t="s">
        <v>3098</v>
      </c>
      <c r="D107" s="379"/>
      <c r="E107" t="s">
        <v>3210</v>
      </c>
    </row>
    <row r="108" spans="1:5" x14ac:dyDescent="0.3">
      <c r="A108" t="s">
        <v>250</v>
      </c>
      <c r="B108" t="s">
        <v>90</v>
      </c>
      <c r="C108" t="s">
        <v>3099</v>
      </c>
      <c r="D108" s="379"/>
      <c r="E108" t="s">
        <v>3211</v>
      </c>
    </row>
    <row r="109" spans="1:5" x14ac:dyDescent="0.3">
      <c r="A109" t="s">
        <v>250</v>
      </c>
      <c r="B109" t="s">
        <v>90</v>
      </c>
      <c r="C109" t="s">
        <v>3100</v>
      </c>
      <c r="D109" s="379"/>
      <c r="E109" t="s">
        <v>3212</v>
      </c>
    </row>
    <row r="110" spans="1:5" x14ac:dyDescent="0.3">
      <c r="A110" t="s">
        <v>417</v>
      </c>
      <c r="B110" t="s">
        <v>90</v>
      </c>
      <c r="C110" t="s">
        <v>3097</v>
      </c>
      <c r="D110" s="379"/>
      <c r="E110" t="s">
        <v>3213</v>
      </c>
    </row>
    <row r="111" spans="1:5" x14ac:dyDescent="0.3">
      <c r="A111" t="s">
        <v>417</v>
      </c>
      <c r="B111" t="s">
        <v>90</v>
      </c>
      <c r="C111" t="s">
        <v>3098</v>
      </c>
      <c r="D111" s="379"/>
      <c r="E111" t="s">
        <v>3214</v>
      </c>
    </row>
    <row r="112" spans="1:5" x14ac:dyDescent="0.3">
      <c r="A112" t="s">
        <v>417</v>
      </c>
      <c r="B112" t="s">
        <v>90</v>
      </c>
      <c r="C112" t="s">
        <v>3099</v>
      </c>
      <c r="D112" s="379"/>
      <c r="E112" t="s">
        <v>3215</v>
      </c>
    </row>
    <row r="113" spans="1:5" x14ac:dyDescent="0.3">
      <c r="A113" t="s">
        <v>417</v>
      </c>
      <c r="B113" t="s">
        <v>90</v>
      </c>
      <c r="C113" t="s">
        <v>3100</v>
      </c>
      <c r="D113" s="379"/>
      <c r="E113" t="s">
        <v>3216</v>
      </c>
    </row>
    <row r="114" spans="1:5" x14ac:dyDescent="0.3">
      <c r="A114" t="s">
        <v>416</v>
      </c>
      <c r="B114" t="s">
        <v>87</v>
      </c>
      <c r="C114" t="s">
        <v>3097</v>
      </c>
      <c r="D114" s="379"/>
      <c r="E114" t="s">
        <v>3217</v>
      </c>
    </row>
    <row r="115" spans="1:5" x14ac:dyDescent="0.3">
      <c r="A115" t="s">
        <v>416</v>
      </c>
      <c r="B115" t="s">
        <v>87</v>
      </c>
      <c r="C115" t="s">
        <v>3098</v>
      </c>
      <c r="D115" s="379"/>
      <c r="E115" t="s">
        <v>3218</v>
      </c>
    </row>
    <row r="116" spans="1:5" x14ac:dyDescent="0.3">
      <c r="A116" t="s">
        <v>416</v>
      </c>
      <c r="B116" t="s">
        <v>87</v>
      </c>
      <c r="C116" t="s">
        <v>3099</v>
      </c>
      <c r="D116" s="379"/>
      <c r="E116" t="s">
        <v>3219</v>
      </c>
    </row>
    <row r="117" spans="1:5" x14ac:dyDescent="0.3">
      <c r="A117" t="s">
        <v>416</v>
      </c>
      <c r="B117" t="s">
        <v>87</v>
      </c>
      <c r="C117" t="s">
        <v>3100</v>
      </c>
      <c r="D117" s="379"/>
      <c r="E117" t="s">
        <v>3220</v>
      </c>
    </row>
    <row r="118" spans="1:5" x14ac:dyDescent="0.3">
      <c r="A118" t="s">
        <v>445</v>
      </c>
      <c r="B118" t="s">
        <v>90</v>
      </c>
      <c r="C118" t="s">
        <v>3097</v>
      </c>
      <c r="D118" s="379"/>
      <c r="E118" t="s">
        <v>3221</v>
      </c>
    </row>
    <row r="119" spans="1:5" x14ac:dyDescent="0.3">
      <c r="A119" t="s">
        <v>445</v>
      </c>
      <c r="B119" t="s">
        <v>90</v>
      </c>
      <c r="C119" t="s">
        <v>3098</v>
      </c>
      <c r="D119" s="379"/>
      <c r="E119" t="s">
        <v>3222</v>
      </c>
    </row>
    <row r="120" spans="1:5" x14ac:dyDescent="0.3">
      <c r="A120" t="s">
        <v>445</v>
      </c>
      <c r="B120" t="s">
        <v>90</v>
      </c>
      <c r="C120" t="s">
        <v>3099</v>
      </c>
      <c r="D120" s="379"/>
      <c r="E120" t="s">
        <v>3223</v>
      </c>
    </row>
    <row r="121" spans="1:5" x14ac:dyDescent="0.3">
      <c r="A121" t="s">
        <v>445</v>
      </c>
      <c r="B121" t="s">
        <v>90</v>
      </c>
      <c r="C121" t="s">
        <v>3100</v>
      </c>
      <c r="D121" s="379"/>
      <c r="E121" t="s">
        <v>3224</v>
      </c>
    </row>
    <row r="122" spans="1:5" x14ac:dyDescent="0.3">
      <c r="A122" t="s">
        <v>530</v>
      </c>
      <c r="B122" t="s">
        <v>90</v>
      </c>
      <c r="C122" t="s">
        <v>3097</v>
      </c>
      <c r="D122" s="379"/>
      <c r="E122" t="s">
        <v>3225</v>
      </c>
    </row>
    <row r="123" spans="1:5" x14ac:dyDescent="0.3">
      <c r="A123" t="s">
        <v>530</v>
      </c>
      <c r="B123" t="s">
        <v>90</v>
      </c>
      <c r="C123" t="s">
        <v>3098</v>
      </c>
      <c r="D123" s="379"/>
      <c r="E123" t="s">
        <v>3226</v>
      </c>
    </row>
    <row r="124" spans="1:5" x14ac:dyDescent="0.3">
      <c r="A124" t="s">
        <v>530</v>
      </c>
      <c r="B124" t="s">
        <v>90</v>
      </c>
      <c r="C124" t="s">
        <v>3099</v>
      </c>
      <c r="D124" s="379"/>
      <c r="E124" t="s">
        <v>3227</v>
      </c>
    </row>
    <row r="125" spans="1:5" x14ac:dyDescent="0.3">
      <c r="A125" t="s">
        <v>530</v>
      </c>
      <c r="B125" t="s">
        <v>90</v>
      </c>
      <c r="C125" t="s">
        <v>3100</v>
      </c>
      <c r="D125" s="379"/>
      <c r="E125" t="s">
        <v>3228</v>
      </c>
    </row>
    <row r="126" spans="1:5" x14ac:dyDescent="0.3">
      <c r="A126" t="s">
        <v>531</v>
      </c>
      <c r="B126" t="s">
        <v>90</v>
      </c>
      <c r="C126" t="s">
        <v>3097</v>
      </c>
      <c r="D126" s="379"/>
      <c r="E126" t="s">
        <v>3229</v>
      </c>
    </row>
    <row r="127" spans="1:5" x14ac:dyDescent="0.3">
      <c r="A127" t="s">
        <v>531</v>
      </c>
      <c r="B127" t="s">
        <v>90</v>
      </c>
      <c r="C127" t="s">
        <v>3098</v>
      </c>
      <c r="D127" s="379"/>
      <c r="E127" t="s">
        <v>3230</v>
      </c>
    </row>
    <row r="128" spans="1:5" x14ac:dyDescent="0.3">
      <c r="A128" t="s">
        <v>531</v>
      </c>
      <c r="B128" t="s">
        <v>90</v>
      </c>
      <c r="C128" t="s">
        <v>3099</v>
      </c>
      <c r="D128" s="379"/>
      <c r="E128" t="s">
        <v>3231</v>
      </c>
    </row>
    <row r="129" spans="1:5" x14ac:dyDescent="0.3">
      <c r="A129" t="s">
        <v>531</v>
      </c>
      <c r="B129" t="s">
        <v>90</v>
      </c>
      <c r="C129" t="s">
        <v>3100</v>
      </c>
      <c r="D129" s="379"/>
      <c r="E129" t="s">
        <v>3232</v>
      </c>
    </row>
    <row r="130" spans="1:5" x14ac:dyDescent="0.3">
      <c r="A130" t="s">
        <v>532</v>
      </c>
      <c r="B130" t="s">
        <v>90</v>
      </c>
      <c r="C130" t="s">
        <v>3097</v>
      </c>
      <c r="D130" s="379"/>
      <c r="E130" t="s">
        <v>3233</v>
      </c>
    </row>
    <row r="131" spans="1:5" x14ac:dyDescent="0.3">
      <c r="A131" t="s">
        <v>532</v>
      </c>
      <c r="B131" t="s">
        <v>90</v>
      </c>
      <c r="C131" t="s">
        <v>3098</v>
      </c>
      <c r="D131" s="379"/>
      <c r="E131" t="s">
        <v>3234</v>
      </c>
    </row>
    <row r="132" spans="1:5" x14ac:dyDescent="0.3">
      <c r="A132" t="s">
        <v>532</v>
      </c>
      <c r="B132" t="s">
        <v>90</v>
      </c>
      <c r="C132" t="s">
        <v>3099</v>
      </c>
      <c r="D132" s="379"/>
      <c r="E132" t="s">
        <v>3235</v>
      </c>
    </row>
    <row r="133" spans="1:5" x14ac:dyDescent="0.3">
      <c r="A133" t="s">
        <v>532</v>
      </c>
      <c r="B133" t="s">
        <v>90</v>
      </c>
      <c r="C133" t="s">
        <v>3100</v>
      </c>
      <c r="D133" s="379"/>
      <c r="E133" t="s">
        <v>3236</v>
      </c>
    </row>
    <row r="134" spans="1:5" x14ac:dyDescent="0.3">
      <c r="A134" t="s">
        <v>621</v>
      </c>
      <c r="B134" t="s">
        <v>90</v>
      </c>
      <c r="C134" t="s">
        <v>3097</v>
      </c>
      <c r="D134" s="379"/>
      <c r="E134" t="s">
        <v>3237</v>
      </c>
    </row>
    <row r="135" spans="1:5" x14ac:dyDescent="0.3">
      <c r="A135" t="s">
        <v>621</v>
      </c>
      <c r="B135" t="s">
        <v>90</v>
      </c>
      <c r="C135" t="s">
        <v>3098</v>
      </c>
      <c r="D135" s="379"/>
      <c r="E135" t="s">
        <v>3238</v>
      </c>
    </row>
    <row r="136" spans="1:5" x14ac:dyDescent="0.3">
      <c r="A136" t="s">
        <v>621</v>
      </c>
      <c r="B136" t="s">
        <v>90</v>
      </c>
      <c r="C136" t="s">
        <v>3099</v>
      </c>
      <c r="D136" s="379"/>
      <c r="E136" t="s">
        <v>3239</v>
      </c>
    </row>
    <row r="137" spans="1:5" x14ac:dyDescent="0.3">
      <c r="A137" t="s">
        <v>621</v>
      </c>
      <c r="B137" t="s">
        <v>90</v>
      </c>
      <c r="C137" t="s">
        <v>3100</v>
      </c>
      <c r="D137" s="379"/>
      <c r="E137" t="s">
        <v>3240</v>
      </c>
    </row>
    <row r="138" spans="1:5" x14ac:dyDescent="0.3">
      <c r="A138" t="s">
        <v>642</v>
      </c>
      <c r="B138" t="s">
        <v>87</v>
      </c>
      <c r="C138" t="s">
        <v>3097</v>
      </c>
      <c r="D138" s="379"/>
      <c r="E138" t="s">
        <v>3241</v>
      </c>
    </row>
    <row r="139" spans="1:5" x14ac:dyDescent="0.3">
      <c r="A139" t="s">
        <v>642</v>
      </c>
      <c r="B139" t="s">
        <v>87</v>
      </c>
      <c r="C139" t="s">
        <v>3098</v>
      </c>
      <c r="D139" s="379"/>
      <c r="E139" t="s">
        <v>3242</v>
      </c>
    </row>
    <row r="140" spans="1:5" x14ac:dyDescent="0.3">
      <c r="A140" t="s">
        <v>642</v>
      </c>
      <c r="B140" t="s">
        <v>87</v>
      </c>
      <c r="C140" t="s">
        <v>3099</v>
      </c>
      <c r="D140" s="379"/>
      <c r="E140" t="s">
        <v>3243</v>
      </c>
    </row>
    <row r="141" spans="1:5" x14ac:dyDescent="0.3">
      <c r="A141" t="s">
        <v>642</v>
      </c>
      <c r="B141" t="s">
        <v>87</v>
      </c>
      <c r="C141" t="s">
        <v>3100</v>
      </c>
      <c r="D141" s="379"/>
      <c r="E141" t="s">
        <v>3244</v>
      </c>
    </row>
    <row r="142" spans="1:5" x14ac:dyDescent="0.3">
      <c r="A142" t="s">
        <v>624</v>
      </c>
      <c r="B142" t="s">
        <v>90</v>
      </c>
      <c r="C142" t="s">
        <v>3097</v>
      </c>
      <c r="D142" s="379"/>
      <c r="E142" t="s">
        <v>3245</v>
      </c>
    </row>
    <row r="143" spans="1:5" x14ac:dyDescent="0.3">
      <c r="A143" t="s">
        <v>624</v>
      </c>
      <c r="B143" t="s">
        <v>90</v>
      </c>
      <c r="C143" t="s">
        <v>3098</v>
      </c>
      <c r="D143" s="379"/>
      <c r="E143" t="s">
        <v>3246</v>
      </c>
    </row>
    <row r="144" spans="1:5" x14ac:dyDescent="0.3">
      <c r="A144" t="s">
        <v>624</v>
      </c>
      <c r="B144" t="s">
        <v>90</v>
      </c>
      <c r="C144" t="s">
        <v>3099</v>
      </c>
      <c r="D144" s="379"/>
      <c r="E144" t="s">
        <v>3247</v>
      </c>
    </row>
    <row r="145" spans="1:5" x14ac:dyDescent="0.3">
      <c r="A145" t="s">
        <v>624</v>
      </c>
      <c r="B145" t="s">
        <v>90</v>
      </c>
      <c r="C145" t="s">
        <v>3100</v>
      </c>
      <c r="D145" s="379"/>
      <c r="E145" t="s">
        <v>3248</v>
      </c>
    </row>
  </sheetData>
  <phoneticPr fontId="2" type="noConversion"/>
  <pageMargins left="0.511811024" right="0.511811024" top="0.78740157499999996" bottom="0.78740157499999996" header="0.31496062000000002" footer="0.31496062000000002"/>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2A98-793F-4113-B3C9-736DC5071E3E}">
  <sheetPr codeName="Planilha12">
    <tabColor theme="1"/>
  </sheetPr>
  <dimension ref="A1:I221"/>
  <sheetViews>
    <sheetView showGridLines="0" zoomScale="115" zoomScaleNormal="115" workbookViewId="0">
      <selection activeCell="B1" sqref="B1"/>
    </sheetView>
  </sheetViews>
  <sheetFormatPr defaultRowHeight="14.4" x14ac:dyDescent="0.3"/>
  <cols>
    <col min="1" max="1" width="10.5546875" bestFit="1" customWidth="1"/>
    <col min="2" max="2" width="18.6640625" bestFit="1" customWidth="1"/>
    <col min="3" max="3" width="7.5546875" bestFit="1" customWidth="1"/>
    <col min="4" max="4" width="9.88671875" bestFit="1" customWidth="1"/>
    <col min="5" max="5" width="16.44140625" customWidth="1"/>
    <col min="6" max="6" width="11.88671875" bestFit="1" customWidth="1"/>
    <col min="7" max="7" width="11.88671875" customWidth="1"/>
    <col min="8" max="8" width="13.44140625" style="51" bestFit="1" customWidth="1"/>
    <col min="9" max="9" width="14" style="244" bestFit="1" customWidth="1"/>
  </cols>
  <sheetData>
    <row r="1" spans="1:9" x14ac:dyDescent="0.3">
      <c r="A1" t="s">
        <v>116</v>
      </c>
      <c r="B1" t="s">
        <v>208</v>
      </c>
      <c r="C1" t="s">
        <v>552</v>
      </c>
      <c r="D1" t="s">
        <v>254</v>
      </c>
      <c r="E1" t="s">
        <v>255</v>
      </c>
      <c r="F1" t="s">
        <v>316</v>
      </c>
      <c r="G1" t="s">
        <v>256</v>
      </c>
      <c r="H1" s="245" t="s">
        <v>431</v>
      </c>
      <c r="I1" s="246" t="s">
        <v>393</v>
      </c>
    </row>
    <row r="2" spans="1:9" x14ac:dyDescent="0.3">
      <c r="A2" t="s">
        <v>439</v>
      </c>
      <c r="B2" t="s">
        <v>360</v>
      </c>
      <c r="D2" t="s">
        <v>204</v>
      </c>
      <c r="E2" s="200">
        <v>0.1</v>
      </c>
      <c r="F2" t="s">
        <v>447</v>
      </c>
      <c r="G2" s="243">
        <v>45931</v>
      </c>
      <c r="H2" s="51" t="str">
        <f t="shared" ref="H2:H65" si="0">IF(OR(D2="PLAN",D2="MOB"),D2,"SERV")</f>
        <v>PLAN</v>
      </c>
      <c r="I2" s="244">
        <f>_xlfn.XLOOKUP(DISTR_FIN_0[[#This Row],[SS]],Tb_DISTR.FIN[Nº  SS],Tb_DISTR.FIN[VALOR],"",0,1)*DISTR_FIN_0[[#This Row],[%DISTR]]</f>
        <v>920124.93284999998</v>
      </c>
    </row>
    <row r="3" spans="1:9" x14ac:dyDescent="0.3">
      <c r="A3" t="s">
        <v>439</v>
      </c>
      <c r="B3" t="s">
        <v>360</v>
      </c>
      <c r="D3" t="s">
        <v>205</v>
      </c>
      <c r="E3" s="200">
        <v>0.2</v>
      </c>
      <c r="F3" t="s">
        <v>448</v>
      </c>
      <c r="G3" s="243">
        <v>45962</v>
      </c>
      <c r="H3" s="51" t="str">
        <f t="shared" si="0"/>
        <v>MOB</v>
      </c>
      <c r="I3" s="244">
        <f>_xlfn.XLOOKUP(DISTR_FIN_0[[#This Row],[SS]],Tb_DISTR.FIN[Nº  SS],Tb_DISTR.FIN[VALOR],"",0,1)*DISTR_FIN_0[[#This Row],[%DISTR]]</f>
        <v>1840249.8657</v>
      </c>
    </row>
    <row r="4" spans="1:9" x14ac:dyDescent="0.3">
      <c r="A4" t="s">
        <v>439</v>
      </c>
      <c r="B4" t="s">
        <v>360</v>
      </c>
      <c r="D4" t="s">
        <v>222</v>
      </c>
      <c r="E4" s="200">
        <v>0.03</v>
      </c>
      <c r="F4" t="s">
        <v>449</v>
      </c>
      <c r="G4" s="243">
        <v>45962</v>
      </c>
      <c r="H4" s="51" t="str">
        <f t="shared" si="0"/>
        <v>SERV</v>
      </c>
      <c r="I4" s="244">
        <f>_xlfn.XLOOKUP(DISTR_FIN_0[[#This Row],[SS]],Tb_DISTR.FIN[Nº  SS],Tb_DISTR.FIN[VALOR],"",0,1)*DISTR_FIN_0[[#This Row],[%DISTR]]</f>
        <v>276037.47985499998</v>
      </c>
    </row>
    <row r="5" spans="1:9" x14ac:dyDescent="0.3">
      <c r="A5" t="s">
        <v>439</v>
      </c>
      <c r="B5" t="s">
        <v>360</v>
      </c>
      <c r="D5" t="s">
        <v>223</v>
      </c>
      <c r="E5" s="200">
        <v>0.09</v>
      </c>
      <c r="F5" t="s">
        <v>450</v>
      </c>
      <c r="G5" s="243">
        <v>45992</v>
      </c>
      <c r="H5" s="51" t="str">
        <f t="shared" si="0"/>
        <v>SERV</v>
      </c>
      <c r="I5" s="244">
        <f>_xlfn.XLOOKUP(DISTR_FIN_0[[#This Row],[SS]],Tb_DISTR.FIN[Nº  SS],Tb_DISTR.FIN[VALOR],"",0,1)*DISTR_FIN_0[[#This Row],[%DISTR]]</f>
        <v>828112.43956499989</v>
      </c>
    </row>
    <row r="6" spans="1:9" x14ac:dyDescent="0.3">
      <c r="A6" t="s">
        <v>439</v>
      </c>
      <c r="B6" t="s">
        <v>360</v>
      </c>
      <c r="D6" t="s">
        <v>224</v>
      </c>
      <c r="E6" s="200">
        <v>0.09</v>
      </c>
      <c r="F6" t="s">
        <v>451</v>
      </c>
      <c r="G6" s="243">
        <v>46023</v>
      </c>
      <c r="H6" s="51" t="str">
        <f t="shared" si="0"/>
        <v>SERV</v>
      </c>
      <c r="I6" s="244">
        <f>_xlfn.XLOOKUP(DISTR_FIN_0[[#This Row],[SS]],Tb_DISTR.FIN[Nº  SS],Tb_DISTR.FIN[VALOR],"",0,1)*DISTR_FIN_0[[#This Row],[%DISTR]]</f>
        <v>828112.43956499989</v>
      </c>
    </row>
    <row r="7" spans="1:9" x14ac:dyDescent="0.3">
      <c r="A7" t="s">
        <v>439</v>
      </c>
      <c r="B7" t="s">
        <v>360</v>
      </c>
      <c r="D7" t="s">
        <v>225</v>
      </c>
      <c r="E7" s="200">
        <v>2.5000000000000001E-2</v>
      </c>
      <c r="F7" t="s">
        <v>452</v>
      </c>
      <c r="G7" s="243">
        <v>46054</v>
      </c>
      <c r="H7" s="51" t="str">
        <f t="shared" si="0"/>
        <v>SERV</v>
      </c>
      <c r="I7" s="244">
        <f>_xlfn.XLOOKUP(DISTR_FIN_0[[#This Row],[SS]],Tb_DISTR.FIN[Nº  SS],Tb_DISTR.FIN[VALOR],"",0,1)*DISTR_FIN_0[[#This Row],[%DISTR]]</f>
        <v>230031.2332125</v>
      </c>
    </row>
    <row r="8" spans="1:9" x14ac:dyDescent="0.3">
      <c r="A8" t="s">
        <v>439</v>
      </c>
      <c r="B8" t="s">
        <v>360</v>
      </c>
      <c r="D8" t="s">
        <v>226</v>
      </c>
      <c r="E8" s="200">
        <v>7.0000000000000007E-2</v>
      </c>
      <c r="F8" t="s">
        <v>453</v>
      </c>
      <c r="G8" s="243">
        <v>46082</v>
      </c>
      <c r="H8" s="51" t="str">
        <f t="shared" si="0"/>
        <v>SERV</v>
      </c>
      <c r="I8" s="244">
        <f>_xlfn.XLOOKUP(DISTR_FIN_0[[#This Row],[SS]],Tb_DISTR.FIN[Nº  SS],Tb_DISTR.FIN[VALOR],"",0,1)*DISTR_FIN_0[[#This Row],[%DISTR]]</f>
        <v>644087.45299499994</v>
      </c>
    </row>
    <row r="9" spans="1:9" x14ac:dyDescent="0.3">
      <c r="A9" t="s">
        <v>439</v>
      </c>
      <c r="B9" t="s">
        <v>360</v>
      </c>
      <c r="D9" t="s">
        <v>227</v>
      </c>
      <c r="E9" s="200">
        <v>8.5000000000000006E-2</v>
      </c>
      <c r="F9" t="s">
        <v>454</v>
      </c>
      <c r="G9" s="243">
        <v>46113</v>
      </c>
      <c r="H9" s="51" t="str">
        <f t="shared" si="0"/>
        <v>SERV</v>
      </c>
      <c r="I9" s="244">
        <f>_xlfn.XLOOKUP(DISTR_FIN_0[[#This Row],[SS]],Tb_DISTR.FIN[Nº  SS],Tb_DISTR.FIN[VALOR],"",0,1)*DISTR_FIN_0[[#This Row],[%DISTR]]</f>
        <v>782106.19292249996</v>
      </c>
    </row>
    <row r="10" spans="1:9" x14ac:dyDescent="0.3">
      <c r="A10" t="s">
        <v>439</v>
      </c>
      <c r="B10" t="s">
        <v>360</v>
      </c>
      <c r="D10" t="s">
        <v>228</v>
      </c>
      <c r="E10" s="200">
        <v>0.11</v>
      </c>
      <c r="F10" t="s">
        <v>455</v>
      </c>
      <c r="G10" s="243">
        <v>46143</v>
      </c>
      <c r="H10" s="51" t="str">
        <f t="shared" si="0"/>
        <v>SERV</v>
      </c>
      <c r="I10" s="244">
        <f>_xlfn.XLOOKUP(DISTR_FIN_0[[#This Row],[SS]],Tb_DISTR.FIN[Nº  SS],Tb_DISTR.FIN[VALOR],"",0,1)*DISTR_FIN_0[[#This Row],[%DISTR]]</f>
        <v>1012137.4261349998</v>
      </c>
    </row>
    <row r="11" spans="1:9" x14ac:dyDescent="0.3">
      <c r="A11" t="s">
        <v>439</v>
      </c>
      <c r="B11" t="s">
        <v>360</v>
      </c>
      <c r="D11" t="s">
        <v>229</v>
      </c>
      <c r="E11" s="200">
        <v>0.1</v>
      </c>
      <c r="F11" t="s">
        <v>456</v>
      </c>
      <c r="G11" s="243">
        <v>46174</v>
      </c>
      <c r="H11" s="51" t="str">
        <f t="shared" si="0"/>
        <v>SERV</v>
      </c>
      <c r="I11" s="244">
        <f>_xlfn.XLOOKUP(DISTR_FIN_0[[#This Row],[SS]],Tb_DISTR.FIN[Nº  SS],Tb_DISTR.FIN[VALOR],"",0,1)*DISTR_FIN_0[[#This Row],[%DISTR]]</f>
        <v>920124.93284999998</v>
      </c>
    </row>
    <row r="12" spans="1:9" x14ac:dyDescent="0.3">
      <c r="A12" t="s">
        <v>439</v>
      </c>
      <c r="B12" t="s">
        <v>360</v>
      </c>
      <c r="D12" t="s">
        <v>206</v>
      </c>
      <c r="E12" s="200">
        <v>0.1</v>
      </c>
      <c r="F12" t="s">
        <v>457</v>
      </c>
      <c r="G12" s="243">
        <v>46204</v>
      </c>
      <c r="H12" s="51" t="str">
        <f t="shared" si="0"/>
        <v>SERV</v>
      </c>
      <c r="I12" s="244">
        <f>_xlfn.XLOOKUP(DISTR_FIN_0[[#This Row],[SS]],Tb_DISTR.FIN[Nº  SS],Tb_DISTR.FIN[VALOR],"",0,1)*DISTR_FIN_0[[#This Row],[%DISTR]]</f>
        <v>920124.93284999998</v>
      </c>
    </row>
    <row r="13" spans="1:9" x14ac:dyDescent="0.3">
      <c r="A13" t="s">
        <v>440</v>
      </c>
      <c r="B13" t="s">
        <v>361</v>
      </c>
      <c r="D13" t="s">
        <v>204</v>
      </c>
      <c r="E13" s="200">
        <v>8.3130569514498792E-2</v>
      </c>
      <c r="F13" t="s">
        <v>459</v>
      </c>
      <c r="G13" s="243">
        <v>45901</v>
      </c>
      <c r="H13" s="51" t="str">
        <f t="shared" si="0"/>
        <v>PLAN</v>
      </c>
      <c r="I13" s="244">
        <f>_xlfn.XLOOKUP(DISTR_FIN_0[[#This Row],[SS]],Tb_DISTR.FIN[Nº  SS],Tb_DISTR.FIN[VALOR],"",0,1)*DISTR_FIN_0[[#This Row],[%DISTR]]</f>
        <v>71281.323000000004</v>
      </c>
    </row>
    <row r="14" spans="1:9" x14ac:dyDescent="0.3">
      <c r="A14" t="s">
        <v>440</v>
      </c>
      <c r="B14" t="s">
        <v>361</v>
      </c>
      <c r="D14" t="s">
        <v>205</v>
      </c>
      <c r="E14" s="200">
        <v>0.15459999999999996</v>
      </c>
      <c r="F14" t="s">
        <v>460</v>
      </c>
      <c r="G14" s="243">
        <v>45931</v>
      </c>
      <c r="H14" s="51" t="str">
        <f t="shared" si="0"/>
        <v>MOB</v>
      </c>
      <c r="I14" s="244">
        <f>_xlfn.XLOOKUP(DISTR_FIN_0[[#This Row],[SS]],Tb_DISTR.FIN[Nº  SS],Tb_DISTR.FIN[VALOR],"",0,1)*DISTR_FIN_0[[#This Row],[%DISTR]]</f>
        <v>132563.65979638798</v>
      </c>
    </row>
    <row r="15" spans="1:9" x14ac:dyDescent="0.3">
      <c r="A15" t="s">
        <v>440</v>
      </c>
      <c r="B15" t="s">
        <v>361</v>
      </c>
      <c r="D15" t="s">
        <v>222</v>
      </c>
      <c r="E15" s="200">
        <v>7.729999999999998E-2</v>
      </c>
      <c r="F15" t="s">
        <v>461</v>
      </c>
      <c r="G15" s="243">
        <v>45931</v>
      </c>
      <c r="H15" s="51" t="str">
        <f t="shared" si="0"/>
        <v>SERV</v>
      </c>
      <c r="I15" s="244">
        <f>_xlfn.XLOOKUP(DISTR_FIN_0[[#This Row],[SS]],Tb_DISTR.FIN[Nº  SS],Tb_DISTR.FIN[VALOR],"",0,1)*DISTR_FIN_0[[#This Row],[%DISTR]]</f>
        <v>66281.829898193988</v>
      </c>
    </row>
    <row r="16" spans="1:9" x14ac:dyDescent="0.3">
      <c r="A16" t="s">
        <v>440</v>
      </c>
      <c r="B16" t="s">
        <v>361</v>
      </c>
      <c r="D16" t="s">
        <v>223</v>
      </c>
      <c r="E16" s="200">
        <v>0.24736</v>
      </c>
      <c r="F16" t="s">
        <v>462</v>
      </c>
      <c r="G16" s="243">
        <v>45962</v>
      </c>
      <c r="H16" s="51" t="str">
        <f t="shared" si="0"/>
        <v>SERV</v>
      </c>
      <c r="I16" s="244">
        <f>_xlfn.XLOOKUP(DISTR_FIN_0[[#This Row],[SS]],Tb_DISTR.FIN[Nº  SS],Tb_DISTR.FIN[VALOR],"",0,1)*DISTR_FIN_0[[#This Row],[%DISTR]]</f>
        <v>212101.8556742208</v>
      </c>
    </row>
    <row r="17" spans="1:9" x14ac:dyDescent="0.3">
      <c r="A17" t="s">
        <v>440</v>
      </c>
      <c r="B17" t="s">
        <v>361</v>
      </c>
      <c r="D17" t="s">
        <v>224</v>
      </c>
      <c r="E17" s="200">
        <v>0.33760999999999997</v>
      </c>
      <c r="F17" t="s">
        <v>463</v>
      </c>
      <c r="G17" s="243">
        <v>46023</v>
      </c>
      <c r="H17" s="51" t="str">
        <f t="shared" si="0"/>
        <v>SERV</v>
      </c>
      <c r="I17" s="244">
        <f>_xlfn.XLOOKUP(DISTR_FIN_0[[#This Row],[SS]],Tb_DISTR.FIN[Nº  SS],Tb_DISTR.FIN[VALOR],"",0,1)*DISTR_FIN_0[[#This Row],[%DISTR]]</f>
        <v>289487.8213703658</v>
      </c>
    </row>
    <row r="18" spans="1:9" x14ac:dyDescent="0.3">
      <c r="A18" t="s">
        <v>440</v>
      </c>
      <c r="B18" t="s">
        <v>361</v>
      </c>
      <c r="D18" t="s">
        <v>206</v>
      </c>
      <c r="E18" s="200">
        <v>9.9999430485501306E-2</v>
      </c>
      <c r="F18" t="s">
        <v>464</v>
      </c>
      <c r="G18" s="243">
        <v>46023</v>
      </c>
      <c r="H18" s="51" t="str">
        <f t="shared" si="0"/>
        <v>SERV</v>
      </c>
      <c r="I18" s="244">
        <f>_xlfn.XLOOKUP(DISTR_FIN_0[[#This Row],[SS]],Tb_DISTR.FIN[Nº  SS],Tb_DISTR.FIN[VALOR],"",0,1)*DISTR_FIN_0[[#This Row],[%DISTR]]</f>
        <v>85745.734040831478</v>
      </c>
    </row>
    <row r="19" spans="1:9" x14ac:dyDescent="0.3">
      <c r="A19" t="s">
        <v>441</v>
      </c>
      <c r="B19" t="s">
        <v>362</v>
      </c>
      <c r="D19" t="s">
        <v>204</v>
      </c>
      <c r="E19" s="200">
        <v>9.5865966269729166E-2</v>
      </c>
      <c r="F19" t="s">
        <v>466</v>
      </c>
      <c r="G19" s="243">
        <v>45931</v>
      </c>
      <c r="H19" s="51" t="str">
        <f t="shared" si="0"/>
        <v>PLAN</v>
      </c>
      <c r="I19" s="244">
        <f>_xlfn.XLOOKUP(DISTR_FIN_0[[#This Row],[SS]],Tb_DISTR.FIN[Nº  SS],Tb_DISTR.FIN[VALOR],"",0,1)*DISTR_FIN_0[[#This Row],[%DISTR]]</f>
        <v>128652.50588770777</v>
      </c>
    </row>
    <row r="20" spans="1:9" x14ac:dyDescent="0.3">
      <c r="A20" t="s">
        <v>441</v>
      </c>
      <c r="B20" t="s">
        <v>362</v>
      </c>
      <c r="D20" t="s">
        <v>205</v>
      </c>
      <c r="E20" s="200">
        <v>0.19173193253945833</v>
      </c>
      <c r="F20" t="s">
        <v>467</v>
      </c>
      <c r="G20" s="243">
        <v>45931</v>
      </c>
      <c r="H20" s="51" t="str">
        <f t="shared" si="0"/>
        <v>MOB</v>
      </c>
      <c r="I20" s="244">
        <f>_xlfn.XLOOKUP(DISTR_FIN_0[[#This Row],[SS]],Tb_DISTR.FIN[Nº  SS],Tb_DISTR.FIN[VALOR],"",0,1)*DISTR_FIN_0[[#This Row],[%DISTR]]</f>
        <v>257305.01177541554</v>
      </c>
    </row>
    <row r="21" spans="1:9" x14ac:dyDescent="0.3">
      <c r="A21" t="s">
        <v>441</v>
      </c>
      <c r="B21" t="s">
        <v>362</v>
      </c>
      <c r="D21" t="s">
        <v>222</v>
      </c>
      <c r="E21" s="200">
        <v>0.25</v>
      </c>
      <c r="F21" t="s">
        <v>468</v>
      </c>
      <c r="G21" s="243">
        <v>45992</v>
      </c>
      <c r="H21" s="51" t="str">
        <f t="shared" si="0"/>
        <v>SERV</v>
      </c>
      <c r="I21" s="244">
        <f>_xlfn.XLOOKUP(DISTR_FIN_0[[#This Row],[SS]],Tb_DISTR.FIN[Nº  SS],Tb_DISTR.FIN[VALOR],"",0,1)*DISTR_FIN_0[[#This Row],[%DISTR]]</f>
        <v>335500.98875999998</v>
      </c>
    </row>
    <row r="22" spans="1:9" x14ac:dyDescent="0.3">
      <c r="A22" t="s">
        <v>441</v>
      </c>
      <c r="B22" t="s">
        <v>362</v>
      </c>
      <c r="D22" t="s">
        <v>223</v>
      </c>
      <c r="E22" s="200">
        <v>0.2</v>
      </c>
      <c r="F22" t="s">
        <v>469</v>
      </c>
      <c r="G22" s="243">
        <v>45992</v>
      </c>
      <c r="H22" s="51" t="str">
        <f t="shared" si="0"/>
        <v>SERV</v>
      </c>
      <c r="I22" s="244">
        <f>_xlfn.XLOOKUP(DISTR_FIN_0[[#This Row],[SS]],Tb_DISTR.FIN[Nº  SS],Tb_DISTR.FIN[VALOR],"",0,1)*DISTR_FIN_0[[#This Row],[%DISTR]]</f>
        <v>268400.79100799997</v>
      </c>
    </row>
    <row r="23" spans="1:9" x14ac:dyDescent="0.3">
      <c r="A23" t="s">
        <v>441</v>
      </c>
      <c r="B23" t="s">
        <v>362</v>
      </c>
      <c r="D23" t="s">
        <v>224</v>
      </c>
      <c r="E23" s="200">
        <v>0.16240210119081241</v>
      </c>
      <c r="F23" t="s">
        <v>470</v>
      </c>
      <c r="G23" s="243">
        <v>45992</v>
      </c>
      <c r="H23" s="51" t="str">
        <f t="shared" si="0"/>
        <v>SERV</v>
      </c>
      <c r="I23" s="244">
        <f>_xlfn.XLOOKUP(DISTR_FIN_0[[#This Row],[SS]],Tb_DISTR.FIN[Nº  SS],Tb_DISTR.FIN[VALOR],"",0,1)*DISTR_FIN_0[[#This Row],[%DISTR]]</f>
        <v>217944.26210487654</v>
      </c>
    </row>
    <row r="24" spans="1:9" x14ac:dyDescent="0.3">
      <c r="A24" t="s">
        <v>441</v>
      </c>
      <c r="B24" t="s">
        <v>362</v>
      </c>
      <c r="D24" t="s">
        <v>206</v>
      </c>
      <c r="E24" s="200">
        <v>0.1</v>
      </c>
      <c r="F24" t="s">
        <v>471</v>
      </c>
      <c r="G24" s="243">
        <v>46023</v>
      </c>
      <c r="H24" s="51" t="str">
        <f t="shared" si="0"/>
        <v>SERV</v>
      </c>
      <c r="I24" s="244">
        <f>_xlfn.XLOOKUP(DISTR_FIN_0[[#This Row],[SS]],Tb_DISTR.FIN[Nº  SS],Tb_DISTR.FIN[VALOR],"",0,1)*DISTR_FIN_0[[#This Row],[%DISTR]]</f>
        <v>134200.39550399999</v>
      </c>
    </row>
    <row r="25" spans="1:9" x14ac:dyDescent="0.3">
      <c r="A25" t="s">
        <v>442</v>
      </c>
      <c r="B25" t="s">
        <v>363</v>
      </c>
      <c r="D25" t="s">
        <v>204</v>
      </c>
      <c r="E25" s="200">
        <v>9.1290681986541097E-2</v>
      </c>
      <c r="F25" t="s">
        <v>473</v>
      </c>
      <c r="G25" s="243">
        <v>45931</v>
      </c>
      <c r="H25" s="51" t="str">
        <f t="shared" si="0"/>
        <v>PLAN</v>
      </c>
      <c r="I25" s="244">
        <f>_xlfn.XLOOKUP(DISTR_FIN_0[[#This Row],[SS]],Tb_DISTR.FIN[Nº  SS],Tb_DISTR.FIN[VALOR],"",0,1)*DISTR_FIN_0[[#This Row],[%DISTR]]</f>
        <v>52266.994073131311</v>
      </c>
    </row>
    <row r="26" spans="1:9" x14ac:dyDescent="0.3">
      <c r="A26" t="s">
        <v>442</v>
      </c>
      <c r="B26" t="s">
        <v>363</v>
      </c>
      <c r="D26" t="s">
        <v>205</v>
      </c>
      <c r="E26" s="200">
        <v>0.18258136397308219</v>
      </c>
      <c r="F26" t="s">
        <v>474</v>
      </c>
      <c r="G26" s="243">
        <v>45931</v>
      </c>
      <c r="H26" s="51" t="str">
        <f t="shared" si="0"/>
        <v>MOB</v>
      </c>
      <c r="I26" s="244">
        <f>_xlfn.XLOOKUP(DISTR_FIN_0[[#This Row],[SS]],Tb_DISTR.FIN[Nº  SS],Tb_DISTR.FIN[VALOR],"",0,1)*DISTR_FIN_0[[#This Row],[%DISTR]]</f>
        <v>104533.98814626262</v>
      </c>
    </row>
    <row r="27" spans="1:9" x14ac:dyDescent="0.3">
      <c r="A27" t="s">
        <v>442</v>
      </c>
      <c r="B27" t="s">
        <v>363</v>
      </c>
      <c r="D27" t="s">
        <v>222</v>
      </c>
      <c r="E27" s="200">
        <v>0.18258136397308219</v>
      </c>
      <c r="F27" t="s">
        <v>475</v>
      </c>
      <c r="G27" s="243">
        <v>45962</v>
      </c>
      <c r="H27" s="51" t="str">
        <f t="shared" si="0"/>
        <v>SERV</v>
      </c>
      <c r="I27" s="244">
        <f>_xlfn.XLOOKUP(DISTR_FIN_0[[#This Row],[SS]],Tb_DISTR.FIN[Nº  SS],Tb_DISTR.FIN[VALOR],"",0,1)*DISTR_FIN_0[[#This Row],[%DISTR]]</f>
        <v>104533.98814626262</v>
      </c>
    </row>
    <row r="28" spans="1:9" x14ac:dyDescent="0.3">
      <c r="A28" t="s">
        <v>442</v>
      </c>
      <c r="B28" t="s">
        <v>363</v>
      </c>
      <c r="D28" t="s">
        <v>223</v>
      </c>
      <c r="E28" s="200">
        <v>0.25</v>
      </c>
      <c r="F28" t="s">
        <v>476</v>
      </c>
      <c r="G28" s="243">
        <v>45992</v>
      </c>
      <c r="H28" s="51" t="str">
        <f t="shared" si="0"/>
        <v>SERV</v>
      </c>
      <c r="I28" s="244">
        <f>_xlfn.XLOOKUP(DISTR_FIN_0[[#This Row],[SS]],Tb_DISTR.FIN[Nº  SS],Tb_DISTR.FIN[VALOR],"",0,1)*DISTR_FIN_0[[#This Row],[%DISTR]]</f>
        <v>143133.43085999999</v>
      </c>
    </row>
    <row r="29" spans="1:9" x14ac:dyDescent="0.3">
      <c r="A29" t="s">
        <v>442</v>
      </c>
      <c r="B29" t="s">
        <v>363</v>
      </c>
      <c r="D29" t="s">
        <v>224</v>
      </c>
      <c r="E29" s="200">
        <v>0.19354659006729452</v>
      </c>
      <c r="F29" t="s">
        <v>477</v>
      </c>
      <c r="G29" s="243">
        <v>45992</v>
      </c>
      <c r="H29" s="51" t="str">
        <f t="shared" si="0"/>
        <v>SERV</v>
      </c>
      <c r="I29" s="244">
        <f>_xlfn.XLOOKUP(DISTR_FIN_0[[#This Row],[SS]],Tb_DISTR.FIN[Nº  SS],Tb_DISTR.FIN[VALOR],"",0,1)*DISTR_FIN_0[[#This Row],[%DISTR]]</f>
        <v>110811.94987034345</v>
      </c>
    </row>
    <row r="30" spans="1:9" x14ac:dyDescent="0.3">
      <c r="A30" t="s">
        <v>442</v>
      </c>
      <c r="B30" t="s">
        <v>363</v>
      </c>
      <c r="D30" t="s">
        <v>206</v>
      </c>
      <c r="E30" s="200">
        <v>0.1</v>
      </c>
      <c r="F30" t="s">
        <v>478</v>
      </c>
      <c r="G30" s="243">
        <v>46023</v>
      </c>
      <c r="H30" s="51" t="str">
        <f t="shared" si="0"/>
        <v>SERV</v>
      </c>
      <c r="I30" s="244">
        <f>_xlfn.XLOOKUP(DISTR_FIN_0[[#This Row],[SS]],Tb_DISTR.FIN[Nº  SS],Tb_DISTR.FIN[VALOR],"",0,1)*DISTR_FIN_0[[#This Row],[%DISTR]]</f>
        <v>57253.372344000003</v>
      </c>
    </row>
    <row r="31" spans="1:9" x14ac:dyDescent="0.3">
      <c r="A31" t="s">
        <v>443</v>
      </c>
      <c r="B31" t="s">
        <v>364</v>
      </c>
      <c r="D31" t="s">
        <v>204</v>
      </c>
      <c r="E31" s="200">
        <v>0.1</v>
      </c>
      <c r="F31" t="s">
        <v>480</v>
      </c>
      <c r="G31" s="243">
        <v>45931</v>
      </c>
      <c r="H31" s="51" t="str">
        <f t="shared" si="0"/>
        <v>PLAN</v>
      </c>
      <c r="I31" s="244">
        <f>_xlfn.XLOOKUP(DISTR_FIN_0[[#This Row],[SS]],Tb_DISTR.FIN[Nº  SS],Tb_DISTR.FIN[VALOR],"",0,1)*DISTR_FIN_0[[#This Row],[%DISTR]]</f>
        <v>74359.346399999995</v>
      </c>
    </row>
    <row r="32" spans="1:9" x14ac:dyDescent="0.3">
      <c r="A32" t="s">
        <v>443</v>
      </c>
      <c r="B32" t="s">
        <v>364</v>
      </c>
      <c r="D32" t="s">
        <v>205</v>
      </c>
      <c r="E32" s="200">
        <v>0.2</v>
      </c>
      <c r="F32" t="s">
        <v>481</v>
      </c>
      <c r="G32" s="243">
        <v>45962</v>
      </c>
      <c r="H32" s="51" t="str">
        <f t="shared" si="0"/>
        <v>MOB</v>
      </c>
      <c r="I32" s="244">
        <f>_xlfn.XLOOKUP(DISTR_FIN_0[[#This Row],[SS]],Tb_DISTR.FIN[Nº  SS],Tb_DISTR.FIN[VALOR],"",0,1)*DISTR_FIN_0[[#This Row],[%DISTR]]</f>
        <v>148718.69279999999</v>
      </c>
    </row>
    <row r="33" spans="1:9" x14ac:dyDescent="0.3">
      <c r="A33" t="s">
        <v>443</v>
      </c>
      <c r="B33" t="s">
        <v>364</v>
      </c>
      <c r="D33" t="s">
        <v>222</v>
      </c>
      <c r="E33" s="200">
        <v>0.2</v>
      </c>
      <c r="F33" t="s">
        <v>482</v>
      </c>
      <c r="G33" s="243">
        <v>46054</v>
      </c>
      <c r="H33" s="51" t="str">
        <f t="shared" si="0"/>
        <v>SERV</v>
      </c>
      <c r="I33" s="244">
        <f>_xlfn.XLOOKUP(DISTR_FIN_0[[#This Row],[SS]],Tb_DISTR.FIN[Nº  SS],Tb_DISTR.FIN[VALOR],"",0,1)*DISTR_FIN_0[[#This Row],[%DISTR]]</f>
        <v>148718.69279999999</v>
      </c>
    </row>
    <row r="34" spans="1:9" x14ac:dyDescent="0.3">
      <c r="A34" t="s">
        <v>443</v>
      </c>
      <c r="B34" t="s">
        <v>364</v>
      </c>
      <c r="D34" t="s">
        <v>223</v>
      </c>
      <c r="E34" s="200">
        <v>0.15</v>
      </c>
      <c r="F34" t="s">
        <v>483</v>
      </c>
      <c r="G34" s="243">
        <v>46082</v>
      </c>
      <c r="H34" s="51" t="str">
        <f t="shared" si="0"/>
        <v>SERV</v>
      </c>
      <c r="I34" s="244">
        <f>_xlfn.XLOOKUP(DISTR_FIN_0[[#This Row],[SS]],Tb_DISTR.FIN[Nº  SS],Tb_DISTR.FIN[VALOR],"",0,1)*DISTR_FIN_0[[#This Row],[%DISTR]]</f>
        <v>111539.01959999999</v>
      </c>
    </row>
    <row r="35" spans="1:9" x14ac:dyDescent="0.3">
      <c r="A35" t="s">
        <v>443</v>
      </c>
      <c r="B35" t="s">
        <v>364</v>
      </c>
      <c r="D35" t="s">
        <v>224</v>
      </c>
      <c r="E35" s="200">
        <v>0.25</v>
      </c>
      <c r="F35" t="s">
        <v>484</v>
      </c>
      <c r="G35" s="243">
        <v>46082</v>
      </c>
      <c r="H35" s="51" t="str">
        <f t="shared" si="0"/>
        <v>SERV</v>
      </c>
      <c r="I35" s="244">
        <f>_xlfn.XLOOKUP(DISTR_FIN_0[[#This Row],[SS]],Tb_DISTR.FIN[Nº  SS],Tb_DISTR.FIN[VALOR],"",0,1)*DISTR_FIN_0[[#This Row],[%DISTR]]</f>
        <v>185898.36599999998</v>
      </c>
    </row>
    <row r="36" spans="1:9" x14ac:dyDescent="0.3">
      <c r="A36" t="s">
        <v>443</v>
      </c>
      <c r="B36" t="s">
        <v>364</v>
      </c>
      <c r="D36" t="s">
        <v>206</v>
      </c>
      <c r="E36" s="200">
        <v>0.1</v>
      </c>
      <c r="F36" t="s">
        <v>485</v>
      </c>
      <c r="G36" s="243">
        <v>46113</v>
      </c>
      <c r="H36" s="51" t="str">
        <f t="shared" si="0"/>
        <v>SERV</v>
      </c>
      <c r="I36" s="244">
        <f>_xlfn.XLOOKUP(DISTR_FIN_0[[#This Row],[SS]],Tb_DISTR.FIN[Nº  SS],Tb_DISTR.FIN[VALOR],"",0,1)*DISTR_FIN_0[[#This Row],[%DISTR]]</f>
        <v>74359.346399999995</v>
      </c>
    </row>
    <row r="37" spans="1:9" x14ac:dyDescent="0.3">
      <c r="A37" t="s">
        <v>444</v>
      </c>
      <c r="B37" t="s">
        <v>365</v>
      </c>
      <c r="D37" t="s">
        <v>204</v>
      </c>
      <c r="E37" s="200">
        <v>0.10754227250963888</v>
      </c>
      <c r="F37" t="s">
        <v>487</v>
      </c>
      <c r="G37" s="243">
        <v>45901</v>
      </c>
      <c r="H37" s="51" t="str">
        <f t="shared" si="0"/>
        <v>PLAN</v>
      </c>
      <c r="I37" s="244">
        <f>_xlfn.XLOOKUP(DISTR_FIN_0[[#This Row],[SS]],Tb_DISTR.FIN[Nº  SS],Tb_DISTR.FIN[VALOR],"",0,1)*DISTR_FIN_0[[#This Row],[%DISTR]]</f>
        <v>63335.4516</v>
      </c>
    </row>
    <row r="38" spans="1:9" x14ac:dyDescent="0.3">
      <c r="A38" t="s">
        <v>444</v>
      </c>
      <c r="B38" t="s">
        <v>365</v>
      </c>
      <c r="D38" t="s">
        <v>205</v>
      </c>
      <c r="E38" s="200">
        <v>0.2</v>
      </c>
      <c r="F38" t="s">
        <v>488</v>
      </c>
      <c r="G38" s="243">
        <v>45931</v>
      </c>
      <c r="H38" s="51" t="str">
        <f t="shared" si="0"/>
        <v>MOB</v>
      </c>
      <c r="I38" s="244">
        <f>_xlfn.XLOOKUP(DISTR_FIN_0[[#This Row],[SS]],Tb_DISTR.FIN[Nº  SS],Tb_DISTR.FIN[VALOR],"",0,1)*DISTR_FIN_0[[#This Row],[%DISTR]]</f>
        <v>117787.08060000002</v>
      </c>
    </row>
    <row r="39" spans="1:9" x14ac:dyDescent="0.3">
      <c r="A39" t="s">
        <v>444</v>
      </c>
      <c r="B39" t="s">
        <v>365</v>
      </c>
      <c r="D39" t="s">
        <v>222</v>
      </c>
      <c r="E39" s="200">
        <v>0.05</v>
      </c>
      <c r="F39" t="s">
        <v>489</v>
      </c>
      <c r="G39" s="243">
        <v>45931</v>
      </c>
      <c r="H39" s="51" t="str">
        <f t="shared" si="0"/>
        <v>SERV</v>
      </c>
      <c r="I39" s="244">
        <f>_xlfn.XLOOKUP(DISTR_FIN_0[[#This Row],[SS]],Tb_DISTR.FIN[Nº  SS],Tb_DISTR.FIN[VALOR],"",0,1)*DISTR_FIN_0[[#This Row],[%DISTR]]</f>
        <v>29446.770150000004</v>
      </c>
    </row>
    <row r="40" spans="1:9" x14ac:dyDescent="0.3">
      <c r="A40" t="s">
        <v>444</v>
      </c>
      <c r="B40" t="s">
        <v>365</v>
      </c>
      <c r="D40" t="s">
        <v>223</v>
      </c>
      <c r="E40" s="200">
        <v>0.35</v>
      </c>
      <c r="F40" t="s">
        <v>490</v>
      </c>
      <c r="G40" s="243">
        <v>45962</v>
      </c>
      <c r="H40" s="51" t="str">
        <f t="shared" si="0"/>
        <v>SERV</v>
      </c>
      <c r="I40" s="244">
        <f>_xlfn.XLOOKUP(DISTR_FIN_0[[#This Row],[SS]],Tb_DISTR.FIN[Nº  SS],Tb_DISTR.FIN[VALOR],"",0,1)*DISTR_FIN_0[[#This Row],[%DISTR]]</f>
        <v>206127.39105000001</v>
      </c>
    </row>
    <row r="41" spans="1:9" x14ac:dyDescent="0.3">
      <c r="A41" t="s">
        <v>444</v>
      </c>
      <c r="B41" t="s">
        <v>365</v>
      </c>
      <c r="D41" t="s">
        <v>224</v>
      </c>
      <c r="E41" s="200">
        <v>0.2</v>
      </c>
      <c r="F41" t="s">
        <v>491</v>
      </c>
      <c r="G41" s="243">
        <v>45992</v>
      </c>
      <c r="H41" s="51" t="str">
        <f t="shared" si="0"/>
        <v>SERV</v>
      </c>
      <c r="I41" s="244">
        <f>_xlfn.XLOOKUP(DISTR_FIN_0[[#This Row],[SS]],Tb_DISTR.FIN[Nº  SS],Tb_DISTR.FIN[VALOR],"",0,1)*DISTR_FIN_0[[#This Row],[%DISTR]]</f>
        <v>117787.08060000002</v>
      </c>
    </row>
    <row r="42" spans="1:9" x14ac:dyDescent="0.3">
      <c r="A42" t="s">
        <v>444</v>
      </c>
      <c r="B42" t="s">
        <v>365</v>
      </c>
      <c r="D42" t="s">
        <v>206</v>
      </c>
      <c r="E42" s="200">
        <v>9.2457727490361075E-2</v>
      </c>
      <c r="F42" t="s">
        <v>492</v>
      </c>
      <c r="G42" s="243">
        <v>46023</v>
      </c>
      <c r="H42" s="51" t="str">
        <f t="shared" si="0"/>
        <v>SERV</v>
      </c>
      <c r="I42" s="244">
        <f>_xlfn.XLOOKUP(DISTR_FIN_0[[#This Row],[SS]],Tb_DISTR.FIN[Nº  SS],Tb_DISTR.FIN[VALOR],"",0,1)*DISTR_FIN_0[[#This Row],[%DISTR]]</f>
        <v>54451.628999999986</v>
      </c>
    </row>
    <row r="43" spans="1:9" x14ac:dyDescent="0.3">
      <c r="A43" t="s">
        <v>54</v>
      </c>
      <c r="B43" t="s">
        <v>366</v>
      </c>
      <c r="D43" t="s">
        <v>204</v>
      </c>
      <c r="E43" s="200">
        <v>9.6676913353549929E-2</v>
      </c>
      <c r="F43" t="s">
        <v>317</v>
      </c>
      <c r="G43" s="243">
        <v>45931</v>
      </c>
      <c r="H43" s="51" t="str">
        <f t="shared" si="0"/>
        <v>PLAN</v>
      </c>
      <c r="I43" s="244">
        <f>_xlfn.XLOOKUP(DISTR_FIN_0[[#This Row],[SS]],Tb_DISTR.FIN[Nº  SS],Tb_DISTR.FIN[VALOR],"",0,1)*DISTR_FIN_0[[#This Row],[%DISTR]]</f>
        <v>35240.887664736438</v>
      </c>
    </row>
    <row r="44" spans="1:9" x14ac:dyDescent="0.3">
      <c r="A44" t="s">
        <v>54</v>
      </c>
      <c r="B44" t="s">
        <v>366</v>
      </c>
      <c r="D44" t="s">
        <v>205</v>
      </c>
      <c r="E44" s="200">
        <v>0.19335382670709986</v>
      </c>
      <c r="F44" t="s">
        <v>318</v>
      </c>
      <c r="G44" s="243">
        <v>45962</v>
      </c>
      <c r="H44" s="51" t="str">
        <f t="shared" si="0"/>
        <v>MOB</v>
      </c>
      <c r="I44" s="244">
        <f>_xlfn.XLOOKUP(DISTR_FIN_0[[#This Row],[SS]],Tb_DISTR.FIN[Nº  SS],Tb_DISTR.FIN[VALOR],"",0,1)*DISTR_FIN_0[[#This Row],[%DISTR]]</f>
        <v>70481.775329472875</v>
      </c>
    </row>
    <row r="45" spans="1:9" x14ac:dyDescent="0.3">
      <c r="A45" t="s">
        <v>54</v>
      </c>
      <c r="B45" t="s">
        <v>366</v>
      </c>
      <c r="D45" t="s">
        <v>222</v>
      </c>
      <c r="E45" s="200">
        <v>4.8338456676774964E-2</v>
      </c>
      <c r="F45" t="s">
        <v>257</v>
      </c>
      <c r="G45" s="243">
        <v>45962</v>
      </c>
      <c r="H45" s="51" t="str">
        <f t="shared" si="0"/>
        <v>SERV</v>
      </c>
      <c r="I45" s="244">
        <f>_xlfn.XLOOKUP(DISTR_FIN_0[[#This Row],[SS]],Tb_DISTR.FIN[Nº  SS],Tb_DISTR.FIN[VALOR],"",0,1)*DISTR_FIN_0[[#This Row],[%DISTR]]</f>
        <v>17620.443832368219</v>
      </c>
    </row>
    <row r="46" spans="1:9" x14ac:dyDescent="0.3">
      <c r="A46" t="s">
        <v>54</v>
      </c>
      <c r="B46" t="s">
        <v>366</v>
      </c>
      <c r="D46" t="s">
        <v>223</v>
      </c>
      <c r="E46" s="200">
        <v>0.2</v>
      </c>
      <c r="F46" t="s">
        <v>258</v>
      </c>
      <c r="G46" s="243">
        <v>45992</v>
      </c>
      <c r="H46" s="51" t="str">
        <f t="shared" si="0"/>
        <v>SERV</v>
      </c>
      <c r="I46" s="244">
        <f>_xlfn.XLOOKUP(DISTR_FIN_0[[#This Row],[SS]],Tb_DISTR.FIN[Nº  SS],Tb_DISTR.FIN[VALOR],"",0,1)*DISTR_FIN_0[[#This Row],[%DISTR]]</f>
        <v>72904.453488000014</v>
      </c>
    </row>
    <row r="47" spans="1:9" x14ac:dyDescent="0.3">
      <c r="A47" t="s">
        <v>54</v>
      </c>
      <c r="B47" t="s">
        <v>366</v>
      </c>
      <c r="D47" t="s">
        <v>224</v>
      </c>
      <c r="E47" s="200">
        <v>0.2</v>
      </c>
      <c r="F47" t="s">
        <v>259</v>
      </c>
      <c r="G47" s="243">
        <v>45992</v>
      </c>
      <c r="H47" s="51" t="str">
        <f t="shared" si="0"/>
        <v>SERV</v>
      </c>
      <c r="I47" s="244">
        <f>_xlfn.XLOOKUP(DISTR_FIN_0[[#This Row],[SS]],Tb_DISTR.FIN[Nº  SS],Tb_DISTR.FIN[VALOR],"",0,1)*DISTR_FIN_0[[#This Row],[%DISTR]]</f>
        <v>72904.453488000014</v>
      </c>
    </row>
    <row r="48" spans="1:9" x14ac:dyDescent="0.3">
      <c r="A48" t="s">
        <v>54</v>
      </c>
      <c r="B48" t="s">
        <v>366</v>
      </c>
      <c r="D48" t="s">
        <v>225</v>
      </c>
      <c r="E48" s="200">
        <v>0.16163080326257515</v>
      </c>
      <c r="F48" t="s">
        <v>260</v>
      </c>
      <c r="G48" s="243">
        <v>45992</v>
      </c>
      <c r="H48" s="51" t="str">
        <f t="shared" si="0"/>
        <v>SERV</v>
      </c>
      <c r="I48" s="244">
        <f>_xlfn.XLOOKUP(DISTR_FIN_0[[#This Row],[SS]],Tb_DISTR.FIN[Nº  SS],Tb_DISTR.FIN[VALOR],"",0,1)*DISTR_FIN_0[[#This Row],[%DISTR]]</f>
        <v>58918.026893422444</v>
      </c>
    </row>
    <row r="49" spans="1:9" x14ac:dyDescent="0.3">
      <c r="A49" t="s">
        <v>54</v>
      </c>
      <c r="B49" t="s">
        <v>366</v>
      </c>
      <c r="D49" t="s">
        <v>206</v>
      </c>
      <c r="E49" s="200">
        <v>0.1</v>
      </c>
      <c r="F49" t="s">
        <v>261</v>
      </c>
      <c r="G49" s="243">
        <v>46023</v>
      </c>
      <c r="H49" s="51" t="str">
        <f t="shared" si="0"/>
        <v>SERV</v>
      </c>
      <c r="I49" s="244">
        <f>_xlfn.XLOOKUP(DISTR_FIN_0[[#This Row],[SS]],Tb_DISTR.FIN[Nº  SS],Tb_DISTR.FIN[VALOR],"",0,1)*DISTR_FIN_0[[#This Row],[%DISTR]]</f>
        <v>36452.226744000007</v>
      </c>
    </row>
    <row r="50" spans="1:9" x14ac:dyDescent="0.3">
      <c r="A50" t="s">
        <v>55</v>
      </c>
      <c r="B50" t="s">
        <v>367</v>
      </c>
      <c r="D50" t="s">
        <v>204</v>
      </c>
      <c r="E50" s="200">
        <v>0.10754250835634356</v>
      </c>
      <c r="F50" t="s">
        <v>319</v>
      </c>
      <c r="G50" s="243">
        <v>45901</v>
      </c>
      <c r="H50" s="51" t="str">
        <f t="shared" si="0"/>
        <v>PLAN</v>
      </c>
      <c r="I50" s="244">
        <f>_xlfn.XLOOKUP(DISTR_FIN_0[[#This Row],[SS]],Tb_DISTR.FIN[Nº  SS],Tb_DISTR.FIN[VALOR],"",0,1)*DISTR_FIN_0[[#This Row],[%DISTR]]</f>
        <v>77315.673600000009</v>
      </c>
    </row>
    <row r="51" spans="1:9" x14ac:dyDescent="0.3">
      <c r="A51" t="s">
        <v>55</v>
      </c>
      <c r="B51" t="s">
        <v>367</v>
      </c>
      <c r="D51" t="s">
        <v>205</v>
      </c>
      <c r="E51" s="200">
        <v>0.2</v>
      </c>
      <c r="F51" t="s">
        <v>320</v>
      </c>
      <c r="G51" s="243">
        <v>45931</v>
      </c>
      <c r="H51" s="51" t="str">
        <f t="shared" si="0"/>
        <v>MOB</v>
      </c>
      <c r="I51" s="244">
        <f>_xlfn.XLOOKUP(DISTR_FIN_0[[#This Row],[SS]],Tb_DISTR.FIN[Nº  SS],Tb_DISTR.FIN[VALOR],"",0,1)*DISTR_FIN_0[[#This Row],[%DISTR]]</f>
        <v>143786.25676800002</v>
      </c>
    </row>
    <row r="52" spans="1:9" x14ac:dyDescent="0.3">
      <c r="A52" t="s">
        <v>55</v>
      </c>
      <c r="B52" t="s">
        <v>367</v>
      </c>
      <c r="D52" t="s">
        <v>222</v>
      </c>
      <c r="E52" s="200">
        <v>0.3</v>
      </c>
      <c r="F52" t="s">
        <v>262</v>
      </c>
      <c r="G52" s="243">
        <v>45931</v>
      </c>
      <c r="H52" s="51" t="str">
        <f t="shared" si="0"/>
        <v>SERV</v>
      </c>
      <c r="I52" s="244">
        <f>_xlfn.XLOOKUP(DISTR_FIN_0[[#This Row],[SS]],Tb_DISTR.FIN[Nº  SS],Tb_DISTR.FIN[VALOR],"",0,1)*DISTR_FIN_0[[#This Row],[%DISTR]]</f>
        <v>215679.385152</v>
      </c>
    </row>
    <row r="53" spans="1:9" x14ac:dyDescent="0.3">
      <c r="A53" t="s">
        <v>55</v>
      </c>
      <c r="B53" t="s">
        <v>367</v>
      </c>
      <c r="D53" t="s">
        <v>223</v>
      </c>
      <c r="E53" s="200">
        <v>0.3</v>
      </c>
      <c r="F53" t="s">
        <v>263</v>
      </c>
      <c r="G53" s="243">
        <v>45962</v>
      </c>
      <c r="H53" s="51" t="str">
        <f t="shared" si="0"/>
        <v>SERV</v>
      </c>
      <c r="I53" s="244">
        <f>_xlfn.XLOOKUP(DISTR_FIN_0[[#This Row],[SS]],Tb_DISTR.FIN[Nº  SS],Tb_DISTR.FIN[VALOR],"",0,1)*DISTR_FIN_0[[#This Row],[%DISTR]]</f>
        <v>215679.385152</v>
      </c>
    </row>
    <row r="54" spans="1:9" x14ac:dyDescent="0.3">
      <c r="A54" t="s">
        <v>55</v>
      </c>
      <c r="B54" t="s">
        <v>367</v>
      </c>
      <c r="D54" t="s">
        <v>206</v>
      </c>
      <c r="E54" s="200">
        <v>9.2457491643656464E-2</v>
      </c>
      <c r="F54" t="s">
        <v>264</v>
      </c>
      <c r="G54" s="243">
        <v>45962</v>
      </c>
      <c r="H54" s="51" t="str">
        <f t="shared" si="0"/>
        <v>SERV</v>
      </c>
      <c r="I54" s="244">
        <f>_xlfn.XLOOKUP(DISTR_FIN_0[[#This Row],[SS]],Tb_DISTR.FIN[Nº  SS],Tb_DISTR.FIN[VALOR],"",0,1)*DISTR_FIN_0[[#This Row],[%DISTR]]</f>
        <v>66470.583168000012</v>
      </c>
    </row>
    <row r="55" spans="1:9" x14ac:dyDescent="0.3">
      <c r="A55" t="s">
        <v>56</v>
      </c>
      <c r="B55" t="s">
        <v>368</v>
      </c>
      <c r="D55" t="s">
        <v>204</v>
      </c>
      <c r="E55" s="200">
        <v>0.1</v>
      </c>
      <c r="F55" t="s">
        <v>321</v>
      </c>
      <c r="G55" s="243">
        <v>45931</v>
      </c>
      <c r="H55" s="51" t="str">
        <f t="shared" si="0"/>
        <v>PLAN</v>
      </c>
      <c r="I55" s="244">
        <f>_xlfn.XLOOKUP(DISTR_FIN_0[[#This Row],[SS]],Tb_DISTR.FIN[Nº  SS],Tb_DISTR.FIN[VALOR],"",0,1)*DISTR_FIN_0[[#This Row],[%DISTR]]</f>
        <v>114486.85774800001</v>
      </c>
    </row>
    <row r="56" spans="1:9" x14ac:dyDescent="0.3">
      <c r="A56" t="s">
        <v>56</v>
      </c>
      <c r="B56" t="s">
        <v>368</v>
      </c>
      <c r="D56" t="s">
        <v>205</v>
      </c>
      <c r="E56" s="200">
        <v>0.2</v>
      </c>
      <c r="F56" t="s">
        <v>322</v>
      </c>
      <c r="G56" s="243">
        <v>45962</v>
      </c>
      <c r="H56" s="51" t="str">
        <f t="shared" si="0"/>
        <v>MOB</v>
      </c>
      <c r="I56" s="244">
        <f>_xlfn.XLOOKUP(DISTR_FIN_0[[#This Row],[SS]],Tb_DISTR.FIN[Nº  SS],Tb_DISTR.FIN[VALOR],"",0,1)*DISTR_FIN_0[[#This Row],[%DISTR]]</f>
        <v>228973.71549600002</v>
      </c>
    </row>
    <row r="57" spans="1:9" x14ac:dyDescent="0.3">
      <c r="A57" t="s">
        <v>56</v>
      </c>
      <c r="B57" t="s">
        <v>368</v>
      </c>
      <c r="D57" t="s">
        <v>222</v>
      </c>
      <c r="E57" s="200">
        <v>0.1</v>
      </c>
      <c r="F57" t="s">
        <v>265</v>
      </c>
      <c r="G57" s="243">
        <v>46023</v>
      </c>
      <c r="H57" s="51" t="str">
        <f t="shared" si="0"/>
        <v>SERV</v>
      </c>
      <c r="I57" s="244">
        <f>_xlfn.XLOOKUP(DISTR_FIN_0[[#This Row],[SS]],Tb_DISTR.FIN[Nº  SS],Tb_DISTR.FIN[VALOR],"",0,1)*DISTR_FIN_0[[#This Row],[%DISTR]]</f>
        <v>114486.85774800001</v>
      </c>
    </row>
    <row r="58" spans="1:9" x14ac:dyDescent="0.3">
      <c r="A58" t="s">
        <v>56</v>
      </c>
      <c r="B58" t="s">
        <v>368</v>
      </c>
      <c r="D58" t="s">
        <v>223</v>
      </c>
      <c r="E58" s="200">
        <v>0.4</v>
      </c>
      <c r="F58" t="s">
        <v>266</v>
      </c>
      <c r="G58" s="243">
        <v>46082</v>
      </c>
      <c r="H58" s="51" t="str">
        <f t="shared" si="0"/>
        <v>SERV</v>
      </c>
      <c r="I58" s="244">
        <f>_xlfn.XLOOKUP(DISTR_FIN_0[[#This Row],[SS]],Tb_DISTR.FIN[Nº  SS],Tb_DISTR.FIN[VALOR],"",0,1)*DISTR_FIN_0[[#This Row],[%DISTR]]</f>
        <v>457947.43099200004</v>
      </c>
    </row>
    <row r="59" spans="1:9" x14ac:dyDescent="0.3">
      <c r="A59" t="s">
        <v>56</v>
      </c>
      <c r="B59" t="s">
        <v>368</v>
      </c>
      <c r="D59" t="s">
        <v>224</v>
      </c>
      <c r="E59" s="200">
        <v>0.1</v>
      </c>
      <c r="F59" t="s">
        <v>267</v>
      </c>
      <c r="G59" s="243">
        <v>46113</v>
      </c>
      <c r="H59" s="51" t="str">
        <f t="shared" si="0"/>
        <v>SERV</v>
      </c>
      <c r="I59" s="244">
        <f>_xlfn.XLOOKUP(DISTR_FIN_0[[#This Row],[SS]],Tb_DISTR.FIN[Nº  SS],Tb_DISTR.FIN[VALOR],"",0,1)*DISTR_FIN_0[[#This Row],[%DISTR]]</f>
        <v>114486.85774800001</v>
      </c>
    </row>
    <row r="60" spans="1:9" x14ac:dyDescent="0.3">
      <c r="A60" t="s">
        <v>56</v>
      </c>
      <c r="B60" t="s">
        <v>368</v>
      </c>
      <c r="D60" t="s">
        <v>206</v>
      </c>
      <c r="E60" s="200">
        <v>0.1</v>
      </c>
      <c r="F60" t="s">
        <v>268</v>
      </c>
      <c r="G60" s="243">
        <v>46113</v>
      </c>
      <c r="H60" s="51" t="str">
        <f t="shared" si="0"/>
        <v>SERV</v>
      </c>
      <c r="I60" s="244">
        <f>_xlfn.XLOOKUP(DISTR_FIN_0[[#This Row],[SS]],Tb_DISTR.FIN[Nº  SS],Tb_DISTR.FIN[VALOR],"",0,1)*DISTR_FIN_0[[#This Row],[%DISTR]]</f>
        <v>114486.85774800001</v>
      </c>
    </row>
    <row r="61" spans="1:9" x14ac:dyDescent="0.3">
      <c r="A61" t="s">
        <v>58</v>
      </c>
      <c r="B61" t="s">
        <v>213</v>
      </c>
      <c r="D61" t="s">
        <v>204</v>
      </c>
      <c r="E61" s="200">
        <v>0.1</v>
      </c>
      <c r="F61" t="s">
        <v>323</v>
      </c>
      <c r="G61" s="243">
        <v>45931</v>
      </c>
      <c r="H61" s="51" t="str">
        <f t="shared" si="0"/>
        <v>PLAN</v>
      </c>
      <c r="I61" s="244">
        <f>_xlfn.XLOOKUP(DISTR_FIN_0[[#This Row],[SS]],Tb_DISTR.FIN[Nº  SS],Tb_DISTR.FIN[VALOR],"",0,1)*DISTR_FIN_0[[#This Row],[%DISTR]]</f>
        <v>166281.82902</v>
      </c>
    </row>
    <row r="62" spans="1:9" x14ac:dyDescent="0.3">
      <c r="A62" t="s">
        <v>58</v>
      </c>
      <c r="B62" t="s">
        <v>213</v>
      </c>
      <c r="D62" t="s">
        <v>205</v>
      </c>
      <c r="E62" s="200">
        <v>0.2</v>
      </c>
      <c r="F62" t="s">
        <v>324</v>
      </c>
      <c r="G62" s="243">
        <v>45962</v>
      </c>
      <c r="H62" s="51" t="str">
        <f t="shared" si="0"/>
        <v>MOB</v>
      </c>
      <c r="I62" s="244">
        <f>_xlfn.XLOOKUP(DISTR_FIN_0[[#This Row],[SS]],Tb_DISTR.FIN[Nº  SS],Tb_DISTR.FIN[VALOR],"",0,1)*DISTR_FIN_0[[#This Row],[%DISTR]]</f>
        <v>332563.65804000001</v>
      </c>
    </row>
    <row r="63" spans="1:9" x14ac:dyDescent="0.3">
      <c r="A63" t="s">
        <v>58</v>
      </c>
      <c r="B63" t="s">
        <v>213</v>
      </c>
      <c r="D63" t="s">
        <v>222</v>
      </c>
      <c r="E63" s="200">
        <v>0.04</v>
      </c>
      <c r="F63" t="s">
        <v>269</v>
      </c>
      <c r="G63" s="243">
        <v>45992</v>
      </c>
      <c r="H63" s="51" t="str">
        <f t="shared" si="0"/>
        <v>SERV</v>
      </c>
      <c r="I63" s="244">
        <f>_xlfn.XLOOKUP(DISTR_FIN_0[[#This Row],[SS]],Tb_DISTR.FIN[Nº  SS],Tb_DISTR.FIN[VALOR],"",0,1)*DISTR_FIN_0[[#This Row],[%DISTR]]</f>
        <v>66512.731608000002</v>
      </c>
    </row>
    <row r="64" spans="1:9" x14ac:dyDescent="0.3">
      <c r="A64" t="s">
        <v>58</v>
      </c>
      <c r="B64" t="s">
        <v>213</v>
      </c>
      <c r="D64" t="s">
        <v>223</v>
      </c>
      <c r="E64" s="200">
        <v>0.08</v>
      </c>
      <c r="F64" t="s">
        <v>270</v>
      </c>
      <c r="G64" s="243">
        <v>45992</v>
      </c>
      <c r="H64" s="51" t="str">
        <f t="shared" si="0"/>
        <v>SERV</v>
      </c>
      <c r="I64" s="244">
        <f>_xlfn.XLOOKUP(DISTR_FIN_0[[#This Row],[SS]],Tb_DISTR.FIN[Nº  SS],Tb_DISTR.FIN[VALOR],"",0,1)*DISTR_FIN_0[[#This Row],[%DISTR]]</f>
        <v>133025.463216</v>
      </c>
    </row>
    <row r="65" spans="1:9" x14ac:dyDescent="0.3">
      <c r="A65" t="s">
        <v>58</v>
      </c>
      <c r="B65" t="s">
        <v>213</v>
      </c>
      <c r="D65" t="s">
        <v>224</v>
      </c>
      <c r="E65" s="200">
        <v>0.08</v>
      </c>
      <c r="F65" t="s">
        <v>271</v>
      </c>
      <c r="G65" s="243">
        <v>45992</v>
      </c>
      <c r="H65" s="51" t="str">
        <f t="shared" si="0"/>
        <v>SERV</v>
      </c>
      <c r="I65" s="244">
        <f>_xlfn.XLOOKUP(DISTR_FIN_0[[#This Row],[SS]],Tb_DISTR.FIN[Nº  SS],Tb_DISTR.FIN[VALOR],"",0,1)*DISTR_FIN_0[[#This Row],[%DISTR]]</f>
        <v>133025.463216</v>
      </c>
    </row>
    <row r="66" spans="1:9" x14ac:dyDescent="0.3">
      <c r="A66" t="s">
        <v>58</v>
      </c>
      <c r="B66" t="s">
        <v>213</v>
      </c>
      <c r="D66" t="s">
        <v>225</v>
      </c>
      <c r="E66" s="200">
        <v>7.0000000000000007E-2</v>
      </c>
      <c r="F66" t="s">
        <v>272</v>
      </c>
      <c r="G66" s="243">
        <v>45992</v>
      </c>
      <c r="H66" s="51" t="str">
        <f t="shared" ref="H66:H129" si="1">IF(OR(D66="PLAN",D66="MOB"),D66,"SERV")</f>
        <v>SERV</v>
      </c>
      <c r="I66" s="244">
        <f>_xlfn.XLOOKUP(DISTR_FIN_0[[#This Row],[SS]],Tb_DISTR.FIN[Nº  SS],Tb_DISTR.FIN[VALOR],"",0,1)*DISTR_FIN_0[[#This Row],[%DISTR]]</f>
        <v>116397.280314</v>
      </c>
    </row>
    <row r="67" spans="1:9" x14ac:dyDescent="0.3">
      <c r="A67" t="s">
        <v>58</v>
      </c>
      <c r="B67" t="s">
        <v>213</v>
      </c>
      <c r="D67" t="s">
        <v>226</v>
      </c>
      <c r="E67" s="200">
        <v>0.08</v>
      </c>
      <c r="F67" t="s">
        <v>273</v>
      </c>
      <c r="G67" s="243">
        <v>46023</v>
      </c>
      <c r="H67" s="51" t="str">
        <f t="shared" si="1"/>
        <v>SERV</v>
      </c>
      <c r="I67" s="244">
        <f>_xlfn.XLOOKUP(DISTR_FIN_0[[#This Row],[SS]],Tb_DISTR.FIN[Nº  SS],Tb_DISTR.FIN[VALOR],"",0,1)*DISTR_FIN_0[[#This Row],[%DISTR]]</f>
        <v>133025.463216</v>
      </c>
    </row>
    <row r="68" spans="1:9" x14ac:dyDescent="0.3">
      <c r="A68" t="s">
        <v>58</v>
      </c>
      <c r="B68" t="s">
        <v>213</v>
      </c>
      <c r="D68" t="s">
        <v>227</v>
      </c>
      <c r="E68" s="200">
        <v>7.0000000000000007E-2</v>
      </c>
      <c r="F68" t="s">
        <v>274</v>
      </c>
      <c r="G68" s="243">
        <v>46054</v>
      </c>
      <c r="H68" s="51" t="str">
        <f t="shared" si="1"/>
        <v>SERV</v>
      </c>
      <c r="I68" s="244">
        <f>_xlfn.XLOOKUP(DISTR_FIN_0[[#This Row],[SS]],Tb_DISTR.FIN[Nº  SS],Tb_DISTR.FIN[VALOR],"",0,1)*DISTR_FIN_0[[#This Row],[%DISTR]]</f>
        <v>116397.280314</v>
      </c>
    </row>
    <row r="69" spans="1:9" x14ac:dyDescent="0.3">
      <c r="A69" t="s">
        <v>58</v>
      </c>
      <c r="B69" t="s">
        <v>213</v>
      </c>
      <c r="D69" t="s">
        <v>228</v>
      </c>
      <c r="E69" s="200">
        <v>0.09</v>
      </c>
      <c r="F69" t="s">
        <v>275</v>
      </c>
      <c r="G69" s="243">
        <v>46113</v>
      </c>
      <c r="H69" s="51" t="str">
        <f t="shared" si="1"/>
        <v>SERV</v>
      </c>
      <c r="I69" s="244">
        <f>_xlfn.XLOOKUP(DISTR_FIN_0[[#This Row],[SS]],Tb_DISTR.FIN[Nº  SS],Tb_DISTR.FIN[VALOR],"",0,1)*DISTR_FIN_0[[#This Row],[%DISTR]]</f>
        <v>149653.64611799998</v>
      </c>
    </row>
    <row r="70" spans="1:9" x14ac:dyDescent="0.3">
      <c r="A70" t="s">
        <v>58</v>
      </c>
      <c r="B70" t="s">
        <v>213</v>
      </c>
      <c r="D70" t="s">
        <v>229</v>
      </c>
      <c r="E70" s="200">
        <v>0.05</v>
      </c>
      <c r="F70" t="s">
        <v>276</v>
      </c>
      <c r="G70" s="243">
        <v>46113</v>
      </c>
      <c r="H70" s="51" t="str">
        <f t="shared" si="1"/>
        <v>SERV</v>
      </c>
      <c r="I70" s="244">
        <f>_xlfn.XLOOKUP(DISTR_FIN_0[[#This Row],[SS]],Tb_DISTR.FIN[Nº  SS],Tb_DISTR.FIN[VALOR],"",0,1)*DISTR_FIN_0[[#This Row],[%DISTR]]</f>
        <v>83140.914510000002</v>
      </c>
    </row>
    <row r="71" spans="1:9" x14ac:dyDescent="0.3">
      <c r="A71" t="s">
        <v>58</v>
      </c>
      <c r="B71" t="s">
        <v>213</v>
      </c>
      <c r="D71" t="s">
        <v>230</v>
      </c>
      <c r="E71" s="200">
        <v>0.04</v>
      </c>
      <c r="F71" t="s">
        <v>277</v>
      </c>
      <c r="G71" s="243">
        <v>46143</v>
      </c>
      <c r="H71" s="51" t="str">
        <f t="shared" si="1"/>
        <v>SERV</v>
      </c>
      <c r="I71" s="244">
        <f>_xlfn.XLOOKUP(DISTR_FIN_0[[#This Row],[SS]],Tb_DISTR.FIN[Nº  SS],Tb_DISTR.FIN[VALOR],"",0,1)*DISTR_FIN_0[[#This Row],[%DISTR]]</f>
        <v>66512.731608000002</v>
      </c>
    </row>
    <row r="72" spans="1:9" x14ac:dyDescent="0.3">
      <c r="A72" t="s">
        <v>58</v>
      </c>
      <c r="B72" t="s">
        <v>213</v>
      </c>
      <c r="D72" t="s">
        <v>206</v>
      </c>
      <c r="E72" s="200">
        <v>0.1</v>
      </c>
      <c r="F72" t="s">
        <v>278</v>
      </c>
      <c r="G72" s="243">
        <v>46143</v>
      </c>
      <c r="H72" s="51" t="str">
        <f t="shared" si="1"/>
        <v>SERV</v>
      </c>
      <c r="I72" s="244">
        <f>_xlfn.XLOOKUP(DISTR_FIN_0[[#This Row],[SS]],Tb_DISTR.FIN[Nº  SS],Tb_DISTR.FIN[VALOR],"",0,1)*DISTR_FIN_0[[#This Row],[%DISTR]]</f>
        <v>166281.82902</v>
      </c>
    </row>
    <row r="73" spans="1:9" x14ac:dyDescent="0.3">
      <c r="A73" t="s">
        <v>59</v>
      </c>
      <c r="B73" t="s">
        <v>214</v>
      </c>
      <c r="D73" t="s">
        <v>204</v>
      </c>
      <c r="E73" s="200">
        <v>0.1</v>
      </c>
      <c r="F73" t="s">
        <v>325</v>
      </c>
      <c r="G73" s="243">
        <v>45931</v>
      </c>
      <c r="H73" s="51" t="str">
        <f t="shared" si="1"/>
        <v>PLAN</v>
      </c>
      <c r="I73" s="244">
        <f>_xlfn.XLOOKUP(DISTR_FIN_0[[#This Row],[SS]],Tb_DISTR.FIN[Nº  SS],Tb_DISTR.FIN[VALOR],"",0,1)*DISTR_FIN_0[[#This Row],[%DISTR]]</f>
        <v>22849.733</v>
      </c>
    </row>
    <row r="74" spans="1:9" x14ac:dyDescent="0.3">
      <c r="A74" t="s">
        <v>59</v>
      </c>
      <c r="B74" t="s">
        <v>214</v>
      </c>
      <c r="D74" t="s">
        <v>205</v>
      </c>
      <c r="E74" s="200">
        <v>0.2</v>
      </c>
      <c r="F74" t="s">
        <v>326</v>
      </c>
      <c r="G74" s="243">
        <v>45931</v>
      </c>
      <c r="H74" s="51" t="str">
        <f t="shared" si="1"/>
        <v>MOB</v>
      </c>
      <c r="I74" s="244">
        <f>_xlfn.XLOOKUP(DISTR_FIN_0[[#This Row],[SS]],Tb_DISTR.FIN[Nº  SS],Tb_DISTR.FIN[VALOR],"",0,1)*DISTR_FIN_0[[#This Row],[%DISTR]]</f>
        <v>45699.466</v>
      </c>
    </row>
    <row r="75" spans="1:9" x14ac:dyDescent="0.3">
      <c r="A75" t="s">
        <v>59</v>
      </c>
      <c r="B75" t="s">
        <v>214</v>
      </c>
      <c r="D75" t="s">
        <v>222</v>
      </c>
      <c r="E75" s="200">
        <v>0.2</v>
      </c>
      <c r="F75" t="s">
        <v>279</v>
      </c>
      <c r="G75" s="243">
        <v>45962</v>
      </c>
      <c r="H75" s="51" t="str">
        <f t="shared" si="1"/>
        <v>SERV</v>
      </c>
      <c r="I75" s="244">
        <f>_xlfn.XLOOKUP(DISTR_FIN_0[[#This Row],[SS]],Tb_DISTR.FIN[Nº  SS],Tb_DISTR.FIN[VALOR],"",0,1)*DISTR_FIN_0[[#This Row],[%DISTR]]</f>
        <v>45699.466</v>
      </c>
    </row>
    <row r="76" spans="1:9" x14ac:dyDescent="0.3">
      <c r="A76" t="s">
        <v>59</v>
      </c>
      <c r="B76" t="s">
        <v>214</v>
      </c>
      <c r="D76" t="s">
        <v>223</v>
      </c>
      <c r="E76" s="200">
        <v>0.25</v>
      </c>
      <c r="F76" t="s">
        <v>280</v>
      </c>
      <c r="G76" s="243">
        <v>46023</v>
      </c>
      <c r="H76" s="51" t="str">
        <f t="shared" si="1"/>
        <v>SERV</v>
      </c>
      <c r="I76" s="244">
        <f>_xlfn.XLOOKUP(DISTR_FIN_0[[#This Row],[SS]],Tb_DISTR.FIN[Nº  SS],Tb_DISTR.FIN[VALOR],"",0,1)*DISTR_FIN_0[[#This Row],[%DISTR]]</f>
        <v>57124.332499999997</v>
      </c>
    </row>
    <row r="77" spans="1:9" x14ac:dyDescent="0.3">
      <c r="A77" t="s">
        <v>59</v>
      </c>
      <c r="B77" t="s">
        <v>214</v>
      </c>
      <c r="D77" t="s">
        <v>224</v>
      </c>
      <c r="E77" s="200">
        <v>0.15</v>
      </c>
      <c r="F77" t="s">
        <v>281</v>
      </c>
      <c r="G77" s="243">
        <v>45992</v>
      </c>
      <c r="H77" s="51" t="str">
        <f t="shared" si="1"/>
        <v>SERV</v>
      </c>
      <c r="I77" s="244">
        <f>_xlfn.XLOOKUP(DISTR_FIN_0[[#This Row],[SS]],Tb_DISTR.FIN[Nº  SS],Tb_DISTR.FIN[VALOR],"",0,1)*DISTR_FIN_0[[#This Row],[%DISTR]]</f>
        <v>34274.599499999997</v>
      </c>
    </row>
    <row r="78" spans="1:9" x14ac:dyDescent="0.3">
      <c r="A78" t="s">
        <v>59</v>
      </c>
      <c r="B78" t="s">
        <v>214</v>
      </c>
      <c r="D78" t="s">
        <v>206</v>
      </c>
      <c r="E78" s="200">
        <v>0.1</v>
      </c>
      <c r="F78" t="s">
        <v>282</v>
      </c>
      <c r="G78" s="243">
        <v>46023</v>
      </c>
      <c r="H78" s="51" t="str">
        <f t="shared" si="1"/>
        <v>SERV</v>
      </c>
      <c r="I78" s="244">
        <f>_xlfn.XLOOKUP(DISTR_FIN_0[[#This Row],[SS]],Tb_DISTR.FIN[Nº  SS],Tb_DISTR.FIN[VALOR],"",0,1)*DISTR_FIN_0[[#This Row],[%DISTR]]</f>
        <v>22849.733</v>
      </c>
    </row>
    <row r="79" spans="1:9" x14ac:dyDescent="0.3">
      <c r="A79" t="s">
        <v>60</v>
      </c>
      <c r="B79" t="s">
        <v>217</v>
      </c>
      <c r="D79" t="s">
        <v>204</v>
      </c>
      <c r="E79" s="200">
        <v>0.1</v>
      </c>
      <c r="F79" t="s">
        <v>327</v>
      </c>
      <c r="G79" s="243">
        <v>45962</v>
      </c>
      <c r="H79" s="51" t="str">
        <f t="shared" si="1"/>
        <v>PLAN</v>
      </c>
      <c r="I79" s="244">
        <f>_xlfn.XLOOKUP(DISTR_FIN_0[[#This Row],[SS]],Tb_DISTR.FIN[Nº  SS],Tb_DISTR.FIN[VALOR],"",0,1)*DISTR_FIN_0[[#This Row],[%DISTR]]</f>
        <v>123391.45200000003</v>
      </c>
    </row>
    <row r="80" spans="1:9" x14ac:dyDescent="0.3">
      <c r="A80" t="s">
        <v>60</v>
      </c>
      <c r="B80" t="s">
        <v>217</v>
      </c>
      <c r="D80" t="s">
        <v>205</v>
      </c>
      <c r="E80" s="200">
        <v>0.2</v>
      </c>
      <c r="F80" t="s">
        <v>328</v>
      </c>
      <c r="G80" s="243">
        <v>45962</v>
      </c>
      <c r="H80" s="51" t="str">
        <f t="shared" si="1"/>
        <v>MOB</v>
      </c>
      <c r="I80" s="244">
        <f>_xlfn.XLOOKUP(DISTR_FIN_0[[#This Row],[SS]],Tb_DISTR.FIN[Nº  SS],Tb_DISTR.FIN[VALOR],"",0,1)*DISTR_FIN_0[[#This Row],[%DISTR]]</f>
        <v>246782.90400000007</v>
      </c>
    </row>
    <row r="81" spans="1:9" x14ac:dyDescent="0.3">
      <c r="A81" t="s">
        <v>60</v>
      </c>
      <c r="B81" t="s">
        <v>217</v>
      </c>
      <c r="D81" t="s">
        <v>222</v>
      </c>
      <c r="E81" s="200">
        <v>0.08</v>
      </c>
      <c r="F81" t="s">
        <v>283</v>
      </c>
      <c r="G81" s="243">
        <v>45992</v>
      </c>
      <c r="H81" s="51" t="str">
        <f t="shared" si="1"/>
        <v>SERV</v>
      </c>
      <c r="I81" s="244">
        <f>_xlfn.XLOOKUP(DISTR_FIN_0[[#This Row],[SS]],Tb_DISTR.FIN[Nº  SS],Tb_DISTR.FIN[VALOR],"",0,1)*DISTR_FIN_0[[#This Row],[%DISTR]]</f>
        <v>98713.161600000021</v>
      </c>
    </row>
    <row r="82" spans="1:9" x14ac:dyDescent="0.3">
      <c r="A82" t="s">
        <v>60</v>
      </c>
      <c r="B82" t="s">
        <v>217</v>
      </c>
      <c r="D82" t="s">
        <v>223</v>
      </c>
      <c r="E82" s="200">
        <v>0.1</v>
      </c>
      <c r="F82" t="s">
        <v>284</v>
      </c>
      <c r="G82" s="243">
        <v>46023</v>
      </c>
      <c r="H82" s="51" t="str">
        <f t="shared" si="1"/>
        <v>SERV</v>
      </c>
      <c r="I82" s="244">
        <f>_xlfn.XLOOKUP(DISTR_FIN_0[[#This Row],[SS]],Tb_DISTR.FIN[Nº  SS],Tb_DISTR.FIN[VALOR],"",0,1)*DISTR_FIN_0[[#This Row],[%DISTR]]</f>
        <v>123391.45200000003</v>
      </c>
    </row>
    <row r="83" spans="1:9" x14ac:dyDescent="0.3">
      <c r="A83" t="s">
        <v>60</v>
      </c>
      <c r="B83" t="s">
        <v>217</v>
      </c>
      <c r="D83" t="s">
        <v>224</v>
      </c>
      <c r="E83" s="200">
        <v>0.1</v>
      </c>
      <c r="F83" t="s">
        <v>285</v>
      </c>
      <c r="G83" s="243">
        <v>46054</v>
      </c>
      <c r="H83" s="51" t="str">
        <f t="shared" si="1"/>
        <v>SERV</v>
      </c>
      <c r="I83" s="244">
        <f>_xlfn.XLOOKUP(DISTR_FIN_0[[#This Row],[SS]],Tb_DISTR.FIN[Nº  SS],Tb_DISTR.FIN[VALOR],"",0,1)*DISTR_FIN_0[[#This Row],[%DISTR]]</f>
        <v>123391.45200000003</v>
      </c>
    </row>
    <row r="84" spans="1:9" x14ac:dyDescent="0.3">
      <c r="A84" t="s">
        <v>60</v>
      </c>
      <c r="B84" t="s">
        <v>217</v>
      </c>
      <c r="D84" t="s">
        <v>225</v>
      </c>
      <c r="E84" s="200">
        <v>0.09</v>
      </c>
      <c r="F84" t="s">
        <v>286</v>
      </c>
      <c r="G84" s="243">
        <v>46082</v>
      </c>
      <c r="H84" s="51" t="str">
        <f t="shared" si="1"/>
        <v>SERV</v>
      </c>
      <c r="I84" s="244">
        <f>_xlfn.XLOOKUP(DISTR_FIN_0[[#This Row],[SS]],Tb_DISTR.FIN[Nº  SS],Tb_DISTR.FIN[VALOR],"",0,1)*DISTR_FIN_0[[#This Row],[%DISTR]]</f>
        <v>111052.30680000002</v>
      </c>
    </row>
    <row r="85" spans="1:9" x14ac:dyDescent="0.3">
      <c r="A85" t="s">
        <v>60</v>
      </c>
      <c r="B85" t="s">
        <v>217</v>
      </c>
      <c r="D85" t="s">
        <v>226</v>
      </c>
      <c r="E85" s="200">
        <v>0.09</v>
      </c>
      <c r="F85" t="s">
        <v>287</v>
      </c>
      <c r="G85" s="243">
        <v>46113</v>
      </c>
      <c r="H85" s="51" t="str">
        <f t="shared" si="1"/>
        <v>SERV</v>
      </c>
      <c r="I85" s="244">
        <f>_xlfn.XLOOKUP(DISTR_FIN_0[[#This Row],[SS]],Tb_DISTR.FIN[Nº  SS],Tb_DISTR.FIN[VALOR],"",0,1)*DISTR_FIN_0[[#This Row],[%DISTR]]</f>
        <v>111052.30680000002</v>
      </c>
    </row>
    <row r="86" spans="1:9" x14ac:dyDescent="0.3">
      <c r="A86" t="s">
        <v>60</v>
      </c>
      <c r="B86" t="s">
        <v>217</v>
      </c>
      <c r="D86" t="s">
        <v>227</v>
      </c>
      <c r="E86" s="200">
        <v>0.09</v>
      </c>
      <c r="F86" t="s">
        <v>288</v>
      </c>
      <c r="G86" s="243">
        <v>46143</v>
      </c>
      <c r="H86" s="51" t="str">
        <f t="shared" si="1"/>
        <v>SERV</v>
      </c>
      <c r="I86" s="244">
        <f>_xlfn.XLOOKUP(DISTR_FIN_0[[#This Row],[SS]],Tb_DISTR.FIN[Nº  SS],Tb_DISTR.FIN[VALOR],"",0,1)*DISTR_FIN_0[[#This Row],[%DISTR]]</f>
        <v>111052.30680000002</v>
      </c>
    </row>
    <row r="87" spans="1:9" x14ac:dyDescent="0.3">
      <c r="A87" t="s">
        <v>60</v>
      </c>
      <c r="B87" t="s">
        <v>217</v>
      </c>
      <c r="D87" t="s">
        <v>228</v>
      </c>
      <c r="E87" s="200">
        <v>0.05</v>
      </c>
      <c r="F87" t="s">
        <v>289</v>
      </c>
      <c r="G87" s="243">
        <v>46174</v>
      </c>
      <c r="H87" s="51" t="str">
        <f t="shared" si="1"/>
        <v>SERV</v>
      </c>
      <c r="I87" s="244">
        <f>_xlfn.XLOOKUP(DISTR_FIN_0[[#This Row],[SS]],Tb_DISTR.FIN[Nº  SS],Tb_DISTR.FIN[VALOR],"",0,1)*DISTR_FIN_0[[#This Row],[%DISTR]]</f>
        <v>61695.726000000017</v>
      </c>
    </row>
    <row r="88" spans="1:9" x14ac:dyDescent="0.3">
      <c r="A88" t="s">
        <v>60</v>
      </c>
      <c r="B88" t="s">
        <v>217</v>
      </c>
      <c r="D88" t="s">
        <v>206</v>
      </c>
      <c r="E88" s="200">
        <v>0.1</v>
      </c>
      <c r="F88" t="s">
        <v>290</v>
      </c>
      <c r="G88" s="243">
        <v>46174</v>
      </c>
      <c r="H88" s="51" t="str">
        <f t="shared" si="1"/>
        <v>SERV</v>
      </c>
      <c r="I88" s="244">
        <f>_xlfn.XLOOKUP(DISTR_FIN_0[[#This Row],[SS]],Tb_DISTR.FIN[Nº  SS],Tb_DISTR.FIN[VALOR],"",0,1)*DISTR_FIN_0[[#This Row],[%DISTR]]</f>
        <v>123391.45200000003</v>
      </c>
    </row>
    <row r="89" spans="1:9" x14ac:dyDescent="0.3">
      <c r="A89" t="s">
        <v>61</v>
      </c>
      <c r="B89" t="s">
        <v>209</v>
      </c>
      <c r="D89" t="s">
        <v>204</v>
      </c>
      <c r="E89" s="200">
        <v>0.1</v>
      </c>
      <c r="F89" t="s">
        <v>329</v>
      </c>
      <c r="G89" s="243">
        <v>45962</v>
      </c>
      <c r="H89" s="51" t="str">
        <f t="shared" si="1"/>
        <v>PLAN</v>
      </c>
      <c r="I89" s="244">
        <f>_xlfn.XLOOKUP(DISTR_FIN_0[[#This Row],[SS]],Tb_DISTR.FIN[Nº  SS],Tb_DISTR.FIN[VALOR],"",0,1)*DISTR_FIN_0[[#This Row],[%DISTR]]</f>
        <v>19661.297436000001</v>
      </c>
    </row>
    <row r="90" spans="1:9" x14ac:dyDescent="0.3">
      <c r="A90" t="s">
        <v>61</v>
      </c>
      <c r="B90" t="s">
        <v>209</v>
      </c>
      <c r="D90" t="s">
        <v>205</v>
      </c>
      <c r="E90" s="200">
        <v>0.2</v>
      </c>
      <c r="F90" t="s">
        <v>330</v>
      </c>
      <c r="G90" s="243">
        <v>45962</v>
      </c>
      <c r="H90" s="51" t="str">
        <f t="shared" si="1"/>
        <v>MOB</v>
      </c>
      <c r="I90" s="244">
        <f>_xlfn.XLOOKUP(DISTR_FIN_0[[#This Row],[SS]],Tb_DISTR.FIN[Nº  SS],Tb_DISTR.FIN[VALOR],"",0,1)*DISTR_FIN_0[[#This Row],[%DISTR]]</f>
        <v>39322.594872000001</v>
      </c>
    </row>
    <row r="91" spans="1:9" x14ac:dyDescent="0.3">
      <c r="A91" t="s">
        <v>61</v>
      </c>
      <c r="B91" t="s">
        <v>209</v>
      </c>
      <c r="D91" t="s">
        <v>222</v>
      </c>
      <c r="E91" s="200">
        <v>0.15</v>
      </c>
      <c r="F91" t="s">
        <v>291</v>
      </c>
      <c r="G91" s="243">
        <v>46054</v>
      </c>
      <c r="H91" s="51" t="str">
        <f t="shared" si="1"/>
        <v>SERV</v>
      </c>
      <c r="I91" s="244">
        <f>_xlfn.XLOOKUP(DISTR_FIN_0[[#This Row],[SS]],Tb_DISTR.FIN[Nº  SS],Tb_DISTR.FIN[VALOR],"",0,1)*DISTR_FIN_0[[#This Row],[%DISTR]]</f>
        <v>29491.946153999997</v>
      </c>
    </row>
    <row r="92" spans="1:9" x14ac:dyDescent="0.3">
      <c r="A92" t="s">
        <v>61</v>
      </c>
      <c r="B92" t="s">
        <v>209</v>
      </c>
      <c r="D92" t="s">
        <v>223</v>
      </c>
      <c r="E92" s="200">
        <v>0.3</v>
      </c>
      <c r="F92" t="s">
        <v>292</v>
      </c>
      <c r="G92" s="243">
        <v>46054</v>
      </c>
      <c r="H92" s="51" t="str">
        <f t="shared" si="1"/>
        <v>SERV</v>
      </c>
      <c r="I92" s="244">
        <f>_xlfn.XLOOKUP(DISTR_FIN_0[[#This Row],[SS]],Tb_DISTR.FIN[Nº  SS],Tb_DISTR.FIN[VALOR],"",0,1)*DISTR_FIN_0[[#This Row],[%DISTR]]</f>
        <v>58983.892307999995</v>
      </c>
    </row>
    <row r="93" spans="1:9" x14ac:dyDescent="0.3">
      <c r="A93" t="s">
        <v>61</v>
      </c>
      <c r="B93" t="s">
        <v>209</v>
      </c>
      <c r="D93" t="s">
        <v>224</v>
      </c>
      <c r="E93" s="200">
        <v>0.15</v>
      </c>
      <c r="F93" t="s">
        <v>293</v>
      </c>
      <c r="G93" s="243">
        <v>46054</v>
      </c>
      <c r="H93" s="51" t="str">
        <f t="shared" si="1"/>
        <v>SERV</v>
      </c>
      <c r="I93" s="244">
        <f>_xlfn.XLOOKUP(DISTR_FIN_0[[#This Row],[SS]],Tb_DISTR.FIN[Nº  SS],Tb_DISTR.FIN[VALOR],"",0,1)*DISTR_FIN_0[[#This Row],[%DISTR]]</f>
        <v>29491.946153999997</v>
      </c>
    </row>
    <row r="94" spans="1:9" x14ac:dyDescent="0.3">
      <c r="A94" t="s">
        <v>61</v>
      </c>
      <c r="B94" t="s">
        <v>209</v>
      </c>
      <c r="D94" t="s">
        <v>206</v>
      </c>
      <c r="E94" s="200">
        <v>0.1</v>
      </c>
      <c r="F94" t="s">
        <v>294</v>
      </c>
      <c r="G94" s="243">
        <v>46054</v>
      </c>
      <c r="H94" s="51" t="str">
        <f t="shared" si="1"/>
        <v>SERV</v>
      </c>
      <c r="I94" s="244">
        <f>_xlfn.XLOOKUP(DISTR_FIN_0[[#This Row],[SS]],Tb_DISTR.FIN[Nº  SS],Tb_DISTR.FIN[VALOR],"",0,1)*DISTR_FIN_0[[#This Row],[%DISTR]]</f>
        <v>19661.297436000001</v>
      </c>
    </row>
    <row r="95" spans="1:9" x14ac:dyDescent="0.3">
      <c r="A95" t="s">
        <v>62</v>
      </c>
      <c r="B95" t="s">
        <v>215</v>
      </c>
      <c r="D95" t="s">
        <v>204</v>
      </c>
      <c r="E95" s="200">
        <v>0.1</v>
      </c>
      <c r="F95" t="s">
        <v>331</v>
      </c>
      <c r="G95" s="243">
        <v>45962</v>
      </c>
      <c r="H95" s="51" t="str">
        <f t="shared" si="1"/>
        <v>PLAN</v>
      </c>
      <c r="I95" s="244">
        <f>_xlfn.XLOOKUP(DISTR_FIN_0[[#This Row],[SS]],Tb_DISTR.FIN[Nº  SS],Tb_DISTR.FIN[VALOR],"",0,1)*DISTR_FIN_0[[#This Row],[%DISTR]]</f>
        <v>9032.7897311399993</v>
      </c>
    </row>
    <row r="96" spans="1:9" x14ac:dyDescent="0.3">
      <c r="A96" t="s">
        <v>62</v>
      </c>
      <c r="B96" t="s">
        <v>215</v>
      </c>
      <c r="D96" t="s">
        <v>205</v>
      </c>
      <c r="E96" s="200">
        <v>0.2</v>
      </c>
      <c r="F96" t="s">
        <v>332</v>
      </c>
      <c r="G96" s="243">
        <v>45962</v>
      </c>
      <c r="H96" s="51" t="str">
        <f t="shared" si="1"/>
        <v>MOB</v>
      </c>
      <c r="I96" s="244">
        <f>_xlfn.XLOOKUP(DISTR_FIN_0[[#This Row],[SS]],Tb_DISTR.FIN[Nº  SS],Tb_DISTR.FIN[VALOR],"",0,1)*DISTR_FIN_0[[#This Row],[%DISTR]]</f>
        <v>18065.579462279999</v>
      </c>
    </row>
    <row r="97" spans="1:9" x14ac:dyDescent="0.3">
      <c r="A97" t="s">
        <v>62</v>
      </c>
      <c r="B97" t="s">
        <v>215</v>
      </c>
      <c r="D97" t="s">
        <v>222</v>
      </c>
      <c r="E97" s="200">
        <v>0.3</v>
      </c>
      <c r="F97" t="s">
        <v>295</v>
      </c>
      <c r="G97" s="243">
        <v>45962</v>
      </c>
      <c r="H97" s="51" t="str">
        <f t="shared" si="1"/>
        <v>SERV</v>
      </c>
      <c r="I97" s="244">
        <f>_xlfn.XLOOKUP(DISTR_FIN_0[[#This Row],[SS]],Tb_DISTR.FIN[Nº  SS],Tb_DISTR.FIN[VALOR],"",0,1)*DISTR_FIN_0[[#This Row],[%DISTR]]</f>
        <v>27098.36919342</v>
      </c>
    </row>
    <row r="98" spans="1:9" x14ac:dyDescent="0.3">
      <c r="A98" t="s">
        <v>62</v>
      </c>
      <c r="B98" t="s">
        <v>215</v>
      </c>
      <c r="D98" t="s">
        <v>223</v>
      </c>
      <c r="E98" s="200">
        <v>0.15</v>
      </c>
      <c r="F98" t="s">
        <v>296</v>
      </c>
      <c r="G98" s="243">
        <v>45962</v>
      </c>
      <c r="H98" s="51" t="str">
        <f t="shared" si="1"/>
        <v>SERV</v>
      </c>
      <c r="I98" s="244">
        <f>_xlfn.XLOOKUP(DISTR_FIN_0[[#This Row],[SS]],Tb_DISTR.FIN[Nº  SS],Tb_DISTR.FIN[VALOR],"",0,1)*DISTR_FIN_0[[#This Row],[%DISTR]]</f>
        <v>13549.18459671</v>
      </c>
    </row>
    <row r="99" spans="1:9" x14ac:dyDescent="0.3">
      <c r="A99" t="s">
        <v>62</v>
      </c>
      <c r="B99" t="s">
        <v>215</v>
      </c>
      <c r="D99" t="s">
        <v>224</v>
      </c>
      <c r="E99" s="200">
        <v>0.15</v>
      </c>
      <c r="F99" t="s">
        <v>297</v>
      </c>
      <c r="G99" s="243">
        <v>45992</v>
      </c>
      <c r="H99" s="51" t="str">
        <f t="shared" si="1"/>
        <v>SERV</v>
      </c>
      <c r="I99" s="244">
        <f>_xlfn.XLOOKUP(DISTR_FIN_0[[#This Row],[SS]],Tb_DISTR.FIN[Nº  SS],Tb_DISTR.FIN[VALOR],"",0,1)*DISTR_FIN_0[[#This Row],[%DISTR]]</f>
        <v>13549.18459671</v>
      </c>
    </row>
    <row r="100" spans="1:9" x14ac:dyDescent="0.3">
      <c r="A100" t="s">
        <v>62</v>
      </c>
      <c r="B100" t="s">
        <v>215</v>
      </c>
      <c r="D100" t="s">
        <v>206</v>
      </c>
      <c r="E100" s="200">
        <v>0.1</v>
      </c>
      <c r="F100" t="s">
        <v>298</v>
      </c>
      <c r="G100" s="243">
        <v>45992</v>
      </c>
      <c r="H100" s="51" t="str">
        <f t="shared" si="1"/>
        <v>SERV</v>
      </c>
      <c r="I100" s="244">
        <f>_xlfn.XLOOKUP(DISTR_FIN_0[[#This Row],[SS]],Tb_DISTR.FIN[Nº  SS],Tb_DISTR.FIN[VALOR],"",0,1)*DISTR_FIN_0[[#This Row],[%DISTR]]</f>
        <v>9032.7897311399993</v>
      </c>
    </row>
    <row r="101" spans="1:9" x14ac:dyDescent="0.3">
      <c r="A101" t="s">
        <v>63</v>
      </c>
      <c r="B101" t="s">
        <v>210</v>
      </c>
      <c r="D101" t="s">
        <v>204</v>
      </c>
      <c r="E101" s="200">
        <v>6.950608328318951E-2</v>
      </c>
      <c r="F101" t="s">
        <v>333</v>
      </c>
      <c r="G101" s="243">
        <v>45962</v>
      </c>
      <c r="H101" s="51" t="str">
        <f t="shared" si="1"/>
        <v>PLAN</v>
      </c>
      <c r="I101" s="244">
        <f>_xlfn.XLOOKUP(DISTR_FIN_0[[#This Row],[SS]],Tb_DISTR.FIN[Nº  SS],Tb_DISTR.FIN[VALOR],"",0,1)*DISTR_FIN_0[[#This Row],[%DISTR]]</f>
        <v>687.45937231995583</v>
      </c>
    </row>
    <row r="102" spans="1:9" x14ac:dyDescent="0.3">
      <c r="A102" t="s">
        <v>63</v>
      </c>
      <c r="B102" t="s">
        <v>210</v>
      </c>
      <c r="D102" t="s">
        <v>205</v>
      </c>
      <c r="E102" s="200">
        <v>0.13901216656637902</v>
      </c>
      <c r="F102" t="s">
        <v>334</v>
      </c>
      <c r="G102" s="243">
        <v>45962</v>
      </c>
      <c r="H102" s="51" t="str">
        <f t="shared" si="1"/>
        <v>MOB</v>
      </c>
      <c r="I102" s="244">
        <f>_xlfn.XLOOKUP(DISTR_FIN_0[[#This Row],[SS]],Tb_DISTR.FIN[Nº  SS],Tb_DISTR.FIN[VALOR],"",0,1)*DISTR_FIN_0[[#This Row],[%DISTR]]</f>
        <v>1374.9187446399117</v>
      </c>
    </row>
    <row r="103" spans="1:9" x14ac:dyDescent="0.3">
      <c r="A103" t="s">
        <v>63</v>
      </c>
      <c r="B103" t="s">
        <v>210</v>
      </c>
      <c r="D103" t="s">
        <v>222</v>
      </c>
      <c r="E103" s="200">
        <v>0.13901216656637902</v>
      </c>
      <c r="F103" t="s">
        <v>299</v>
      </c>
      <c r="G103" s="243">
        <v>45962</v>
      </c>
      <c r="H103" s="51" t="str">
        <f t="shared" si="1"/>
        <v>SERV</v>
      </c>
      <c r="I103" s="244">
        <f>_xlfn.XLOOKUP(DISTR_FIN_0[[#This Row],[SS]],Tb_DISTR.FIN[Nº  SS],Tb_DISTR.FIN[VALOR],"",0,1)*DISTR_FIN_0[[#This Row],[%DISTR]]</f>
        <v>1374.9187446399117</v>
      </c>
    </row>
    <row r="104" spans="1:9" x14ac:dyDescent="0.3">
      <c r="A104" t="s">
        <v>63</v>
      </c>
      <c r="B104" t="s">
        <v>210</v>
      </c>
      <c r="D104" t="s">
        <v>223</v>
      </c>
      <c r="E104" s="200">
        <v>0.32623479179202619</v>
      </c>
      <c r="F104" t="s">
        <v>300</v>
      </c>
      <c r="G104" s="243">
        <v>45992</v>
      </c>
      <c r="H104" s="51" t="str">
        <f t="shared" si="1"/>
        <v>SERV</v>
      </c>
      <c r="I104" s="244">
        <f>_xlfn.XLOOKUP(DISTR_FIN_0[[#This Row],[SS]],Tb_DISTR.FIN[Nº  SS],Tb_DISTR.FIN[VALOR],"",0,1)*DISTR_FIN_0[[#This Row],[%DISTR]]</f>
        <v>3226.6695892001107</v>
      </c>
    </row>
    <row r="105" spans="1:9" x14ac:dyDescent="0.3">
      <c r="A105" t="s">
        <v>63</v>
      </c>
      <c r="B105" t="s">
        <v>210</v>
      </c>
      <c r="D105" t="s">
        <v>224</v>
      </c>
      <c r="E105" s="200">
        <v>0.32623479179202619</v>
      </c>
      <c r="F105" t="s">
        <v>301</v>
      </c>
      <c r="G105" s="243">
        <v>46023</v>
      </c>
      <c r="H105" s="51" t="str">
        <f t="shared" si="1"/>
        <v>SERV</v>
      </c>
      <c r="I105" s="244">
        <f>_xlfn.XLOOKUP(DISTR_FIN_0[[#This Row],[SS]],Tb_DISTR.FIN[Nº  SS],Tb_DISTR.FIN[VALOR],"",0,1)*DISTR_FIN_0[[#This Row],[%DISTR]]</f>
        <v>3226.6695892001107</v>
      </c>
    </row>
    <row r="106" spans="1:9" x14ac:dyDescent="0.3">
      <c r="A106" t="s">
        <v>164</v>
      </c>
      <c r="B106" t="s">
        <v>209</v>
      </c>
      <c r="D106" t="s">
        <v>204</v>
      </c>
      <c r="E106" s="200">
        <v>0.1</v>
      </c>
      <c r="F106" t="s">
        <v>335</v>
      </c>
      <c r="G106" s="243">
        <v>45962</v>
      </c>
      <c r="H106" s="51" t="str">
        <f t="shared" si="1"/>
        <v>PLAN</v>
      </c>
      <c r="I106" s="244">
        <f>_xlfn.XLOOKUP(DISTR_FIN_0[[#This Row],[SS]],Tb_DISTR.FIN[Nº  SS],Tb_DISTR.FIN[VALOR],"",0,1)*DISTR_FIN_0[[#This Row],[%DISTR]]</f>
        <v>11773.157525999999</v>
      </c>
    </row>
    <row r="107" spans="1:9" x14ac:dyDescent="0.3">
      <c r="A107" t="s">
        <v>164</v>
      </c>
      <c r="B107" t="s">
        <v>209</v>
      </c>
      <c r="D107" t="s">
        <v>205</v>
      </c>
      <c r="E107" s="200">
        <v>0.2</v>
      </c>
      <c r="F107" t="s">
        <v>336</v>
      </c>
      <c r="G107" s="243">
        <v>45992</v>
      </c>
      <c r="H107" s="51" t="str">
        <f t="shared" si="1"/>
        <v>MOB</v>
      </c>
      <c r="I107" s="244">
        <f>_xlfn.XLOOKUP(DISTR_FIN_0[[#This Row],[SS]],Tb_DISTR.FIN[Nº  SS],Tb_DISTR.FIN[VALOR],"",0,1)*DISTR_FIN_0[[#This Row],[%DISTR]]</f>
        <v>23546.315051999998</v>
      </c>
    </row>
    <row r="108" spans="1:9" x14ac:dyDescent="0.3">
      <c r="A108" t="s">
        <v>164</v>
      </c>
      <c r="B108" t="s">
        <v>209</v>
      </c>
      <c r="D108" t="s">
        <v>222</v>
      </c>
      <c r="E108" s="200">
        <v>0.3</v>
      </c>
      <c r="F108" t="s">
        <v>302</v>
      </c>
      <c r="G108" s="243">
        <v>45992</v>
      </c>
      <c r="H108" s="51" t="str">
        <f t="shared" si="1"/>
        <v>SERV</v>
      </c>
      <c r="I108" s="244">
        <f>_xlfn.XLOOKUP(DISTR_FIN_0[[#This Row],[SS]],Tb_DISTR.FIN[Nº  SS],Tb_DISTR.FIN[VALOR],"",0,1)*DISTR_FIN_0[[#This Row],[%DISTR]]</f>
        <v>35319.472577999994</v>
      </c>
    </row>
    <row r="109" spans="1:9" x14ac:dyDescent="0.3">
      <c r="A109" t="s">
        <v>164</v>
      </c>
      <c r="B109" t="s">
        <v>209</v>
      </c>
      <c r="D109" t="s">
        <v>223</v>
      </c>
      <c r="E109" s="200">
        <v>0.15</v>
      </c>
      <c r="F109" t="s">
        <v>303</v>
      </c>
      <c r="G109" s="243">
        <v>45992</v>
      </c>
      <c r="H109" s="51" t="str">
        <f t="shared" si="1"/>
        <v>SERV</v>
      </c>
      <c r="I109" s="244">
        <f>_xlfn.XLOOKUP(DISTR_FIN_0[[#This Row],[SS]],Tb_DISTR.FIN[Nº  SS],Tb_DISTR.FIN[VALOR],"",0,1)*DISTR_FIN_0[[#This Row],[%DISTR]]</f>
        <v>17659.736288999997</v>
      </c>
    </row>
    <row r="110" spans="1:9" x14ac:dyDescent="0.3">
      <c r="A110" t="s">
        <v>164</v>
      </c>
      <c r="B110" t="s">
        <v>209</v>
      </c>
      <c r="D110" t="s">
        <v>224</v>
      </c>
      <c r="E110" s="200">
        <v>0.15</v>
      </c>
      <c r="F110" t="s">
        <v>304</v>
      </c>
      <c r="G110" s="243">
        <v>46023</v>
      </c>
      <c r="H110" s="51" t="str">
        <f t="shared" si="1"/>
        <v>SERV</v>
      </c>
      <c r="I110" s="244">
        <f>_xlfn.XLOOKUP(DISTR_FIN_0[[#This Row],[SS]],Tb_DISTR.FIN[Nº  SS],Tb_DISTR.FIN[VALOR],"",0,1)*DISTR_FIN_0[[#This Row],[%DISTR]]</f>
        <v>17659.736288999997</v>
      </c>
    </row>
    <row r="111" spans="1:9" x14ac:dyDescent="0.3">
      <c r="A111" t="s">
        <v>164</v>
      </c>
      <c r="B111" t="s">
        <v>209</v>
      </c>
      <c r="D111" t="s">
        <v>206</v>
      </c>
      <c r="E111" s="200">
        <v>0.1</v>
      </c>
      <c r="F111" t="s">
        <v>305</v>
      </c>
      <c r="G111" s="243">
        <v>46023</v>
      </c>
      <c r="H111" s="51" t="str">
        <f t="shared" si="1"/>
        <v>SERV</v>
      </c>
      <c r="I111" s="244">
        <f>_xlfn.XLOOKUP(DISTR_FIN_0[[#This Row],[SS]],Tb_DISTR.FIN[Nº  SS],Tb_DISTR.FIN[VALOR],"",0,1)*DISTR_FIN_0[[#This Row],[%DISTR]]</f>
        <v>11773.157525999999</v>
      </c>
    </row>
    <row r="112" spans="1:9" x14ac:dyDescent="0.3">
      <c r="A112" t="s">
        <v>165</v>
      </c>
      <c r="B112" t="s">
        <v>212</v>
      </c>
      <c r="D112" t="s">
        <v>204</v>
      </c>
      <c r="E112" s="200">
        <v>0.1</v>
      </c>
      <c r="F112" t="s">
        <v>337</v>
      </c>
      <c r="G112" s="243">
        <v>45962</v>
      </c>
      <c r="H112" s="51" t="str">
        <f t="shared" si="1"/>
        <v>PLAN</v>
      </c>
      <c r="I112" s="244">
        <f>_xlfn.XLOOKUP(DISTR_FIN_0[[#This Row],[SS]],Tb_DISTR.FIN[Nº  SS],Tb_DISTR.FIN[VALOR],"",0,1)*DISTR_FIN_0[[#This Row],[%DISTR]]</f>
        <v>939.55402800000002</v>
      </c>
    </row>
    <row r="113" spans="1:9" x14ac:dyDescent="0.3">
      <c r="A113" t="s">
        <v>165</v>
      </c>
      <c r="B113" t="s">
        <v>212</v>
      </c>
      <c r="D113" t="s">
        <v>205</v>
      </c>
      <c r="E113" s="200">
        <v>0.2</v>
      </c>
      <c r="F113" t="s">
        <v>338</v>
      </c>
      <c r="G113" s="243">
        <v>45992</v>
      </c>
      <c r="H113" s="51" t="str">
        <f t="shared" si="1"/>
        <v>MOB</v>
      </c>
      <c r="I113" s="244">
        <f>_xlfn.XLOOKUP(DISTR_FIN_0[[#This Row],[SS]],Tb_DISTR.FIN[Nº  SS],Tb_DISTR.FIN[VALOR],"",0,1)*DISTR_FIN_0[[#This Row],[%DISTR]]</f>
        <v>1879.108056</v>
      </c>
    </row>
    <row r="114" spans="1:9" x14ac:dyDescent="0.3">
      <c r="A114" t="s">
        <v>165</v>
      </c>
      <c r="B114" t="s">
        <v>212</v>
      </c>
      <c r="D114" t="s">
        <v>222</v>
      </c>
      <c r="E114" s="200">
        <v>0.6</v>
      </c>
      <c r="F114" t="s">
        <v>306</v>
      </c>
      <c r="G114" s="243">
        <v>45992</v>
      </c>
      <c r="H114" s="51" t="str">
        <f t="shared" si="1"/>
        <v>SERV</v>
      </c>
      <c r="I114" s="244">
        <f>_xlfn.XLOOKUP(DISTR_FIN_0[[#This Row],[SS]],Tb_DISTR.FIN[Nº  SS],Tb_DISTR.FIN[VALOR],"",0,1)*DISTR_FIN_0[[#This Row],[%DISTR]]</f>
        <v>5637.3241679999992</v>
      </c>
    </row>
    <row r="115" spans="1:9" x14ac:dyDescent="0.3">
      <c r="A115" t="s">
        <v>165</v>
      </c>
      <c r="B115" t="s">
        <v>212</v>
      </c>
      <c r="D115" t="s">
        <v>206</v>
      </c>
      <c r="E115" s="200">
        <v>0.1</v>
      </c>
      <c r="F115" t="s">
        <v>307</v>
      </c>
      <c r="G115" s="243">
        <v>45992</v>
      </c>
      <c r="H115" s="51" t="str">
        <f t="shared" si="1"/>
        <v>SERV</v>
      </c>
      <c r="I115" s="244">
        <f>_xlfn.XLOOKUP(DISTR_FIN_0[[#This Row],[SS]],Tb_DISTR.FIN[Nº  SS],Tb_DISTR.FIN[VALOR],"",0,1)*DISTR_FIN_0[[#This Row],[%DISTR]]</f>
        <v>939.55402800000002</v>
      </c>
    </row>
    <row r="116" spans="1:9" x14ac:dyDescent="0.3">
      <c r="A116" t="s">
        <v>166</v>
      </c>
      <c r="B116" t="s">
        <v>218</v>
      </c>
      <c r="D116" t="s">
        <v>204</v>
      </c>
      <c r="E116" s="200">
        <v>6.1302207041072365E-2</v>
      </c>
      <c r="F116" t="s">
        <v>339</v>
      </c>
      <c r="G116" s="243">
        <v>45962</v>
      </c>
      <c r="H116" s="51" t="str">
        <f t="shared" si="1"/>
        <v>PLAN</v>
      </c>
      <c r="I116" s="244">
        <f>_xlfn.XLOOKUP(DISTR_FIN_0[[#This Row],[SS]],Tb_DISTR.FIN[Nº  SS],Tb_DISTR.FIN[VALOR],"",0,1)*DISTR_FIN_0[[#This Row],[%DISTR]]</f>
        <v>24760.77</v>
      </c>
    </row>
    <row r="117" spans="1:9" x14ac:dyDescent="0.3">
      <c r="A117" t="s">
        <v>166</v>
      </c>
      <c r="B117" t="s">
        <v>218</v>
      </c>
      <c r="D117" t="s">
        <v>205</v>
      </c>
      <c r="E117" s="200">
        <v>0.12260441408214473</v>
      </c>
      <c r="F117" t="s">
        <v>340</v>
      </c>
      <c r="G117" s="243">
        <v>45992</v>
      </c>
      <c r="H117" s="51" t="str">
        <f t="shared" si="1"/>
        <v>MOB</v>
      </c>
      <c r="I117" s="244">
        <f>_xlfn.XLOOKUP(DISTR_FIN_0[[#This Row],[SS]],Tb_DISTR.FIN[Nº  SS],Tb_DISTR.FIN[VALOR],"",0,1)*DISTR_FIN_0[[#This Row],[%DISTR]]</f>
        <v>49521.54</v>
      </c>
    </row>
    <row r="118" spans="1:9" x14ac:dyDescent="0.3">
      <c r="A118" t="s">
        <v>166</v>
      </c>
      <c r="B118" t="s">
        <v>218</v>
      </c>
      <c r="D118" t="s">
        <v>222</v>
      </c>
      <c r="E118" s="200">
        <v>7.356265092506635E-2</v>
      </c>
      <c r="F118" t="s">
        <v>308</v>
      </c>
      <c r="G118" s="243">
        <v>46023</v>
      </c>
      <c r="H118" s="51" t="str">
        <f t="shared" si="1"/>
        <v>SERV</v>
      </c>
      <c r="I118" s="244">
        <f>_xlfn.XLOOKUP(DISTR_FIN_0[[#This Row],[SS]],Tb_DISTR.FIN[Nº  SS],Tb_DISTR.FIN[VALOR],"",0,1)*DISTR_FIN_0[[#This Row],[%DISTR]]</f>
        <v>29712.924999999999</v>
      </c>
    </row>
    <row r="119" spans="1:9" x14ac:dyDescent="0.3">
      <c r="A119" t="s">
        <v>166</v>
      </c>
      <c r="B119" t="s">
        <v>218</v>
      </c>
      <c r="D119" t="s">
        <v>223</v>
      </c>
      <c r="E119" s="200">
        <v>7.356265092506635E-2</v>
      </c>
      <c r="F119" t="s">
        <v>309</v>
      </c>
      <c r="G119" s="243">
        <v>46023</v>
      </c>
      <c r="H119" s="51" t="str">
        <f t="shared" si="1"/>
        <v>SERV</v>
      </c>
      <c r="I119" s="244">
        <f>_xlfn.XLOOKUP(DISTR_FIN_0[[#This Row],[SS]],Tb_DISTR.FIN[Nº  SS],Tb_DISTR.FIN[VALOR],"",0,1)*DISTR_FIN_0[[#This Row],[%DISTR]]</f>
        <v>29712.924999999999</v>
      </c>
    </row>
    <row r="120" spans="1:9" x14ac:dyDescent="0.3">
      <c r="A120" t="s">
        <v>166</v>
      </c>
      <c r="B120" t="s">
        <v>218</v>
      </c>
      <c r="D120" t="s">
        <v>224</v>
      </c>
      <c r="E120" s="200">
        <v>7.356E-2</v>
      </c>
      <c r="F120" t="s">
        <v>310</v>
      </c>
      <c r="G120" s="243">
        <v>46113</v>
      </c>
      <c r="H120" s="51" t="str">
        <f t="shared" si="1"/>
        <v>SERV</v>
      </c>
      <c r="I120" s="244">
        <f>_xlfn.XLOOKUP(DISTR_FIN_0[[#This Row],[SS]],Tb_DISTR.FIN[Nº  SS],Tb_DISTR.FIN[VALOR],"",0,1)*DISTR_FIN_0[[#This Row],[%DISTR]]</f>
        <v>29711.854256400002</v>
      </c>
    </row>
    <row r="121" spans="1:9" x14ac:dyDescent="0.3">
      <c r="A121" t="s">
        <v>166</v>
      </c>
      <c r="B121" t="s">
        <v>218</v>
      </c>
      <c r="D121" t="s">
        <v>225</v>
      </c>
      <c r="E121" s="200">
        <v>7.356E-2</v>
      </c>
      <c r="F121" t="s">
        <v>311</v>
      </c>
      <c r="G121" s="243">
        <v>46113</v>
      </c>
      <c r="H121" s="51" t="str">
        <f t="shared" si="1"/>
        <v>SERV</v>
      </c>
      <c r="I121" s="244">
        <f>_xlfn.XLOOKUP(DISTR_FIN_0[[#This Row],[SS]],Tb_DISTR.FIN[Nº  SS],Tb_DISTR.FIN[VALOR],"",0,1)*DISTR_FIN_0[[#This Row],[%DISTR]]</f>
        <v>29711.854256400002</v>
      </c>
    </row>
    <row r="122" spans="1:9" x14ac:dyDescent="0.3">
      <c r="A122" t="s">
        <v>166</v>
      </c>
      <c r="B122" t="s">
        <v>218</v>
      </c>
      <c r="D122" t="s">
        <v>226</v>
      </c>
      <c r="E122" s="200">
        <v>3.065E-2</v>
      </c>
      <c r="F122" t="s">
        <v>312</v>
      </c>
      <c r="G122" s="243">
        <v>46054</v>
      </c>
      <c r="H122" s="51" t="str">
        <f t="shared" si="1"/>
        <v>SERV</v>
      </c>
      <c r="I122" s="244">
        <f>_xlfn.XLOOKUP(DISTR_FIN_0[[#This Row],[SS]],Tb_DISTR.FIN[Nº  SS],Tb_DISTR.FIN[VALOR],"",0,1)*DISTR_FIN_0[[#This Row],[%DISTR]]</f>
        <v>12379.9392735</v>
      </c>
    </row>
    <row r="123" spans="1:9" x14ac:dyDescent="0.3">
      <c r="A123" t="s">
        <v>166</v>
      </c>
      <c r="B123" t="s">
        <v>218</v>
      </c>
      <c r="D123" t="s">
        <v>227</v>
      </c>
      <c r="E123" s="200">
        <v>3.065E-2</v>
      </c>
      <c r="F123" t="s">
        <v>313</v>
      </c>
      <c r="G123" s="243">
        <v>46054</v>
      </c>
      <c r="H123" s="51" t="str">
        <f t="shared" si="1"/>
        <v>SERV</v>
      </c>
      <c r="I123" s="244">
        <f>_xlfn.XLOOKUP(DISTR_FIN_0[[#This Row],[SS]],Tb_DISTR.FIN[Nº  SS],Tb_DISTR.FIN[VALOR],"",0,1)*DISTR_FIN_0[[#This Row],[%DISTR]]</f>
        <v>12379.9392735</v>
      </c>
    </row>
    <row r="124" spans="1:9" x14ac:dyDescent="0.3">
      <c r="A124" t="s">
        <v>166</v>
      </c>
      <c r="B124" t="s">
        <v>218</v>
      </c>
      <c r="D124" t="s">
        <v>228</v>
      </c>
      <c r="E124" s="200">
        <v>0.23444999999999999</v>
      </c>
      <c r="F124" t="s">
        <v>314</v>
      </c>
      <c r="G124" s="243">
        <v>46054</v>
      </c>
      <c r="H124" s="51" t="str">
        <f t="shared" si="1"/>
        <v>SERV</v>
      </c>
      <c r="I124" s="244">
        <f>_xlfn.XLOOKUP(DISTR_FIN_0[[#This Row],[SS]],Tb_DISTR.FIN[Nº  SS],Tb_DISTR.FIN[VALOR],"",0,1)*DISTR_FIN_0[[#This Row],[%DISTR]]</f>
        <v>94697.447395499999</v>
      </c>
    </row>
    <row r="125" spans="1:9" x14ac:dyDescent="0.3">
      <c r="A125" t="s">
        <v>166</v>
      </c>
      <c r="B125" t="s">
        <v>218</v>
      </c>
      <c r="D125" t="s">
        <v>229</v>
      </c>
      <c r="E125" s="200">
        <v>0.11611</v>
      </c>
      <c r="F125" t="s">
        <v>550</v>
      </c>
      <c r="G125" s="243">
        <v>46113</v>
      </c>
      <c r="H125" s="51" t="str">
        <f t="shared" si="1"/>
        <v>SERV</v>
      </c>
      <c r="I125" s="244">
        <f>_xlfn.XLOOKUP(DISTR_FIN_0[[#This Row],[SS]],Tb_DISTR.FIN[Nº  SS],Tb_DISTR.FIN[VALOR],"",0,1)*DISTR_FIN_0[[#This Row],[%DISTR]]</f>
        <v>46898.360490899999</v>
      </c>
    </row>
    <row r="126" spans="1:9" x14ac:dyDescent="0.3">
      <c r="A126" t="s">
        <v>166</v>
      </c>
      <c r="B126" t="s">
        <v>218</v>
      </c>
      <c r="D126" t="s">
        <v>230</v>
      </c>
      <c r="E126" s="200">
        <v>0.01</v>
      </c>
      <c r="F126" t="s">
        <v>551</v>
      </c>
      <c r="G126" s="243">
        <v>46113</v>
      </c>
      <c r="H126" s="51" t="str">
        <f t="shared" si="1"/>
        <v>SERV</v>
      </c>
      <c r="I126" s="244">
        <f>_xlfn.XLOOKUP(DISTR_FIN_0[[#This Row],[SS]],Tb_DISTR.FIN[Nº  SS],Tb_DISTR.FIN[VALOR],"",0,1)*DISTR_FIN_0[[#This Row],[%DISTR]]</f>
        <v>4039.1319000000003</v>
      </c>
    </row>
    <row r="127" spans="1:9" x14ac:dyDescent="0.3">
      <c r="A127" t="s">
        <v>166</v>
      </c>
      <c r="B127" t="s">
        <v>218</v>
      </c>
      <c r="D127" t="s">
        <v>206</v>
      </c>
      <c r="E127" s="200">
        <v>9.9988077026650246E-2</v>
      </c>
      <c r="F127" t="s">
        <v>315</v>
      </c>
      <c r="G127" s="243">
        <v>46113</v>
      </c>
      <c r="H127" s="51" t="str">
        <f t="shared" si="1"/>
        <v>SERV</v>
      </c>
      <c r="I127" s="244">
        <f>_xlfn.XLOOKUP(DISTR_FIN_0[[#This Row],[SS]],Tb_DISTR.FIN[Nº  SS],Tb_DISTR.FIN[VALOR],"",0,1)*DISTR_FIN_0[[#This Row],[%DISTR]]</f>
        <v>40386.503153800018</v>
      </c>
    </row>
    <row r="128" spans="1:9" x14ac:dyDescent="0.3">
      <c r="A128" t="s">
        <v>240</v>
      </c>
      <c r="B128" t="s">
        <v>356</v>
      </c>
      <c r="D128" t="s">
        <v>204</v>
      </c>
      <c r="E128" s="200">
        <v>0.1</v>
      </c>
      <c r="F128" t="s">
        <v>344</v>
      </c>
      <c r="G128" s="243">
        <v>45992</v>
      </c>
      <c r="H128" s="51" t="str">
        <f t="shared" si="1"/>
        <v>PLAN</v>
      </c>
      <c r="I128" s="244">
        <f>_xlfn.XLOOKUP(DISTR_FIN_0[[#This Row],[SS]],Tb_DISTR.FIN[Nº  SS],Tb_DISTR.FIN[VALOR],"",0,1)*DISTR_FIN_0[[#This Row],[%DISTR]]</f>
        <v>112596.797034</v>
      </c>
    </row>
    <row r="129" spans="1:9" x14ac:dyDescent="0.3">
      <c r="A129" t="s">
        <v>240</v>
      </c>
      <c r="B129" t="s">
        <v>356</v>
      </c>
      <c r="D129" t="s">
        <v>205</v>
      </c>
      <c r="E129" s="200">
        <v>0.2</v>
      </c>
      <c r="F129" t="s">
        <v>345</v>
      </c>
      <c r="G129" s="243">
        <v>46023</v>
      </c>
      <c r="H129" s="51" t="str">
        <f t="shared" si="1"/>
        <v>MOB</v>
      </c>
      <c r="I129" s="244">
        <f>_xlfn.XLOOKUP(DISTR_FIN_0[[#This Row],[SS]],Tb_DISTR.FIN[Nº  SS],Tb_DISTR.FIN[VALOR],"",0,1)*DISTR_FIN_0[[#This Row],[%DISTR]]</f>
        <v>225193.59406800001</v>
      </c>
    </row>
    <row r="130" spans="1:9" x14ac:dyDescent="0.3">
      <c r="A130" t="s">
        <v>240</v>
      </c>
      <c r="B130" t="s">
        <v>356</v>
      </c>
      <c r="D130" t="s">
        <v>222</v>
      </c>
      <c r="E130" s="200">
        <v>0.1</v>
      </c>
      <c r="F130" t="s">
        <v>370</v>
      </c>
      <c r="G130" s="243">
        <v>46054</v>
      </c>
      <c r="H130" s="51" t="str">
        <f t="shared" ref="H130:H193" si="2">IF(OR(D130="PLAN",D130="MOB"),D130,"SERV")</f>
        <v>SERV</v>
      </c>
      <c r="I130" s="244">
        <f>_xlfn.XLOOKUP(DISTR_FIN_0[[#This Row],[SS]],Tb_DISTR.FIN[Nº  SS],Tb_DISTR.FIN[VALOR],"",0,1)*DISTR_FIN_0[[#This Row],[%DISTR]]</f>
        <v>112596.797034</v>
      </c>
    </row>
    <row r="131" spans="1:9" x14ac:dyDescent="0.3">
      <c r="A131" t="s">
        <v>240</v>
      </c>
      <c r="B131" t="s">
        <v>356</v>
      </c>
      <c r="D131" t="s">
        <v>223</v>
      </c>
      <c r="E131" s="200">
        <v>0.06</v>
      </c>
      <c r="F131" t="s">
        <v>371</v>
      </c>
      <c r="G131" s="243">
        <v>46054</v>
      </c>
      <c r="H131" s="51" t="str">
        <f t="shared" si="2"/>
        <v>SERV</v>
      </c>
      <c r="I131" s="244">
        <f>_xlfn.XLOOKUP(DISTR_FIN_0[[#This Row],[SS]],Tb_DISTR.FIN[Nº  SS],Tb_DISTR.FIN[VALOR],"",0,1)*DISTR_FIN_0[[#This Row],[%DISTR]]</f>
        <v>67558.078220399999</v>
      </c>
    </row>
    <row r="132" spans="1:9" x14ac:dyDescent="0.3">
      <c r="A132" t="s">
        <v>240</v>
      </c>
      <c r="B132" t="s">
        <v>356</v>
      </c>
      <c r="D132" t="s">
        <v>224</v>
      </c>
      <c r="E132" s="200">
        <v>0.12</v>
      </c>
      <c r="F132" t="s">
        <v>372</v>
      </c>
      <c r="G132" s="243">
        <v>46082</v>
      </c>
      <c r="H132" s="51" t="str">
        <f t="shared" si="2"/>
        <v>SERV</v>
      </c>
      <c r="I132" s="244">
        <f>_xlfn.XLOOKUP(DISTR_FIN_0[[#This Row],[SS]],Tb_DISTR.FIN[Nº  SS],Tb_DISTR.FIN[VALOR],"",0,1)*DISTR_FIN_0[[#This Row],[%DISTR]]</f>
        <v>135116.1564408</v>
      </c>
    </row>
    <row r="133" spans="1:9" x14ac:dyDescent="0.3">
      <c r="A133" t="s">
        <v>240</v>
      </c>
      <c r="B133" t="s">
        <v>356</v>
      </c>
      <c r="D133" t="s">
        <v>225</v>
      </c>
      <c r="E133" s="200">
        <v>0.12</v>
      </c>
      <c r="F133" t="s">
        <v>373</v>
      </c>
      <c r="G133" s="243">
        <v>46113</v>
      </c>
      <c r="H133" s="51" t="str">
        <f t="shared" si="2"/>
        <v>SERV</v>
      </c>
      <c r="I133" s="244">
        <f>_xlfn.XLOOKUP(DISTR_FIN_0[[#This Row],[SS]],Tb_DISTR.FIN[Nº  SS],Tb_DISTR.FIN[VALOR],"",0,1)*DISTR_FIN_0[[#This Row],[%DISTR]]</f>
        <v>135116.1564408</v>
      </c>
    </row>
    <row r="134" spans="1:9" x14ac:dyDescent="0.3">
      <c r="A134" t="s">
        <v>240</v>
      </c>
      <c r="B134" t="s">
        <v>356</v>
      </c>
      <c r="D134" t="s">
        <v>226</v>
      </c>
      <c r="E134" s="200">
        <v>0.1</v>
      </c>
      <c r="F134" t="s">
        <v>374</v>
      </c>
      <c r="G134" s="243">
        <v>46143</v>
      </c>
      <c r="H134" s="51" t="str">
        <f t="shared" si="2"/>
        <v>SERV</v>
      </c>
      <c r="I134" s="244">
        <f>_xlfn.XLOOKUP(DISTR_FIN_0[[#This Row],[SS]],Tb_DISTR.FIN[Nº  SS],Tb_DISTR.FIN[VALOR],"",0,1)*DISTR_FIN_0[[#This Row],[%DISTR]]</f>
        <v>112596.797034</v>
      </c>
    </row>
    <row r="135" spans="1:9" x14ac:dyDescent="0.3">
      <c r="A135" t="s">
        <v>240</v>
      </c>
      <c r="B135" t="s">
        <v>356</v>
      </c>
      <c r="D135" t="s">
        <v>227</v>
      </c>
      <c r="E135" s="200">
        <v>0.1</v>
      </c>
      <c r="F135" t="s">
        <v>375</v>
      </c>
      <c r="G135" s="243">
        <v>46174</v>
      </c>
      <c r="H135" s="51" t="str">
        <f t="shared" si="2"/>
        <v>SERV</v>
      </c>
      <c r="I135" s="244">
        <f>_xlfn.XLOOKUP(DISTR_FIN_0[[#This Row],[SS]],Tb_DISTR.FIN[Nº  SS],Tb_DISTR.FIN[VALOR],"",0,1)*DISTR_FIN_0[[#This Row],[%DISTR]]</f>
        <v>112596.797034</v>
      </c>
    </row>
    <row r="136" spans="1:9" x14ac:dyDescent="0.3">
      <c r="A136" t="s">
        <v>240</v>
      </c>
      <c r="B136" t="s">
        <v>356</v>
      </c>
      <c r="D136" t="s">
        <v>206</v>
      </c>
      <c r="E136" s="200">
        <v>0.1</v>
      </c>
      <c r="F136" t="s">
        <v>376</v>
      </c>
      <c r="G136" s="243">
        <v>46174</v>
      </c>
      <c r="H136" s="51" t="str">
        <f t="shared" si="2"/>
        <v>SERV</v>
      </c>
      <c r="I136" s="244">
        <f>_xlfn.XLOOKUP(DISTR_FIN_0[[#This Row],[SS]],Tb_DISTR.FIN[Nº  SS],Tb_DISTR.FIN[VALOR],"",0,1)*DISTR_FIN_0[[#This Row],[%DISTR]]</f>
        <v>112596.797034</v>
      </c>
    </row>
    <row r="137" spans="1:9" x14ac:dyDescent="0.3">
      <c r="A137" t="s">
        <v>241</v>
      </c>
      <c r="B137" t="s">
        <v>357</v>
      </c>
      <c r="D137" t="s">
        <v>204</v>
      </c>
      <c r="E137" s="200">
        <v>0.1</v>
      </c>
      <c r="F137" t="s">
        <v>342</v>
      </c>
      <c r="G137" s="243">
        <v>45992</v>
      </c>
      <c r="H137" s="51" t="str">
        <f t="shared" si="2"/>
        <v>PLAN</v>
      </c>
      <c r="I137" s="244">
        <f>_xlfn.XLOOKUP(DISTR_FIN_0[[#This Row],[SS]],Tb_DISTR.FIN[Nº  SS],Tb_DISTR.FIN[VALOR],"",0,1)*DISTR_FIN_0[[#This Row],[%DISTR]]</f>
        <v>41547.231090000001</v>
      </c>
    </row>
    <row r="138" spans="1:9" x14ac:dyDescent="0.3">
      <c r="A138" t="s">
        <v>241</v>
      </c>
      <c r="B138" t="s">
        <v>357</v>
      </c>
      <c r="D138" t="s">
        <v>205</v>
      </c>
      <c r="E138" s="200">
        <v>0.2</v>
      </c>
      <c r="F138" t="s">
        <v>346</v>
      </c>
      <c r="G138" s="243">
        <v>46023</v>
      </c>
      <c r="H138" s="51" t="str">
        <f t="shared" si="2"/>
        <v>MOB</v>
      </c>
      <c r="I138" s="244">
        <f>_xlfn.XLOOKUP(DISTR_FIN_0[[#This Row],[SS]],Tb_DISTR.FIN[Nº  SS],Tb_DISTR.FIN[VALOR],"",0,1)*DISTR_FIN_0[[#This Row],[%DISTR]]</f>
        <v>83094.462180000002</v>
      </c>
    </row>
    <row r="139" spans="1:9" x14ac:dyDescent="0.3">
      <c r="A139" t="s">
        <v>241</v>
      </c>
      <c r="B139" t="s">
        <v>357</v>
      </c>
      <c r="D139" t="s">
        <v>222</v>
      </c>
      <c r="E139" s="200">
        <v>0.1</v>
      </c>
      <c r="F139" t="s">
        <v>377</v>
      </c>
      <c r="G139" s="243">
        <v>46054</v>
      </c>
      <c r="H139" s="51" t="str">
        <f t="shared" si="2"/>
        <v>SERV</v>
      </c>
      <c r="I139" s="244">
        <f>_xlfn.XLOOKUP(DISTR_FIN_0[[#This Row],[SS]],Tb_DISTR.FIN[Nº  SS],Tb_DISTR.FIN[VALOR],"",0,1)*DISTR_FIN_0[[#This Row],[%DISTR]]</f>
        <v>41547.231090000001</v>
      </c>
    </row>
    <row r="140" spans="1:9" x14ac:dyDescent="0.3">
      <c r="A140" t="s">
        <v>241</v>
      </c>
      <c r="B140" t="s">
        <v>357</v>
      </c>
      <c r="D140" t="s">
        <v>223</v>
      </c>
      <c r="E140" s="200">
        <v>0.15</v>
      </c>
      <c r="F140" t="s">
        <v>378</v>
      </c>
      <c r="G140" s="243">
        <v>46054</v>
      </c>
      <c r="H140" s="51" t="str">
        <f t="shared" si="2"/>
        <v>SERV</v>
      </c>
      <c r="I140" s="244">
        <f>_xlfn.XLOOKUP(DISTR_FIN_0[[#This Row],[SS]],Tb_DISTR.FIN[Nº  SS],Tb_DISTR.FIN[VALOR],"",0,1)*DISTR_FIN_0[[#This Row],[%DISTR]]</f>
        <v>62320.846634999994</v>
      </c>
    </row>
    <row r="141" spans="1:9" x14ac:dyDescent="0.3">
      <c r="A141" t="s">
        <v>241</v>
      </c>
      <c r="B141" t="s">
        <v>357</v>
      </c>
      <c r="D141" t="s">
        <v>224</v>
      </c>
      <c r="E141" s="200">
        <v>0.15</v>
      </c>
      <c r="F141" t="s">
        <v>379</v>
      </c>
      <c r="G141" s="243">
        <v>46054</v>
      </c>
      <c r="H141" s="51" t="str">
        <f t="shared" si="2"/>
        <v>SERV</v>
      </c>
      <c r="I141" s="244">
        <f>_xlfn.XLOOKUP(DISTR_FIN_0[[#This Row],[SS]],Tb_DISTR.FIN[Nº  SS],Tb_DISTR.FIN[VALOR],"",0,1)*DISTR_FIN_0[[#This Row],[%DISTR]]</f>
        <v>62320.846634999994</v>
      </c>
    </row>
    <row r="142" spans="1:9" x14ac:dyDescent="0.3">
      <c r="A142" t="s">
        <v>241</v>
      </c>
      <c r="B142" t="s">
        <v>357</v>
      </c>
      <c r="D142" t="s">
        <v>225</v>
      </c>
      <c r="E142" s="200">
        <v>0.2</v>
      </c>
      <c r="F142" t="s">
        <v>380</v>
      </c>
      <c r="G142" s="243">
        <v>46113</v>
      </c>
      <c r="H142" s="51" t="str">
        <f t="shared" si="2"/>
        <v>SERV</v>
      </c>
      <c r="I142" s="244">
        <f>_xlfn.XLOOKUP(DISTR_FIN_0[[#This Row],[SS]],Tb_DISTR.FIN[Nº  SS],Tb_DISTR.FIN[VALOR],"",0,1)*DISTR_FIN_0[[#This Row],[%DISTR]]</f>
        <v>83094.462180000002</v>
      </c>
    </row>
    <row r="143" spans="1:9" x14ac:dyDescent="0.3">
      <c r="A143" t="s">
        <v>241</v>
      </c>
      <c r="B143" t="s">
        <v>357</v>
      </c>
      <c r="D143" t="s">
        <v>206</v>
      </c>
      <c r="E143" s="200">
        <v>0.1</v>
      </c>
      <c r="F143" t="s">
        <v>381</v>
      </c>
      <c r="G143" s="243">
        <v>46113</v>
      </c>
      <c r="H143" s="51" t="str">
        <f t="shared" si="2"/>
        <v>SERV</v>
      </c>
      <c r="I143" s="244">
        <f>_xlfn.XLOOKUP(DISTR_FIN_0[[#This Row],[SS]],Tb_DISTR.FIN[Nº  SS],Tb_DISTR.FIN[VALOR],"",0,1)*DISTR_FIN_0[[#This Row],[%DISTR]]</f>
        <v>41547.231090000001</v>
      </c>
    </row>
    <row r="144" spans="1:9" x14ac:dyDescent="0.3">
      <c r="A144" t="s">
        <v>242</v>
      </c>
      <c r="B144" t="s">
        <v>358</v>
      </c>
      <c r="D144" t="s">
        <v>204</v>
      </c>
      <c r="E144" s="200">
        <v>0.1</v>
      </c>
      <c r="F144" t="s">
        <v>347</v>
      </c>
      <c r="G144" s="243">
        <v>45992</v>
      </c>
      <c r="H144" s="51" t="str">
        <f t="shared" si="2"/>
        <v>PLAN</v>
      </c>
      <c r="I144" s="244">
        <f>_xlfn.XLOOKUP(DISTR_FIN_0[[#This Row],[SS]],Tb_DISTR.FIN[Nº  SS],Tb_DISTR.FIN[VALOR],"",0,1)*DISTR_FIN_0[[#This Row],[%DISTR]]</f>
        <v>121989.60657000002</v>
      </c>
    </row>
    <row r="145" spans="1:9" x14ac:dyDescent="0.3">
      <c r="A145" t="s">
        <v>242</v>
      </c>
      <c r="B145" t="s">
        <v>358</v>
      </c>
      <c r="D145" t="s">
        <v>205</v>
      </c>
      <c r="E145" s="200">
        <v>0.2</v>
      </c>
      <c r="F145" t="s">
        <v>348</v>
      </c>
      <c r="G145" s="243">
        <v>46023</v>
      </c>
      <c r="H145" s="51" t="str">
        <f t="shared" si="2"/>
        <v>MOB</v>
      </c>
      <c r="I145" s="244">
        <f>_xlfn.XLOOKUP(DISTR_FIN_0[[#This Row],[SS]],Tb_DISTR.FIN[Nº  SS],Tb_DISTR.FIN[VALOR],"",0,1)*DISTR_FIN_0[[#This Row],[%DISTR]]</f>
        <v>243979.21314000004</v>
      </c>
    </row>
    <row r="146" spans="1:9" x14ac:dyDescent="0.3">
      <c r="A146" t="s">
        <v>242</v>
      </c>
      <c r="B146" t="s">
        <v>358</v>
      </c>
      <c r="D146" t="s">
        <v>222</v>
      </c>
      <c r="E146" s="200">
        <v>0.1</v>
      </c>
      <c r="F146" t="s">
        <v>382</v>
      </c>
      <c r="G146" s="243">
        <v>46082</v>
      </c>
      <c r="H146" s="51" t="str">
        <f t="shared" si="2"/>
        <v>SERV</v>
      </c>
      <c r="I146" s="244">
        <f>_xlfn.XLOOKUP(DISTR_FIN_0[[#This Row],[SS]],Tb_DISTR.FIN[Nº  SS],Tb_DISTR.FIN[VALOR],"",0,1)*DISTR_FIN_0[[#This Row],[%DISTR]]</f>
        <v>121989.60657000002</v>
      </c>
    </row>
    <row r="147" spans="1:9" x14ac:dyDescent="0.3">
      <c r="A147" t="s">
        <v>242</v>
      </c>
      <c r="B147" t="s">
        <v>358</v>
      </c>
      <c r="D147" t="s">
        <v>223</v>
      </c>
      <c r="E147" s="200">
        <v>0.05</v>
      </c>
      <c r="F147" t="s">
        <v>383</v>
      </c>
      <c r="G147" s="243">
        <v>46023</v>
      </c>
      <c r="H147" s="51" t="str">
        <f t="shared" si="2"/>
        <v>SERV</v>
      </c>
      <c r="I147" s="244">
        <f>_xlfn.XLOOKUP(DISTR_FIN_0[[#This Row],[SS]],Tb_DISTR.FIN[Nº  SS],Tb_DISTR.FIN[VALOR],"",0,1)*DISTR_FIN_0[[#This Row],[%DISTR]]</f>
        <v>60994.803285000009</v>
      </c>
    </row>
    <row r="148" spans="1:9" x14ac:dyDescent="0.3">
      <c r="A148" t="s">
        <v>242</v>
      </c>
      <c r="B148" t="s">
        <v>358</v>
      </c>
      <c r="D148" t="s">
        <v>224</v>
      </c>
      <c r="E148" s="200">
        <v>0.09</v>
      </c>
      <c r="F148" t="s">
        <v>384</v>
      </c>
      <c r="G148" s="243">
        <v>46054</v>
      </c>
      <c r="H148" s="51" t="str">
        <f t="shared" si="2"/>
        <v>SERV</v>
      </c>
      <c r="I148" s="244">
        <f>_xlfn.XLOOKUP(DISTR_FIN_0[[#This Row],[SS]],Tb_DISTR.FIN[Nº  SS],Tb_DISTR.FIN[VALOR],"",0,1)*DISTR_FIN_0[[#This Row],[%DISTR]]</f>
        <v>109790.64591300001</v>
      </c>
    </row>
    <row r="149" spans="1:9" x14ac:dyDescent="0.3">
      <c r="A149" t="s">
        <v>242</v>
      </c>
      <c r="B149" t="s">
        <v>358</v>
      </c>
      <c r="D149" t="s">
        <v>225</v>
      </c>
      <c r="E149" s="200">
        <v>0.12</v>
      </c>
      <c r="F149" t="s">
        <v>385</v>
      </c>
      <c r="G149" s="243">
        <v>46113</v>
      </c>
      <c r="H149" s="51" t="str">
        <f t="shared" si="2"/>
        <v>SERV</v>
      </c>
      <c r="I149" s="244">
        <f>_xlfn.XLOOKUP(DISTR_FIN_0[[#This Row],[SS]],Tb_DISTR.FIN[Nº  SS],Tb_DISTR.FIN[VALOR],"",0,1)*DISTR_FIN_0[[#This Row],[%DISTR]]</f>
        <v>146387.52788400001</v>
      </c>
    </row>
    <row r="150" spans="1:9" x14ac:dyDescent="0.3">
      <c r="A150" t="s">
        <v>242</v>
      </c>
      <c r="B150" t="s">
        <v>358</v>
      </c>
      <c r="D150" t="s">
        <v>226</v>
      </c>
      <c r="E150" s="200">
        <v>0.12</v>
      </c>
      <c r="F150" t="s">
        <v>386</v>
      </c>
      <c r="G150" s="243">
        <v>46143</v>
      </c>
      <c r="H150" s="51" t="str">
        <f t="shared" si="2"/>
        <v>SERV</v>
      </c>
      <c r="I150" s="244">
        <f>_xlfn.XLOOKUP(DISTR_FIN_0[[#This Row],[SS]],Tb_DISTR.FIN[Nº  SS],Tb_DISTR.FIN[VALOR],"",0,1)*DISTR_FIN_0[[#This Row],[%DISTR]]</f>
        <v>146387.52788400001</v>
      </c>
    </row>
    <row r="151" spans="1:9" x14ac:dyDescent="0.3">
      <c r="A151" t="s">
        <v>242</v>
      </c>
      <c r="B151" t="s">
        <v>358</v>
      </c>
      <c r="D151" t="s">
        <v>227</v>
      </c>
      <c r="E151" s="200">
        <v>0.12</v>
      </c>
      <c r="F151" t="s">
        <v>387</v>
      </c>
      <c r="G151" s="243">
        <v>46174</v>
      </c>
      <c r="H151" s="51" t="str">
        <f t="shared" si="2"/>
        <v>SERV</v>
      </c>
      <c r="I151" s="244">
        <f>_xlfn.XLOOKUP(DISTR_FIN_0[[#This Row],[SS]],Tb_DISTR.FIN[Nº  SS],Tb_DISTR.FIN[VALOR],"",0,1)*DISTR_FIN_0[[#This Row],[%DISTR]]</f>
        <v>146387.52788400001</v>
      </c>
    </row>
    <row r="152" spans="1:9" x14ac:dyDescent="0.3">
      <c r="A152" t="s">
        <v>242</v>
      </c>
      <c r="B152" t="s">
        <v>358</v>
      </c>
      <c r="D152" t="s">
        <v>206</v>
      </c>
      <c r="E152" s="200">
        <v>0.1</v>
      </c>
      <c r="F152" t="s">
        <v>388</v>
      </c>
      <c r="G152" s="243">
        <v>46174</v>
      </c>
      <c r="H152" s="51" t="str">
        <f t="shared" si="2"/>
        <v>SERV</v>
      </c>
      <c r="I152" s="244">
        <f>_xlfn.XLOOKUP(DISTR_FIN_0[[#This Row],[SS]],Tb_DISTR.FIN[Nº  SS],Tb_DISTR.FIN[VALOR],"",0,1)*DISTR_FIN_0[[#This Row],[%DISTR]]</f>
        <v>121989.60657000002</v>
      </c>
    </row>
    <row r="153" spans="1:9" x14ac:dyDescent="0.3">
      <c r="A153" t="s">
        <v>243</v>
      </c>
      <c r="B153" t="s">
        <v>359</v>
      </c>
      <c r="D153" t="s">
        <v>204</v>
      </c>
      <c r="E153" s="200">
        <v>0.1</v>
      </c>
      <c r="F153" t="s">
        <v>343</v>
      </c>
      <c r="G153" s="243">
        <v>45992</v>
      </c>
      <c r="H153" s="51" t="str">
        <f t="shared" si="2"/>
        <v>PLAN</v>
      </c>
      <c r="I153" s="244">
        <f>_xlfn.XLOOKUP(DISTR_FIN_0[[#This Row],[SS]],Tb_DISTR.FIN[Nº  SS],Tb_DISTR.FIN[VALOR],"",0,1)*DISTR_FIN_0[[#This Row],[%DISTR]]</f>
        <v>13999.307525999999</v>
      </c>
    </row>
    <row r="154" spans="1:9" x14ac:dyDescent="0.3">
      <c r="A154" t="s">
        <v>243</v>
      </c>
      <c r="B154" t="s">
        <v>359</v>
      </c>
      <c r="D154" t="s">
        <v>205</v>
      </c>
      <c r="E154" s="200">
        <v>0.2</v>
      </c>
      <c r="F154" t="s">
        <v>349</v>
      </c>
      <c r="G154" s="243">
        <v>46023</v>
      </c>
      <c r="H154" s="51" t="str">
        <f t="shared" si="2"/>
        <v>MOB</v>
      </c>
      <c r="I154" s="244">
        <f>_xlfn.XLOOKUP(DISTR_FIN_0[[#This Row],[SS]],Tb_DISTR.FIN[Nº  SS],Tb_DISTR.FIN[VALOR],"",0,1)*DISTR_FIN_0[[#This Row],[%DISTR]]</f>
        <v>27998.615051999997</v>
      </c>
    </row>
    <row r="155" spans="1:9" x14ac:dyDescent="0.3">
      <c r="A155" t="s">
        <v>243</v>
      </c>
      <c r="B155" t="s">
        <v>359</v>
      </c>
      <c r="D155" t="s">
        <v>222</v>
      </c>
      <c r="E155" s="200">
        <v>0.15</v>
      </c>
      <c r="F155" t="s">
        <v>389</v>
      </c>
      <c r="G155" s="243">
        <v>46082</v>
      </c>
      <c r="H155" s="51" t="str">
        <f t="shared" si="2"/>
        <v>SERV</v>
      </c>
      <c r="I155" s="244">
        <f>_xlfn.XLOOKUP(DISTR_FIN_0[[#This Row],[SS]],Tb_DISTR.FIN[Nº  SS],Tb_DISTR.FIN[VALOR],"",0,1)*DISTR_FIN_0[[#This Row],[%DISTR]]</f>
        <v>20998.961288999995</v>
      </c>
    </row>
    <row r="156" spans="1:9" x14ac:dyDescent="0.3">
      <c r="A156" t="s">
        <v>243</v>
      </c>
      <c r="B156" t="s">
        <v>359</v>
      </c>
      <c r="D156" t="s">
        <v>223</v>
      </c>
      <c r="E156" s="200">
        <v>0.3</v>
      </c>
      <c r="F156" t="s">
        <v>390</v>
      </c>
      <c r="G156" s="243">
        <v>46113</v>
      </c>
      <c r="H156" s="51" t="str">
        <f t="shared" si="2"/>
        <v>SERV</v>
      </c>
      <c r="I156" s="244">
        <f>_xlfn.XLOOKUP(DISTR_FIN_0[[#This Row],[SS]],Tb_DISTR.FIN[Nº  SS],Tb_DISTR.FIN[VALOR],"",0,1)*DISTR_FIN_0[[#This Row],[%DISTR]]</f>
        <v>41997.922577999991</v>
      </c>
    </row>
    <row r="157" spans="1:9" x14ac:dyDescent="0.3">
      <c r="A157" t="s">
        <v>243</v>
      </c>
      <c r="B157" t="s">
        <v>359</v>
      </c>
      <c r="D157" t="s">
        <v>224</v>
      </c>
      <c r="E157" s="200">
        <v>0.15</v>
      </c>
      <c r="F157" t="s">
        <v>391</v>
      </c>
      <c r="G157" s="243">
        <v>46143</v>
      </c>
      <c r="H157" s="51" t="str">
        <f t="shared" si="2"/>
        <v>SERV</v>
      </c>
      <c r="I157" s="244">
        <f>_xlfn.XLOOKUP(DISTR_FIN_0[[#This Row],[SS]],Tb_DISTR.FIN[Nº  SS],Tb_DISTR.FIN[VALOR],"",0,1)*DISTR_FIN_0[[#This Row],[%DISTR]]</f>
        <v>20998.961288999995</v>
      </c>
    </row>
    <row r="158" spans="1:9" x14ac:dyDescent="0.3">
      <c r="A158" t="s">
        <v>243</v>
      </c>
      <c r="B158" t="s">
        <v>359</v>
      </c>
      <c r="D158" t="s">
        <v>206</v>
      </c>
      <c r="E158" s="200">
        <v>0.1</v>
      </c>
      <c r="F158" t="s">
        <v>392</v>
      </c>
      <c r="G158" s="243">
        <v>46143</v>
      </c>
      <c r="H158" s="51" t="str">
        <f t="shared" si="2"/>
        <v>SERV</v>
      </c>
      <c r="I158" s="244">
        <f>_xlfn.XLOOKUP(DISTR_FIN_0[[#This Row],[SS]],Tb_DISTR.FIN[Nº  SS],Tb_DISTR.FIN[VALOR],"",0,1)*DISTR_FIN_0[[#This Row],[%DISTR]]</f>
        <v>13999.307525999999</v>
      </c>
    </row>
    <row r="159" spans="1:9" x14ac:dyDescent="0.3">
      <c r="A159" t="s">
        <v>244</v>
      </c>
      <c r="B159" t="s">
        <v>252</v>
      </c>
      <c r="D159" t="s">
        <v>204</v>
      </c>
      <c r="E159" s="200">
        <v>0.1</v>
      </c>
      <c r="F159" t="s">
        <v>504</v>
      </c>
      <c r="G159" s="243">
        <v>46054</v>
      </c>
      <c r="H159" s="51" t="str">
        <f t="shared" si="2"/>
        <v>PLAN</v>
      </c>
      <c r="I159" s="244">
        <f>_xlfn.XLOOKUP(DISTR_FIN_0[[#This Row],[SS]],Tb_DISTR.FIN[Nº  SS],Tb_DISTR.FIN[VALOR],"",0,1)*DISTR_FIN_0[[#This Row],[%DISTR]]</f>
        <v>4137.0680000000002</v>
      </c>
    </row>
    <row r="160" spans="1:9" x14ac:dyDescent="0.3">
      <c r="A160" t="s">
        <v>244</v>
      </c>
      <c r="B160" t="s">
        <v>252</v>
      </c>
      <c r="D160" t="s">
        <v>205</v>
      </c>
      <c r="E160" s="200">
        <v>0.2</v>
      </c>
      <c r="F160" t="s">
        <v>505</v>
      </c>
      <c r="G160" s="243">
        <v>46082</v>
      </c>
      <c r="H160" s="51" t="str">
        <f t="shared" si="2"/>
        <v>MOB</v>
      </c>
      <c r="I160" s="244">
        <f>_xlfn.XLOOKUP(DISTR_FIN_0[[#This Row],[SS]],Tb_DISTR.FIN[Nº  SS],Tb_DISTR.FIN[VALOR],"",0,1)*DISTR_FIN_0[[#This Row],[%DISTR]]</f>
        <v>8274.1360000000004</v>
      </c>
    </row>
    <row r="161" spans="1:9" x14ac:dyDescent="0.3">
      <c r="A161" t="s">
        <v>244</v>
      </c>
      <c r="B161" t="s">
        <v>252</v>
      </c>
      <c r="D161" t="s">
        <v>222</v>
      </c>
      <c r="E161" s="200">
        <v>0.15</v>
      </c>
      <c r="F161" t="s">
        <v>506</v>
      </c>
      <c r="G161" s="243">
        <v>46082</v>
      </c>
      <c r="H161" s="51" t="str">
        <f t="shared" si="2"/>
        <v>SERV</v>
      </c>
      <c r="I161" s="244">
        <f>_xlfn.XLOOKUP(DISTR_FIN_0[[#This Row],[SS]],Tb_DISTR.FIN[Nº  SS],Tb_DISTR.FIN[VALOR],"",0,1)*DISTR_FIN_0[[#This Row],[%DISTR]]</f>
        <v>6205.6019999999999</v>
      </c>
    </row>
    <row r="162" spans="1:9" x14ac:dyDescent="0.3">
      <c r="A162" t="s">
        <v>244</v>
      </c>
      <c r="B162" t="s">
        <v>252</v>
      </c>
      <c r="D162" t="s">
        <v>223</v>
      </c>
      <c r="E162" s="200">
        <v>0.4</v>
      </c>
      <c r="F162" t="s">
        <v>507</v>
      </c>
      <c r="G162" s="243">
        <v>46113</v>
      </c>
      <c r="H162" s="51" t="str">
        <f t="shared" si="2"/>
        <v>SERV</v>
      </c>
      <c r="I162" s="244">
        <f>_xlfn.XLOOKUP(DISTR_FIN_0[[#This Row],[SS]],Tb_DISTR.FIN[Nº  SS],Tb_DISTR.FIN[VALOR],"",0,1)*DISTR_FIN_0[[#This Row],[%DISTR]]</f>
        <v>16548.272000000001</v>
      </c>
    </row>
    <row r="163" spans="1:9" x14ac:dyDescent="0.3">
      <c r="A163" t="s">
        <v>244</v>
      </c>
      <c r="B163" t="s">
        <v>252</v>
      </c>
      <c r="D163" t="s">
        <v>224</v>
      </c>
      <c r="E163" s="200">
        <v>0.05</v>
      </c>
      <c r="F163" t="s">
        <v>508</v>
      </c>
      <c r="G163" s="243">
        <v>46113</v>
      </c>
      <c r="H163" s="51" t="str">
        <f t="shared" si="2"/>
        <v>SERV</v>
      </c>
      <c r="I163" s="244">
        <f>_xlfn.XLOOKUP(DISTR_FIN_0[[#This Row],[SS]],Tb_DISTR.FIN[Nº  SS],Tb_DISTR.FIN[VALOR],"",0,1)*DISTR_FIN_0[[#This Row],[%DISTR]]</f>
        <v>2068.5340000000001</v>
      </c>
    </row>
    <row r="164" spans="1:9" x14ac:dyDescent="0.3">
      <c r="A164" t="s">
        <v>244</v>
      </c>
      <c r="B164" t="s">
        <v>252</v>
      </c>
      <c r="D164" t="s">
        <v>206</v>
      </c>
      <c r="E164" s="200">
        <v>0.1</v>
      </c>
      <c r="F164" t="s">
        <v>509</v>
      </c>
      <c r="G164" s="243">
        <v>46113</v>
      </c>
      <c r="H164" s="51" t="str">
        <f t="shared" si="2"/>
        <v>SERV</v>
      </c>
      <c r="I164" s="244">
        <f>_xlfn.XLOOKUP(DISTR_FIN_0[[#This Row],[SS]],Tb_DISTR.FIN[Nº  SS],Tb_DISTR.FIN[VALOR],"",0,1)*DISTR_FIN_0[[#This Row],[%DISTR]]</f>
        <v>4137.0680000000002</v>
      </c>
    </row>
    <row r="165" spans="1:9" x14ac:dyDescent="0.3">
      <c r="A165" t="s">
        <v>250</v>
      </c>
      <c r="B165" t="s">
        <v>253</v>
      </c>
      <c r="D165" t="s">
        <v>204</v>
      </c>
      <c r="E165" s="200">
        <v>0.1</v>
      </c>
      <c r="F165" t="s">
        <v>350</v>
      </c>
      <c r="G165" s="243">
        <v>45992</v>
      </c>
      <c r="H165" s="51" t="str">
        <f t="shared" si="2"/>
        <v>PLAN</v>
      </c>
      <c r="I165" s="244">
        <f>_xlfn.XLOOKUP(DISTR_FIN_0[[#This Row],[SS]],Tb_DISTR.FIN[Nº  SS],Tb_DISTR.FIN[VALOR],"",0,1)*DISTR_FIN_0[[#This Row],[%DISTR]]</f>
        <v>8227.3161240000009</v>
      </c>
    </row>
    <row r="166" spans="1:9" x14ac:dyDescent="0.3">
      <c r="A166" t="s">
        <v>250</v>
      </c>
      <c r="B166" t="s">
        <v>253</v>
      </c>
      <c r="D166" t="s">
        <v>205</v>
      </c>
      <c r="E166" s="200">
        <v>0.2</v>
      </c>
      <c r="F166" t="s">
        <v>351</v>
      </c>
      <c r="G166" s="243">
        <v>45992</v>
      </c>
      <c r="H166" s="51" t="str">
        <f t="shared" si="2"/>
        <v>MOB</v>
      </c>
      <c r="I166" s="244">
        <f>_xlfn.XLOOKUP(DISTR_FIN_0[[#This Row],[SS]],Tb_DISTR.FIN[Nº  SS],Tb_DISTR.FIN[VALOR],"",0,1)*DISTR_FIN_0[[#This Row],[%DISTR]]</f>
        <v>16454.632248000002</v>
      </c>
    </row>
    <row r="167" spans="1:9" x14ac:dyDescent="0.3">
      <c r="A167" t="s">
        <v>250</v>
      </c>
      <c r="B167" t="s">
        <v>253</v>
      </c>
      <c r="D167" t="s">
        <v>222</v>
      </c>
      <c r="E167" s="200">
        <v>0.6</v>
      </c>
      <c r="F167" t="s">
        <v>352</v>
      </c>
      <c r="G167" s="243">
        <v>45992</v>
      </c>
      <c r="H167" s="51" t="str">
        <f t="shared" si="2"/>
        <v>SERV</v>
      </c>
      <c r="I167" s="244">
        <f>_xlfn.XLOOKUP(DISTR_FIN_0[[#This Row],[SS]],Tb_DISTR.FIN[Nº  SS],Tb_DISTR.FIN[VALOR],"",0,1)*DISTR_FIN_0[[#This Row],[%DISTR]]</f>
        <v>49363.896743999998</v>
      </c>
    </row>
    <row r="168" spans="1:9" x14ac:dyDescent="0.3">
      <c r="A168" t="s">
        <v>250</v>
      </c>
      <c r="B168" t="s">
        <v>253</v>
      </c>
      <c r="D168" t="s">
        <v>206</v>
      </c>
      <c r="E168" s="200">
        <v>0.1</v>
      </c>
      <c r="F168" t="s">
        <v>369</v>
      </c>
      <c r="G168" s="243">
        <v>45992</v>
      </c>
      <c r="H168" s="51" t="str">
        <f t="shared" si="2"/>
        <v>SERV</v>
      </c>
      <c r="I168" s="244">
        <f>_xlfn.XLOOKUP(DISTR_FIN_0[[#This Row],[SS]],Tb_DISTR.FIN[Nº  SS],Tb_DISTR.FIN[VALOR],"",0,1)*DISTR_FIN_0[[#This Row],[%DISTR]]</f>
        <v>8227.3161240000009</v>
      </c>
    </row>
    <row r="169" spans="1:9" x14ac:dyDescent="0.3">
      <c r="A169" t="s">
        <v>417</v>
      </c>
      <c r="B169" t="s">
        <v>420</v>
      </c>
      <c r="D169" t="s">
        <v>204</v>
      </c>
      <c r="E169" s="200">
        <v>0.1</v>
      </c>
      <c r="F169" t="s">
        <v>494</v>
      </c>
      <c r="G169" s="243">
        <v>46054</v>
      </c>
      <c r="H169" s="51" t="str">
        <f t="shared" si="2"/>
        <v>PLAN</v>
      </c>
      <c r="I169" s="244">
        <f>_xlfn.XLOOKUP(DISTR_FIN_0[[#This Row],[SS]],Tb_DISTR.FIN[Nº  SS],Tb_DISTR.FIN[VALOR],"",0,1)*DISTR_FIN_0[[#This Row],[%DISTR]]</f>
        <v>12860.913780000001</v>
      </c>
    </row>
    <row r="170" spans="1:9" x14ac:dyDescent="0.3">
      <c r="A170" t="s">
        <v>417</v>
      </c>
      <c r="B170" t="s">
        <v>420</v>
      </c>
      <c r="D170" t="s">
        <v>205</v>
      </c>
      <c r="E170" s="200">
        <v>0.2</v>
      </c>
      <c r="F170" t="s">
        <v>495</v>
      </c>
      <c r="G170" s="243">
        <v>46054</v>
      </c>
      <c r="H170" s="51" t="str">
        <f t="shared" si="2"/>
        <v>MOB</v>
      </c>
      <c r="I170" s="244">
        <f>_xlfn.XLOOKUP(DISTR_FIN_0[[#This Row],[SS]],Tb_DISTR.FIN[Nº  SS],Tb_DISTR.FIN[VALOR],"",0,1)*DISTR_FIN_0[[#This Row],[%DISTR]]</f>
        <v>25721.827560000002</v>
      </c>
    </row>
    <row r="171" spans="1:9" x14ac:dyDescent="0.3">
      <c r="A171" t="s">
        <v>417</v>
      </c>
      <c r="B171" t="s">
        <v>420</v>
      </c>
      <c r="D171" t="s">
        <v>222</v>
      </c>
      <c r="E171" s="200">
        <v>0.6</v>
      </c>
      <c r="F171" t="s">
        <v>496</v>
      </c>
      <c r="G171" s="243">
        <v>46054</v>
      </c>
      <c r="H171" s="51" t="str">
        <f t="shared" si="2"/>
        <v>SERV</v>
      </c>
      <c r="I171" s="244">
        <f>_xlfn.XLOOKUP(DISTR_FIN_0[[#This Row],[SS]],Tb_DISTR.FIN[Nº  SS],Tb_DISTR.FIN[VALOR],"",0,1)*DISTR_FIN_0[[#This Row],[%DISTR]]</f>
        <v>77165.482680000001</v>
      </c>
    </row>
    <row r="172" spans="1:9" x14ac:dyDescent="0.3">
      <c r="A172" t="s">
        <v>417</v>
      </c>
      <c r="B172" t="s">
        <v>420</v>
      </c>
      <c r="D172" t="s">
        <v>206</v>
      </c>
      <c r="E172" s="200">
        <v>0.1</v>
      </c>
      <c r="F172" t="s">
        <v>497</v>
      </c>
      <c r="G172" s="243">
        <v>46054</v>
      </c>
      <c r="H172" s="51" t="str">
        <f t="shared" si="2"/>
        <v>SERV</v>
      </c>
      <c r="I172" s="244">
        <f>_xlfn.XLOOKUP(DISTR_FIN_0[[#This Row],[SS]],Tb_DISTR.FIN[Nº  SS],Tb_DISTR.FIN[VALOR],"",0,1)*DISTR_FIN_0[[#This Row],[%DISTR]]</f>
        <v>12860.913780000001</v>
      </c>
    </row>
    <row r="173" spans="1:9" x14ac:dyDescent="0.3">
      <c r="A173" t="s">
        <v>416</v>
      </c>
      <c r="B173" t="s">
        <v>421</v>
      </c>
      <c r="D173" t="s">
        <v>204</v>
      </c>
      <c r="E173" s="200">
        <v>0.1</v>
      </c>
      <c r="F173" t="s">
        <v>510</v>
      </c>
      <c r="G173" s="243">
        <v>46054</v>
      </c>
      <c r="H173" s="51" t="str">
        <f t="shared" si="2"/>
        <v>PLAN</v>
      </c>
      <c r="I173" s="244">
        <f>_xlfn.XLOOKUP(DISTR_FIN_0[[#This Row],[SS]],Tb_DISTR.FIN[Nº  SS],Tb_DISTR.FIN[VALOR],"",0,1)*DISTR_FIN_0[[#This Row],[%DISTR]]</f>
        <v>111464.51777999999</v>
      </c>
    </row>
    <row r="174" spans="1:9" x14ac:dyDescent="0.3">
      <c r="A174" t="s">
        <v>416</v>
      </c>
      <c r="B174" t="s">
        <v>421</v>
      </c>
      <c r="D174" t="s">
        <v>205</v>
      </c>
      <c r="E174" s="200">
        <v>0.2</v>
      </c>
      <c r="F174" t="s">
        <v>511</v>
      </c>
      <c r="G174" s="243">
        <v>46082</v>
      </c>
      <c r="H174" s="51" t="str">
        <f t="shared" si="2"/>
        <v>MOB</v>
      </c>
      <c r="I174" s="244">
        <f>_xlfn.XLOOKUP(DISTR_FIN_0[[#This Row],[SS]],Tb_DISTR.FIN[Nº  SS],Tb_DISTR.FIN[VALOR],"",0,1)*DISTR_FIN_0[[#This Row],[%DISTR]]</f>
        <v>222929.03555999999</v>
      </c>
    </row>
    <row r="175" spans="1:9" x14ac:dyDescent="0.3">
      <c r="A175" t="s">
        <v>416</v>
      </c>
      <c r="B175" t="s">
        <v>421</v>
      </c>
      <c r="D175" t="s">
        <v>222</v>
      </c>
      <c r="E175" s="200">
        <v>0.08</v>
      </c>
      <c r="F175" t="s">
        <v>512</v>
      </c>
      <c r="G175" s="243">
        <v>46113</v>
      </c>
      <c r="H175" s="51" t="str">
        <f t="shared" si="2"/>
        <v>SERV</v>
      </c>
      <c r="I175" s="244">
        <f>_xlfn.XLOOKUP(DISTR_FIN_0[[#This Row],[SS]],Tb_DISTR.FIN[Nº  SS],Tb_DISTR.FIN[VALOR],"",0,1)*DISTR_FIN_0[[#This Row],[%DISTR]]</f>
        <v>89171.614224000004</v>
      </c>
    </row>
    <row r="176" spans="1:9" x14ac:dyDescent="0.3">
      <c r="A176" t="s">
        <v>416</v>
      </c>
      <c r="B176" t="s">
        <v>421</v>
      </c>
      <c r="D176" t="s">
        <v>223</v>
      </c>
      <c r="E176" s="200">
        <v>0.09</v>
      </c>
      <c r="F176" t="s">
        <v>513</v>
      </c>
      <c r="G176" s="243">
        <v>46143</v>
      </c>
      <c r="H176" s="51" t="str">
        <f t="shared" si="2"/>
        <v>SERV</v>
      </c>
      <c r="I176" s="244">
        <f>_xlfn.XLOOKUP(DISTR_FIN_0[[#This Row],[SS]],Tb_DISTR.FIN[Nº  SS],Tb_DISTR.FIN[VALOR],"",0,1)*DISTR_FIN_0[[#This Row],[%DISTR]]</f>
        <v>100318.06600199999</v>
      </c>
    </row>
    <row r="177" spans="1:9" x14ac:dyDescent="0.3">
      <c r="A177" t="s">
        <v>416</v>
      </c>
      <c r="B177" t="s">
        <v>421</v>
      </c>
      <c r="D177" t="s">
        <v>224</v>
      </c>
      <c r="E177" s="200">
        <v>0.09</v>
      </c>
      <c r="F177" t="s">
        <v>514</v>
      </c>
      <c r="G177" s="243">
        <v>46174</v>
      </c>
      <c r="H177" s="51" t="str">
        <f t="shared" si="2"/>
        <v>SERV</v>
      </c>
      <c r="I177" s="244">
        <f>_xlfn.XLOOKUP(DISTR_FIN_0[[#This Row],[SS]],Tb_DISTR.FIN[Nº  SS],Tb_DISTR.FIN[VALOR],"",0,1)*DISTR_FIN_0[[#This Row],[%DISTR]]</f>
        <v>100318.06600199999</v>
      </c>
    </row>
    <row r="178" spans="1:9" x14ac:dyDescent="0.3">
      <c r="A178" t="s">
        <v>416</v>
      </c>
      <c r="B178" t="s">
        <v>421</v>
      </c>
      <c r="D178" t="s">
        <v>225</v>
      </c>
      <c r="E178" s="200">
        <v>0.09</v>
      </c>
      <c r="F178" t="s">
        <v>515</v>
      </c>
      <c r="G178" s="243">
        <v>46204</v>
      </c>
      <c r="H178" s="51" t="str">
        <f t="shared" si="2"/>
        <v>SERV</v>
      </c>
      <c r="I178" s="244">
        <f>_xlfn.XLOOKUP(DISTR_FIN_0[[#This Row],[SS]],Tb_DISTR.FIN[Nº  SS],Tb_DISTR.FIN[VALOR],"",0,1)*DISTR_FIN_0[[#This Row],[%DISTR]]</f>
        <v>100318.06600199999</v>
      </c>
    </row>
    <row r="179" spans="1:9" x14ac:dyDescent="0.3">
      <c r="A179" t="s">
        <v>416</v>
      </c>
      <c r="B179" t="s">
        <v>421</v>
      </c>
      <c r="D179" t="s">
        <v>226</v>
      </c>
      <c r="E179" s="200">
        <v>0.09</v>
      </c>
      <c r="F179" t="s">
        <v>516</v>
      </c>
      <c r="G179" s="243">
        <v>46235</v>
      </c>
      <c r="H179" s="51" t="str">
        <f t="shared" si="2"/>
        <v>SERV</v>
      </c>
      <c r="I179" s="244">
        <f>_xlfn.XLOOKUP(DISTR_FIN_0[[#This Row],[SS]],Tb_DISTR.FIN[Nº  SS],Tb_DISTR.FIN[VALOR],"",0,1)*DISTR_FIN_0[[#This Row],[%DISTR]]</f>
        <v>100318.06600199999</v>
      </c>
    </row>
    <row r="180" spans="1:9" x14ac:dyDescent="0.3">
      <c r="A180" t="s">
        <v>416</v>
      </c>
      <c r="B180" t="s">
        <v>421</v>
      </c>
      <c r="D180" t="s">
        <v>227</v>
      </c>
      <c r="E180" s="200">
        <v>0.08</v>
      </c>
      <c r="F180" t="s">
        <v>517</v>
      </c>
      <c r="G180" s="243">
        <v>46266</v>
      </c>
      <c r="H180" s="51" t="str">
        <f t="shared" si="2"/>
        <v>SERV</v>
      </c>
      <c r="I180" s="244">
        <f>_xlfn.XLOOKUP(DISTR_FIN_0[[#This Row],[SS]],Tb_DISTR.FIN[Nº  SS],Tb_DISTR.FIN[VALOR],"",0,1)*DISTR_FIN_0[[#This Row],[%DISTR]]</f>
        <v>89171.614224000004</v>
      </c>
    </row>
    <row r="181" spans="1:9" x14ac:dyDescent="0.3">
      <c r="A181" t="s">
        <v>416</v>
      </c>
      <c r="B181" t="s">
        <v>421</v>
      </c>
      <c r="D181" t="s">
        <v>228</v>
      </c>
      <c r="E181" s="200">
        <v>0.08</v>
      </c>
      <c r="F181" t="s">
        <v>518</v>
      </c>
      <c r="G181" s="243">
        <v>46296</v>
      </c>
      <c r="H181" s="51" t="str">
        <f t="shared" si="2"/>
        <v>SERV</v>
      </c>
      <c r="I181" s="244">
        <f>_xlfn.XLOOKUP(DISTR_FIN_0[[#This Row],[SS]],Tb_DISTR.FIN[Nº  SS],Tb_DISTR.FIN[VALOR],"",0,1)*DISTR_FIN_0[[#This Row],[%DISTR]]</f>
        <v>89171.614224000004</v>
      </c>
    </row>
    <row r="182" spans="1:9" x14ac:dyDescent="0.3">
      <c r="A182" t="s">
        <v>416</v>
      </c>
      <c r="B182" t="s">
        <v>421</v>
      </c>
      <c r="D182" t="s">
        <v>206</v>
      </c>
      <c r="E182" s="200">
        <v>0.1</v>
      </c>
      <c r="F182" t="s">
        <v>519</v>
      </c>
      <c r="G182" s="243">
        <v>46296</v>
      </c>
      <c r="H182" s="51" t="str">
        <f t="shared" si="2"/>
        <v>SERV</v>
      </c>
      <c r="I182" s="244">
        <f>_xlfn.XLOOKUP(DISTR_FIN_0[[#This Row],[SS]],Tb_DISTR.FIN[Nº  SS],Tb_DISTR.FIN[VALOR],"",0,1)*DISTR_FIN_0[[#This Row],[%DISTR]]</f>
        <v>111464.51777999999</v>
      </c>
    </row>
    <row r="183" spans="1:9" x14ac:dyDescent="0.3">
      <c r="A183" t="s">
        <v>445</v>
      </c>
      <c r="B183" t="s">
        <v>424</v>
      </c>
      <c r="D183" t="s">
        <v>204</v>
      </c>
      <c r="E183" s="200">
        <v>0.1</v>
      </c>
      <c r="F183" t="s">
        <v>498</v>
      </c>
      <c r="G183" s="243">
        <v>46054</v>
      </c>
      <c r="H183" s="51" t="str">
        <f t="shared" si="2"/>
        <v>PLAN</v>
      </c>
      <c r="I183" s="244">
        <f>_xlfn.XLOOKUP(DISTR_FIN_0[[#This Row],[SS]],Tb_DISTR.FIN[Nº  SS],Tb_DISTR.FIN[VALOR],"",0,1)*DISTR_FIN_0[[#This Row],[%DISTR]]</f>
        <v>9162.8333999999995</v>
      </c>
    </row>
    <row r="184" spans="1:9" x14ac:dyDescent="0.3">
      <c r="A184" t="s">
        <v>445</v>
      </c>
      <c r="B184" t="s">
        <v>424</v>
      </c>
      <c r="D184" t="s">
        <v>205</v>
      </c>
      <c r="E184" s="200">
        <v>0.2</v>
      </c>
      <c r="F184" t="s">
        <v>499</v>
      </c>
      <c r="G184" s="243">
        <v>46054</v>
      </c>
      <c r="H184" s="51" t="str">
        <f t="shared" si="2"/>
        <v>MOB</v>
      </c>
      <c r="I184" s="244">
        <f>_xlfn.XLOOKUP(DISTR_FIN_0[[#This Row],[SS]],Tb_DISTR.FIN[Nº  SS],Tb_DISTR.FIN[VALOR],"",0,1)*DISTR_FIN_0[[#This Row],[%DISTR]]</f>
        <v>18325.666799999999</v>
      </c>
    </row>
    <row r="185" spans="1:9" x14ac:dyDescent="0.3">
      <c r="A185" t="s">
        <v>445</v>
      </c>
      <c r="B185" t="s">
        <v>424</v>
      </c>
      <c r="D185" t="s">
        <v>222</v>
      </c>
      <c r="E185" s="200">
        <v>7.0000000000000007E-2</v>
      </c>
      <c r="F185" t="s">
        <v>500</v>
      </c>
      <c r="G185" s="243">
        <v>46054</v>
      </c>
      <c r="H185" s="51" t="str">
        <f t="shared" si="2"/>
        <v>SERV</v>
      </c>
      <c r="I185" s="244">
        <f>_xlfn.XLOOKUP(DISTR_FIN_0[[#This Row],[SS]],Tb_DISTR.FIN[Nº  SS],Tb_DISTR.FIN[VALOR],"",0,1)*DISTR_FIN_0[[#This Row],[%DISTR]]</f>
        <v>6413.9833799999997</v>
      </c>
    </row>
    <row r="186" spans="1:9" x14ac:dyDescent="0.3">
      <c r="A186" t="s">
        <v>445</v>
      </c>
      <c r="B186" t="s">
        <v>424</v>
      </c>
      <c r="D186" t="s">
        <v>223</v>
      </c>
      <c r="E186" s="200">
        <v>0.23</v>
      </c>
      <c r="F186" t="s">
        <v>501</v>
      </c>
      <c r="G186" s="243">
        <v>46082</v>
      </c>
      <c r="H186" s="51" t="str">
        <f t="shared" si="2"/>
        <v>SERV</v>
      </c>
      <c r="I186" s="244">
        <f>_xlfn.XLOOKUP(DISTR_FIN_0[[#This Row],[SS]],Tb_DISTR.FIN[Nº  SS],Tb_DISTR.FIN[VALOR],"",0,1)*DISTR_FIN_0[[#This Row],[%DISTR]]</f>
        <v>21074.516819999997</v>
      </c>
    </row>
    <row r="187" spans="1:9" x14ac:dyDescent="0.3">
      <c r="A187" t="s">
        <v>445</v>
      </c>
      <c r="B187" t="s">
        <v>424</v>
      </c>
      <c r="D187" t="s">
        <v>224</v>
      </c>
      <c r="E187" s="200">
        <v>0.3</v>
      </c>
      <c r="F187" t="s">
        <v>502</v>
      </c>
      <c r="G187" s="243">
        <v>46113</v>
      </c>
      <c r="H187" s="51" t="str">
        <f t="shared" si="2"/>
        <v>SERV</v>
      </c>
      <c r="I187" s="244">
        <f>_xlfn.XLOOKUP(DISTR_FIN_0[[#This Row],[SS]],Tb_DISTR.FIN[Nº  SS],Tb_DISTR.FIN[VALOR],"",0,1)*DISTR_FIN_0[[#This Row],[%DISTR]]</f>
        <v>27488.500199999995</v>
      </c>
    </row>
    <row r="188" spans="1:9" x14ac:dyDescent="0.3">
      <c r="A188" t="s">
        <v>445</v>
      </c>
      <c r="B188" t="s">
        <v>424</v>
      </c>
      <c r="D188" t="s">
        <v>206</v>
      </c>
      <c r="E188" s="200">
        <v>0.1</v>
      </c>
      <c r="F188" t="s">
        <v>503</v>
      </c>
      <c r="G188" s="243">
        <v>46113</v>
      </c>
      <c r="H188" s="51" t="str">
        <f t="shared" si="2"/>
        <v>SERV</v>
      </c>
      <c r="I188" s="244">
        <f>_xlfn.XLOOKUP(DISTR_FIN_0[[#This Row],[SS]],Tb_DISTR.FIN[Nº  SS],Tb_DISTR.FIN[VALOR],"",0,1)*DISTR_FIN_0[[#This Row],[%DISTR]]</f>
        <v>9162.8333999999995</v>
      </c>
    </row>
    <row r="189" spans="1:9" x14ac:dyDescent="0.3">
      <c r="A189" t="s">
        <v>530</v>
      </c>
      <c r="B189" t="s">
        <v>538</v>
      </c>
      <c r="D189" t="s">
        <v>204</v>
      </c>
      <c r="E189" s="200">
        <v>0.1</v>
      </c>
      <c r="F189" t="s">
        <v>542</v>
      </c>
      <c r="G189" s="243">
        <v>46054</v>
      </c>
      <c r="H189" s="51" t="str">
        <f t="shared" si="2"/>
        <v>PLAN</v>
      </c>
      <c r="I189" s="244">
        <f>_xlfn.XLOOKUP(DISTR_FIN_0[[#This Row],[SS]],Tb_DISTR.FIN[Nº  SS],Tb_DISTR.FIN[VALOR],"",0,1)*DISTR_FIN_0[[#This Row],[%DISTR]]</f>
        <v>46793.702682000003</v>
      </c>
    </row>
    <row r="190" spans="1:9" x14ac:dyDescent="0.3">
      <c r="A190" t="s">
        <v>530</v>
      </c>
      <c r="B190" t="s">
        <v>538</v>
      </c>
      <c r="D190" t="s">
        <v>205</v>
      </c>
      <c r="E190" s="200">
        <v>0.2</v>
      </c>
      <c r="F190" t="s">
        <v>547</v>
      </c>
      <c r="G190" s="243">
        <v>46113</v>
      </c>
      <c r="H190" s="51" t="str">
        <f t="shared" si="2"/>
        <v>MOB</v>
      </c>
      <c r="I190" s="244">
        <f>_xlfn.XLOOKUP(DISTR_FIN_0[[#This Row],[SS]],Tb_DISTR.FIN[Nº  SS],Tb_DISTR.FIN[VALOR],"",0,1)*DISTR_FIN_0[[#This Row],[%DISTR]]</f>
        <v>93587.405364000006</v>
      </c>
    </row>
    <row r="191" spans="1:9" x14ac:dyDescent="0.3">
      <c r="A191" t="s">
        <v>530</v>
      </c>
      <c r="B191" t="s">
        <v>538</v>
      </c>
      <c r="D191" t="s">
        <v>222</v>
      </c>
      <c r="E191" s="200">
        <v>0.1</v>
      </c>
      <c r="F191" t="s">
        <v>625</v>
      </c>
      <c r="G191" s="243">
        <v>46143</v>
      </c>
      <c r="H191" s="51" t="str">
        <f t="shared" si="2"/>
        <v>SERV</v>
      </c>
      <c r="I191" s="244">
        <f>_xlfn.XLOOKUP(DISTR_FIN_0[[#This Row],[SS]],Tb_DISTR.FIN[Nº  SS],Tb_DISTR.FIN[VALOR],"",0,1)*DISTR_FIN_0[[#This Row],[%DISTR]]</f>
        <v>46793.702682000003</v>
      </c>
    </row>
    <row r="192" spans="1:9" x14ac:dyDescent="0.3">
      <c r="A192" t="s">
        <v>530</v>
      </c>
      <c r="B192" t="s">
        <v>538</v>
      </c>
      <c r="D192" t="s">
        <v>223</v>
      </c>
      <c r="E192" s="200">
        <v>0.05</v>
      </c>
      <c r="F192" t="s">
        <v>626</v>
      </c>
      <c r="G192" s="243">
        <v>46113</v>
      </c>
      <c r="H192" s="51" t="str">
        <f t="shared" si="2"/>
        <v>SERV</v>
      </c>
      <c r="I192" s="244">
        <f>_xlfn.XLOOKUP(DISTR_FIN_0[[#This Row],[SS]],Tb_DISTR.FIN[Nº  SS],Tb_DISTR.FIN[VALOR],"",0,1)*DISTR_FIN_0[[#This Row],[%DISTR]]</f>
        <v>23396.851341000001</v>
      </c>
    </row>
    <row r="193" spans="1:9" x14ac:dyDescent="0.3">
      <c r="A193" t="s">
        <v>530</v>
      </c>
      <c r="B193" t="s">
        <v>538</v>
      </c>
      <c r="D193" t="s">
        <v>224</v>
      </c>
      <c r="E193" s="200">
        <v>0.13</v>
      </c>
      <c r="F193" t="s">
        <v>627</v>
      </c>
      <c r="G193" s="243">
        <v>46143</v>
      </c>
      <c r="H193" s="51" t="str">
        <f t="shared" si="2"/>
        <v>SERV</v>
      </c>
      <c r="I193" s="244">
        <f>_xlfn.XLOOKUP(DISTR_FIN_0[[#This Row],[SS]],Tb_DISTR.FIN[Nº  SS],Tb_DISTR.FIN[VALOR],"",0,1)*DISTR_FIN_0[[#This Row],[%DISTR]]</f>
        <v>60831.813486599996</v>
      </c>
    </row>
    <row r="194" spans="1:9" x14ac:dyDescent="0.3">
      <c r="A194" t="s">
        <v>530</v>
      </c>
      <c r="B194" t="s">
        <v>538</v>
      </c>
      <c r="D194" t="s">
        <v>225</v>
      </c>
      <c r="E194" s="200">
        <v>0.13</v>
      </c>
      <c r="F194" t="s">
        <v>628</v>
      </c>
      <c r="G194" s="243">
        <v>46174</v>
      </c>
      <c r="H194" s="51" t="str">
        <f t="shared" ref="H194:H221" si="3">IF(OR(D194="PLAN",D194="MOB"),D194,"SERV")</f>
        <v>SERV</v>
      </c>
      <c r="I194" s="244">
        <f>_xlfn.XLOOKUP(DISTR_FIN_0[[#This Row],[SS]],Tb_DISTR.FIN[Nº  SS],Tb_DISTR.FIN[VALOR],"",0,1)*DISTR_FIN_0[[#This Row],[%DISTR]]</f>
        <v>60831.813486599996</v>
      </c>
    </row>
    <row r="195" spans="1:9" x14ac:dyDescent="0.3">
      <c r="A195" t="s">
        <v>530</v>
      </c>
      <c r="B195" t="s">
        <v>538</v>
      </c>
      <c r="D195" t="s">
        <v>226</v>
      </c>
      <c r="E195" s="200">
        <v>0.13</v>
      </c>
      <c r="F195" t="s">
        <v>629</v>
      </c>
      <c r="G195" s="243">
        <v>46204</v>
      </c>
      <c r="H195" s="51" t="str">
        <f t="shared" si="3"/>
        <v>SERV</v>
      </c>
      <c r="I195" s="244">
        <f>_xlfn.XLOOKUP(DISTR_FIN_0[[#This Row],[SS]],Tb_DISTR.FIN[Nº  SS],Tb_DISTR.FIN[VALOR],"",0,1)*DISTR_FIN_0[[#This Row],[%DISTR]]</f>
        <v>60831.813486599996</v>
      </c>
    </row>
    <row r="196" spans="1:9" x14ac:dyDescent="0.3">
      <c r="A196" t="s">
        <v>530</v>
      </c>
      <c r="B196" t="s">
        <v>538</v>
      </c>
      <c r="D196" t="s">
        <v>227</v>
      </c>
      <c r="E196" s="200">
        <v>0.06</v>
      </c>
      <c r="F196" t="s">
        <v>630</v>
      </c>
      <c r="G196" s="243">
        <v>46235</v>
      </c>
      <c r="H196" s="51" t="str">
        <f t="shared" si="3"/>
        <v>SERV</v>
      </c>
      <c r="I196" s="244">
        <f>_xlfn.XLOOKUP(DISTR_FIN_0[[#This Row],[SS]],Tb_DISTR.FIN[Nº  SS],Tb_DISTR.FIN[VALOR],"",0,1)*DISTR_FIN_0[[#This Row],[%DISTR]]</f>
        <v>28076.221609199998</v>
      </c>
    </row>
    <row r="197" spans="1:9" x14ac:dyDescent="0.3">
      <c r="A197" t="s">
        <v>530</v>
      </c>
      <c r="B197" t="s">
        <v>538</v>
      </c>
      <c r="D197" t="s">
        <v>206</v>
      </c>
      <c r="E197" s="200">
        <v>0.1</v>
      </c>
      <c r="F197" t="s">
        <v>631</v>
      </c>
      <c r="G197" s="243">
        <v>46235</v>
      </c>
      <c r="H197" s="51" t="str">
        <f t="shared" si="3"/>
        <v>SERV</v>
      </c>
      <c r="I197" s="244">
        <f>_xlfn.XLOOKUP(DISTR_FIN_0[[#This Row],[SS]],Tb_DISTR.FIN[Nº  SS],Tb_DISTR.FIN[VALOR],"",0,1)*DISTR_FIN_0[[#This Row],[%DISTR]]</f>
        <v>46793.702682000003</v>
      </c>
    </row>
    <row r="198" spans="1:9" x14ac:dyDescent="0.3">
      <c r="A198" t="s">
        <v>531</v>
      </c>
      <c r="B198" t="s">
        <v>539</v>
      </c>
      <c r="D198" t="s">
        <v>204</v>
      </c>
      <c r="E198" s="200">
        <v>0.1</v>
      </c>
      <c r="F198" t="s">
        <v>544</v>
      </c>
      <c r="G198" s="243">
        <v>46082</v>
      </c>
      <c r="H198" s="51" t="str">
        <f t="shared" si="3"/>
        <v>PLAN</v>
      </c>
      <c r="I198" s="244">
        <f>_xlfn.XLOOKUP(DISTR_FIN_0[[#This Row],[SS]],Tb_DISTR.FIN[Nº  SS],Tb_DISTR.FIN[VALOR],"",0,1)*DISTR_FIN_0[[#This Row],[%DISTR]]</f>
        <v>56551.333679999996</v>
      </c>
    </row>
    <row r="199" spans="1:9" x14ac:dyDescent="0.3">
      <c r="A199" t="s">
        <v>531</v>
      </c>
      <c r="B199" t="s">
        <v>539</v>
      </c>
      <c r="D199" t="s">
        <v>205</v>
      </c>
      <c r="E199" s="200">
        <v>0.2</v>
      </c>
      <c r="F199" t="s">
        <v>548</v>
      </c>
      <c r="G199" s="243">
        <v>46143</v>
      </c>
      <c r="H199" s="51" t="str">
        <f t="shared" si="3"/>
        <v>MOB</v>
      </c>
      <c r="I199" s="244">
        <f>_xlfn.XLOOKUP(DISTR_FIN_0[[#This Row],[SS]],Tb_DISTR.FIN[Nº  SS],Tb_DISTR.FIN[VALOR],"",0,1)*DISTR_FIN_0[[#This Row],[%DISTR]]</f>
        <v>113102.66735999999</v>
      </c>
    </row>
    <row r="200" spans="1:9" x14ac:dyDescent="0.3">
      <c r="A200" t="s">
        <v>531</v>
      </c>
      <c r="B200" t="s">
        <v>539</v>
      </c>
      <c r="D200" t="s">
        <v>222</v>
      </c>
      <c r="E200" s="200">
        <v>0.1</v>
      </c>
      <c r="F200" t="s">
        <v>3283</v>
      </c>
      <c r="G200" s="243">
        <v>46143</v>
      </c>
      <c r="H200" s="51" t="str">
        <f t="shared" si="3"/>
        <v>SERV</v>
      </c>
      <c r="I200" s="244">
        <f>_xlfn.XLOOKUP(DISTR_FIN_0[[#This Row],[SS]],Tb_DISTR.FIN[Nº  SS],Tb_DISTR.FIN[VALOR],"",0,1)*DISTR_FIN_0[[#This Row],[%DISTR]]</f>
        <v>56551.333679999996</v>
      </c>
    </row>
    <row r="201" spans="1:9" x14ac:dyDescent="0.3">
      <c r="A201" t="s">
        <v>531</v>
      </c>
      <c r="B201" t="s">
        <v>539</v>
      </c>
      <c r="D201" t="s">
        <v>223</v>
      </c>
      <c r="E201" s="200">
        <v>0.15</v>
      </c>
      <c r="F201" t="s">
        <v>3284</v>
      </c>
      <c r="G201" s="243">
        <v>46174</v>
      </c>
      <c r="H201" s="51" t="str">
        <f t="shared" si="3"/>
        <v>SERV</v>
      </c>
      <c r="I201" s="244">
        <f>_xlfn.XLOOKUP(DISTR_FIN_0[[#This Row],[SS]],Tb_DISTR.FIN[Nº  SS],Tb_DISTR.FIN[VALOR],"",0,1)*DISTR_FIN_0[[#This Row],[%DISTR]]</f>
        <v>84827.000519999987</v>
      </c>
    </row>
    <row r="202" spans="1:9" x14ac:dyDescent="0.3">
      <c r="A202" t="s">
        <v>531</v>
      </c>
      <c r="B202" t="s">
        <v>539</v>
      </c>
      <c r="D202" t="s">
        <v>224</v>
      </c>
      <c r="E202" s="200">
        <v>0.2</v>
      </c>
      <c r="F202" t="s">
        <v>3285</v>
      </c>
      <c r="G202" s="243">
        <v>46204</v>
      </c>
      <c r="H202" s="51" t="str">
        <f t="shared" si="3"/>
        <v>SERV</v>
      </c>
      <c r="I202" s="244">
        <f>_xlfn.XLOOKUP(DISTR_FIN_0[[#This Row],[SS]],Tb_DISTR.FIN[Nº  SS],Tb_DISTR.FIN[VALOR],"",0,1)*DISTR_FIN_0[[#This Row],[%DISTR]]</f>
        <v>113102.66735999999</v>
      </c>
    </row>
    <row r="203" spans="1:9" x14ac:dyDescent="0.3">
      <c r="A203" t="s">
        <v>531</v>
      </c>
      <c r="B203" t="s">
        <v>539</v>
      </c>
      <c r="D203" t="s">
        <v>225</v>
      </c>
      <c r="E203" s="200">
        <v>0.15</v>
      </c>
      <c r="F203" t="s">
        <v>3286</v>
      </c>
      <c r="G203" s="243">
        <v>46235</v>
      </c>
      <c r="H203" s="51" t="str">
        <f t="shared" si="3"/>
        <v>SERV</v>
      </c>
      <c r="I203" s="244">
        <f>_xlfn.XLOOKUP(DISTR_FIN_0[[#This Row],[SS]],Tb_DISTR.FIN[Nº  SS],Tb_DISTR.FIN[VALOR],"",0,1)*DISTR_FIN_0[[#This Row],[%DISTR]]</f>
        <v>84827.000519999987</v>
      </c>
    </row>
    <row r="204" spans="1:9" x14ac:dyDescent="0.3">
      <c r="A204" t="s">
        <v>531</v>
      </c>
      <c r="B204" t="s">
        <v>539</v>
      </c>
      <c r="D204" t="s">
        <v>206</v>
      </c>
      <c r="E204" s="200">
        <v>0.1</v>
      </c>
      <c r="F204" t="s">
        <v>3287</v>
      </c>
      <c r="G204" s="243">
        <v>46235</v>
      </c>
      <c r="H204" s="51" t="str">
        <f t="shared" si="3"/>
        <v>SERV</v>
      </c>
      <c r="I204" s="244">
        <f>_xlfn.XLOOKUP(DISTR_FIN_0[[#This Row],[SS]],Tb_DISTR.FIN[Nº  SS],Tb_DISTR.FIN[VALOR],"",0,1)*DISTR_FIN_0[[#This Row],[%DISTR]]</f>
        <v>56551.333679999996</v>
      </c>
    </row>
    <row r="205" spans="1:9" x14ac:dyDescent="0.3">
      <c r="A205" t="s">
        <v>532</v>
      </c>
      <c r="B205" t="s">
        <v>540</v>
      </c>
      <c r="D205" t="s">
        <v>204</v>
      </c>
      <c r="E205" s="200">
        <v>0.1</v>
      </c>
      <c r="F205" t="s">
        <v>546</v>
      </c>
      <c r="G205" s="243">
        <v>46054</v>
      </c>
      <c r="H205" s="51" t="str">
        <f t="shared" si="3"/>
        <v>PLAN</v>
      </c>
      <c r="I205" s="244">
        <f>_xlfn.XLOOKUP(DISTR_FIN_0[[#This Row],[SS]],Tb_DISTR.FIN[Nº  SS],Tb_DISTR.FIN[VALOR],"",0,1)*DISTR_FIN_0[[#This Row],[%DISTR]]</f>
        <v>34849.933019999997</v>
      </c>
    </row>
    <row r="206" spans="1:9" x14ac:dyDescent="0.3">
      <c r="A206" t="s">
        <v>532</v>
      </c>
      <c r="B206" t="s">
        <v>540</v>
      </c>
      <c r="D206" t="s">
        <v>205</v>
      </c>
      <c r="E206" s="200">
        <v>0.2</v>
      </c>
      <c r="F206" t="s">
        <v>549</v>
      </c>
      <c r="G206" s="243">
        <v>46113</v>
      </c>
      <c r="H206" s="51" t="str">
        <f t="shared" si="3"/>
        <v>MOB</v>
      </c>
      <c r="I206" s="244">
        <f>_xlfn.XLOOKUP(DISTR_FIN_0[[#This Row],[SS]],Tb_DISTR.FIN[Nº  SS],Tb_DISTR.FIN[VALOR],"",0,1)*DISTR_FIN_0[[#This Row],[%DISTR]]</f>
        <v>69699.866039999994</v>
      </c>
    </row>
    <row r="207" spans="1:9" x14ac:dyDescent="0.3">
      <c r="A207" t="s">
        <v>532</v>
      </c>
      <c r="B207" t="s">
        <v>540</v>
      </c>
      <c r="D207" t="s">
        <v>222</v>
      </c>
      <c r="E207" s="200">
        <v>0.09</v>
      </c>
      <c r="F207" t="s">
        <v>632</v>
      </c>
      <c r="G207" s="243">
        <v>46143</v>
      </c>
      <c r="H207" s="51" t="str">
        <f t="shared" si="3"/>
        <v>SERV</v>
      </c>
      <c r="I207" s="244">
        <f>_xlfn.XLOOKUP(DISTR_FIN_0[[#This Row],[SS]],Tb_DISTR.FIN[Nº  SS],Tb_DISTR.FIN[VALOR],"",0,1)*DISTR_FIN_0[[#This Row],[%DISTR]]</f>
        <v>31364.939717999994</v>
      </c>
    </row>
    <row r="208" spans="1:9" x14ac:dyDescent="0.3">
      <c r="A208" t="s">
        <v>532</v>
      </c>
      <c r="B208" t="s">
        <v>540</v>
      </c>
      <c r="D208" t="s">
        <v>223</v>
      </c>
      <c r="E208" s="200">
        <v>0.09</v>
      </c>
      <c r="F208" t="s">
        <v>633</v>
      </c>
      <c r="G208" s="243">
        <v>46174</v>
      </c>
      <c r="H208" s="51" t="str">
        <f t="shared" si="3"/>
        <v>SERV</v>
      </c>
      <c r="I208" s="244">
        <f>_xlfn.XLOOKUP(DISTR_FIN_0[[#This Row],[SS]],Tb_DISTR.FIN[Nº  SS],Tb_DISTR.FIN[VALOR],"",0,1)*DISTR_FIN_0[[#This Row],[%DISTR]]</f>
        <v>31364.939717999994</v>
      </c>
    </row>
    <row r="209" spans="1:9" x14ac:dyDescent="0.3">
      <c r="A209" t="s">
        <v>532</v>
      </c>
      <c r="B209" t="s">
        <v>540</v>
      </c>
      <c r="D209" t="s">
        <v>224</v>
      </c>
      <c r="E209" s="200">
        <v>0.09</v>
      </c>
      <c r="F209" t="s">
        <v>634</v>
      </c>
      <c r="G209" s="243">
        <v>46204</v>
      </c>
      <c r="H209" s="51" t="str">
        <f t="shared" si="3"/>
        <v>SERV</v>
      </c>
      <c r="I209" s="244">
        <f>_xlfn.XLOOKUP(DISTR_FIN_0[[#This Row],[SS]],Tb_DISTR.FIN[Nº  SS],Tb_DISTR.FIN[VALOR],"",0,1)*DISTR_FIN_0[[#This Row],[%DISTR]]</f>
        <v>31364.939717999994</v>
      </c>
    </row>
    <row r="210" spans="1:9" x14ac:dyDescent="0.3">
      <c r="A210" t="s">
        <v>532</v>
      </c>
      <c r="B210" t="s">
        <v>540</v>
      </c>
      <c r="D210" t="s">
        <v>225</v>
      </c>
      <c r="E210" s="200">
        <v>0.09</v>
      </c>
      <c r="F210" t="s">
        <v>635</v>
      </c>
      <c r="G210" s="243">
        <v>46235</v>
      </c>
      <c r="H210" s="51" t="str">
        <f t="shared" si="3"/>
        <v>SERV</v>
      </c>
      <c r="I210" s="244">
        <f>_xlfn.XLOOKUP(DISTR_FIN_0[[#This Row],[SS]],Tb_DISTR.FIN[Nº  SS],Tb_DISTR.FIN[VALOR],"",0,1)*DISTR_FIN_0[[#This Row],[%DISTR]]</f>
        <v>31364.939717999994</v>
      </c>
    </row>
    <row r="211" spans="1:9" x14ac:dyDescent="0.3">
      <c r="A211" t="s">
        <v>532</v>
      </c>
      <c r="B211" t="s">
        <v>540</v>
      </c>
      <c r="D211" t="s">
        <v>226</v>
      </c>
      <c r="E211" s="200">
        <v>0.09</v>
      </c>
      <c r="F211" t="s">
        <v>636</v>
      </c>
      <c r="G211" s="243">
        <v>46266</v>
      </c>
      <c r="H211" s="51" t="str">
        <f t="shared" si="3"/>
        <v>SERV</v>
      </c>
      <c r="I211" s="244">
        <f>_xlfn.XLOOKUP(DISTR_FIN_0[[#This Row],[SS]],Tb_DISTR.FIN[Nº  SS],Tb_DISTR.FIN[VALOR],"",0,1)*DISTR_FIN_0[[#This Row],[%DISTR]]</f>
        <v>31364.939717999994</v>
      </c>
    </row>
    <row r="212" spans="1:9" x14ac:dyDescent="0.3">
      <c r="A212" t="s">
        <v>532</v>
      </c>
      <c r="B212" t="s">
        <v>540</v>
      </c>
      <c r="D212" t="s">
        <v>227</v>
      </c>
      <c r="E212" s="200">
        <v>0.08</v>
      </c>
      <c r="F212" t="s">
        <v>637</v>
      </c>
      <c r="G212" s="243">
        <v>46296</v>
      </c>
      <c r="H212" s="51" t="str">
        <f t="shared" si="3"/>
        <v>SERV</v>
      </c>
      <c r="I212" s="244">
        <f>_xlfn.XLOOKUP(DISTR_FIN_0[[#This Row],[SS]],Tb_DISTR.FIN[Nº  SS],Tb_DISTR.FIN[VALOR],"",0,1)*DISTR_FIN_0[[#This Row],[%DISTR]]</f>
        <v>27879.946415999999</v>
      </c>
    </row>
    <row r="213" spans="1:9" x14ac:dyDescent="0.3">
      <c r="A213" t="s">
        <v>532</v>
      </c>
      <c r="B213" t="s">
        <v>540</v>
      </c>
      <c r="D213" t="s">
        <v>228</v>
      </c>
      <c r="E213" s="200">
        <v>7.0000000000000007E-2</v>
      </c>
      <c r="F213" t="s">
        <v>638</v>
      </c>
      <c r="G213" s="243">
        <v>46327</v>
      </c>
      <c r="H213" s="51" t="str">
        <f t="shared" si="3"/>
        <v>SERV</v>
      </c>
      <c r="I213" s="244">
        <f>_xlfn.XLOOKUP(DISTR_FIN_0[[#This Row],[SS]],Tb_DISTR.FIN[Nº  SS],Tb_DISTR.FIN[VALOR],"",0,1)*DISTR_FIN_0[[#This Row],[%DISTR]]</f>
        <v>24394.953114</v>
      </c>
    </row>
    <row r="214" spans="1:9" x14ac:dyDescent="0.3">
      <c r="A214" t="s">
        <v>532</v>
      </c>
      <c r="B214" t="s">
        <v>540</v>
      </c>
      <c r="D214" t="s">
        <v>206</v>
      </c>
      <c r="E214" s="200">
        <v>0.1</v>
      </c>
      <c r="F214" t="s">
        <v>639</v>
      </c>
      <c r="G214" s="243">
        <v>46327</v>
      </c>
      <c r="H214" s="51" t="str">
        <f t="shared" si="3"/>
        <v>SERV</v>
      </c>
      <c r="I214" s="244">
        <f>_xlfn.XLOOKUP(DISTR_FIN_0[[#This Row],[SS]],Tb_DISTR.FIN[Nº  SS],Tb_DISTR.FIN[VALOR],"",0,1)*DISTR_FIN_0[[#This Row],[%DISTR]]</f>
        <v>34849.933019999997</v>
      </c>
    </row>
    <row r="215" spans="1:9" x14ac:dyDescent="0.3">
      <c r="A215" t="s">
        <v>642</v>
      </c>
      <c r="B215" t="s">
        <v>3289</v>
      </c>
      <c r="D215" t="s">
        <v>204</v>
      </c>
      <c r="E215" s="200">
        <v>0.1</v>
      </c>
      <c r="F215" t="s">
        <v>3298</v>
      </c>
      <c r="G215" s="243">
        <v>46082</v>
      </c>
      <c r="H215" s="51" t="str">
        <f t="shared" si="3"/>
        <v>PLAN</v>
      </c>
      <c r="I215" s="244">
        <f>_xlfn.XLOOKUP(DISTR_FIN_0[[#This Row],[SS]],Tb_DISTR.FIN[Nº  SS],Tb_DISTR.FIN[VALOR],"",0,1)*DISTR_FIN_0[[#This Row],[%DISTR]]</f>
        <v>41635.000763999997</v>
      </c>
    </row>
    <row r="216" spans="1:9" x14ac:dyDescent="0.3">
      <c r="A216" t="s">
        <v>642</v>
      </c>
      <c r="B216" t="s">
        <v>3289</v>
      </c>
      <c r="D216" t="s">
        <v>205</v>
      </c>
      <c r="E216" s="200">
        <v>0.2</v>
      </c>
      <c r="F216" t="s">
        <v>3299</v>
      </c>
      <c r="G216" s="243">
        <v>46113</v>
      </c>
      <c r="H216" s="51" t="str">
        <f t="shared" si="3"/>
        <v>MOB</v>
      </c>
      <c r="I216" s="244">
        <f>_xlfn.XLOOKUP(DISTR_FIN_0[[#This Row],[SS]],Tb_DISTR.FIN[Nº  SS],Tb_DISTR.FIN[VALOR],"",0,1)*DISTR_FIN_0[[#This Row],[%DISTR]]</f>
        <v>83270.001527999993</v>
      </c>
    </row>
    <row r="217" spans="1:9" x14ac:dyDescent="0.3">
      <c r="A217" t="s">
        <v>642</v>
      </c>
      <c r="B217" t="s">
        <v>3289</v>
      </c>
      <c r="D217" t="s">
        <v>222</v>
      </c>
      <c r="E217" s="200">
        <v>0.15</v>
      </c>
      <c r="F217" t="s">
        <v>3300</v>
      </c>
      <c r="G217" s="243">
        <v>46143</v>
      </c>
      <c r="H217" s="51" t="str">
        <f t="shared" si="3"/>
        <v>SERV</v>
      </c>
      <c r="I217" s="244">
        <f>_xlfn.XLOOKUP(DISTR_FIN_0[[#This Row],[SS]],Tb_DISTR.FIN[Nº  SS],Tb_DISTR.FIN[VALOR],"",0,1)*DISTR_FIN_0[[#This Row],[%DISTR]]</f>
        <v>62452.501145999995</v>
      </c>
    </row>
    <row r="218" spans="1:9" x14ac:dyDescent="0.3">
      <c r="A218" t="s">
        <v>642</v>
      </c>
      <c r="B218" t="s">
        <v>3289</v>
      </c>
      <c r="D218" t="s">
        <v>223</v>
      </c>
      <c r="E218" s="200">
        <v>0.15</v>
      </c>
      <c r="F218" t="s">
        <v>3301</v>
      </c>
      <c r="G218" s="243">
        <v>46174</v>
      </c>
      <c r="H218" s="51" t="str">
        <f t="shared" si="3"/>
        <v>SERV</v>
      </c>
      <c r="I218" s="244">
        <f>_xlfn.XLOOKUP(DISTR_FIN_0[[#This Row],[SS]],Tb_DISTR.FIN[Nº  SS],Tb_DISTR.FIN[VALOR],"",0,1)*DISTR_FIN_0[[#This Row],[%DISTR]]</f>
        <v>62452.501145999995</v>
      </c>
    </row>
    <row r="219" spans="1:9" x14ac:dyDescent="0.3">
      <c r="A219" t="s">
        <v>642</v>
      </c>
      <c r="B219" t="s">
        <v>3289</v>
      </c>
      <c r="D219" t="s">
        <v>224</v>
      </c>
      <c r="E219" s="200">
        <v>0.15</v>
      </c>
      <c r="F219" t="s">
        <v>3302</v>
      </c>
      <c r="G219" s="243">
        <v>46204</v>
      </c>
      <c r="H219" s="51" t="str">
        <f t="shared" si="3"/>
        <v>SERV</v>
      </c>
      <c r="I219" s="244">
        <f>_xlfn.XLOOKUP(DISTR_FIN_0[[#This Row],[SS]],Tb_DISTR.FIN[Nº  SS],Tb_DISTR.FIN[VALOR],"",0,1)*DISTR_FIN_0[[#This Row],[%DISTR]]</f>
        <v>62452.501145999995</v>
      </c>
    </row>
    <row r="220" spans="1:9" x14ac:dyDescent="0.3">
      <c r="A220" t="s">
        <v>642</v>
      </c>
      <c r="B220" t="s">
        <v>3289</v>
      </c>
      <c r="D220" t="s">
        <v>225</v>
      </c>
      <c r="E220" s="200">
        <v>0.15</v>
      </c>
      <c r="F220" t="s">
        <v>3303</v>
      </c>
      <c r="G220" s="243">
        <v>46235</v>
      </c>
      <c r="H220" s="51" t="str">
        <f t="shared" si="3"/>
        <v>SERV</v>
      </c>
      <c r="I220" s="244">
        <f>_xlfn.XLOOKUP(DISTR_FIN_0[[#This Row],[SS]],Tb_DISTR.FIN[Nº  SS],Tb_DISTR.FIN[VALOR],"",0,1)*DISTR_FIN_0[[#This Row],[%DISTR]]</f>
        <v>62452.501145999995</v>
      </c>
    </row>
    <row r="221" spans="1:9" x14ac:dyDescent="0.3">
      <c r="A221" t="s">
        <v>642</v>
      </c>
      <c r="B221" t="s">
        <v>3289</v>
      </c>
      <c r="D221" t="s">
        <v>206</v>
      </c>
      <c r="E221" s="200">
        <v>0.1</v>
      </c>
      <c r="F221" t="s">
        <v>3304</v>
      </c>
      <c r="G221" s="243">
        <v>46266</v>
      </c>
      <c r="H221" s="51" t="str">
        <f t="shared" si="3"/>
        <v>SERV</v>
      </c>
      <c r="I221" s="244">
        <f>_xlfn.XLOOKUP(DISTR_FIN_0[[#This Row],[SS]],Tb_DISTR.FIN[Nº  SS],Tb_DISTR.FIN[VALOR],"",0,1)*DISTR_FIN_0[[#This Row],[%DISTR]]</f>
        <v>41635.000763999997</v>
      </c>
    </row>
  </sheetData>
  <pageMargins left="0.511811024" right="0.511811024" top="0.78740157499999996" bottom="0.78740157499999996" header="0.31496062000000002" footer="0.31496062000000002"/>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B2CF8-7AFD-4408-96BE-62C2FD2A4CEB}">
  <sheetPr codeName="Planilha13">
    <tabColor theme="1"/>
  </sheetPr>
  <dimension ref="A1:G221"/>
  <sheetViews>
    <sheetView showGridLines="0" workbookViewId="0">
      <selection activeCell="D20" sqref="D20"/>
    </sheetView>
  </sheetViews>
  <sheetFormatPr defaultRowHeight="14.4" x14ac:dyDescent="0.3"/>
  <cols>
    <col min="1" max="1" width="10.5546875" bestFit="1" customWidth="1"/>
    <col min="2" max="2" width="24.6640625" bestFit="1" customWidth="1"/>
    <col min="3" max="3" width="9" bestFit="1" customWidth="1"/>
    <col min="4" max="4" width="7.5546875" bestFit="1" customWidth="1"/>
    <col min="5" max="5" width="9.88671875" bestFit="1" customWidth="1"/>
    <col min="6" max="6" width="16.44140625" customWidth="1"/>
    <col min="7" max="7" width="7.109375" bestFit="1" customWidth="1"/>
    <col min="8" max="8" width="10.6640625" bestFit="1" customWidth="1"/>
    <col min="9" max="9" width="8" bestFit="1" customWidth="1"/>
  </cols>
  <sheetData>
    <row r="1" spans="1:7" x14ac:dyDescent="0.3">
      <c r="A1" t="s">
        <v>116</v>
      </c>
      <c r="B1" t="s">
        <v>208</v>
      </c>
      <c r="C1" t="s">
        <v>552</v>
      </c>
      <c r="D1" s="53" t="s">
        <v>254</v>
      </c>
      <c r="E1" s="53" t="s">
        <v>255</v>
      </c>
      <c r="F1" t="s">
        <v>316</v>
      </c>
      <c r="G1" s="53" t="s">
        <v>256</v>
      </c>
    </row>
    <row r="2" spans="1:7" x14ac:dyDescent="0.3">
      <c r="A2" t="s">
        <v>439</v>
      </c>
      <c r="B2" t="s">
        <v>360</v>
      </c>
      <c r="C2" s="199"/>
      <c r="D2" t="s">
        <v>204</v>
      </c>
      <c r="E2" s="200">
        <v>0.1</v>
      </c>
      <c r="F2" s="199" t="s">
        <v>447</v>
      </c>
    </row>
    <row r="3" spans="1:7" x14ac:dyDescent="0.3">
      <c r="A3" t="s">
        <v>439</v>
      </c>
      <c r="B3" t="s">
        <v>360</v>
      </c>
      <c r="C3" s="199"/>
      <c r="D3" t="s">
        <v>205</v>
      </c>
      <c r="E3" s="200">
        <v>0.2</v>
      </c>
      <c r="F3" s="199" t="s">
        <v>448</v>
      </c>
    </row>
    <row r="4" spans="1:7" x14ac:dyDescent="0.3">
      <c r="A4" t="s">
        <v>439</v>
      </c>
      <c r="B4" t="s">
        <v>360</v>
      </c>
      <c r="C4" s="199"/>
      <c r="D4" t="s">
        <v>222</v>
      </c>
      <c r="E4" s="200">
        <v>0.03</v>
      </c>
      <c r="F4" s="199" t="s">
        <v>449</v>
      </c>
    </row>
    <row r="5" spans="1:7" x14ac:dyDescent="0.3">
      <c r="A5" t="s">
        <v>439</v>
      </c>
      <c r="B5" t="s">
        <v>360</v>
      </c>
      <c r="C5" s="199"/>
      <c r="D5" t="s">
        <v>223</v>
      </c>
      <c r="E5" s="200">
        <v>0.09</v>
      </c>
      <c r="F5" s="199" t="s">
        <v>450</v>
      </c>
    </row>
    <row r="6" spans="1:7" x14ac:dyDescent="0.3">
      <c r="A6" t="s">
        <v>439</v>
      </c>
      <c r="B6" t="s">
        <v>360</v>
      </c>
      <c r="C6" s="199"/>
      <c r="D6" t="s">
        <v>224</v>
      </c>
      <c r="E6" s="200">
        <v>0.09</v>
      </c>
      <c r="F6" s="199" t="s">
        <v>451</v>
      </c>
    </row>
    <row r="7" spans="1:7" x14ac:dyDescent="0.3">
      <c r="A7" t="s">
        <v>439</v>
      </c>
      <c r="B7" t="s">
        <v>360</v>
      </c>
      <c r="C7" s="199"/>
      <c r="D7" t="s">
        <v>225</v>
      </c>
      <c r="E7" s="200">
        <v>2.5000000000000001E-2</v>
      </c>
      <c r="F7" s="199" t="s">
        <v>452</v>
      </c>
    </row>
    <row r="8" spans="1:7" x14ac:dyDescent="0.3">
      <c r="A8" t="s">
        <v>439</v>
      </c>
      <c r="B8" t="s">
        <v>360</v>
      </c>
      <c r="C8" s="199"/>
      <c r="D8" t="s">
        <v>226</v>
      </c>
      <c r="E8" s="200">
        <v>7.0000000000000007E-2</v>
      </c>
      <c r="F8" s="199" t="s">
        <v>453</v>
      </c>
    </row>
    <row r="9" spans="1:7" x14ac:dyDescent="0.3">
      <c r="A9" t="s">
        <v>439</v>
      </c>
      <c r="B9" t="s">
        <v>360</v>
      </c>
      <c r="C9" s="199"/>
      <c r="D9" t="s">
        <v>227</v>
      </c>
      <c r="E9" s="200">
        <v>8.5000000000000006E-2</v>
      </c>
      <c r="F9" s="199" t="s">
        <v>454</v>
      </c>
    </row>
    <row r="10" spans="1:7" x14ac:dyDescent="0.3">
      <c r="A10" t="s">
        <v>439</v>
      </c>
      <c r="B10" t="s">
        <v>360</v>
      </c>
      <c r="C10" s="199"/>
      <c r="D10" t="s">
        <v>228</v>
      </c>
      <c r="E10" s="200">
        <v>0.11</v>
      </c>
      <c r="F10" s="199" t="s">
        <v>455</v>
      </c>
    </row>
    <row r="11" spans="1:7" x14ac:dyDescent="0.3">
      <c r="A11" t="s">
        <v>439</v>
      </c>
      <c r="B11" t="s">
        <v>360</v>
      </c>
      <c r="C11" s="199"/>
      <c r="D11" t="s">
        <v>229</v>
      </c>
      <c r="E11" s="200">
        <v>0.1</v>
      </c>
      <c r="F11" s="199" t="s">
        <v>456</v>
      </c>
    </row>
    <row r="12" spans="1:7" x14ac:dyDescent="0.3">
      <c r="A12" t="s">
        <v>439</v>
      </c>
      <c r="B12" t="s">
        <v>360</v>
      </c>
      <c r="C12" s="199"/>
      <c r="D12" t="s">
        <v>206</v>
      </c>
      <c r="E12" s="200">
        <v>0.1</v>
      </c>
      <c r="F12" s="199" t="s">
        <v>457</v>
      </c>
    </row>
    <row r="13" spans="1:7" x14ac:dyDescent="0.3">
      <c r="A13" t="s">
        <v>440</v>
      </c>
      <c r="B13" t="s">
        <v>361</v>
      </c>
      <c r="C13" s="199"/>
      <c r="D13" t="s">
        <v>204</v>
      </c>
      <c r="E13" s="200">
        <v>8.3130569514498792E-2</v>
      </c>
      <c r="F13" s="199" t="s">
        <v>459</v>
      </c>
    </row>
    <row r="14" spans="1:7" x14ac:dyDescent="0.3">
      <c r="A14" t="s">
        <v>440</v>
      </c>
      <c r="B14" t="s">
        <v>361</v>
      </c>
      <c r="C14" s="199"/>
      <c r="D14" t="s">
        <v>205</v>
      </c>
      <c r="E14" s="200">
        <v>0.15459999999999996</v>
      </c>
      <c r="F14" s="199" t="s">
        <v>460</v>
      </c>
    </row>
    <row r="15" spans="1:7" x14ac:dyDescent="0.3">
      <c r="A15" t="s">
        <v>440</v>
      </c>
      <c r="B15" t="s">
        <v>361</v>
      </c>
      <c r="C15" s="199"/>
      <c r="D15" t="s">
        <v>222</v>
      </c>
      <c r="E15" s="200">
        <v>7.729999999999998E-2</v>
      </c>
      <c r="F15" s="199" t="s">
        <v>461</v>
      </c>
    </row>
    <row r="16" spans="1:7" x14ac:dyDescent="0.3">
      <c r="A16" t="s">
        <v>440</v>
      </c>
      <c r="B16" t="s">
        <v>361</v>
      </c>
      <c r="C16" s="199"/>
      <c r="D16" t="s">
        <v>223</v>
      </c>
      <c r="E16" s="200">
        <v>0.24736</v>
      </c>
      <c r="F16" s="199" t="s">
        <v>462</v>
      </c>
    </row>
    <row r="17" spans="1:6" x14ac:dyDescent="0.3">
      <c r="A17" t="s">
        <v>440</v>
      </c>
      <c r="B17" t="s">
        <v>361</v>
      </c>
      <c r="C17" s="199"/>
      <c r="D17" t="s">
        <v>224</v>
      </c>
      <c r="E17" s="200">
        <v>0.33760999999999997</v>
      </c>
      <c r="F17" s="199" t="s">
        <v>463</v>
      </c>
    </row>
    <row r="18" spans="1:6" x14ac:dyDescent="0.3">
      <c r="A18" t="s">
        <v>440</v>
      </c>
      <c r="B18" t="s">
        <v>361</v>
      </c>
      <c r="C18" s="199"/>
      <c r="D18" t="s">
        <v>206</v>
      </c>
      <c r="E18" s="200">
        <v>9.9999430485501306E-2</v>
      </c>
      <c r="F18" s="199" t="s">
        <v>464</v>
      </c>
    </row>
    <row r="19" spans="1:6" x14ac:dyDescent="0.3">
      <c r="A19" t="s">
        <v>441</v>
      </c>
      <c r="B19" t="s">
        <v>362</v>
      </c>
      <c r="C19" s="199"/>
      <c r="D19" t="s">
        <v>204</v>
      </c>
      <c r="E19" s="200">
        <v>9.5865966269729166E-2</v>
      </c>
      <c r="F19" s="199" t="s">
        <v>466</v>
      </c>
    </row>
    <row r="20" spans="1:6" x14ac:dyDescent="0.3">
      <c r="A20" t="s">
        <v>441</v>
      </c>
      <c r="B20" t="s">
        <v>362</v>
      </c>
      <c r="C20" s="199"/>
      <c r="D20" t="s">
        <v>205</v>
      </c>
      <c r="E20" s="200">
        <v>0.19173193253945833</v>
      </c>
      <c r="F20" s="199" t="s">
        <v>467</v>
      </c>
    </row>
    <row r="21" spans="1:6" x14ac:dyDescent="0.3">
      <c r="A21" t="s">
        <v>441</v>
      </c>
      <c r="B21" t="s">
        <v>362</v>
      </c>
      <c r="C21" s="199"/>
      <c r="D21" t="s">
        <v>222</v>
      </c>
      <c r="E21" s="200">
        <v>0.25</v>
      </c>
      <c r="F21" s="199" t="s">
        <v>468</v>
      </c>
    </row>
    <row r="22" spans="1:6" x14ac:dyDescent="0.3">
      <c r="A22" t="s">
        <v>441</v>
      </c>
      <c r="B22" t="s">
        <v>362</v>
      </c>
      <c r="C22" s="199"/>
      <c r="D22" t="s">
        <v>223</v>
      </c>
      <c r="E22" s="200">
        <v>0.2</v>
      </c>
      <c r="F22" s="199" t="s">
        <v>469</v>
      </c>
    </row>
    <row r="23" spans="1:6" x14ac:dyDescent="0.3">
      <c r="A23" t="s">
        <v>441</v>
      </c>
      <c r="B23" t="s">
        <v>362</v>
      </c>
      <c r="C23" s="199"/>
      <c r="D23" t="s">
        <v>224</v>
      </c>
      <c r="E23" s="200">
        <v>0.16240210119081241</v>
      </c>
      <c r="F23" s="199" t="s">
        <v>470</v>
      </c>
    </row>
    <row r="24" spans="1:6" x14ac:dyDescent="0.3">
      <c r="A24" t="s">
        <v>441</v>
      </c>
      <c r="B24" t="s">
        <v>362</v>
      </c>
      <c r="C24" s="199"/>
      <c r="D24" t="s">
        <v>206</v>
      </c>
      <c r="E24" s="200">
        <v>0.1</v>
      </c>
      <c r="F24" s="199" t="s">
        <v>471</v>
      </c>
    </row>
    <row r="25" spans="1:6" x14ac:dyDescent="0.3">
      <c r="A25" t="s">
        <v>442</v>
      </c>
      <c r="B25" t="s">
        <v>363</v>
      </c>
      <c r="C25" s="199"/>
      <c r="D25" t="s">
        <v>204</v>
      </c>
      <c r="E25" s="200">
        <v>9.1290681986541097E-2</v>
      </c>
      <c r="F25" s="199" t="s">
        <v>473</v>
      </c>
    </row>
    <row r="26" spans="1:6" x14ac:dyDescent="0.3">
      <c r="A26" t="s">
        <v>442</v>
      </c>
      <c r="B26" t="s">
        <v>363</v>
      </c>
      <c r="C26" s="199"/>
      <c r="D26" t="s">
        <v>205</v>
      </c>
      <c r="E26" s="200">
        <v>0.18258136397308219</v>
      </c>
      <c r="F26" s="199" t="s">
        <v>474</v>
      </c>
    </row>
    <row r="27" spans="1:6" x14ac:dyDescent="0.3">
      <c r="A27" t="s">
        <v>442</v>
      </c>
      <c r="B27" t="s">
        <v>363</v>
      </c>
      <c r="C27" s="199"/>
      <c r="D27" t="s">
        <v>222</v>
      </c>
      <c r="E27" s="200">
        <v>0.18258136397308219</v>
      </c>
      <c r="F27" s="199" t="s">
        <v>475</v>
      </c>
    </row>
    <row r="28" spans="1:6" x14ac:dyDescent="0.3">
      <c r="A28" t="s">
        <v>442</v>
      </c>
      <c r="B28" t="s">
        <v>363</v>
      </c>
      <c r="C28" s="199"/>
      <c r="D28" t="s">
        <v>223</v>
      </c>
      <c r="E28" s="200">
        <v>0.25</v>
      </c>
      <c r="F28" s="199" t="s">
        <v>476</v>
      </c>
    </row>
    <row r="29" spans="1:6" x14ac:dyDescent="0.3">
      <c r="A29" t="s">
        <v>442</v>
      </c>
      <c r="B29" t="s">
        <v>363</v>
      </c>
      <c r="C29" s="199"/>
      <c r="D29" t="s">
        <v>224</v>
      </c>
      <c r="E29" s="200">
        <v>0.19354659006729452</v>
      </c>
      <c r="F29" s="199" t="s">
        <v>477</v>
      </c>
    </row>
    <row r="30" spans="1:6" x14ac:dyDescent="0.3">
      <c r="A30" t="s">
        <v>442</v>
      </c>
      <c r="B30" t="s">
        <v>363</v>
      </c>
      <c r="C30" s="199"/>
      <c r="D30" t="s">
        <v>206</v>
      </c>
      <c r="E30" s="200">
        <v>0.1</v>
      </c>
      <c r="F30" s="199" t="s">
        <v>478</v>
      </c>
    </row>
    <row r="31" spans="1:6" x14ac:dyDescent="0.3">
      <c r="A31" t="s">
        <v>443</v>
      </c>
      <c r="B31" t="s">
        <v>364</v>
      </c>
      <c r="C31" s="199"/>
      <c r="D31" t="s">
        <v>204</v>
      </c>
      <c r="E31" s="200">
        <v>0.1</v>
      </c>
      <c r="F31" s="199" t="s">
        <v>480</v>
      </c>
    </row>
    <row r="32" spans="1:6" x14ac:dyDescent="0.3">
      <c r="A32" t="s">
        <v>443</v>
      </c>
      <c r="B32" t="s">
        <v>364</v>
      </c>
      <c r="C32" s="199"/>
      <c r="D32" t="s">
        <v>205</v>
      </c>
      <c r="E32" s="200">
        <v>0.2</v>
      </c>
      <c r="F32" s="199" t="s">
        <v>481</v>
      </c>
    </row>
    <row r="33" spans="1:6" x14ac:dyDescent="0.3">
      <c r="A33" t="s">
        <v>443</v>
      </c>
      <c r="B33" t="s">
        <v>364</v>
      </c>
      <c r="C33" s="199"/>
      <c r="D33" t="s">
        <v>222</v>
      </c>
      <c r="E33" s="200">
        <v>0.2</v>
      </c>
      <c r="F33" s="199" t="s">
        <v>482</v>
      </c>
    </row>
    <row r="34" spans="1:6" x14ac:dyDescent="0.3">
      <c r="A34" t="s">
        <v>443</v>
      </c>
      <c r="B34" t="s">
        <v>364</v>
      </c>
      <c r="C34" s="199"/>
      <c r="D34" t="s">
        <v>223</v>
      </c>
      <c r="E34" s="200">
        <v>0.15</v>
      </c>
      <c r="F34" s="199" t="s">
        <v>483</v>
      </c>
    </row>
    <row r="35" spans="1:6" x14ac:dyDescent="0.3">
      <c r="A35" t="s">
        <v>443</v>
      </c>
      <c r="B35" t="s">
        <v>364</v>
      </c>
      <c r="C35" s="199"/>
      <c r="D35" t="s">
        <v>224</v>
      </c>
      <c r="E35" s="200">
        <v>0.25</v>
      </c>
      <c r="F35" s="199" t="s">
        <v>484</v>
      </c>
    </row>
    <row r="36" spans="1:6" x14ac:dyDescent="0.3">
      <c r="A36" t="s">
        <v>443</v>
      </c>
      <c r="B36" t="s">
        <v>364</v>
      </c>
      <c r="C36" s="199"/>
      <c r="D36" t="s">
        <v>206</v>
      </c>
      <c r="E36" s="200">
        <v>0.1</v>
      </c>
      <c r="F36" s="199" t="s">
        <v>485</v>
      </c>
    </row>
    <row r="37" spans="1:6" x14ac:dyDescent="0.3">
      <c r="A37" t="s">
        <v>444</v>
      </c>
      <c r="B37" t="s">
        <v>365</v>
      </c>
      <c r="C37" s="199"/>
      <c r="D37" t="s">
        <v>204</v>
      </c>
      <c r="E37" s="200">
        <v>0.10754227250963888</v>
      </c>
      <c r="F37" s="199" t="s">
        <v>487</v>
      </c>
    </row>
    <row r="38" spans="1:6" x14ac:dyDescent="0.3">
      <c r="A38" t="s">
        <v>444</v>
      </c>
      <c r="B38" t="s">
        <v>365</v>
      </c>
      <c r="C38" s="199"/>
      <c r="D38" t="s">
        <v>205</v>
      </c>
      <c r="E38" s="200">
        <v>0.2</v>
      </c>
      <c r="F38" s="199" t="s">
        <v>488</v>
      </c>
    </row>
    <row r="39" spans="1:6" x14ac:dyDescent="0.3">
      <c r="A39" t="s">
        <v>444</v>
      </c>
      <c r="B39" t="s">
        <v>365</v>
      </c>
      <c r="C39" s="199"/>
      <c r="D39" t="s">
        <v>222</v>
      </c>
      <c r="E39" s="200">
        <v>0.05</v>
      </c>
      <c r="F39" s="199" t="s">
        <v>489</v>
      </c>
    </row>
    <row r="40" spans="1:6" x14ac:dyDescent="0.3">
      <c r="A40" t="s">
        <v>444</v>
      </c>
      <c r="B40" t="s">
        <v>365</v>
      </c>
      <c r="C40" s="199"/>
      <c r="D40" t="s">
        <v>223</v>
      </c>
      <c r="E40" s="200">
        <v>0.35</v>
      </c>
      <c r="F40" s="199" t="s">
        <v>490</v>
      </c>
    </row>
    <row r="41" spans="1:6" x14ac:dyDescent="0.3">
      <c r="A41" t="s">
        <v>444</v>
      </c>
      <c r="B41" t="s">
        <v>365</v>
      </c>
      <c r="C41" s="199"/>
      <c r="D41" t="s">
        <v>224</v>
      </c>
      <c r="E41" s="200">
        <v>0.2</v>
      </c>
      <c r="F41" s="199" t="s">
        <v>491</v>
      </c>
    </row>
    <row r="42" spans="1:6" x14ac:dyDescent="0.3">
      <c r="A42" t="s">
        <v>444</v>
      </c>
      <c r="B42" t="s">
        <v>365</v>
      </c>
      <c r="C42" s="199"/>
      <c r="D42" t="s">
        <v>206</v>
      </c>
      <c r="E42" s="200">
        <v>9.2457727490361075E-2</v>
      </c>
      <c r="F42" s="199" t="s">
        <v>492</v>
      </c>
    </row>
    <row r="43" spans="1:6" x14ac:dyDescent="0.3">
      <c r="A43" t="s">
        <v>54</v>
      </c>
      <c r="B43" t="s">
        <v>366</v>
      </c>
      <c r="C43" s="199"/>
      <c r="D43" t="s">
        <v>204</v>
      </c>
      <c r="E43" s="200">
        <v>9.6676913353549929E-2</v>
      </c>
      <c r="F43" s="199" t="s">
        <v>317</v>
      </c>
    </row>
    <row r="44" spans="1:6" x14ac:dyDescent="0.3">
      <c r="A44" t="s">
        <v>54</v>
      </c>
      <c r="B44" t="s">
        <v>366</v>
      </c>
      <c r="C44" s="199"/>
      <c r="D44" t="s">
        <v>205</v>
      </c>
      <c r="E44" s="200">
        <v>0.19335382670709986</v>
      </c>
      <c r="F44" s="199" t="s">
        <v>318</v>
      </c>
    </row>
    <row r="45" spans="1:6" x14ac:dyDescent="0.3">
      <c r="A45" t="s">
        <v>54</v>
      </c>
      <c r="B45" t="s">
        <v>366</v>
      </c>
      <c r="C45" s="199"/>
      <c r="D45" t="s">
        <v>222</v>
      </c>
      <c r="E45" s="200">
        <v>4.8338456676774964E-2</v>
      </c>
      <c r="F45" s="199" t="s">
        <v>257</v>
      </c>
    </row>
    <row r="46" spans="1:6" x14ac:dyDescent="0.3">
      <c r="A46" t="s">
        <v>54</v>
      </c>
      <c r="B46" t="s">
        <v>366</v>
      </c>
      <c r="C46" s="199"/>
      <c r="D46" t="s">
        <v>223</v>
      </c>
      <c r="E46" s="200">
        <v>0.2</v>
      </c>
      <c r="F46" s="199" t="s">
        <v>258</v>
      </c>
    </row>
    <row r="47" spans="1:6" x14ac:dyDescent="0.3">
      <c r="A47" t="s">
        <v>54</v>
      </c>
      <c r="B47" t="s">
        <v>366</v>
      </c>
      <c r="C47" s="199"/>
      <c r="D47" t="s">
        <v>224</v>
      </c>
      <c r="E47" s="200">
        <v>0.2</v>
      </c>
      <c r="F47" s="199" t="s">
        <v>259</v>
      </c>
    </row>
    <row r="48" spans="1:6" x14ac:dyDescent="0.3">
      <c r="A48" t="s">
        <v>54</v>
      </c>
      <c r="B48" t="s">
        <v>366</v>
      </c>
      <c r="C48" s="199"/>
      <c r="D48" t="s">
        <v>225</v>
      </c>
      <c r="E48" s="200">
        <v>0.16163080326257515</v>
      </c>
      <c r="F48" s="199" t="s">
        <v>260</v>
      </c>
    </row>
    <row r="49" spans="1:6" x14ac:dyDescent="0.3">
      <c r="A49" t="s">
        <v>54</v>
      </c>
      <c r="B49" t="s">
        <v>366</v>
      </c>
      <c r="C49" s="199"/>
      <c r="D49" t="s">
        <v>206</v>
      </c>
      <c r="E49" s="200">
        <v>0.1</v>
      </c>
      <c r="F49" s="199" t="s">
        <v>261</v>
      </c>
    </row>
    <row r="50" spans="1:6" x14ac:dyDescent="0.3">
      <c r="A50" t="s">
        <v>55</v>
      </c>
      <c r="B50" t="s">
        <v>367</v>
      </c>
      <c r="C50" s="199"/>
      <c r="D50" t="s">
        <v>204</v>
      </c>
      <c r="E50" s="200">
        <v>0.10754250835634356</v>
      </c>
      <c r="F50" s="199" t="s">
        <v>319</v>
      </c>
    </row>
    <row r="51" spans="1:6" x14ac:dyDescent="0.3">
      <c r="A51" t="s">
        <v>55</v>
      </c>
      <c r="B51" t="s">
        <v>367</v>
      </c>
      <c r="C51" s="199"/>
      <c r="D51" t="s">
        <v>205</v>
      </c>
      <c r="E51" s="200">
        <v>0.2</v>
      </c>
      <c r="F51" s="199" t="s">
        <v>320</v>
      </c>
    </row>
    <row r="52" spans="1:6" x14ac:dyDescent="0.3">
      <c r="A52" t="s">
        <v>55</v>
      </c>
      <c r="B52" t="s">
        <v>367</v>
      </c>
      <c r="C52" s="199"/>
      <c r="D52" t="s">
        <v>222</v>
      </c>
      <c r="E52" s="200">
        <v>0.3</v>
      </c>
      <c r="F52" s="199" t="s">
        <v>262</v>
      </c>
    </row>
    <row r="53" spans="1:6" x14ac:dyDescent="0.3">
      <c r="A53" t="s">
        <v>55</v>
      </c>
      <c r="B53" t="s">
        <v>367</v>
      </c>
      <c r="C53" s="199"/>
      <c r="D53" t="s">
        <v>223</v>
      </c>
      <c r="E53" s="200">
        <v>0.3</v>
      </c>
      <c r="F53" s="199" t="s">
        <v>263</v>
      </c>
    </row>
    <row r="54" spans="1:6" x14ac:dyDescent="0.3">
      <c r="A54" t="s">
        <v>55</v>
      </c>
      <c r="B54" t="s">
        <v>367</v>
      </c>
      <c r="C54" s="199"/>
      <c r="D54" t="s">
        <v>206</v>
      </c>
      <c r="E54" s="200">
        <v>9.2457491643656464E-2</v>
      </c>
      <c r="F54" s="199" t="s">
        <v>264</v>
      </c>
    </row>
    <row r="55" spans="1:6" x14ac:dyDescent="0.3">
      <c r="A55" t="s">
        <v>56</v>
      </c>
      <c r="B55" t="s">
        <v>368</v>
      </c>
      <c r="C55" s="199"/>
      <c r="D55" t="s">
        <v>204</v>
      </c>
      <c r="E55" s="200">
        <v>0.1</v>
      </c>
      <c r="F55" s="199" t="s">
        <v>321</v>
      </c>
    </row>
    <row r="56" spans="1:6" x14ac:dyDescent="0.3">
      <c r="A56" t="s">
        <v>56</v>
      </c>
      <c r="B56" t="s">
        <v>368</v>
      </c>
      <c r="C56" s="199"/>
      <c r="D56" t="s">
        <v>205</v>
      </c>
      <c r="E56" s="200">
        <v>0.2</v>
      </c>
      <c r="F56" s="199" t="s">
        <v>322</v>
      </c>
    </row>
    <row r="57" spans="1:6" x14ac:dyDescent="0.3">
      <c r="A57" t="s">
        <v>56</v>
      </c>
      <c r="B57" t="s">
        <v>368</v>
      </c>
      <c r="C57" s="199"/>
      <c r="D57" t="s">
        <v>222</v>
      </c>
      <c r="E57" s="200">
        <v>0.1</v>
      </c>
      <c r="F57" s="199" t="s">
        <v>265</v>
      </c>
    </row>
    <row r="58" spans="1:6" x14ac:dyDescent="0.3">
      <c r="A58" t="s">
        <v>56</v>
      </c>
      <c r="B58" t="s">
        <v>368</v>
      </c>
      <c r="C58" s="199"/>
      <c r="D58" t="s">
        <v>223</v>
      </c>
      <c r="E58" s="200">
        <v>0.4</v>
      </c>
      <c r="F58" s="199" t="s">
        <v>266</v>
      </c>
    </row>
    <row r="59" spans="1:6" x14ac:dyDescent="0.3">
      <c r="A59" t="s">
        <v>56</v>
      </c>
      <c r="B59" t="s">
        <v>368</v>
      </c>
      <c r="C59" s="199"/>
      <c r="D59" t="s">
        <v>224</v>
      </c>
      <c r="E59" s="200">
        <v>0.1</v>
      </c>
      <c r="F59" s="199" t="s">
        <v>267</v>
      </c>
    </row>
    <row r="60" spans="1:6" x14ac:dyDescent="0.3">
      <c r="A60" t="s">
        <v>56</v>
      </c>
      <c r="B60" t="s">
        <v>368</v>
      </c>
      <c r="C60" s="199"/>
      <c r="D60" t="s">
        <v>206</v>
      </c>
      <c r="E60" s="200">
        <v>0.1</v>
      </c>
      <c r="F60" s="199" t="s">
        <v>268</v>
      </c>
    </row>
    <row r="61" spans="1:6" x14ac:dyDescent="0.3">
      <c r="A61" t="s">
        <v>58</v>
      </c>
      <c r="B61" t="s">
        <v>213</v>
      </c>
      <c r="C61" s="199"/>
      <c r="D61" t="s">
        <v>204</v>
      </c>
      <c r="E61" s="200">
        <v>0.1</v>
      </c>
      <c r="F61" s="199" t="s">
        <v>323</v>
      </c>
    </row>
    <row r="62" spans="1:6" x14ac:dyDescent="0.3">
      <c r="A62" t="s">
        <v>58</v>
      </c>
      <c r="B62" t="s">
        <v>213</v>
      </c>
      <c r="C62" s="199"/>
      <c r="D62" t="s">
        <v>205</v>
      </c>
      <c r="E62" s="200">
        <v>0.2</v>
      </c>
      <c r="F62" s="199" t="s">
        <v>324</v>
      </c>
    </row>
    <row r="63" spans="1:6" x14ac:dyDescent="0.3">
      <c r="A63" t="s">
        <v>58</v>
      </c>
      <c r="B63" t="s">
        <v>213</v>
      </c>
      <c r="C63" s="199"/>
      <c r="D63" t="s">
        <v>222</v>
      </c>
      <c r="E63" s="200">
        <v>0.04</v>
      </c>
      <c r="F63" s="199" t="s">
        <v>269</v>
      </c>
    </row>
    <row r="64" spans="1:6" x14ac:dyDescent="0.3">
      <c r="A64" t="s">
        <v>58</v>
      </c>
      <c r="B64" t="s">
        <v>213</v>
      </c>
      <c r="C64" s="199"/>
      <c r="D64" t="s">
        <v>223</v>
      </c>
      <c r="E64" s="200">
        <v>0.08</v>
      </c>
      <c r="F64" s="199" t="s">
        <v>270</v>
      </c>
    </row>
    <row r="65" spans="1:6" x14ac:dyDescent="0.3">
      <c r="A65" t="s">
        <v>58</v>
      </c>
      <c r="B65" t="s">
        <v>213</v>
      </c>
      <c r="C65" s="199"/>
      <c r="D65" t="s">
        <v>224</v>
      </c>
      <c r="E65" s="200">
        <v>0.08</v>
      </c>
      <c r="F65" s="199" t="s">
        <v>271</v>
      </c>
    </row>
    <row r="66" spans="1:6" x14ac:dyDescent="0.3">
      <c r="A66" t="s">
        <v>58</v>
      </c>
      <c r="B66" t="s">
        <v>213</v>
      </c>
      <c r="C66" s="199"/>
      <c r="D66" t="s">
        <v>225</v>
      </c>
      <c r="E66" s="200">
        <v>7.0000000000000007E-2</v>
      </c>
      <c r="F66" s="199" t="s">
        <v>272</v>
      </c>
    </row>
    <row r="67" spans="1:6" x14ac:dyDescent="0.3">
      <c r="A67" t="s">
        <v>58</v>
      </c>
      <c r="B67" t="s">
        <v>213</v>
      </c>
      <c r="C67" s="199"/>
      <c r="D67" t="s">
        <v>226</v>
      </c>
      <c r="E67" s="200">
        <v>0.08</v>
      </c>
      <c r="F67" s="199" t="s">
        <v>273</v>
      </c>
    </row>
    <row r="68" spans="1:6" x14ac:dyDescent="0.3">
      <c r="A68" t="s">
        <v>58</v>
      </c>
      <c r="B68" t="s">
        <v>213</v>
      </c>
      <c r="C68" s="199"/>
      <c r="D68" t="s">
        <v>227</v>
      </c>
      <c r="E68" s="200">
        <v>7.0000000000000007E-2</v>
      </c>
      <c r="F68" s="199" t="s">
        <v>274</v>
      </c>
    </row>
    <row r="69" spans="1:6" x14ac:dyDescent="0.3">
      <c r="A69" t="s">
        <v>58</v>
      </c>
      <c r="B69" t="s">
        <v>213</v>
      </c>
      <c r="C69" s="199"/>
      <c r="D69" t="s">
        <v>228</v>
      </c>
      <c r="E69" s="200">
        <v>0.09</v>
      </c>
      <c r="F69" s="199" t="s">
        <v>275</v>
      </c>
    </row>
    <row r="70" spans="1:6" x14ac:dyDescent="0.3">
      <c r="A70" t="s">
        <v>58</v>
      </c>
      <c r="B70" t="s">
        <v>213</v>
      </c>
      <c r="C70" s="199"/>
      <c r="D70" t="s">
        <v>229</v>
      </c>
      <c r="E70" s="200">
        <v>0.05</v>
      </c>
      <c r="F70" s="199" t="s">
        <v>276</v>
      </c>
    </row>
    <row r="71" spans="1:6" x14ac:dyDescent="0.3">
      <c r="A71" t="s">
        <v>58</v>
      </c>
      <c r="B71" t="s">
        <v>213</v>
      </c>
      <c r="C71" s="199"/>
      <c r="D71" t="s">
        <v>230</v>
      </c>
      <c r="E71" s="200">
        <v>0.04</v>
      </c>
      <c r="F71" s="199" t="s">
        <v>277</v>
      </c>
    </row>
    <row r="72" spans="1:6" x14ac:dyDescent="0.3">
      <c r="A72" t="s">
        <v>58</v>
      </c>
      <c r="B72" t="s">
        <v>213</v>
      </c>
      <c r="C72" s="199"/>
      <c r="D72" t="s">
        <v>206</v>
      </c>
      <c r="E72" s="200">
        <v>0.1</v>
      </c>
      <c r="F72" s="199" t="s">
        <v>278</v>
      </c>
    </row>
    <row r="73" spans="1:6" x14ac:dyDescent="0.3">
      <c r="A73" t="s">
        <v>59</v>
      </c>
      <c r="B73" t="s">
        <v>214</v>
      </c>
      <c r="C73" s="199"/>
      <c r="D73" t="s">
        <v>204</v>
      </c>
      <c r="E73" s="200">
        <v>0.1</v>
      </c>
      <c r="F73" s="199" t="s">
        <v>325</v>
      </c>
    </row>
    <row r="74" spans="1:6" x14ac:dyDescent="0.3">
      <c r="A74" t="s">
        <v>59</v>
      </c>
      <c r="B74" t="s">
        <v>214</v>
      </c>
      <c r="C74" s="199"/>
      <c r="D74" t="s">
        <v>205</v>
      </c>
      <c r="E74" s="200">
        <v>0.2</v>
      </c>
      <c r="F74" s="199" t="s">
        <v>326</v>
      </c>
    </row>
    <row r="75" spans="1:6" x14ac:dyDescent="0.3">
      <c r="A75" t="s">
        <v>59</v>
      </c>
      <c r="B75" t="s">
        <v>214</v>
      </c>
      <c r="C75" s="199"/>
      <c r="D75" t="s">
        <v>222</v>
      </c>
      <c r="E75" s="200">
        <v>0.2</v>
      </c>
      <c r="F75" s="199" t="s">
        <v>279</v>
      </c>
    </row>
    <row r="76" spans="1:6" x14ac:dyDescent="0.3">
      <c r="A76" t="s">
        <v>59</v>
      </c>
      <c r="B76" t="s">
        <v>214</v>
      </c>
      <c r="C76" s="199"/>
      <c r="D76" t="s">
        <v>223</v>
      </c>
      <c r="E76" s="200">
        <v>0.25</v>
      </c>
      <c r="F76" s="199" t="s">
        <v>280</v>
      </c>
    </row>
    <row r="77" spans="1:6" x14ac:dyDescent="0.3">
      <c r="A77" t="s">
        <v>59</v>
      </c>
      <c r="B77" t="s">
        <v>214</v>
      </c>
      <c r="C77" s="199"/>
      <c r="D77" t="s">
        <v>224</v>
      </c>
      <c r="E77" s="200">
        <v>0.15</v>
      </c>
      <c r="F77" s="199" t="s">
        <v>281</v>
      </c>
    </row>
    <row r="78" spans="1:6" x14ac:dyDescent="0.3">
      <c r="A78" t="s">
        <v>59</v>
      </c>
      <c r="B78" t="s">
        <v>214</v>
      </c>
      <c r="C78" s="199"/>
      <c r="D78" t="s">
        <v>206</v>
      </c>
      <c r="E78" s="200">
        <v>0.1</v>
      </c>
      <c r="F78" s="199" t="s">
        <v>282</v>
      </c>
    </row>
    <row r="79" spans="1:6" x14ac:dyDescent="0.3">
      <c r="A79" t="s">
        <v>60</v>
      </c>
      <c r="B79" t="s">
        <v>217</v>
      </c>
      <c r="C79" s="199"/>
      <c r="D79" t="s">
        <v>204</v>
      </c>
      <c r="E79" s="200">
        <v>0.1</v>
      </c>
      <c r="F79" s="199" t="s">
        <v>327</v>
      </c>
    </row>
    <row r="80" spans="1:6" x14ac:dyDescent="0.3">
      <c r="A80" t="s">
        <v>60</v>
      </c>
      <c r="B80" t="s">
        <v>217</v>
      </c>
      <c r="C80" s="199"/>
      <c r="D80" t="s">
        <v>205</v>
      </c>
      <c r="E80" s="200">
        <v>0.2</v>
      </c>
      <c r="F80" s="199" t="s">
        <v>328</v>
      </c>
    </row>
    <row r="81" spans="1:6" x14ac:dyDescent="0.3">
      <c r="A81" t="s">
        <v>60</v>
      </c>
      <c r="B81" t="s">
        <v>217</v>
      </c>
      <c r="C81" s="199"/>
      <c r="D81" t="s">
        <v>222</v>
      </c>
      <c r="E81" s="200">
        <v>0.08</v>
      </c>
      <c r="F81" s="199" t="s">
        <v>283</v>
      </c>
    </row>
    <row r="82" spans="1:6" x14ac:dyDescent="0.3">
      <c r="A82" t="s">
        <v>60</v>
      </c>
      <c r="B82" t="s">
        <v>217</v>
      </c>
      <c r="C82" s="199"/>
      <c r="D82" t="s">
        <v>223</v>
      </c>
      <c r="E82" s="200">
        <v>0.1</v>
      </c>
      <c r="F82" s="199" t="s">
        <v>284</v>
      </c>
    </row>
    <row r="83" spans="1:6" x14ac:dyDescent="0.3">
      <c r="A83" t="s">
        <v>60</v>
      </c>
      <c r="B83" t="s">
        <v>217</v>
      </c>
      <c r="C83" s="199"/>
      <c r="D83" t="s">
        <v>224</v>
      </c>
      <c r="E83" s="200">
        <v>0.1</v>
      </c>
      <c r="F83" s="199" t="s">
        <v>285</v>
      </c>
    </row>
    <row r="84" spans="1:6" x14ac:dyDescent="0.3">
      <c r="A84" t="s">
        <v>60</v>
      </c>
      <c r="B84" t="s">
        <v>217</v>
      </c>
      <c r="C84" s="199"/>
      <c r="D84" t="s">
        <v>225</v>
      </c>
      <c r="E84" s="200">
        <v>0.09</v>
      </c>
      <c r="F84" s="199" t="s">
        <v>286</v>
      </c>
    </row>
    <row r="85" spans="1:6" x14ac:dyDescent="0.3">
      <c r="A85" t="s">
        <v>60</v>
      </c>
      <c r="B85" t="s">
        <v>217</v>
      </c>
      <c r="C85" s="199"/>
      <c r="D85" t="s">
        <v>226</v>
      </c>
      <c r="E85" s="200">
        <v>0.09</v>
      </c>
      <c r="F85" s="199" t="s">
        <v>287</v>
      </c>
    </row>
    <row r="86" spans="1:6" x14ac:dyDescent="0.3">
      <c r="A86" t="s">
        <v>60</v>
      </c>
      <c r="B86" t="s">
        <v>217</v>
      </c>
      <c r="C86" s="199"/>
      <c r="D86" t="s">
        <v>227</v>
      </c>
      <c r="E86" s="200">
        <v>0.09</v>
      </c>
      <c r="F86" s="199" t="s">
        <v>288</v>
      </c>
    </row>
    <row r="87" spans="1:6" x14ac:dyDescent="0.3">
      <c r="A87" t="s">
        <v>60</v>
      </c>
      <c r="B87" t="s">
        <v>217</v>
      </c>
      <c r="C87" s="199"/>
      <c r="D87" t="s">
        <v>228</v>
      </c>
      <c r="E87" s="200">
        <v>0.05</v>
      </c>
      <c r="F87" s="199" t="s">
        <v>289</v>
      </c>
    </row>
    <row r="88" spans="1:6" x14ac:dyDescent="0.3">
      <c r="A88" t="s">
        <v>60</v>
      </c>
      <c r="B88" t="s">
        <v>217</v>
      </c>
      <c r="C88" s="199"/>
      <c r="D88" t="s">
        <v>206</v>
      </c>
      <c r="E88" s="200">
        <v>0.1</v>
      </c>
      <c r="F88" s="199" t="s">
        <v>290</v>
      </c>
    </row>
    <row r="89" spans="1:6" x14ac:dyDescent="0.3">
      <c r="A89" t="s">
        <v>61</v>
      </c>
      <c r="B89" t="s">
        <v>209</v>
      </c>
      <c r="C89" s="199"/>
      <c r="D89" t="s">
        <v>204</v>
      </c>
      <c r="E89" s="200">
        <v>0.1</v>
      </c>
      <c r="F89" s="199" t="s">
        <v>329</v>
      </c>
    </row>
    <row r="90" spans="1:6" x14ac:dyDescent="0.3">
      <c r="A90" t="s">
        <v>61</v>
      </c>
      <c r="B90" t="s">
        <v>209</v>
      </c>
      <c r="C90" s="199"/>
      <c r="D90" t="s">
        <v>205</v>
      </c>
      <c r="E90" s="200">
        <v>0.2</v>
      </c>
      <c r="F90" s="199" t="s">
        <v>330</v>
      </c>
    </row>
    <row r="91" spans="1:6" x14ac:dyDescent="0.3">
      <c r="A91" t="s">
        <v>61</v>
      </c>
      <c r="B91" t="s">
        <v>209</v>
      </c>
      <c r="C91" s="199"/>
      <c r="D91" t="s">
        <v>222</v>
      </c>
      <c r="E91" s="200">
        <v>0.15</v>
      </c>
      <c r="F91" s="199" t="s">
        <v>291</v>
      </c>
    </row>
    <row r="92" spans="1:6" x14ac:dyDescent="0.3">
      <c r="A92" t="s">
        <v>61</v>
      </c>
      <c r="B92" t="s">
        <v>209</v>
      </c>
      <c r="C92" s="199"/>
      <c r="D92" t="s">
        <v>223</v>
      </c>
      <c r="E92" s="200">
        <v>0.3</v>
      </c>
      <c r="F92" s="199" t="s">
        <v>292</v>
      </c>
    </row>
    <row r="93" spans="1:6" x14ac:dyDescent="0.3">
      <c r="A93" t="s">
        <v>61</v>
      </c>
      <c r="B93" t="s">
        <v>209</v>
      </c>
      <c r="C93" s="199"/>
      <c r="D93" t="s">
        <v>224</v>
      </c>
      <c r="E93" s="200">
        <v>0.15</v>
      </c>
      <c r="F93" s="199" t="s">
        <v>293</v>
      </c>
    </row>
    <row r="94" spans="1:6" x14ac:dyDescent="0.3">
      <c r="A94" t="s">
        <v>61</v>
      </c>
      <c r="B94" t="s">
        <v>209</v>
      </c>
      <c r="C94" s="199"/>
      <c r="D94" t="s">
        <v>206</v>
      </c>
      <c r="E94" s="200">
        <v>0.1</v>
      </c>
      <c r="F94" s="199" t="s">
        <v>294</v>
      </c>
    </row>
    <row r="95" spans="1:6" x14ac:dyDescent="0.3">
      <c r="A95" t="s">
        <v>62</v>
      </c>
      <c r="B95" t="s">
        <v>215</v>
      </c>
      <c r="C95" s="199"/>
      <c r="D95" t="s">
        <v>204</v>
      </c>
      <c r="E95" s="200">
        <v>0.1</v>
      </c>
      <c r="F95" s="199" t="s">
        <v>331</v>
      </c>
    </row>
    <row r="96" spans="1:6" x14ac:dyDescent="0.3">
      <c r="A96" t="s">
        <v>62</v>
      </c>
      <c r="B96" t="s">
        <v>215</v>
      </c>
      <c r="C96" s="199"/>
      <c r="D96" t="s">
        <v>205</v>
      </c>
      <c r="E96" s="200">
        <v>0.2</v>
      </c>
      <c r="F96" s="199" t="s">
        <v>332</v>
      </c>
    </row>
    <row r="97" spans="1:6" x14ac:dyDescent="0.3">
      <c r="A97" t="s">
        <v>62</v>
      </c>
      <c r="B97" t="s">
        <v>215</v>
      </c>
      <c r="C97" s="199"/>
      <c r="D97" t="s">
        <v>222</v>
      </c>
      <c r="E97" s="200">
        <v>0.3</v>
      </c>
      <c r="F97" s="199" t="s">
        <v>295</v>
      </c>
    </row>
    <row r="98" spans="1:6" x14ac:dyDescent="0.3">
      <c r="A98" t="s">
        <v>62</v>
      </c>
      <c r="B98" t="s">
        <v>215</v>
      </c>
      <c r="C98" s="199"/>
      <c r="D98" t="s">
        <v>223</v>
      </c>
      <c r="E98" s="200">
        <v>0.15</v>
      </c>
      <c r="F98" s="199" t="s">
        <v>296</v>
      </c>
    </row>
    <row r="99" spans="1:6" x14ac:dyDescent="0.3">
      <c r="A99" t="s">
        <v>62</v>
      </c>
      <c r="B99" t="s">
        <v>215</v>
      </c>
      <c r="C99" s="199"/>
      <c r="D99" t="s">
        <v>224</v>
      </c>
      <c r="E99" s="200">
        <v>0.15</v>
      </c>
      <c r="F99" s="199" t="s">
        <v>297</v>
      </c>
    </row>
    <row r="100" spans="1:6" x14ac:dyDescent="0.3">
      <c r="A100" t="s">
        <v>62</v>
      </c>
      <c r="B100" t="s">
        <v>215</v>
      </c>
      <c r="C100" s="199"/>
      <c r="D100" t="s">
        <v>206</v>
      </c>
      <c r="E100" s="200">
        <v>0.1</v>
      </c>
      <c r="F100" s="199" t="s">
        <v>298</v>
      </c>
    </row>
    <row r="101" spans="1:6" x14ac:dyDescent="0.3">
      <c r="A101" t="s">
        <v>63</v>
      </c>
      <c r="B101" t="s">
        <v>210</v>
      </c>
      <c r="C101" s="199"/>
      <c r="D101" t="s">
        <v>204</v>
      </c>
      <c r="E101" s="200">
        <v>6.950608328318951E-2</v>
      </c>
      <c r="F101" s="199" t="s">
        <v>333</v>
      </c>
    </row>
    <row r="102" spans="1:6" x14ac:dyDescent="0.3">
      <c r="A102" t="s">
        <v>63</v>
      </c>
      <c r="B102" t="s">
        <v>210</v>
      </c>
      <c r="C102" s="199"/>
      <c r="D102" t="s">
        <v>205</v>
      </c>
      <c r="E102" s="200">
        <v>0.13901216656637902</v>
      </c>
      <c r="F102" s="199" t="s">
        <v>334</v>
      </c>
    </row>
    <row r="103" spans="1:6" x14ac:dyDescent="0.3">
      <c r="A103" t="s">
        <v>63</v>
      </c>
      <c r="B103" t="s">
        <v>210</v>
      </c>
      <c r="C103" s="199"/>
      <c r="D103" t="s">
        <v>222</v>
      </c>
      <c r="E103" s="200">
        <v>0.13901216656637902</v>
      </c>
      <c r="F103" s="199" t="s">
        <v>299</v>
      </c>
    </row>
    <row r="104" spans="1:6" x14ac:dyDescent="0.3">
      <c r="A104" t="s">
        <v>63</v>
      </c>
      <c r="B104" t="s">
        <v>210</v>
      </c>
      <c r="C104" s="199"/>
      <c r="D104" t="s">
        <v>223</v>
      </c>
      <c r="E104" s="200">
        <v>0.32623479179202619</v>
      </c>
      <c r="F104" s="199" t="s">
        <v>300</v>
      </c>
    </row>
    <row r="105" spans="1:6" x14ac:dyDescent="0.3">
      <c r="A105" t="s">
        <v>63</v>
      </c>
      <c r="B105" t="s">
        <v>210</v>
      </c>
      <c r="C105" s="199"/>
      <c r="D105" t="s">
        <v>224</v>
      </c>
      <c r="E105" s="200">
        <v>0.32623479179202619</v>
      </c>
      <c r="F105" s="199" t="s">
        <v>301</v>
      </c>
    </row>
    <row r="106" spans="1:6" x14ac:dyDescent="0.3">
      <c r="A106" t="s">
        <v>164</v>
      </c>
      <c r="B106" t="s">
        <v>209</v>
      </c>
      <c r="C106" s="199"/>
      <c r="D106" t="s">
        <v>204</v>
      </c>
      <c r="E106" s="200">
        <v>0.1</v>
      </c>
      <c r="F106" s="199" t="s">
        <v>335</v>
      </c>
    </row>
    <row r="107" spans="1:6" x14ac:dyDescent="0.3">
      <c r="A107" t="s">
        <v>164</v>
      </c>
      <c r="B107" t="s">
        <v>209</v>
      </c>
      <c r="C107" s="199"/>
      <c r="D107" t="s">
        <v>205</v>
      </c>
      <c r="E107" s="200">
        <v>0.2</v>
      </c>
      <c r="F107" s="199" t="s">
        <v>336</v>
      </c>
    </row>
    <row r="108" spans="1:6" x14ac:dyDescent="0.3">
      <c r="A108" t="s">
        <v>164</v>
      </c>
      <c r="B108" t="s">
        <v>209</v>
      </c>
      <c r="C108" s="199"/>
      <c r="D108" t="s">
        <v>222</v>
      </c>
      <c r="E108" s="200">
        <v>0.3</v>
      </c>
      <c r="F108" s="199" t="s">
        <v>302</v>
      </c>
    </row>
    <row r="109" spans="1:6" x14ac:dyDescent="0.3">
      <c r="A109" t="s">
        <v>164</v>
      </c>
      <c r="B109" t="s">
        <v>209</v>
      </c>
      <c r="C109" s="199"/>
      <c r="D109" t="s">
        <v>223</v>
      </c>
      <c r="E109" s="200">
        <v>0.15</v>
      </c>
      <c r="F109" s="199" t="s">
        <v>303</v>
      </c>
    </row>
    <row r="110" spans="1:6" x14ac:dyDescent="0.3">
      <c r="A110" t="s">
        <v>164</v>
      </c>
      <c r="B110" t="s">
        <v>209</v>
      </c>
      <c r="C110" s="199"/>
      <c r="D110" t="s">
        <v>224</v>
      </c>
      <c r="E110" s="200">
        <v>0.15</v>
      </c>
      <c r="F110" s="199" t="s">
        <v>304</v>
      </c>
    </row>
    <row r="111" spans="1:6" x14ac:dyDescent="0.3">
      <c r="A111" t="s">
        <v>164</v>
      </c>
      <c r="B111" t="s">
        <v>209</v>
      </c>
      <c r="C111" s="199"/>
      <c r="D111" t="s">
        <v>206</v>
      </c>
      <c r="E111" s="200">
        <v>0.1</v>
      </c>
      <c r="F111" s="199" t="s">
        <v>305</v>
      </c>
    </row>
    <row r="112" spans="1:6" x14ac:dyDescent="0.3">
      <c r="A112" t="s">
        <v>165</v>
      </c>
      <c r="B112" t="s">
        <v>212</v>
      </c>
      <c r="C112" s="199"/>
      <c r="D112" t="s">
        <v>204</v>
      </c>
      <c r="E112" s="200">
        <v>0.1</v>
      </c>
      <c r="F112" s="199" t="s">
        <v>337</v>
      </c>
    </row>
    <row r="113" spans="1:6" x14ac:dyDescent="0.3">
      <c r="A113" t="s">
        <v>165</v>
      </c>
      <c r="B113" t="s">
        <v>212</v>
      </c>
      <c r="C113" s="199"/>
      <c r="D113" t="s">
        <v>205</v>
      </c>
      <c r="E113" s="200">
        <v>0.2</v>
      </c>
      <c r="F113" s="199" t="s">
        <v>338</v>
      </c>
    </row>
    <row r="114" spans="1:6" x14ac:dyDescent="0.3">
      <c r="A114" t="s">
        <v>165</v>
      </c>
      <c r="B114" t="s">
        <v>212</v>
      </c>
      <c r="C114" s="199"/>
      <c r="D114" t="s">
        <v>222</v>
      </c>
      <c r="E114" s="200">
        <v>0.6</v>
      </c>
      <c r="F114" s="199" t="s">
        <v>306</v>
      </c>
    </row>
    <row r="115" spans="1:6" x14ac:dyDescent="0.3">
      <c r="A115" t="s">
        <v>165</v>
      </c>
      <c r="B115" t="s">
        <v>212</v>
      </c>
      <c r="C115" s="199"/>
      <c r="D115" t="s">
        <v>206</v>
      </c>
      <c r="E115" s="200">
        <v>0.1</v>
      </c>
      <c r="F115" s="199" t="s">
        <v>307</v>
      </c>
    </row>
    <row r="116" spans="1:6" x14ac:dyDescent="0.3">
      <c r="A116" t="s">
        <v>166</v>
      </c>
      <c r="B116" t="s">
        <v>218</v>
      </c>
      <c r="C116" s="199"/>
      <c r="D116" t="s">
        <v>204</v>
      </c>
      <c r="E116" s="200">
        <v>6.1302207041072365E-2</v>
      </c>
      <c r="F116" s="199" t="s">
        <v>339</v>
      </c>
    </row>
    <row r="117" spans="1:6" x14ac:dyDescent="0.3">
      <c r="A117" t="s">
        <v>166</v>
      </c>
      <c r="B117" t="s">
        <v>218</v>
      </c>
      <c r="C117" s="199"/>
      <c r="D117" t="s">
        <v>205</v>
      </c>
      <c r="E117" s="200">
        <v>0.12260441408214473</v>
      </c>
      <c r="F117" s="199" t="s">
        <v>340</v>
      </c>
    </row>
    <row r="118" spans="1:6" x14ac:dyDescent="0.3">
      <c r="A118" t="s">
        <v>166</v>
      </c>
      <c r="B118" t="s">
        <v>218</v>
      </c>
      <c r="C118" s="199"/>
      <c r="D118" t="s">
        <v>222</v>
      </c>
      <c r="E118" s="200">
        <v>7.356265092506635E-2</v>
      </c>
      <c r="F118" s="199" t="s">
        <v>308</v>
      </c>
    </row>
    <row r="119" spans="1:6" x14ac:dyDescent="0.3">
      <c r="A119" t="s">
        <v>166</v>
      </c>
      <c r="B119" t="s">
        <v>218</v>
      </c>
      <c r="C119" s="199"/>
      <c r="D119" t="s">
        <v>223</v>
      </c>
      <c r="E119" s="200">
        <v>7.356265092506635E-2</v>
      </c>
      <c r="F119" s="199" t="s">
        <v>309</v>
      </c>
    </row>
    <row r="120" spans="1:6" x14ac:dyDescent="0.3">
      <c r="A120" t="s">
        <v>166</v>
      </c>
      <c r="B120" t="s">
        <v>218</v>
      </c>
      <c r="C120" s="199"/>
      <c r="D120" t="s">
        <v>224</v>
      </c>
      <c r="E120" s="200">
        <v>7.356E-2</v>
      </c>
      <c r="F120" s="199" t="s">
        <v>310</v>
      </c>
    </row>
    <row r="121" spans="1:6" x14ac:dyDescent="0.3">
      <c r="A121" t="s">
        <v>166</v>
      </c>
      <c r="B121" t="s">
        <v>218</v>
      </c>
      <c r="C121" s="199"/>
      <c r="D121" t="s">
        <v>225</v>
      </c>
      <c r="E121" s="200">
        <v>7.356E-2</v>
      </c>
      <c r="F121" s="199" t="s">
        <v>311</v>
      </c>
    </row>
    <row r="122" spans="1:6" x14ac:dyDescent="0.3">
      <c r="A122" t="s">
        <v>166</v>
      </c>
      <c r="B122" t="s">
        <v>218</v>
      </c>
      <c r="C122" s="199"/>
      <c r="D122" t="s">
        <v>226</v>
      </c>
      <c r="E122" s="200">
        <v>3.065E-2</v>
      </c>
      <c r="F122" s="199" t="s">
        <v>312</v>
      </c>
    </row>
    <row r="123" spans="1:6" x14ac:dyDescent="0.3">
      <c r="A123" t="s">
        <v>166</v>
      </c>
      <c r="B123" t="s">
        <v>218</v>
      </c>
      <c r="C123" s="199"/>
      <c r="D123" t="s">
        <v>227</v>
      </c>
      <c r="E123" s="200">
        <v>3.065E-2</v>
      </c>
      <c r="F123" s="199" t="s">
        <v>313</v>
      </c>
    </row>
    <row r="124" spans="1:6" x14ac:dyDescent="0.3">
      <c r="A124" t="s">
        <v>166</v>
      </c>
      <c r="B124" t="s">
        <v>218</v>
      </c>
      <c r="C124" s="199"/>
      <c r="D124" t="s">
        <v>228</v>
      </c>
      <c r="E124" s="200">
        <v>0.23444999999999999</v>
      </c>
      <c r="F124" s="199" t="s">
        <v>314</v>
      </c>
    </row>
    <row r="125" spans="1:6" x14ac:dyDescent="0.3">
      <c r="A125" t="s">
        <v>166</v>
      </c>
      <c r="B125" t="s">
        <v>218</v>
      </c>
      <c r="C125" s="199"/>
      <c r="D125" t="s">
        <v>229</v>
      </c>
      <c r="E125" s="200">
        <v>0.11611</v>
      </c>
      <c r="F125" s="199" t="s">
        <v>550</v>
      </c>
    </row>
    <row r="126" spans="1:6" x14ac:dyDescent="0.3">
      <c r="A126" t="s">
        <v>166</v>
      </c>
      <c r="B126" t="s">
        <v>218</v>
      </c>
      <c r="C126" s="199"/>
      <c r="D126" t="s">
        <v>230</v>
      </c>
      <c r="E126" s="200">
        <v>0.01</v>
      </c>
      <c r="F126" s="199" t="s">
        <v>551</v>
      </c>
    </row>
    <row r="127" spans="1:6" x14ac:dyDescent="0.3">
      <c r="A127" t="s">
        <v>166</v>
      </c>
      <c r="B127" t="s">
        <v>218</v>
      </c>
      <c r="C127" s="199"/>
      <c r="D127" t="s">
        <v>206</v>
      </c>
      <c r="E127" s="200">
        <v>9.9988077026650246E-2</v>
      </c>
      <c r="F127" s="199" t="s">
        <v>315</v>
      </c>
    </row>
    <row r="128" spans="1:6" x14ac:dyDescent="0.3">
      <c r="A128" t="s">
        <v>240</v>
      </c>
      <c r="B128" t="s">
        <v>356</v>
      </c>
      <c r="C128" s="199"/>
      <c r="D128" t="s">
        <v>204</v>
      </c>
      <c r="E128" s="200">
        <v>0.1</v>
      </c>
      <c r="F128" s="199" t="s">
        <v>344</v>
      </c>
    </row>
    <row r="129" spans="1:6" x14ac:dyDescent="0.3">
      <c r="A129" t="s">
        <v>240</v>
      </c>
      <c r="B129" t="s">
        <v>356</v>
      </c>
      <c r="C129" s="199"/>
      <c r="D129" t="s">
        <v>205</v>
      </c>
      <c r="E129" s="200">
        <v>0.2</v>
      </c>
      <c r="F129" s="199" t="s">
        <v>345</v>
      </c>
    </row>
    <row r="130" spans="1:6" x14ac:dyDescent="0.3">
      <c r="A130" t="s">
        <v>240</v>
      </c>
      <c r="B130" t="s">
        <v>356</v>
      </c>
      <c r="C130" s="199"/>
      <c r="D130" t="s">
        <v>222</v>
      </c>
      <c r="E130" s="200">
        <v>0.1</v>
      </c>
      <c r="F130" s="199" t="s">
        <v>370</v>
      </c>
    </row>
    <row r="131" spans="1:6" x14ac:dyDescent="0.3">
      <c r="A131" t="s">
        <v>240</v>
      </c>
      <c r="B131" t="s">
        <v>356</v>
      </c>
      <c r="C131" s="199"/>
      <c r="D131" t="s">
        <v>223</v>
      </c>
      <c r="E131" s="200">
        <v>0.06</v>
      </c>
      <c r="F131" s="199" t="s">
        <v>371</v>
      </c>
    </row>
    <row r="132" spans="1:6" x14ac:dyDescent="0.3">
      <c r="A132" t="s">
        <v>240</v>
      </c>
      <c r="B132" t="s">
        <v>356</v>
      </c>
      <c r="C132" s="199"/>
      <c r="D132" t="s">
        <v>224</v>
      </c>
      <c r="E132" s="200">
        <v>0.12</v>
      </c>
      <c r="F132" s="199" t="s">
        <v>372</v>
      </c>
    </row>
    <row r="133" spans="1:6" x14ac:dyDescent="0.3">
      <c r="A133" t="s">
        <v>240</v>
      </c>
      <c r="B133" t="s">
        <v>356</v>
      </c>
      <c r="C133" s="199"/>
      <c r="D133" t="s">
        <v>225</v>
      </c>
      <c r="E133" s="200">
        <v>0.12</v>
      </c>
      <c r="F133" s="199" t="s">
        <v>373</v>
      </c>
    </row>
    <row r="134" spans="1:6" x14ac:dyDescent="0.3">
      <c r="A134" t="s">
        <v>240</v>
      </c>
      <c r="B134" t="s">
        <v>356</v>
      </c>
      <c r="C134" s="199"/>
      <c r="D134" t="s">
        <v>226</v>
      </c>
      <c r="E134" s="200">
        <v>0.1</v>
      </c>
      <c r="F134" s="199" t="s">
        <v>374</v>
      </c>
    </row>
    <row r="135" spans="1:6" x14ac:dyDescent="0.3">
      <c r="A135" t="s">
        <v>240</v>
      </c>
      <c r="B135" t="s">
        <v>356</v>
      </c>
      <c r="C135" s="199"/>
      <c r="D135" t="s">
        <v>227</v>
      </c>
      <c r="E135" s="200">
        <v>0.1</v>
      </c>
      <c r="F135" s="199" t="s">
        <v>375</v>
      </c>
    </row>
    <row r="136" spans="1:6" x14ac:dyDescent="0.3">
      <c r="A136" t="s">
        <v>240</v>
      </c>
      <c r="B136" t="s">
        <v>356</v>
      </c>
      <c r="C136" s="199"/>
      <c r="D136" t="s">
        <v>206</v>
      </c>
      <c r="E136" s="200">
        <v>0.1</v>
      </c>
      <c r="F136" s="199" t="s">
        <v>376</v>
      </c>
    </row>
    <row r="137" spans="1:6" x14ac:dyDescent="0.3">
      <c r="A137" t="s">
        <v>241</v>
      </c>
      <c r="B137" t="s">
        <v>357</v>
      </c>
      <c r="C137" s="199"/>
      <c r="D137" t="s">
        <v>204</v>
      </c>
      <c r="E137" s="200">
        <v>0.1</v>
      </c>
      <c r="F137" s="199" t="s">
        <v>342</v>
      </c>
    </row>
    <row r="138" spans="1:6" x14ac:dyDescent="0.3">
      <c r="A138" t="s">
        <v>241</v>
      </c>
      <c r="B138" t="s">
        <v>357</v>
      </c>
      <c r="C138" s="199"/>
      <c r="D138" t="s">
        <v>205</v>
      </c>
      <c r="E138" s="200">
        <v>0.2</v>
      </c>
      <c r="F138" s="199" t="s">
        <v>346</v>
      </c>
    </row>
    <row r="139" spans="1:6" x14ac:dyDescent="0.3">
      <c r="A139" t="s">
        <v>241</v>
      </c>
      <c r="B139" t="s">
        <v>357</v>
      </c>
      <c r="C139" s="199"/>
      <c r="D139" t="s">
        <v>222</v>
      </c>
      <c r="E139" s="200">
        <v>0.1</v>
      </c>
      <c r="F139" s="199" t="s">
        <v>377</v>
      </c>
    </row>
    <row r="140" spans="1:6" x14ac:dyDescent="0.3">
      <c r="A140" t="s">
        <v>241</v>
      </c>
      <c r="B140" t="s">
        <v>357</v>
      </c>
      <c r="C140" s="199"/>
      <c r="D140" t="s">
        <v>223</v>
      </c>
      <c r="E140" s="200">
        <v>0.15</v>
      </c>
      <c r="F140" s="199" t="s">
        <v>378</v>
      </c>
    </row>
    <row r="141" spans="1:6" x14ac:dyDescent="0.3">
      <c r="A141" t="s">
        <v>241</v>
      </c>
      <c r="B141" t="s">
        <v>357</v>
      </c>
      <c r="C141" s="199"/>
      <c r="D141" t="s">
        <v>224</v>
      </c>
      <c r="E141" s="200">
        <v>0.15</v>
      </c>
      <c r="F141" s="199" t="s">
        <v>379</v>
      </c>
    </row>
    <row r="142" spans="1:6" x14ac:dyDescent="0.3">
      <c r="A142" t="s">
        <v>241</v>
      </c>
      <c r="B142" t="s">
        <v>357</v>
      </c>
      <c r="C142" s="199"/>
      <c r="D142" t="s">
        <v>225</v>
      </c>
      <c r="E142" s="200">
        <v>0.2</v>
      </c>
      <c r="F142" s="199" t="s">
        <v>380</v>
      </c>
    </row>
    <row r="143" spans="1:6" x14ac:dyDescent="0.3">
      <c r="A143" t="s">
        <v>241</v>
      </c>
      <c r="B143" t="s">
        <v>357</v>
      </c>
      <c r="C143" s="199"/>
      <c r="D143" t="s">
        <v>206</v>
      </c>
      <c r="E143" s="200">
        <v>0.1</v>
      </c>
      <c r="F143" s="199" t="s">
        <v>381</v>
      </c>
    </row>
    <row r="144" spans="1:6" x14ac:dyDescent="0.3">
      <c r="A144" t="s">
        <v>242</v>
      </c>
      <c r="B144" t="s">
        <v>358</v>
      </c>
      <c r="C144" s="199"/>
      <c r="D144" t="s">
        <v>204</v>
      </c>
      <c r="E144" s="200">
        <v>0.1</v>
      </c>
      <c r="F144" s="199" t="s">
        <v>347</v>
      </c>
    </row>
    <row r="145" spans="1:6" x14ac:dyDescent="0.3">
      <c r="A145" t="s">
        <v>242</v>
      </c>
      <c r="B145" t="s">
        <v>358</v>
      </c>
      <c r="C145" s="199"/>
      <c r="D145" t="s">
        <v>205</v>
      </c>
      <c r="E145" s="200">
        <v>0.2</v>
      </c>
      <c r="F145" s="199" t="s">
        <v>348</v>
      </c>
    </row>
    <row r="146" spans="1:6" x14ac:dyDescent="0.3">
      <c r="A146" t="s">
        <v>242</v>
      </c>
      <c r="B146" t="s">
        <v>358</v>
      </c>
      <c r="C146" s="199"/>
      <c r="D146" t="s">
        <v>222</v>
      </c>
      <c r="E146" s="200">
        <v>0.1</v>
      </c>
      <c r="F146" s="199" t="s">
        <v>382</v>
      </c>
    </row>
    <row r="147" spans="1:6" x14ac:dyDescent="0.3">
      <c r="A147" t="s">
        <v>242</v>
      </c>
      <c r="B147" t="s">
        <v>358</v>
      </c>
      <c r="C147" s="199"/>
      <c r="D147" t="s">
        <v>223</v>
      </c>
      <c r="E147" s="200">
        <v>0.05</v>
      </c>
      <c r="F147" s="199" t="s">
        <v>383</v>
      </c>
    </row>
    <row r="148" spans="1:6" x14ac:dyDescent="0.3">
      <c r="A148" t="s">
        <v>242</v>
      </c>
      <c r="B148" t="s">
        <v>358</v>
      </c>
      <c r="C148" s="199"/>
      <c r="D148" t="s">
        <v>224</v>
      </c>
      <c r="E148" s="200">
        <v>0.09</v>
      </c>
      <c r="F148" s="199" t="s">
        <v>384</v>
      </c>
    </row>
    <row r="149" spans="1:6" x14ac:dyDescent="0.3">
      <c r="A149" t="s">
        <v>242</v>
      </c>
      <c r="B149" t="s">
        <v>358</v>
      </c>
      <c r="C149" s="199"/>
      <c r="D149" t="s">
        <v>225</v>
      </c>
      <c r="E149" s="200">
        <v>0.12</v>
      </c>
      <c r="F149" s="199" t="s">
        <v>385</v>
      </c>
    </row>
    <row r="150" spans="1:6" x14ac:dyDescent="0.3">
      <c r="A150" t="s">
        <v>242</v>
      </c>
      <c r="B150" t="s">
        <v>358</v>
      </c>
      <c r="C150" s="199"/>
      <c r="D150" t="s">
        <v>226</v>
      </c>
      <c r="E150" s="200">
        <v>0.12</v>
      </c>
      <c r="F150" s="199" t="s">
        <v>386</v>
      </c>
    </row>
    <row r="151" spans="1:6" x14ac:dyDescent="0.3">
      <c r="A151" t="s">
        <v>242</v>
      </c>
      <c r="B151" t="s">
        <v>358</v>
      </c>
      <c r="C151" s="199"/>
      <c r="D151" t="s">
        <v>227</v>
      </c>
      <c r="E151" s="200">
        <v>0.12</v>
      </c>
      <c r="F151" s="199" t="s">
        <v>387</v>
      </c>
    </row>
    <row r="152" spans="1:6" x14ac:dyDescent="0.3">
      <c r="A152" t="s">
        <v>242</v>
      </c>
      <c r="B152" t="s">
        <v>358</v>
      </c>
      <c r="C152" s="199"/>
      <c r="D152" t="s">
        <v>206</v>
      </c>
      <c r="E152" s="200">
        <v>0.1</v>
      </c>
      <c r="F152" s="199" t="s">
        <v>388</v>
      </c>
    </row>
    <row r="153" spans="1:6" x14ac:dyDescent="0.3">
      <c r="A153" t="s">
        <v>243</v>
      </c>
      <c r="B153" t="s">
        <v>359</v>
      </c>
      <c r="C153" s="199"/>
      <c r="D153" t="s">
        <v>204</v>
      </c>
      <c r="E153" s="200">
        <v>0.1</v>
      </c>
      <c r="F153" s="199" t="s">
        <v>343</v>
      </c>
    </row>
    <row r="154" spans="1:6" x14ac:dyDescent="0.3">
      <c r="A154" t="s">
        <v>243</v>
      </c>
      <c r="B154" t="s">
        <v>359</v>
      </c>
      <c r="C154" s="199"/>
      <c r="D154" t="s">
        <v>205</v>
      </c>
      <c r="E154" s="200">
        <v>0.2</v>
      </c>
      <c r="F154" s="199" t="s">
        <v>349</v>
      </c>
    </row>
    <row r="155" spans="1:6" x14ac:dyDescent="0.3">
      <c r="A155" t="s">
        <v>243</v>
      </c>
      <c r="B155" t="s">
        <v>359</v>
      </c>
      <c r="C155" s="199"/>
      <c r="D155" t="s">
        <v>222</v>
      </c>
      <c r="E155" s="200">
        <v>0.15</v>
      </c>
      <c r="F155" s="199" t="s">
        <v>389</v>
      </c>
    </row>
    <row r="156" spans="1:6" x14ac:dyDescent="0.3">
      <c r="A156" t="s">
        <v>243</v>
      </c>
      <c r="B156" t="s">
        <v>359</v>
      </c>
      <c r="C156" s="199"/>
      <c r="D156" t="s">
        <v>223</v>
      </c>
      <c r="E156" s="200">
        <v>0.3</v>
      </c>
      <c r="F156" s="199" t="s">
        <v>390</v>
      </c>
    </row>
    <row r="157" spans="1:6" x14ac:dyDescent="0.3">
      <c r="A157" t="s">
        <v>243</v>
      </c>
      <c r="B157" t="s">
        <v>359</v>
      </c>
      <c r="C157" s="199"/>
      <c r="D157" t="s">
        <v>224</v>
      </c>
      <c r="E157" s="200">
        <v>0.15</v>
      </c>
      <c r="F157" s="199" t="s">
        <v>391</v>
      </c>
    </row>
    <row r="158" spans="1:6" x14ac:dyDescent="0.3">
      <c r="A158" t="s">
        <v>243</v>
      </c>
      <c r="B158" t="s">
        <v>359</v>
      </c>
      <c r="C158" s="199"/>
      <c r="D158" t="s">
        <v>206</v>
      </c>
      <c r="E158" s="200">
        <v>0.1</v>
      </c>
      <c r="F158" s="199" t="s">
        <v>392</v>
      </c>
    </row>
    <row r="159" spans="1:6" x14ac:dyDescent="0.3">
      <c r="A159" t="s">
        <v>244</v>
      </c>
      <c r="B159" t="s">
        <v>252</v>
      </c>
      <c r="C159" s="199"/>
      <c r="D159" t="s">
        <v>204</v>
      </c>
      <c r="E159" s="200">
        <v>0.1</v>
      </c>
      <c r="F159" s="199" t="s">
        <v>504</v>
      </c>
    </row>
    <row r="160" spans="1:6" x14ac:dyDescent="0.3">
      <c r="A160" t="s">
        <v>244</v>
      </c>
      <c r="B160" t="s">
        <v>252</v>
      </c>
      <c r="C160" s="199"/>
      <c r="D160" t="s">
        <v>205</v>
      </c>
      <c r="E160" s="200">
        <v>0.2</v>
      </c>
      <c r="F160" s="199" t="s">
        <v>505</v>
      </c>
    </row>
    <row r="161" spans="1:6" x14ac:dyDescent="0.3">
      <c r="A161" t="s">
        <v>244</v>
      </c>
      <c r="B161" t="s">
        <v>252</v>
      </c>
      <c r="C161" s="199"/>
      <c r="D161" t="s">
        <v>222</v>
      </c>
      <c r="E161" s="200">
        <v>0.15</v>
      </c>
      <c r="F161" s="199" t="s">
        <v>506</v>
      </c>
    </row>
    <row r="162" spans="1:6" x14ac:dyDescent="0.3">
      <c r="A162" t="s">
        <v>244</v>
      </c>
      <c r="B162" t="s">
        <v>252</v>
      </c>
      <c r="C162" s="199"/>
      <c r="D162" t="s">
        <v>223</v>
      </c>
      <c r="E162" s="200">
        <v>0.4</v>
      </c>
      <c r="F162" s="199" t="s">
        <v>507</v>
      </c>
    </row>
    <row r="163" spans="1:6" x14ac:dyDescent="0.3">
      <c r="A163" t="s">
        <v>244</v>
      </c>
      <c r="B163" t="s">
        <v>252</v>
      </c>
      <c r="C163" s="199"/>
      <c r="D163" t="s">
        <v>224</v>
      </c>
      <c r="E163" s="200">
        <v>0.05</v>
      </c>
      <c r="F163" s="199" t="s">
        <v>508</v>
      </c>
    </row>
    <row r="164" spans="1:6" x14ac:dyDescent="0.3">
      <c r="A164" t="s">
        <v>244</v>
      </c>
      <c r="B164" t="s">
        <v>252</v>
      </c>
      <c r="C164" s="199"/>
      <c r="D164" t="s">
        <v>206</v>
      </c>
      <c r="E164" s="200">
        <v>0.1</v>
      </c>
      <c r="F164" s="199" t="s">
        <v>509</v>
      </c>
    </row>
    <row r="165" spans="1:6" x14ac:dyDescent="0.3">
      <c r="A165" t="s">
        <v>250</v>
      </c>
      <c r="B165" t="s">
        <v>253</v>
      </c>
      <c r="C165" s="199"/>
      <c r="D165" t="s">
        <v>204</v>
      </c>
      <c r="E165" s="200">
        <v>0.1</v>
      </c>
      <c r="F165" s="199" t="s">
        <v>350</v>
      </c>
    </row>
    <row r="166" spans="1:6" x14ac:dyDescent="0.3">
      <c r="A166" t="s">
        <v>250</v>
      </c>
      <c r="B166" t="s">
        <v>253</v>
      </c>
      <c r="C166" s="199"/>
      <c r="D166" t="s">
        <v>205</v>
      </c>
      <c r="E166" s="200">
        <v>0.2</v>
      </c>
      <c r="F166" s="199" t="s">
        <v>351</v>
      </c>
    </row>
    <row r="167" spans="1:6" x14ac:dyDescent="0.3">
      <c r="A167" t="s">
        <v>250</v>
      </c>
      <c r="B167" t="s">
        <v>253</v>
      </c>
      <c r="C167" s="199"/>
      <c r="D167" t="s">
        <v>222</v>
      </c>
      <c r="E167" s="200">
        <v>0.6</v>
      </c>
      <c r="F167" s="199" t="s">
        <v>352</v>
      </c>
    </row>
    <row r="168" spans="1:6" x14ac:dyDescent="0.3">
      <c r="A168" t="s">
        <v>250</v>
      </c>
      <c r="B168" t="s">
        <v>253</v>
      </c>
      <c r="C168" s="199"/>
      <c r="D168" t="s">
        <v>206</v>
      </c>
      <c r="E168" s="200">
        <v>0.1</v>
      </c>
      <c r="F168" s="199" t="s">
        <v>369</v>
      </c>
    </row>
    <row r="169" spans="1:6" x14ac:dyDescent="0.3">
      <c r="A169" t="s">
        <v>417</v>
      </c>
      <c r="B169" t="s">
        <v>420</v>
      </c>
      <c r="C169" s="199"/>
      <c r="D169" t="s">
        <v>204</v>
      </c>
      <c r="E169" s="200">
        <v>0.1</v>
      </c>
      <c r="F169" s="199" t="s">
        <v>494</v>
      </c>
    </row>
    <row r="170" spans="1:6" x14ac:dyDescent="0.3">
      <c r="A170" t="s">
        <v>417</v>
      </c>
      <c r="B170" t="s">
        <v>420</v>
      </c>
      <c r="C170" s="199"/>
      <c r="D170" t="s">
        <v>205</v>
      </c>
      <c r="E170" s="200">
        <v>0.2</v>
      </c>
      <c r="F170" s="199" t="s">
        <v>495</v>
      </c>
    </row>
    <row r="171" spans="1:6" x14ac:dyDescent="0.3">
      <c r="A171" t="s">
        <v>417</v>
      </c>
      <c r="B171" t="s">
        <v>420</v>
      </c>
      <c r="C171" s="199"/>
      <c r="D171" t="s">
        <v>222</v>
      </c>
      <c r="E171" s="200">
        <v>0.6</v>
      </c>
      <c r="F171" s="199" t="s">
        <v>496</v>
      </c>
    </row>
    <row r="172" spans="1:6" x14ac:dyDescent="0.3">
      <c r="A172" t="s">
        <v>417</v>
      </c>
      <c r="B172" t="s">
        <v>420</v>
      </c>
      <c r="C172" s="199"/>
      <c r="D172" t="s">
        <v>206</v>
      </c>
      <c r="E172" s="200">
        <v>0.1</v>
      </c>
      <c r="F172" s="199" t="s">
        <v>497</v>
      </c>
    </row>
    <row r="173" spans="1:6" x14ac:dyDescent="0.3">
      <c r="A173" t="s">
        <v>416</v>
      </c>
      <c r="B173" t="s">
        <v>421</v>
      </c>
      <c r="C173" s="199"/>
      <c r="D173" t="s">
        <v>204</v>
      </c>
      <c r="E173" s="200">
        <v>0.1</v>
      </c>
      <c r="F173" s="199" t="s">
        <v>510</v>
      </c>
    </row>
    <row r="174" spans="1:6" x14ac:dyDescent="0.3">
      <c r="A174" t="s">
        <v>416</v>
      </c>
      <c r="B174" t="s">
        <v>421</v>
      </c>
      <c r="C174" s="199"/>
      <c r="D174" t="s">
        <v>205</v>
      </c>
      <c r="E174" s="200">
        <v>0.2</v>
      </c>
      <c r="F174" s="199" t="s">
        <v>511</v>
      </c>
    </row>
    <row r="175" spans="1:6" x14ac:dyDescent="0.3">
      <c r="A175" t="s">
        <v>416</v>
      </c>
      <c r="B175" t="s">
        <v>421</v>
      </c>
      <c r="C175" s="199"/>
      <c r="D175" t="s">
        <v>222</v>
      </c>
      <c r="E175" s="200">
        <v>0.08</v>
      </c>
      <c r="F175" s="199" t="s">
        <v>512</v>
      </c>
    </row>
    <row r="176" spans="1:6" x14ac:dyDescent="0.3">
      <c r="A176" t="s">
        <v>416</v>
      </c>
      <c r="B176" t="s">
        <v>421</v>
      </c>
      <c r="C176" s="199"/>
      <c r="D176" t="s">
        <v>223</v>
      </c>
      <c r="E176" s="200">
        <v>0.09</v>
      </c>
      <c r="F176" s="199" t="s">
        <v>513</v>
      </c>
    </row>
    <row r="177" spans="1:6" x14ac:dyDescent="0.3">
      <c r="A177" t="s">
        <v>416</v>
      </c>
      <c r="B177" t="s">
        <v>421</v>
      </c>
      <c r="C177" s="199"/>
      <c r="D177" t="s">
        <v>224</v>
      </c>
      <c r="E177" s="200">
        <v>0.09</v>
      </c>
      <c r="F177" s="199" t="s">
        <v>514</v>
      </c>
    </row>
    <row r="178" spans="1:6" x14ac:dyDescent="0.3">
      <c r="A178" t="s">
        <v>416</v>
      </c>
      <c r="B178" t="s">
        <v>421</v>
      </c>
      <c r="C178" s="199"/>
      <c r="D178" t="s">
        <v>225</v>
      </c>
      <c r="E178" s="200">
        <v>0.09</v>
      </c>
      <c r="F178" s="199" t="s">
        <v>515</v>
      </c>
    </row>
    <row r="179" spans="1:6" x14ac:dyDescent="0.3">
      <c r="A179" t="s">
        <v>416</v>
      </c>
      <c r="B179" t="s">
        <v>421</v>
      </c>
      <c r="C179" s="199"/>
      <c r="D179" t="s">
        <v>226</v>
      </c>
      <c r="E179" s="200">
        <v>0.09</v>
      </c>
      <c r="F179" s="199" t="s">
        <v>516</v>
      </c>
    </row>
    <row r="180" spans="1:6" x14ac:dyDescent="0.3">
      <c r="A180" t="s">
        <v>416</v>
      </c>
      <c r="B180" t="s">
        <v>421</v>
      </c>
      <c r="C180" s="199"/>
      <c r="D180" t="s">
        <v>227</v>
      </c>
      <c r="E180" s="200">
        <v>0.08</v>
      </c>
      <c r="F180" s="199" t="s">
        <v>517</v>
      </c>
    </row>
    <row r="181" spans="1:6" x14ac:dyDescent="0.3">
      <c r="A181" t="s">
        <v>416</v>
      </c>
      <c r="B181" t="s">
        <v>421</v>
      </c>
      <c r="C181" s="199"/>
      <c r="D181" t="s">
        <v>228</v>
      </c>
      <c r="E181" s="200">
        <v>0.08</v>
      </c>
      <c r="F181" s="199" t="s">
        <v>518</v>
      </c>
    </row>
    <row r="182" spans="1:6" x14ac:dyDescent="0.3">
      <c r="A182" t="s">
        <v>416</v>
      </c>
      <c r="B182" t="s">
        <v>421</v>
      </c>
      <c r="C182" s="199"/>
      <c r="D182" t="s">
        <v>206</v>
      </c>
      <c r="E182" s="200">
        <v>0.1</v>
      </c>
      <c r="F182" s="199" t="s">
        <v>519</v>
      </c>
    </row>
    <row r="183" spans="1:6" x14ac:dyDescent="0.3">
      <c r="A183" t="s">
        <v>445</v>
      </c>
      <c r="B183" t="s">
        <v>424</v>
      </c>
      <c r="C183" s="199"/>
      <c r="D183" t="s">
        <v>204</v>
      </c>
      <c r="E183" s="200">
        <v>0.1</v>
      </c>
      <c r="F183" s="199" t="s">
        <v>498</v>
      </c>
    </row>
    <row r="184" spans="1:6" x14ac:dyDescent="0.3">
      <c r="A184" t="s">
        <v>445</v>
      </c>
      <c r="B184" t="s">
        <v>424</v>
      </c>
      <c r="C184" s="199"/>
      <c r="D184" t="s">
        <v>205</v>
      </c>
      <c r="E184" s="200">
        <v>0.2</v>
      </c>
      <c r="F184" s="199" t="s">
        <v>499</v>
      </c>
    </row>
    <row r="185" spans="1:6" x14ac:dyDescent="0.3">
      <c r="A185" t="s">
        <v>445</v>
      </c>
      <c r="B185" t="s">
        <v>424</v>
      </c>
      <c r="C185" s="199"/>
      <c r="D185" t="s">
        <v>222</v>
      </c>
      <c r="E185" s="200">
        <v>7.0000000000000007E-2</v>
      </c>
      <c r="F185" s="199" t="s">
        <v>500</v>
      </c>
    </row>
    <row r="186" spans="1:6" x14ac:dyDescent="0.3">
      <c r="A186" t="s">
        <v>445</v>
      </c>
      <c r="B186" t="s">
        <v>424</v>
      </c>
      <c r="C186" s="199"/>
      <c r="D186" t="s">
        <v>223</v>
      </c>
      <c r="E186" s="200">
        <v>0.23</v>
      </c>
      <c r="F186" s="199" t="s">
        <v>501</v>
      </c>
    </row>
    <row r="187" spans="1:6" x14ac:dyDescent="0.3">
      <c r="A187" t="s">
        <v>445</v>
      </c>
      <c r="B187" t="s">
        <v>424</v>
      </c>
      <c r="C187" s="199"/>
      <c r="D187" t="s">
        <v>224</v>
      </c>
      <c r="E187" s="200">
        <v>0.3</v>
      </c>
      <c r="F187" s="199" t="s">
        <v>502</v>
      </c>
    </row>
    <row r="188" spans="1:6" x14ac:dyDescent="0.3">
      <c r="A188" t="s">
        <v>445</v>
      </c>
      <c r="B188" t="s">
        <v>424</v>
      </c>
      <c r="C188" s="199"/>
      <c r="D188" t="s">
        <v>206</v>
      </c>
      <c r="E188" s="200">
        <v>0.1</v>
      </c>
      <c r="F188" s="199" t="s">
        <v>503</v>
      </c>
    </row>
    <row r="189" spans="1:6" x14ac:dyDescent="0.3">
      <c r="A189" t="s">
        <v>530</v>
      </c>
      <c r="B189" t="s">
        <v>538</v>
      </c>
      <c r="C189" s="199"/>
      <c r="D189" t="s">
        <v>204</v>
      </c>
      <c r="E189" s="200">
        <v>0.1</v>
      </c>
      <c r="F189" s="199" t="s">
        <v>542</v>
      </c>
    </row>
    <row r="190" spans="1:6" x14ac:dyDescent="0.3">
      <c r="A190" t="s">
        <v>530</v>
      </c>
      <c r="B190" t="s">
        <v>538</v>
      </c>
      <c r="C190" s="199"/>
      <c r="D190" t="s">
        <v>205</v>
      </c>
      <c r="E190" s="200">
        <v>0.2</v>
      </c>
      <c r="F190" s="199" t="s">
        <v>547</v>
      </c>
    </row>
    <row r="191" spans="1:6" x14ac:dyDescent="0.3">
      <c r="A191" t="s">
        <v>530</v>
      </c>
      <c r="B191" t="s">
        <v>538</v>
      </c>
      <c r="C191" s="199"/>
      <c r="D191" t="s">
        <v>222</v>
      </c>
      <c r="E191" s="200">
        <v>0.1</v>
      </c>
      <c r="F191" s="199" t="s">
        <v>625</v>
      </c>
    </row>
    <row r="192" spans="1:6" x14ac:dyDescent="0.3">
      <c r="A192" t="s">
        <v>530</v>
      </c>
      <c r="B192" t="s">
        <v>538</v>
      </c>
      <c r="C192" s="199"/>
      <c r="D192" t="s">
        <v>223</v>
      </c>
      <c r="E192" s="200">
        <v>0.05</v>
      </c>
      <c r="F192" s="199" t="s">
        <v>626</v>
      </c>
    </row>
    <row r="193" spans="1:6" x14ac:dyDescent="0.3">
      <c r="A193" t="s">
        <v>530</v>
      </c>
      <c r="B193" t="s">
        <v>538</v>
      </c>
      <c r="C193" s="199"/>
      <c r="D193" t="s">
        <v>224</v>
      </c>
      <c r="E193" s="200">
        <v>0.13</v>
      </c>
      <c r="F193" s="199" t="s">
        <v>627</v>
      </c>
    </row>
    <row r="194" spans="1:6" x14ac:dyDescent="0.3">
      <c r="A194" t="s">
        <v>530</v>
      </c>
      <c r="B194" t="s">
        <v>538</v>
      </c>
      <c r="C194" s="199"/>
      <c r="D194" t="s">
        <v>225</v>
      </c>
      <c r="E194" s="200">
        <v>0.13</v>
      </c>
      <c r="F194" s="199" t="s">
        <v>628</v>
      </c>
    </row>
    <row r="195" spans="1:6" x14ac:dyDescent="0.3">
      <c r="A195" t="s">
        <v>530</v>
      </c>
      <c r="B195" t="s">
        <v>538</v>
      </c>
      <c r="C195" s="199"/>
      <c r="D195" t="s">
        <v>226</v>
      </c>
      <c r="E195" s="200">
        <v>0.13</v>
      </c>
      <c r="F195" s="199" t="s">
        <v>629</v>
      </c>
    </row>
    <row r="196" spans="1:6" x14ac:dyDescent="0.3">
      <c r="A196" t="s">
        <v>530</v>
      </c>
      <c r="B196" t="s">
        <v>538</v>
      </c>
      <c r="C196" s="199"/>
      <c r="D196" t="s">
        <v>227</v>
      </c>
      <c r="E196" s="200">
        <v>0.06</v>
      </c>
      <c r="F196" s="199" t="s">
        <v>630</v>
      </c>
    </row>
    <row r="197" spans="1:6" x14ac:dyDescent="0.3">
      <c r="A197" t="s">
        <v>530</v>
      </c>
      <c r="B197" t="s">
        <v>538</v>
      </c>
      <c r="C197" s="199"/>
      <c r="D197" t="s">
        <v>206</v>
      </c>
      <c r="E197" s="200">
        <v>0.1</v>
      </c>
      <c r="F197" s="199" t="s">
        <v>631</v>
      </c>
    </row>
    <row r="198" spans="1:6" x14ac:dyDescent="0.3">
      <c r="A198" t="s">
        <v>531</v>
      </c>
      <c r="B198" t="s">
        <v>539</v>
      </c>
      <c r="C198" s="199"/>
      <c r="D198" t="s">
        <v>204</v>
      </c>
      <c r="E198" s="200">
        <v>0.1</v>
      </c>
      <c r="F198" s="199" t="s">
        <v>544</v>
      </c>
    </row>
    <row r="199" spans="1:6" x14ac:dyDescent="0.3">
      <c r="A199" t="s">
        <v>531</v>
      </c>
      <c r="B199" t="s">
        <v>539</v>
      </c>
      <c r="C199" s="199"/>
      <c r="D199" t="s">
        <v>205</v>
      </c>
      <c r="E199" s="200">
        <v>0.2</v>
      </c>
      <c r="F199" s="199" t="s">
        <v>548</v>
      </c>
    </row>
    <row r="200" spans="1:6" x14ac:dyDescent="0.3">
      <c r="A200" t="s">
        <v>531</v>
      </c>
      <c r="B200" t="s">
        <v>539</v>
      </c>
      <c r="C200" s="199"/>
      <c r="D200" t="s">
        <v>222</v>
      </c>
      <c r="E200" s="200">
        <v>0.1</v>
      </c>
      <c r="F200" s="199" t="s">
        <v>3283</v>
      </c>
    </row>
    <row r="201" spans="1:6" x14ac:dyDescent="0.3">
      <c r="A201" t="s">
        <v>531</v>
      </c>
      <c r="B201" t="s">
        <v>539</v>
      </c>
      <c r="C201" s="199"/>
      <c r="D201" t="s">
        <v>223</v>
      </c>
      <c r="E201" s="200">
        <v>0.15</v>
      </c>
      <c r="F201" s="199" t="s">
        <v>3284</v>
      </c>
    </row>
    <row r="202" spans="1:6" x14ac:dyDescent="0.3">
      <c r="A202" t="s">
        <v>531</v>
      </c>
      <c r="B202" t="s">
        <v>539</v>
      </c>
      <c r="C202" s="199"/>
      <c r="D202" t="s">
        <v>224</v>
      </c>
      <c r="E202" s="200">
        <v>0.2</v>
      </c>
      <c r="F202" s="199" t="s">
        <v>3285</v>
      </c>
    </row>
    <row r="203" spans="1:6" x14ac:dyDescent="0.3">
      <c r="A203" t="s">
        <v>531</v>
      </c>
      <c r="B203" t="s">
        <v>539</v>
      </c>
      <c r="C203" s="199"/>
      <c r="D203" t="s">
        <v>225</v>
      </c>
      <c r="E203" s="200">
        <v>0.15</v>
      </c>
      <c r="F203" s="199" t="s">
        <v>3286</v>
      </c>
    </row>
    <row r="204" spans="1:6" x14ac:dyDescent="0.3">
      <c r="A204" t="s">
        <v>531</v>
      </c>
      <c r="B204" t="s">
        <v>539</v>
      </c>
      <c r="C204" s="199"/>
      <c r="D204" t="s">
        <v>206</v>
      </c>
      <c r="E204" s="200">
        <v>0.1</v>
      </c>
      <c r="F204" s="199" t="s">
        <v>3287</v>
      </c>
    </row>
    <row r="205" spans="1:6" x14ac:dyDescent="0.3">
      <c r="A205" t="s">
        <v>532</v>
      </c>
      <c r="B205" t="s">
        <v>540</v>
      </c>
      <c r="C205" s="199"/>
      <c r="D205" t="s">
        <v>204</v>
      </c>
      <c r="E205" s="200">
        <v>0.1</v>
      </c>
      <c r="F205" s="199" t="s">
        <v>546</v>
      </c>
    </row>
    <row r="206" spans="1:6" x14ac:dyDescent="0.3">
      <c r="A206" t="s">
        <v>532</v>
      </c>
      <c r="B206" t="s">
        <v>540</v>
      </c>
      <c r="C206" s="199"/>
      <c r="D206" t="s">
        <v>205</v>
      </c>
      <c r="E206" s="200">
        <v>0.2</v>
      </c>
      <c r="F206" s="199" t="s">
        <v>549</v>
      </c>
    </row>
    <row r="207" spans="1:6" x14ac:dyDescent="0.3">
      <c r="A207" t="s">
        <v>532</v>
      </c>
      <c r="B207" t="s">
        <v>540</v>
      </c>
      <c r="C207" s="199"/>
      <c r="D207" t="s">
        <v>222</v>
      </c>
      <c r="E207" s="200">
        <v>0.09</v>
      </c>
      <c r="F207" s="199" t="s">
        <v>632</v>
      </c>
    </row>
    <row r="208" spans="1:6" x14ac:dyDescent="0.3">
      <c r="A208" t="s">
        <v>532</v>
      </c>
      <c r="B208" t="s">
        <v>540</v>
      </c>
      <c r="C208" s="199"/>
      <c r="D208" t="s">
        <v>223</v>
      </c>
      <c r="E208" s="200">
        <v>0.09</v>
      </c>
      <c r="F208" s="199" t="s">
        <v>633</v>
      </c>
    </row>
    <row r="209" spans="1:6" x14ac:dyDescent="0.3">
      <c r="A209" t="s">
        <v>532</v>
      </c>
      <c r="B209" t="s">
        <v>540</v>
      </c>
      <c r="C209" s="199"/>
      <c r="D209" t="s">
        <v>224</v>
      </c>
      <c r="E209" s="200">
        <v>0.09</v>
      </c>
      <c r="F209" s="199" t="s">
        <v>634</v>
      </c>
    </row>
    <row r="210" spans="1:6" x14ac:dyDescent="0.3">
      <c r="A210" t="s">
        <v>532</v>
      </c>
      <c r="B210" t="s">
        <v>540</v>
      </c>
      <c r="C210" s="199"/>
      <c r="D210" t="s">
        <v>225</v>
      </c>
      <c r="E210" s="200">
        <v>0.09</v>
      </c>
      <c r="F210" s="199" t="s">
        <v>635</v>
      </c>
    </row>
    <row r="211" spans="1:6" x14ac:dyDescent="0.3">
      <c r="A211" t="s">
        <v>532</v>
      </c>
      <c r="B211" t="s">
        <v>540</v>
      </c>
      <c r="C211" s="199"/>
      <c r="D211" t="s">
        <v>226</v>
      </c>
      <c r="E211" s="200">
        <v>0.09</v>
      </c>
      <c r="F211" s="199" t="s">
        <v>636</v>
      </c>
    </row>
    <row r="212" spans="1:6" x14ac:dyDescent="0.3">
      <c r="A212" t="s">
        <v>532</v>
      </c>
      <c r="B212" t="s">
        <v>540</v>
      </c>
      <c r="C212" s="199"/>
      <c r="D212" t="s">
        <v>227</v>
      </c>
      <c r="E212" s="200">
        <v>0.08</v>
      </c>
      <c r="F212" s="199" t="s">
        <v>637</v>
      </c>
    </row>
    <row r="213" spans="1:6" x14ac:dyDescent="0.3">
      <c r="A213" t="s">
        <v>532</v>
      </c>
      <c r="B213" t="s">
        <v>540</v>
      </c>
      <c r="C213" s="199"/>
      <c r="D213" t="s">
        <v>228</v>
      </c>
      <c r="E213" s="200">
        <v>7.0000000000000007E-2</v>
      </c>
      <c r="F213" s="199" t="s">
        <v>638</v>
      </c>
    </row>
    <row r="214" spans="1:6" x14ac:dyDescent="0.3">
      <c r="A214" t="s">
        <v>532</v>
      </c>
      <c r="B214" t="s">
        <v>540</v>
      </c>
      <c r="C214" s="199"/>
      <c r="D214" t="s">
        <v>206</v>
      </c>
      <c r="E214" s="200">
        <v>0.1</v>
      </c>
      <c r="F214" s="199" t="s">
        <v>639</v>
      </c>
    </row>
    <row r="215" spans="1:6" x14ac:dyDescent="0.3">
      <c r="A215" t="s">
        <v>642</v>
      </c>
      <c r="B215" t="s">
        <v>3289</v>
      </c>
      <c r="C215" s="199"/>
      <c r="D215" t="s">
        <v>204</v>
      </c>
      <c r="E215" s="200">
        <v>0.1</v>
      </c>
      <c r="F215" s="199" t="s">
        <v>3298</v>
      </c>
    </row>
    <row r="216" spans="1:6" x14ac:dyDescent="0.3">
      <c r="A216" t="s">
        <v>642</v>
      </c>
      <c r="B216" t="s">
        <v>3289</v>
      </c>
      <c r="C216" s="199"/>
      <c r="D216" t="s">
        <v>205</v>
      </c>
      <c r="E216" s="200">
        <v>0.2</v>
      </c>
      <c r="F216" s="199" t="s">
        <v>3299</v>
      </c>
    </row>
    <row r="217" spans="1:6" x14ac:dyDescent="0.3">
      <c r="A217" t="s">
        <v>642</v>
      </c>
      <c r="B217" t="s">
        <v>3289</v>
      </c>
      <c r="C217" s="199"/>
      <c r="D217" t="s">
        <v>222</v>
      </c>
      <c r="E217" s="200">
        <v>0.15</v>
      </c>
      <c r="F217" s="199" t="s">
        <v>3300</v>
      </c>
    </row>
    <row r="218" spans="1:6" x14ac:dyDescent="0.3">
      <c r="A218" t="s">
        <v>642</v>
      </c>
      <c r="B218" t="s">
        <v>3289</v>
      </c>
      <c r="C218" s="199"/>
      <c r="D218" t="s">
        <v>223</v>
      </c>
      <c r="E218" s="200">
        <v>0.15</v>
      </c>
      <c r="F218" s="199" t="s">
        <v>3301</v>
      </c>
    </row>
    <row r="219" spans="1:6" x14ac:dyDescent="0.3">
      <c r="A219" t="s">
        <v>642</v>
      </c>
      <c r="B219" t="s">
        <v>3289</v>
      </c>
      <c r="C219" s="199"/>
      <c r="D219" t="s">
        <v>224</v>
      </c>
      <c r="E219" s="200">
        <v>0.15</v>
      </c>
      <c r="F219" s="199" t="s">
        <v>3302</v>
      </c>
    </row>
    <row r="220" spans="1:6" x14ac:dyDescent="0.3">
      <c r="A220" t="s">
        <v>642</v>
      </c>
      <c r="B220" t="s">
        <v>3289</v>
      </c>
      <c r="C220" s="199"/>
      <c r="D220" t="s">
        <v>225</v>
      </c>
      <c r="E220" s="200">
        <v>0.15</v>
      </c>
      <c r="F220" s="199" t="s">
        <v>3303</v>
      </c>
    </row>
    <row r="221" spans="1:6" x14ac:dyDescent="0.3">
      <c r="A221" t="s">
        <v>642</v>
      </c>
      <c r="B221" t="s">
        <v>3289</v>
      </c>
      <c r="C221" s="199"/>
      <c r="D221" t="s">
        <v>206</v>
      </c>
      <c r="E221" s="200">
        <v>0.1</v>
      </c>
      <c r="F221" s="199" t="s">
        <v>3304</v>
      </c>
    </row>
  </sheetData>
  <phoneticPr fontId="2" type="noConversion"/>
  <pageMargins left="0.511811024" right="0.511811024" top="0.78740157499999996" bottom="0.78740157499999996" header="0.31496062000000002" footer="0.31496062000000002"/>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69844-E3A8-4C97-8FE1-7514C23908EA}">
  <sheetPr codeName="Planilha10">
    <tabColor theme="1"/>
  </sheetPr>
  <dimension ref="A1:XBN41"/>
  <sheetViews>
    <sheetView showGridLines="0" topLeftCell="A19" zoomScaleNormal="100" workbookViewId="0">
      <selection activeCell="K47" sqref="K47"/>
    </sheetView>
  </sheetViews>
  <sheetFormatPr defaultColWidth="9.109375" defaultRowHeight="14.4" x14ac:dyDescent="0.3"/>
  <cols>
    <col min="1" max="1" width="12" style="178" bestFit="1" customWidth="1"/>
    <col min="2" max="2" width="26" style="178" bestFit="1" customWidth="1"/>
    <col min="3" max="3" width="12.33203125" style="178" bestFit="1" customWidth="1"/>
    <col min="4" max="4" width="9" style="2" bestFit="1" customWidth="1"/>
    <col min="5" max="5" width="9.109375" style="2" bestFit="1" customWidth="1"/>
    <col min="6" max="12" width="10.5546875" style="2" bestFit="1" customWidth="1"/>
    <col min="13" max="15" width="10.44140625" style="2" bestFit="1" customWidth="1"/>
    <col min="16" max="16" width="10.44140625" style="2" customWidth="1"/>
    <col min="17" max="17" width="9.33203125" style="2" bestFit="1" customWidth="1"/>
    <col min="18" max="18" width="2.6640625" style="2" customWidth="1"/>
    <col min="19" max="16384" width="9.109375" style="2"/>
  </cols>
  <sheetData>
    <row r="1" spans="1:17" x14ac:dyDescent="0.3">
      <c r="A1" s="178" t="s">
        <v>116</v>
      </c>
      <c r="B1" s="178" t="s">
        <v>208</v>
      </c>
      <c r="C1" s="178" t="s">
        <v>232</v>
      </c>
      <c r="D1" s="178" t="s">
        <v>204</v>
      </c>
      <c r="E1" s="178" t="s">
        <v>205</v>
      </c>
      <c r="F1" s="178" t="s">
        <v>222</v>
      </c>
      <c r="G1" s="178" t="s">
        <v>223</v>
      </c>
      <c r="H1" s="178" t="s">
        <v>224</v>
      </c>
      <c r="I1" s="178" t="s">
        <v>225</v>
      </c>
      <c r="J1" s="178" t="s">
        <v>226</v>
      </c>
      <c r="K1" s="178" t="s">
        <v>227</v>
      </c>
      <c r="L1" s="178" t="s">
        <v>228</v>
      </c>
      <c r="M1" s="178" t="s">
        <v>229</v>
      </c>
      <c r="N1" s="178" t="s">
        <v>230</v>
      </c>
      <c r="O1" s="178" t="s">
        <v>231</v>
      </c>
      <c r="P1" s="178" t="s">
        <v>552</v>
      </c>
      <c r="Q1" s="178" t="s">
        <v>206</v>
      </c>
    </row>
    <row r="2" spans="1:17" x14ac:dyDescent="0.3">
      <c r="A2" s="182" t="s">
        <v>436</v>
      </c>
      <c r="B2" s="182" t="s">
        <v>219</v>
      </c>
      <c r="C2" s="183">
        <f>SUM(tb_Distr[[#This Row],[PLAN]:[ENTR.]])</f>
        <v>0</v>
      </c>
      <c r="D2" s="183"/>
      <c r="E2" s="183"/>
      <c r="F2" s="183"/>
      <c r="G2" s="183"/>
      <c r="H2" s="183"/>
      <c r="I2" s="183"/>
      <c r="J2" s="183"/>
      <c r="K2" s="183"/>
      <c r="L2" s="183"/>
      <c r="M2" s="183"/>
      <c r="N2" s="183"/>
      <c r="O2" s="183"/>
      <c r="P2" s="183"/>
      <c r="Q2" s="183"/>
    </row>
    <row r="3" spans="1:17" x14ac:dyDescent="0.3">
      <c r="A3" s="182" t="s">
        <v>437</v>
      </c>
      <c r="B3" s="182" t="s">
        <v>220</v>
      </c>
      <c r="C3" s="183">
        <f>SUM(tb_Distr[[#This Row],[PLAN]:[ENTR.]])</f>
        <v>0</v>
      </c>
      <c r="D3" s="183"/>
      <c r="E3" s="183"/>
      <c r="F3" s="183"/>
      <c r="G3" s="183"/>
      <c r="H3" s="183"/>
      <c r="I3" s="183"/>
      <c r="J3" s="183"/>
      <c r="K3" s="183"/>
      <c r="L3" s="183"/>
      <c r="M3" s="183"/>
      <c r="N3" s="183"/>
      <c r="O3" s="183"/>
      <c r="P3" s="183"/>
      <c r="Q3" s="183"/>
    </row>
    <row r="4" spans="1:17" x14ac:dyDescent="0.3">
      <c r="A4" s="182" t="s">
        <v>438</v>
      </c>
      <c r="B4" s="182" t="s">
        <v>221</v>
      </c>
      <c r="C4" s="183">
        <f>SUM(tb_Distr[[#This Row],[PLAN]:[ENTR.]])</f>
        <v>0</v>
      </c>
      <c r="D4" s="183"/>
      <c r="E4" s="183"/>
      <c r="F4" s="183"/>
      <c r="G4" s="183"/>
      <c r="H4" s="183"/>
      <c r="I4" s="183"/>
      <c r="J4" s="183"/>
      <c r="K4" s="183"/>
      <c r="L4" s="183"/>
      <c r="M4" s="183"/>
      <c r="N4" s="183"/>
      <c r="O4" s="183"/>
      <c r="P4" s="183"/>
      <c r="Q4" s="183"/>
    </row>
    <row r="5" spans="1:17" x14ac:dyDescent="0.3">
      <c r="A5" s="180" t="s">
        <v>439</v>
      </c>
      <c r="B5" s="180" t="s">
        <v>360</v>
      </c>
      <c r="C5" s="181">
        <f>SUM(tb_Distr[[#This Row],[PLAN]:[ENTR.]])</f>
        <v>0.99999999999999989</v>
      </c>
      <c r="D5" s="179">
        <v>0.1</v>
      </c>
      <c r="E5" s="179">
        <v>0.2</v>
      </c>
      <c r="F5" s="179">
        <v>0.03</v>
      </c>
      <c r="G5" s="179">
        <v>0.09</v>
      </c>
      <c r="H5" s="179">
        <v>0.09</v>
      </c>
      <c r="I5" s="179">
        <v>2.5000000000000001E-2</v>
      </c>
      <c r="J5" s="179">
        <v>7.0000000000000007E-2</v>
      </c>
      <c r="K5" s="179">
        <v>8.5000000000000006E-2</v>
      </c>
      <c r="L5" s="179">
        <v>0.11</v>
      </c>
      <c r="M5" s="179">
        <v>0.1</v>
      </c>
      <c r="N5" s="179"/>
      <c r="O5" s="179"/>
      <c r="P5" s="179"/>
      <c r="Q5" s="179">
        <v>0.1</v>
      </c>
    </row>
    <row r="6" spans="1:17" x14ac:dyDescent="0.3">
      <c r="A6" s="180" t="s">
        <v>440</v>
      </c>
      <c r="B6" s="180" t="s">
        <v>361</v>
      </c>
      <c r="C6" s="181">
        <f>SUM(tb_Distr[[#This Row],[PLAN]:[ENTR.]])</f>
        <v>1</v>
      </c>
      <c r="D6" s="355">
        <v>8.3130569514498792E-2</v>
      </c>
      <c r="E6" s="354">
        <v>0.15459999999999996</v>
      </c>
      <c r="F6" s="354">
        <v>7.729999999999998E-2</v>
      </c>
      <c r="G6" s="179">
        <v>0.24736</v>
      </c>
      <c r="H6" s="179">
        <v>0.33760999999999997</v>
      </c>
      <c r="I6" s="179"/>
      <c r="J6" s="179"/>
      <c r="K6" s="179"/>
      <c r="L6" s="179"/>
      <c r="M6" s="179"/>
      <c r="N6" s="179"/>
      <c r="O6" s="179"/>
      <c r="P6" s="179"/>
      <c r="Q6" s="251">
        <f>1-SUM(tb_Distr[[#This Row],[PLAN]:[ETP.11]])</f>
        <v>9.9999430485501306E-2</v>
      </c>
    </row>
    <row r="7" spans="1:17" x14ac:dyDescent="0.3">
      <c r="A7" s="180" t="s">
        <v>441</v>
      </c>
      <c r="B7" s="180" t="s">
        <v>362</v>
      </c>
      <c r="C7" s="181">
        <f>SUM(tb_Distr[[#This Row],[PLAN]:[ENTR.]])</f>
        <v>1</v>
      </c>
      <c r="D7" s="179">
        <v>9.5865966269729166E-2</v>
      </c>
      <c r="E7" s="179">
        <v>0.19173193253945833</v>
      </c>
      <c r="F7" s="179">
        <v>0.25</v>
      </c>
      <c r="G7" s="179">
        <v>0.2</v>
      </c>
      <c r="H7" s="179">
        <v>0.16240210119081241</v>
      </c>
      <c r="I7" s="179"/>
      <c r="J7" s="179"/>
      <c r="K7" s="179"/>
      <c r="L7" s="179"/>
      <c r="M7" s="179"/>
      <c r="N7" s="179"/>
      <c r="O7" s="179"/>
      <c r="P7" s="179"/>
      <c r="Q7" s="179">
        <v>0.1</v>
      </c>
    </row>
    <row r="8" spans="1:17" x14ac:dyDescent="0.3">
      <c r="A8" s="180" t="s">
        <v>442</v>
      </c>
      <c r="B8" s="180" t="s">
        <v>363</v>
      </c>
      <c r="C8" s="181">
        <f>SUM(tb_Distr[[#This Row],[PLAN]:[ENTR.]])</f>
        <v>0.99999999999999989</v>
      </c>
      <c r="D8" s="179">
        <v>9.1290681986541097E-2</v>
      </c>
      <c r="E8" s="179">
        <v>0.18258136397308219</v>
      </c>
      <c r="F8" s="179">
        <v>0.18258136397308219</v>
      </c>
      <c r="G8" s="179">
        <v>0.25</v>
      </c>
      <c r="H8" s="179">
        <v>0.19354659006729452</v>
      </c>
      <c r="I8" s="179"/>
      <c r="J8" s="179"/>
      <c r="K8" s="179"/>
      <c r="L8" s="179"/>
      <c r="M8" s="179"/>
      <c r="N8" s="179"/>
      <c r="O8" s="179"/>
      <c r="P8" s="179"/>
      <c r="Q8" s="179">
        <v>0.1</v>
      </c>
    </row>
    <row r="9" spans="1:17" x14ac:dyDescent="0.3">
      <c r="A9" s="180" t="s">
        <v>443</v>
      </c>
      <c r="B9" s="180" t="s">
        <v>364</v>
      </c>
      <c r="C9" s="181">
        <f>SUM(tb_Distr[[#This Row],[PLAN]:[ENTR.]])</f>
        <v>1</v>
      </c>
      <c r="D9" s="179">
        <v>0.1</v>
      </c>
      <c r="E9" s="179">
        <v>0.2</v>
      </c>
      <c r="F9" s="179">
        <v>0.2</v>
      </c>
      <c r="G9" s="179">
        <v>0.15</v>
      </c>
      <c r="H9" s="179">
        <v>0.25</v>
      </c>
      <c r="I9" s="179"/>
      <c r="J9" s="179"/>
      <c r="K9" s="179"/>
      <c r="L9" s="179"/>
      <c r="M9" s="179"/>
      <c r="N9" s="179"/>
      <c r="O9" s="179"/>
      <c r="P9" s="179"/>
      <c r="Q9" s="179">
        <v>0.1</v>
      </c>
    </row>
    <row r="10" spans="1:17" x14ac:dyDescent="0.3">
      <c r="A10" s="180" t="s">
        <v>444</v>
      </c>
      <c r="B10" s="180" t="s">
        <v>365</v>
      </c>
      <c r="C10" s="181">
        <f>SUM(tb_Distr[[#This Row],[PLAN]:[ENTR.]])</f>
        <v>1</v>
      </c>
      <c r="D10" s="355">
        <v>0.10754227250963888</v>
      </c>
      <c r="E10" s="355">
        <v>0.2</v>
      </c>
      <c r="F10" s="355">
        <v>0.05</v>
      </c>
      <c r="G10" s="251">
        <v>0.35</v>
      </c>
      <c r="H10" s="251">
        <v>0.2</v>
      </c>
      <c r="I10" s="251"/>
      <c r="J10" s="251"/>
      <c r="K10" s="251"/>
      <c r="L10" s="251"/>
      <c r="M10" s="251"/>
      <c r="N10" s="251"/>
      <c r="O10" s="251"/>
      <c r="P10" s="251"/>
      <c r="Q10" s="251">
        <f>1-SUM(tb_Distr[[#This Row],[PLAN]:[ETP.11]])</f>
        <v>9.2457727490361075E-2</v>
      </c>
    </row>
    <row r="11" spans="1:17" x14ac:dyDescent="0.3">
      <c r="A11" s="180" t="s">
        <v>54</v>
      </c>
      <c r="B11" s="180" t="s">
        <v>366</v>
      </c>
      <c r="C11" s="181">
        <f>SUM(tb_Distr[[#This Row],[PLAN]:[ENTR.]])</f>
        <v>0.99999999999999978</v>
      </c>
      <c r="D11" s="179">
        <v>9.6676913353549929E-2</v>
      </c>
      <c r="E11" s="179">
        <v>0.19335382670709986</v>
      </c>
      <c r="F11" s="179">
        <v>4.8338456676774964E-2</v>
      </c>
      <c r="G11" s="179">
        <v>0.2</v>
      </c>
      <c r="H11" s="179">
        <v>0.2</v>
      </c>
      <c r="I11" s="179">
        <v>0.16163080326257515</v>
      </c>
      <c r="J11" s="179"/>
      <c r="K11" s="179"/>
      <c r="L11" s="179"/>
      <c r="M11" s="179"/>
      <c r="N11" s="179"/>
      <c r="O11" s="179"/>
      <c r="P11" s="179"/>
      <c r="Q11" s="179">
        <v>0.1</v>
      </c>
    </row>
    <row r="12" spans="1:17" x14ac:dyDescent="0.3">
      <c r="A12" s="180" t="s">
        <v>55</v>
      </c>
      <c r="B12" s="180" t="s">
        <v>367</v>
      </c>
      <c r="C12" s="181">
        <f>SUM(tb_Distr[[#This Row],[PLAN]:[ENTR.]])</f>
        <v>1</v>
      </c>
      <c r="D12" s="354">
        <v>0.10754250835634356</v>
      </c>
      <c r="E12" s="355">
        <v>0.2</v>
      </c>
      <c r="F12" s="355">
        <v>0.3</v>
      </c>
      <c r="G12" s="179">
        <v>0.3</v>
      </c>
      <c r="H12" s="179"/>
      <c r="I12" s="179"/>
      <c r="J12" s="179"/>
      <c r="K12" s="179"/>
      <c r="L12" s="179"/>
      <c r="M12" s="179"/>
      <c r="N12" s="179"/>
      <c r="O12" s="179"/>
      <c r="P12" s="179"/>
      <c r="Q12" s="251">
        <f>1-SUM(tb_Distr[[#This Row],[PLAN]:[ETP.11]])</f>
        <v>9.2457491643656464E-2</v>
      </c>
    </row>
    <row r="13" spans="1:17" x14ac:dyDescent="0.3">
      <c r="A13" s="180" t="s">
        <v>56</v>
      </c>
      <c r="B13" s="180" t="s">
        <v>368</v>
      </c>
      <c r="C13" s="181">
        <f>SUM(tb_Distr[[#This Row],[PLAN]:[ENTR.]])</f>
        <v>1</v>
      </c>
      <c r="D13" s="179">
        <v>0.1</v>
      </c>
      <c r="E13" s="179">
        <v>0.2</v>
      </c>
      <c r="F13" s="179">
        <v>0.1</v>
      </c>
      <c r="G13" s="179">
        <v>0.4</v>
      </c>
      <c r="H13" s="179">
        <v>0.1</v>
      </c>
      <c r="I13" s="179"/>
      <c r="J13" s="179"/>
      <c r="K13" s="179"/>
      <c r="L13" s="179"/>
      <c r="M13" s="179"/>
      <c r="N13" s="179"/>
      <c r="O13" s="179"/>
      <c r="P13" s="179"/>
      <c r="Q13" s="179">
        <v>0.1</v>
      </c>
    </row>
    <row r="14" spans="1:17" x14ac:dyDescent="0.3">
      <c r="A14" s="203" t="s">
        <v>57</v>
      </c>
      <c r="B14" s="203" t="s">
        <v>216</v>
      </c>
      <c r="C14" s="202">
        <f>SUM(tb_Distr[[#This Row],[PLAN]:[ENTR.]])</f>
        <v>0</v>
      </c>
      <c r="D14" s="202"/>
      <c r="E14" s="202"/>
      <c r="F14" s="202"/>
      <c r="G14" s="202"/>
      <c r="H14" s="202"/>
      <c r="I14" s="202"/>
      <c r="J14" s="202"/>
      <c r="K14" s="202"/>
      <c r="L14" s="202"/>
      <c r="M14" s="202"/>
      <c r="N14" s="202"/>
      <c r="O14" s="202"/>
      <c r="P14" s="202"/>
      <c r="Q14" s="202"/>
    </row>
    <row r="15" spans="1:17" x14ac:dyDescent="0.3">
      <c r="A15" s="180" t="s">
        <v>58</v>
      </c>
      <c r="B15" s="180" t="s">
        <v>213</v>
      </c>
      <c r="C15" s="181">
        <f>SUM(tb_Distr[[#This Row],[PLAN]:[ENTR.]])</f>
        <v>1</v>
      </c>
      <c r="D15" s="179">
        <v>0.1</v>
      </c>
      <c r="E15" s="179">
        <v>0.2</v>
      </c>
      <c r="F15" s="179">
        <v>0.04</v>
      </c>
      <c r="G15" s="179">
        <v>0.08</v>
      </c>
      <c r="H15" s="179">
        <v>0.08</v>
      </c>
      <c r="I15" s="179">
        <v>7.0000000000000007E-2</v>
      </c>
      <c r="J15" s="179">
        <v>0.08</v>
      </c>
      <c r="K15" s="179">
        <v>7.0000000000000007E-2</v>
      </c>
      <c r="L15" s="179">
        <v>0.09</v>
      </c>
      <c r="M15" s="179">
        <v>0.05</v>
      </c>
      <c r="N15" s="179">
        <v>0.04</v>
      </c>
      <c r="O15" s="179"/>
      <c r="P15" s="179"/>
      <c r="Q15" s="179">
        <v>0.1</v>
      </c>
    </row>
    <row r="16" spans="1:17" x14ac:dyDescent="0.3">
      <c r="A16" s="180" t="s">
        <v>59</v>
      </c>
      <c r="B16" s="180" t="s">
        <v>214</v>
      </c>
      <c r="C16" s="181">
        <f>SUM(tb_Distr[[#This Row],[PLAN]:[ENTR.]])</f>
        <v>1</v>
      </c>
      <c r="D16" s="179">
        <v>0.1</v>
      </c>
      <c r="E16" s="179">
        <v>0.2</v>
      </c>
      <c r="F16" s="179">
        <v>0.2</v>
      </c>
      <c r="G16" s="179">
        <v>0.25</v>
      </c>
      <c r="H16" s="179">
        <v>0.15</v>
      </c>
      <c r="I16" s="179"/>
      <c r="J16" s="179"/>
      <c r="K16" s="179"/>
      <c r="L16" s="179"/>
      <c r="M16" s="179"/>
      <c r="N16" s="179"/>
      <c r="O16" s="179"/>
      <c r="P16" s="179"/>
      <c r="Q16" s="179">
        <v>0.1</v>
      </c>
    </row>
    <row r="17" spans="1:1010 1025:2034 2049:3058 3073:4082 4097:5106 5121:6130 6145:7154 7169:8178 8193:9202 9217:10226 10241:11250 11265:12274 12289:13298 13313:14322 14337:15346 15361:16290" x14ac:dyDescent="0.3">
      <c r="A17" s="180" t="s">
        <v>60</v>
      </c>
      <c r="B17" s="180" t="s">
        <v>217</v>
      </c>
      <c r="C17" s="181">
        <f>SUM(tb_Distr[[#This Row],[PLAN]:[ENTR.]])</f>
        <v>1</v>
      </c>
      <c r="D17" s="179">
        <v>0.1</v>
      </c>
      <c r="E17" s="179">
        <v>0.2</v>
      </c>
      <c r="F17" s="179">
        <v>0.08</v>
      </c>
      <c r="G17" s="179">
        <v>0.1</v>
      </c>
      <c r="H17" s="179">
        <v>0.1</v>
      </c>
      <c r="I17" s="179">
        <v>0.09</v>
      </c>
      <c r="J17" s="179">
        <v>0.09</v>
      </c>
      <c r="K17" s="179">
        <v>0.09</v>
      </c>
      <c r="L17" s="179">
        <v>0.05</v>
      </c>
      <c r="M17" s="179"/>
      <c r="N17" s="179"/>
      <c r="O17" s="179"/>
      <c r="P17" s="179"/>
      <c r="Q17" s="179">
        <v>0.1</v>
      </c>
    </row>
    <row r="18" spans="1:1010 1025:2034 2049:3058 3073:4082 4097:5106 5121:6130 6145:7154 7169:8178 8193:9202 9217:10226 10241:11250 11265:12274 12289:13298 13313:14322 14337:15346 15361:16290" x14ac:dyDescent="0.3">
      <c r="A18" s="180" t="s">
        <v>61</v>
      </c>
      <c r="B18" s="180" t="s">
        <v>209</v>
      </c>
      <c r="C18" s="181">
        <f>SUM(tb_Distr[[#This Row],[PLAN]:[ENTR.]])</f>
        <v>1</v>
      </c>
      <c r="D18" s="179">
        <v>0.1</v>
      </c>
      <c r="E18" s="179">
        <v>0.2</v>
      </c>
      <c r="F18" s="179">
        <v>0.15</v>
      </c>
      <c r="G18" s="179">
        <v>0.3</v>
      </c>
      <c r="H18" s="179">
        <v>0.15</v>
      </c>
      <c r="I18" s="179"/>
      <c r="J18" s="179"/>
      <c r="K18" s="179"/>
      <c r="L18" s="179"/>
      <c r="M18" s="179"/>
      <c r="N18" s="179"/>
      <c r="O18" s="179"/>
      <c r="P18" s="179"/>
      <c r="Q18" s="179">
        <v>0.1</v>
      </c>
    </row>
    <row r="19" spans="1:1010 1025:2034 2049:3058 3073:4082 4097:5106 5121:6130 6145:7154 7169:8178 8193:9202 9217:10226 10241:11250 11265:12274 12289:13298 13313:14322 14337:15346 15361:16290" x14ac:dyDescent="0.3">
      <c r="A19" s="180" t="s">
        <v>62</v>
      </c>
      <c r="B19" s="180" t="s">
        <v>215</v>
      </c>
      <c r="C19" s="181">
        <f>SUM(tb_Distr[[#This Row],[PLAN]:[ENTR.]])</f>
        <v>1.0000000000000002</v>
      </c>
      <c r="D19" s="179">
        <v>0.1</v>
      </c>
      <c r="E19" s="179">
        <v>0.2</v>
      </c>
      <c r="F19" s="179">
        <v>0.3</v>
      </c>
      <c r="G19" s="179">
        <v>0.15</v>
      </c>
      <c r="H19" s="179">
        <v>0.15</v>
      </c>
      <c r="I19" s="179"/>
      <c r="J19" s="179"/>
      <c r="K19" s="179"/>
      <c r="L19" s="179"/>
      <c r="M19" s="179"/>
      <c r="N19" s="179"/>
      <c r="O19" s="179"/>
      <c r="P19" s="179"/>
      <c r="Q19" s="179">
        <v>0.1</v>
      </c>
    </row>
    <row r="20" spans="1:1010 1025:2034 2049:3058 3073:4082 4097:5106 5121:6130 6145:7154 7169:8178 8193:9202 9217:10226 10241:11250 11265:12274 12289:13298 13313:14322 14337:15346 15361:16290" x14ac:dyDescent="0.3">
      <c r="A20" s="180" t="s">
        <v>63</v>
      </c>
      <c r="B20" s="180" t="s">
        <v>210</v>
      </c>
      <c r="C20" s="181">
        <f>SUM(tb_Distr[[#This Row],[PLAN]:[ENTR.]])</f>
        <v>0.99999999999999989</v>
      </c>
      <c r="D20" s="179">
        <v>6.950608328318951E-2</v>
      </c>
      <c r="E20" s="179">
        <v>0.13901216656637902</v>
      </c>
      <c r="F20" s="179">
        <v>0.13901216656637902</v>
      </c>
      <c r="G20" s="179">
        <v>0.32623479179202619</v>
      </c>
      <c r="H20" s="179">
        <v>0.32623479179202619</v>
      </c>
      <c r="I20" s="179"/>
      <c r="J20" s="179"/>
      <c r="K20" s="179"/>
      <c r="L20" s="179"/>
      <c r="M20" s="179"/>
      <c r="N20" s="179"/>
      <c r="O20" s="179"/>
      <c r="P20" s="179"/>
      <c r="Q20" s="179"/>
    </row>
    <row r="21" spans="1:1010 1025:2034 2049:3058 3073:4082 4097:5106 5121:6130 6145:7154 7169:8178 8193:9202 9217:10226 10241:11250 11265:12274 12289:13298 13313:14322 14337:15346 15361:16290" x14ac:dyDescent="0.3">
      <c r="A21" s="203" t="s">
        <v>163</v>
      </c>
      <c r="B21" s="203" t="s">
        <v>211</v>
      </c>
      <c r="C21" s="202">
        <f>SUM(tb_Distr[[#This Row],[PLAN]:[ENTR.]])</f>
        <v>0</v>
      </c>
      <c r="D21" s="202"/>
      <c r="E21" s="202"/>
      <c r="F21" s="202"/>
      <c r="G21" s="202"/>
      <c r="H21" s="202"/>
      <c r="I21" s="202"/>
      <c r="J21" s="202"/>
      <c r="K21" s="202"/>
      <c r="L21" s="202"/>
      <c r="M21" s="202"/>
      <c r="N21" s="202"/>
      <c r="O21" s="202"/>
      <c r="P21" s="202"/>
      <c r="Q21" s="202"/>
    </row>
    <row r="22" spans="1:1010 1025:2034 2049:3058 3073:4082 4097:5106 5121:6130 6145:7154 7169:8178 8193:9202 9217:10226 10241:11250 11265:12274 12289:13298 13313:14322 14337:15346 15361:16290" x14ac:dyDescent="0.3">
      <c r="A22" s="180" t="s">
        <v>164</v>
      </c>
      <c r="B22" s="180" t="s">
        <v>209</v>
      </c>
      <c r="C22" s="181">
        <f>SUM(tb_Distr[[#This Row],[PLAN]:[ENTR.]])</f>
        <v>1.0000000000000002</v>
      </c>
      <c r="D22" s="179">
        <v>0.1</v>
      </c>
      <c r="E22" s="179">
        <v>0.2</v>
      </c>
      <c r="F22" s="179">
        <v>0.3</v>
      </c>
      <c r="G22" s="179">
        <v>0.15</v>
      </c>
      <c r="H22" s="179">
        <v>0.15</v>
      </c>
      <c r="I22" s="179"/>
      <c r="J22" s="179"/>
      <c r="K22" s="179"/>
      <c r="L22" s="179"/>
      <c r="M22" s="179"/>
      <c r="N22" s="179"/>
      <c r="O22" s="179"/>
      <c r="P22" s="179"/>
      <c r="Q22" s="179">
        <v>0.1</v>
      </c>
    </row>
    <row r="23" spans="1:1010 1025:2034 2049:3058 3073:4082 4097:5106 5121:6130 6145:7154 7169:8178 8193:9202 9217:10226 10241:11250 11265:12274 12289:13298 13313:14322 14337:15346 15361:16290" x14ac:dyDescent="0.3">
      <c r="A23" s="180" t="s">
        <v>165</v>
      </c>
      <c r="B23" s="180" t="s">
        <v>212</v>
      </c>
      <c r="C23" s="181">
        <f>SUM(tb_Distr[[#This Row],[PLAN]:[ENTR.]])</f>
        <v>1</v>
      </c>
      <c r="D23" s="179">
        <v>0.1</v>
      </c>
      <c r="E23" s="179">
        <v>0.2</v>
      </c>
      <c r="F23" s="179">
        <v>0.6</v>
      </c>
      <c r="G23" s="179"/>
      <c r="H23" s="179"/>
      <c r="I23" s="179"/>
      <c r="J23" s="179"/>
      <c r="K23" s="179"/>
      <c r="L23" s="179"/>
      <c r="M23" s="179"/>
      <c r="N23" s="179"/>
      <c r="O23" s="179"/>
      <c r="P23" s="179"/>
      <c r="Q23" s="179">
        <v>0.1</v>
      </c>
    </row>
    <row r="24" spans="1:1010 1025:2034 2049:3058 3073:4082 4097:5106 5121:6130 6145:7154 7169:8178 8193:9202 9217:10226 10241:11250 11265:12274 12289:13298 13313:14322 14337:15346 15361:16290" x14ac:dyDescent="0.3">
      <c r="A24" s="180" t="s">
        <v>166</v>
      </c>
      <c r="B24" s="180" t="s">
        <v>218</v>
      </c>
      <c r="C24" s="181">
        <f>SUM(tb_Distr[[#This Row],[PLAN]:[ENTR.]])</f>
        <v>1</v>
      </c>
      <c r="D24" s="347">
        <v>6.1302207041072365E-2</v>
      </c>
      <c r="E24" s="347">
        <v>0.12260441408214473</v>
      </c>
      <c r="F24" s="347">
        <v>7.356265092506635E-2</v>
      </c>
      <c r="G24" s="347">
        <v>7.356265092506635E-2</v>
      </c>
      <c r="H24" s="347">
        <v>7.356E-2</v>
      </c>
      <c r="I24" s="347">
        <v>7.356E-2</v>
      </c>
      <c r="J24" s="347">
        <v>3.065E-2</v>
      </c>
      <c r="K24" s="347">
        <v>3.065E-2</v>
      </c>
      <c r="L24" s="347">
        <v>0.23444999999999999</v>
      </c>
      <c r="M24" s="347">
        <v>0.11611</v>
      </c>
      <c r="N24" s="347">
        <v>0.01</v>
      </c>
      <c r="O24" s="347"/>
      <c r="P24" s="347"/>
      <c r="Q24" s="347">
        <f>1-SUM(tb_Distr[[#This Row],[PLAN]:[ETP.11]])</f>
        <v>9.9988077026650246E-2</v>
      </c>
    </row>
    <row r="25" spans="1:1010 1025:2034 2049:3058 3073:4082 4097:5106 5121:6130 6145:7154 7169:8178 8193:9202 9217:10226 10241:11250 11265:12274 12289:13298 13313:14322 14337:15346 15361:16290" x14ac:dyDescent="0.3">
      <c r="A25" s="203" t="s">
        <v>234</v>
      </c>
      <c r="B25" s="203" t="s">
        <v>237</v>
      </c>
      <c r="C25" s="202">
        <f>SUM(tb_Distr[[#This Row],[PLAN]:[ENTR.]])</f>
        <v>0</v>
      </c>
      <c r="D25" s="202"/>
      <c r="E25" s="202"/>
      <c r="F25" s="202"/>
      <c r="G25" s="202"/>
      <c r="H25" s="202"/>
      <c r="I25" s="202"/>
      <c r="J25" s="202"/>
      <c r="K25" s="202"/>
      <c r="L25" s="202"/>
      <c r="M25" s="202"/>
      <c r="N25" s="202"/>
      <c r="O25" s="202"/>
      <c r="P25" s="202"/>
      <c r="Q25" s="202"/>
    </row>
    <row r="26" spans="1:1010 1025:2034 2049:3058 3073:4082 4097:5106 5121:6130 6145:7154 7169:8178 8193:9202 9217:10226 10241:11250 11265:12274 12289:13298 13313:14322 14337:15346 15361:16290" x14ac:dyDescent="0.3">
      <c r="A26" s="180" t="s">
        <v>240</v>
      </c>
      <c r="B26" s="180" t="s">
        <v>356</v>
      </c>
      <c r="C26" s="181">
        <f>SUM(tb_Distr[[#This Row],[PLAN]:[ENTR.]])</f>
        <v>1</v>
      </c>
      <c r="D26" s="179">
        <v>0.1</v>
      </c>
      <c r="E26" s="179">
        <v>0.2</v>
      </c>
      <c r="F26" s="179">
        <v>0.1</v>
      </c>
      <c r="G26" s="179">
        <v>0.06</v>
      </c>
      <c r="H26" s="179">
        <v>0.12</v>
      </c>
      <c r="I26" s="179">
        <v>0.12</v>
      </c>
      <c r="J26" s="179">
        <v>0.1</v>
      </c>
      <c r="K26" s="179">
        <v>0.1</v>
      </c>
      <c r="L26" s="179"/>
      <c r="M26" s="179"/>
      <c r="N26" s="179"/>
      <c r="O26" s="179"/>
      <c r="P26" s="179"/>
      <c r="Q26" s="179">
        <v>0.1</v>
      </c>
    </row>
    <row r="27" spans="1:1010 1025:2034 2049:3058 3073:4082 4097:5106 5121:6130 6145:7154 7169:8178 8193:9202 9217:10226 10241:11250 11265:12274 12289:13298 13313:14322 14337:15346 15361:16290" x14ac:dyDescent="0.3">
      <c r="A27" s="180" t="s">
        <v>241</v>
      </c>
      <c r="B27" s="180" t="s">
        <v>357</v>
      </c>
      <c r="C27" s="181">
        <f>SUM(tb_Distr[[#This Row],[PLAN]:[ENTR.]])</f>
        <v>1.0000000000000002</v>
      </c>
      <c r="D27" s="179">
        <v>0.1</v>
      </c>
      <c r="E27" s="179">
        <v>0.2</v>
      </c>
      <c r="F27" s="179">
        <v>0.1</v>
      </c>
      <c r="G27" s="179">
        <v>0.15</v>
      </c>
      <c r="H27" s="179">
        <v>0.15</v>
      </c>
      <c r="I27" s="179">
        <v>0.2</v>
      </c>
      <c r="J27" s="179"/>
      <c r="K27" s="179"/>
      <c r="L27" s="179"/>
      <c r="M27" s="179"/>
      <c r="N27" s="179"/>
      <c r="O27" s="179"/>
      <c r="P27" s="179"/>
      <c r="Q27" s="179">
        <v>0.1</v>
      </c>
    </row>
    <row r="28" spans="1:1010 1025:2034 2049:3058 3073:4082 4097:5106 5121:6130 6145:7154 7169:8178 8193:9202 9217:10226 10241:11250 11265:12274 12289:13298 13313:14322 14337:15346 15361:16290" x14ac:dyDescent="0.3">
      <c r="A28" s="180" t="s">
        <v>242</v>
      </c>
      <c r="B28" s="180" t="s">
        <v>358</v>
      </c>
      <c r="C28" s="181">
        <f>SUM(tb_Distr[[#This Row],[PLAN]:[ENTR.]])</f>
        <v>1</v>
      </c>
      <c r="D28" s="179">
        <v>0.1</v>
      </c>
      <c r="E28" s="179">
        <v>0.2</v>
      </c>
      <c r="F28" s="179">
        <v>0.1</v>
      </c>
      <c r="G28" s="179">
        <v>0.05</v>
      </c>
      <c r="H28" s="179">
        <v>0.09</v>
      </c>
      <c r="I28" s="179">
        <v>0.12</v>
      </c>
      <c r="J28" s="179">
        <v>0.12</v>
      </c>
      <c r="K28" s="179">
        <v>0.12</v>
      </c>
      <c r="L28" s="179"/>
      <c r="M28" s="179"/>
      <c r="N28" s="179"/>
      <c r="O28" s="179"/>
      <c r="P28" s="179"/>
      <c r="Q28" s="179">
        <v>0.1</v>
      </c>
    </row>
    <row r="29" spans="1:1010 1025:2034 2049:3058 3073:4082 4097:5106 5121:6130 6145:7154 7169:8178 8193:9202 9217:10226 10241:11250 11265:12274 12289:13298 13313:14322 14337:15346 15361:16290" x14ac:dyDescent="0.3">
      <c r="A29" s="180" t="s">
        <v>243</v>
      </c>
      <c r="B29" s="180" t="s">
        <v>359</v>
      </c>
      <c r="C29" s="181">
        <f>SUM(tb_Distr[[#This Row],[PLAN]:[ENTR.]])</f>
        <v>1</v>
      </c>
      <c r="D29" s="179">
        <v>0.1</v>
      </c>
      <c r="E29" s="179">
        <v>0.2</v>
      </c>
      <c r="F29" s="240">
        <v>0.15</v>
      </c>
      <c r="G29" s="240">
        <v>0.3</v>
      </c>
      <c r="H29" s="240">
        <v>0.15</v>
      </c>
      <c r="I29" s="240"/>
      <c r="J29" s="179"/>
      <c r="K29" s="179"/>
      <c r="L29" s="179"/>
      <c r="M29" s="179"/>
      <c r="N29" s="179"/>
      <c r="O29" s="179"/>
      <c r="P29" s="179"/>
      <c r="Q29" s="179">
        <v>0.1</v>
      </c>
    </row>
    <row r="30" spans="1:1010 1025:2034 2049:3058 3073:4082 4097:5106 5121:6130 6145:7154 7169:8178 8193:9202 9217:10226 10241:11250 11265:12274 12289:13298 13313:14322 14337:15346 15361:16290" s="240" customFormat="1" ht="13.8" x14ac:dyDescent="0.3">
      <c r="A30" s="180" t="s">
        <v>244</v>
      </c>
      <c r="B30" s="180" t="s">
        <v>252</v>
      </c>
      <c r="C30" s="181">
        <f>SUM(tb_Distr[[#This Row],[PLAN]:[ENTR.]])</f>
        <v>1.0000000000000002</v>
      </c>
      <c r="D30" s="179">
        <v>0.1</v>
      </c>
      <c r="E30" s="179">
        <v>0.2</v>
      </c>
      <c r="F30" s="179">
        <v>0.15</v>
      </c>
      <c r="G30" s="179">
        <v>0.4</v>
      </c>
      <c r="H30" s="179">
        <v>0.05</v>
      </c>
      <c r="I30" s="179"/>
      <c r="J30" s="179"/>
      <c r="K30" s="179"/>
      <c r="L30" s="179"/>
      <c r="M30" s="179"/>
      <c r="N30" s="179"/>
      <c r="O30" s="179"/>
      <c r="P30" s="179"/>
      <c r="Q30" s="179">
        <v>0.1</v>
      </c>
      <c r="R30" s="178"/>
      <c r="AG30" s="178"/>
      <c r="AH30" s="178"/>
      <c r="AW30" s="178"/>
      <c r="AX30" s="178"/>
      <c r="BM30" s="178"/>
      <c r="BN30" s="178"/>
      <c r="CC30" s="178"/>
      <c r="CD30" s="178"/>
      <c r="CS30" s="178"/>
      <c r="CT30" s="178"/>
      <c r="DI30" s="178"/>
      <c r="DJ30" s="178"/>
      <c r="DY30" s="178"/>
      <c r="DZ30" s="178"/>
      <c r="EO30" s="178"/>
      <c r="EP30" s="178"/>
      <c r="FE30" s="178"/>
      <c r="FF30" s="178"/>
      <c r="FU30" s="178"/>
      <c r="FV30" s="178"/>
      <c r="GK30" s="178"/>
      <c r="GL30" s="178"/>
      <c r="HA30" s="178"/>
      <c r="HB30" s="178"/>
      <c r="HQ30" s="178"/>
      <c r="HR30" s="178"/>
      <c r="IG30" s="178"/>
      <c r="IH30" s="178"/>
      <c r="IW30" s="178"/>
      <c r="IX30" s="178"/>
      <c r="JM30" s="178"/>
      <c r="JN30" s="178"/>
      <c r="KC30" s="178"/>
      <c r="KD30" s="178"/>
      <c r="KS30" s="178"/>
      <c r="KT30" s="178"/>
      <c r="LI30" s="178"/>
      <c r="LJ30" s="178"/>
      <c r="LY30" s="178"/>
      <c r="LZ30" s="178"/>
      <c r="MO30" s="178"/>
      <c r="MP30" s="178"/>
      <c r="NE30" s="178"/>
      <c r="NF30" s="178"/>
      <c r="NU30" s="178"/>
      <c r="NV30" s="178"/>
      <c r="OK30" s="178"/>
      <c r="OL30" s="178"/>
      <c r="PA30" s="178"/>
      <c r="PB30" s="178"/>
      <c r="PQ30" s="178"/>
      <c r="PR30" s="178"/>
      <c r="QG30" s="178"/>
      <c r="QH30" s="178"/>
      <c r="QW30" s="178"/>
      <c r="QX30" s="178"/>
      <c r="RM30" s="178"/>
      <c r="RN30" s="178"/>
      <c r="SC30" s="178"/>
      <c r="SD30" s="178"/>
      <c r="SS30" s="178"/>
      <c r="ST30" s="178"/>
      <c r="TI30" s="178"/>
      <c r="TJ30" s="178"/>
      <c r="TY30" s="178"/>
      <c r="TZ30" s="178"/>
      <c r="UO30" s="178"/>
      <c r="UP30" s="178"/>
      <c r="VE30" s="178"/>
      <c r="VF30" s="178"/>
      <c r="VU30" s="178"/>
      <c r="VV30" s="178"/>
      <c r="WK30" s="178"/>
      <c r="WL30" s="178"/>
      <c r="XA30" s="178"/>
      <c r="XB30" s="178"/>
      <c r="XQ30" s="178"/>
      <c r="XR30" s="178"/>
      <c r="YG30" s="178"/>
      <c r="YH30" s="178"/>
      <c r="YW30" s="178"/>
      <c r="YX30" s="178"/>
      <c r="ZM30" s="178"/>
      <c r="ZN30" s="178"/>
      <c r="AAC30" s="178"/>
      <c r="AAD30" s="178"/>
      <c r="AAS30" s="178"/>
      <c r="AAT30" s="178"/>
      <c r="ABI30" s="178"/>
      <c r="ABJ30" s="178"/>
      <c r="ABY30" s="178"/>
      <c r="ABZ30" s="178"/>
      <c r="ACO30" s="178"/>
      <c r="ACP30" s="178"/>
      <c r="ADE30" s="178"/>
      <c r="ADF30" s="178"/>
      <c r="ADU30" s="178"/>
      <c r="ADV30" s="178"/>
      <c r="AEK30" s="178"/>
      <c r="AEL30" s="178"/>
      <c r="AFA30" s="178"/>
      <c r="AFB30" s="178"/>
      <c r="AFQ30" s="178"/>
      <c r="AFR30" s="178"/>
      <c r="AGG30" s="178"/>
      <c r="AGH30" s="178"/>
      <c r="AGW30" s="178"/>
      <c r="AGX30" s="178"/>
      <c r="AHM30" s="178"/>
      <c r="AHN30" s="178"/>
      <c r="AIC30" s="178"/>
      <c r="AID30" s="178"/>
      <c r="AIS30" s="178"/>
      <c r="AIT30" s="178"/>
      <c r="AJI30" s="178"/>
      <c r="AJJ30" s="178"/>
      <c r="AJY30" s="178"/>
      <c r="AJZ30" s="178"/>
      <c r="AKO30" s="178"/>
      <c r="AKP30" s="178"/>
      <c r="ALE30" s="178"/>
      <c r="ALF30" s="178"/>
      <c r="ALU30" s="178"/>
      <c r="ALV30" s="178"/>
      <c r="AMK30" s="178"/>
      <c r="AML30" s="178"/>
      <c r="ANA30" s="178"/>
      <c r="ANB30" s="178"/>
      <c r="ANQ30" s="178"/>
      <c r="ANR30" s="178"/>
      <c r="AOG30" s="178"/>
      <c r="AOH30" s="178"/>
      <c r="AOW30" s="178"/>
      <c r="AOX30" s="178"/>
      <c r="APM30" s="178"/>
      <c r="APN30" s="178"/>
      <c r="AQC30" s="178"/>
      <c r="AQD30" s="178"/>
      <c r="AQS30" s="178"/>
      <c r="AQT30" s="178"/>
      <c r="ARI30" s="178"/>
      <c r="ARJ30" s="178"/>
      <c r="ARY30" s="178"/>
      <c r="ARZ30" s="178"/>
      <c r="ASO30" s="178"/>
      <c r="ASP30" s="178"/>
      <c r="ATE30" s="178"/>
      <c r="ATF30" s="178"/>
      <c r="ATU30" s="178"/>
      <c r="ATV30" s="178"/>
      <c r="AUK30" s="178"/>
      <c r="AUL30" s="178"/>
      <c r="AVA30" s="178"/>
      <c r="AVB30" s="178"/>
      <c r="AVQ30" s="178"/>
      <c r="AVR30" s="178"/>
      <c r="AWG30" s="178"/>
      <c r="AWH30" s="178"/>
      <c r="AWW30" s="178"/>
      <c r="AWX30" s="178"/>
      <c r="AXM30" s="178"/>
      <c r="AXN30" s="178"/>
      <c r="AYC30" s="178"/>
      <c r="AYD30" s="178"/>
      <c r="AYS30" s="178"/>
      <c r="AYT30" s="178"/>
      <c r="AZI30" s="178"/>
      <c r="AZJ30" s="178"/>
      <c r="AZY30" s="178"/>
      <c r="AZZ30" s="178"/>
      <c r="BAO30" s="178"/>
      <c r="BAP30" s="178"/>
      <c r="BBE30" s="178"/>
      <c r="BBF30" s="178"/>
      <c r="BBU30" s="178"/>
      <c r="BBV30" s="178"/>
      <c r="BCK30" s="178"/>
      <c r="BCL30" s="178"/>
      <c r="BDA30" s="178"/>
      <c r="BDB30" s="178"/>
      <c r="BDQ30" s="178"/>
      <c r="BDR30" s="178"/>
      <c r="BEG30" s="178"/>
      <c r="BEH30" s="178"/>
      <c r="BEW30" s="178"/>
      <c r="BEX30" s="178"/>
      <c r="BFM30" s="178"/>
      <c r="BFN30" s="178"/>
      <c r="BGC30" s="178"/>
      <c r="BGD30" s="178"/>
      <c r="BGS30" s="178"/>
      <c r="BGT30" s="178"/>
      <c r="BHI30" s="178"/>
      <c r="BHJ30" s="178"/>
      <c r="BHY30" s="178"/>
      <c r="BHZ30" s="178"/>
      <c r="BIO30" s="178"/>
      <c r="BIP30" s="178"/>
      <c r="BJE30" s="178"/>
      <c r="BJF30" s="178"/>
      <c r="BJU30" s="178"/>
      <c r="BJV30" s="178"/>
      <c r="BKK30" s="178"/>
      <c r="BKL30" s="178"/>
      <c r="BLA30" s="178"/>
      <c r="BLB30" s="178"/>
      <c r="BLQ30" s="178"/>
      <c r="BLR30" s="178"/>
      <c r="BMG30" s="178"/>
      <c r="BMH30" s="178"/>
      <c r="BMW30" s="178"/>
      <c r="BMX30" s="178"/>
      <c r="BNM30" s="178"/>
      <c r="BNN30" s="178"/>
      <c r="BOC30" s="178"/>
      <c r="BOD30" s="178"/>
      <c r="BOS30" s="178"/>
      <c r="BOT30" s="178"/>
      <c r="BPI30" s="178"/>
      <c r="BPJ30" s="178"/>
      <c r="BPY30" s="178"/>
      <c r="BPZ30" s="178"/>
      <c r="BQO30" s="178"/>
      <c r="BQP30" s="178"/>
      <c r="BRE30" s="178"/>
      <c r="BRF30" s="178"/>
      <c r="BRU30" s="178"/>
      <c r="BRV30" s="178"/>
      <c r="BSK30" s="178"/>
      <c r="BSL30" s="178"/>
      <c r="BTA30" s="178"/>
      <c r="BTB30" s="178"/>
      <c r="BTQ30" s="178"/>
      <c r="BTR30" s="178"/>
      <c r="BUG30" s="178"/>
      <c r="BUH30" s="178"/>
      <c r="BUW30" s="178"/>
      <c r="BUX30" s="178"/>
      <c r="BVM30" s="178"/>
      <c r="BVN30" s="178"/>
      <c r="BWC30" s="178"/>
      <c r="BWD30" s="178"/>
      <c r="BWS30" s="178"/>
      <c r="BWT30" s="178"/>
      <c r="BXI30" s="178"/>
      <c r="BXJ30" s="178"/>
      <c r="BXY30" s="178"/>
      <c r="BXZ30" s="178"/>
      <c r="BYO30" s="178"/>
      <c r="BYP30" s="178"/>
      <c r="BZE30" s="178"/>
      <c r="BZF30" s="178"/>
      <c r="BZU30" s="178"/>
      <c r="BZV30" s="178"/>
      <c r="CAK30" s="178"/>
      <c r="CAL30" s="178"/>
      <c r="CBA30" s="178"/>
      <c r="CBB30" s="178"/>
      <c r="CBQ30" s="178"/>
      <c r="CBR30" s="178"/>
      <c r="CCG30" s="178"/>
      <c r="CCH30" s="178"/>
      <c r="CCW30" s="178"/>
      <c r="CCX30" s="178"/>
      <c r="CDM30" s="178"/>
      <c r="CDN30" s="178"/>
      <c r="CEC30" s="178"/>
      <c r="CED30" s="178"/>
      <c r="CES30" s="178"/>
      <c r="CET30" s="178"/>
      <c r="CFI30" s="178"/>
      <c r="CFJ30" s="178"/>
      <c r="CFY30" s="178"/>
      <c r="CFZ30" s="178"/>
      <c r="CGO30" s="178"/>
      <c r="CGP30" s="178"/>
      <c r="CHE30" s="178"/>
      <c r="CHF30" s="178"/>
      <c r="CHU30" s="178"/>
      <c r="CHV30" s="178"/>
      <c r="CIK30" s="178"/>
      <c r="CIL30" s="178"/>
      <c r="CJA30" s="178"/>
      <c r="CJB30" s="178"/>
      <c r="CJQ30" s="178"/>
      <c r="CJR30" s="178"/>
      <c r="CKG30" s="178"/>
      <c r="CKH30" s="178"/>
      <c r="CKW30" s="178"/>
      <c r="CKX30" s="178"/>
      <c r="CLM30" s="178"/>
      <c r="CLN30" s="178"/>
      <c r="CMC30" s="178"/>
      <c r="CMD30" s="178"/>
      <c r="CMS30" s="178"/>
      <c r="CMT30" s="178"/>
      <c r="CNI30" s="178"/>
      <c r="CNJ30" s="178"/>
      <c r="CNY30" s="178"/>
      <c r="CNZ30" s="178"/>
      <c r="COO30" s="178"/>
      <c r="COP30" s="178"/>
      <c r="CPE30" s="178"/>
      <c r="CPF30" s="178"/>
      <c r="CPU30" s="178"/>
      <c r="CPV30" s="178"/>
      <c r="CQK30" s="178"/>
      <c r="CQL30" s="178"/>
      <c r="CRA30" s="178"/>
      <c r="CRB30" s="178"/>
      <c r="CRQ30" s="178"/>
      <c r="CRR30" s="178"/>
      <c r="CSG30" s="178"/>
      <c r="CSH30" s="178"/>
      <c r="CSW30" s="178"/>
      <c r="CSX30" s="178"/>
      <c r="CTM30" s="178"/>
      <c r="CTN30" s="178"/>
      <c r="CUC30" s="178"/>
      <c r="CUD30" s="178"/>
      <c r="CUS30" s="178"/>
      <c r="CUT30" s="178"/>
      <c r="CVI30" s="178"/>
      <c r="CVJ30" s="178"/>
      <c r="CVY30" s="178"/>
      <c r="CVZ30" s="178"/>
      <c r="CWO30" s="178"/>
      <c r="CWP30" s="178"/>
      <c r="CXE30" s="178"/>
      <c r="CXF30" s="178"/>
      <c r="CXU30" s="178"/>
      <c r="CXV30" s="178"/>
      <c r="CYK30" s="178"/>
      <c r="CYL30" s="178"/>
      <c r="CZA30" s="178"/>
      <c r="CZB30" s="178"/>
      <c r="CZQ30" s="178"/>
      <c r="CZR30" s="178"/>
      <c r="DAG30" s="178"/>
      <c r="DAH30" s="178"/>
      <c r="DAW30" s="178"/>
      <c r="DAX30" s="178"/>
      <c r="DBM30" s="178"/>
      <c r="DBN30" s="178"/>
      <c r="DCC30" s="178"/>
      <c r="DCD30" s="178"/>
      <c r="DCS30" s="178"/>
      <c r="DCT30" s="178"/>
      <c r="DDI30" s="178"/>
      <c r="DDJ30" s="178"/>
      <c r="DDY30" s="178"/>
      <c r="DDZ30" s="178"/>
      <c r="DEO30" s="178"/>
      <c r="DEP30" s="178"/>
      <c r="DFE30" s="178"/>
      <c r="DFF30" s="178"/>
      <c r="DFU30" s="178"/>
      <c r="DFV30" s="178"/>
      <c r="DGK30" s="178"/>
      <c r="DGL30" s="178"/>
      <c r="DHA30" s="178"/>
      <c r="DHB30" s="178"/>
      <c r="DHQ30" s="178"/>
      <c r="DHR30" s="178"/>
      <c r="DIG30" s="178"/>
      <c r="DIH30" s="178"/>
      <c r="DIW30" s="178"/>
      <c r="DIX30" s="178"/>
      <c r="DJM30" s="178"/>
      <c r="DJN30" s="178"/>
      <c r="DKC30" s="178"/>
      <c r="DKD30" s="178"/>
      <c r="DKS30" s="178"/>
      <c r="DKT30" s="178"/>
      <c r="DLI30" s="178"/>
      <c r="DLJ30" s="178"/>
      <c r="DLY30" s="178"/>
      <c r="DLZ30" s="178"/>
      <c r="DMO30" s="178"/>
      <c r="DMP30" s="178"/>
      <c r="DNE30" s="178"/>
      <c r="DNF30" s="178"/>
      <c r="DNU30" s="178"/>
      <c r="DNV30" s="178"/>
      <c r="DOK30" s="178"/>
      <c r="DOL30" s="178"/>
      <c r="DPA30" s="178"/>
      <c r="DPB30" s="178"/>
      <c r="DPQ30" s="178"/>
      <c r="DPR30" s="178"/>
      <c r="DQG30" s="178"/>
      <c r="DQH30" s="178"/>
      <c r="DQW30" s="178"/>
      <c r="DQX30" s="178"/>
      <c r="DRM30" s="178"/>
      <c r="DRN30" s="178"/>
      <c r="DSC30" s="178"/>
      <c r="DSD30" s="178"/>
      <c r="DSS30" s="178"/>
      <c r="DST30" s="178"/>
      <c r="DTI30" s="178"/>
      <c r="DTJ30" s="178"/>
      <c r="DTY30" s="178"/>
      <c r="DTZ30" s="178"/>
      <c r="DUO30" s="178"/>
      <c r="DUP30" s="178"/>
      <c r="DVE30" s="178"/>
      <c r="DVF30" s="178"/>
      <c r="DVU30" s="178"/>
      <c r="DVV30" s="178"/>
      <c r="DWK30" s="178"/>
      <c r="DWL30" s="178"/>
      <c r="DXA30" s="178"/>
      <c r="DXB30" s="178"/>
      <c r="DXQ30" s="178"/>
      <c r="DXR30" s="178"/>
      <c r="DYG30" s="178"/>
      <c r="DYH30" s="178"/>
      <c r="DYW30" s="178"/>
      <c r="DYX30" s="178"/>
      <c r="DZM30" s="178"/>
      <c r="DZN30" s="178"/>
      <c r="EAC30" s="178"/>
      <c r="EAD30" s="178"/>
      <c r="EAS30" s="178"/>
      <c r="EAT30" s="178"/>
      <c r="EBI30" s="178"/>
      <c r="EBJ30" s="178"/>
      <c r="EBY30" s="178"/>
      <c r="EBZ30" s="178"/>
      <c r="ECO30" s="178"/>
      <c r="ECP30" s="178"/>
      <c r="EDE30" s="178"/>
      <c r="EDF30" s="178"/>
      <c r="EDU30" s="178"/>
      <c r="EDV30" s="178"/>
      <c r="EEK30" s="178"/>
      <c r="EEL30" s="178"/>
      <c r="EFA30" s="178"/>
      <c r="EFB30" s="178"/>
      <c r="EFQ30" s="178"/>
      <c r="EFR30" s="178"/>
      <c r="EGG30" s="178"/>
      <c r="EGH30" s="178"/>
      <c r="EGW30" s="178"/>
      <c r="EGX30" s="178"/>
      <c r="EHM30" s="178"/>
      <c r="EHN30" s="178"/>
      <c r="EIC30" s="178"/>
      <c r="EID30" s="178"/>
      <c r="EIS30" s="178"/>
      <c r="EIT30" s="178"/>
      <c r="EJI30" s="178"/>
      <c r="EJJ30" s="178"/>
      <c r="EJY30" s="178"/>
      <c r="EJZ30" s="178"/>
      <c r="EKO30" s="178"/>
      <c r="EKP30" s="178"/>
      <c r="ELE30" s="178"/>
      <c r="ELF30" s="178"/>
      <c r="ELU30" s="178"/>
      <c r="ELV30" s="178"/>
      <c r="EMK30" s="178"/>
      <c r="EML30" s="178"/>
      <c r="ENA30" s="178"/>
      <c r="ENB30" s="178"/>
      <c r="ENQ30" s="178"/>
      <c r="ENR30" s="178"/>
      <c r="EOG30" s="178"/>
      <c r="EOH30" s="178"/>
      <c r="EOW30" s="178"/>
      <c r="EOX30" s="178"/>
      <c r="EPM30" s="178"/>
      <c r="EPN30" s="178"/>
      <c r="EQC30" s="178"/>
      <c r="EQD30" s="178"/>
      <c r="EQS30" s="178"/>
      <c r="EQT30" s="178"/>
      <c r="ERI30" s="178"/>
      <c r="ERJ30" s="178"/>
      <c r="ERY30" s="178"/>
      <c r="ERZ30" s="178"/>
      <c r="ESO30" s="178"/>
      <c r="ESP30" s="178"/>
      <c r="ETE30" s="178"/>
      <c r="ETF30" s="178"/>
      <c r="ETU30" s="178"/>
      <c r="ETV30" s="178"/>
      <c r="EUK30" s="178"/>
      <c r="EUL30" s="178"/>
      <c r="EVA30" s="178"/>
      <c r="EVB30" s="178"/>
      <c r="EVQ30" s="178"/>
      <c r="EVR30" s="178"/>
      <c r="EWG30" s="178"/>
      <c r="EWH30" s="178"/>
      <c r="EWW30" s="178"/>
      <c r="EWX30" s="178"/>
      <c r="EXM30" s="178"/>
      <c r="EXN30" s="178"/>
      <c r="EYC30" s="178"/>
      <c r="EYD30" s="178"/>
      <c r="EYS30" s="178"/>
      <c r="EYT30" s="178"/>
      <c r="EZI30" s="178"/>
      <c r="EZJ30" s="178"/>
      <c r="EZY30" s="178"/>
      <c r="EZZ30" s="178"/>
      <c r="FAO30" s="178"/>
      <c r="FAP30" s="178"/>
      <c r="FBE30" s="178"/>
      <c r="FBF30" s="178"/>
      <c r="FBU30" s="178"/>
      <c r="FBV30" s="178"/>
      <c r="FCK30" s="178"/>
      <c r="FCL30" s="178"/>
      <c r="FDA30" s="178"/>
      <c r="FDB30" s="178"/>
      <c r="FDQ30" s="178"/>
      <c r="FDR30" s="178"/>
      <c r="FEG30" s="178"/>
      <c r="FEH30" s="178"/>
      <c r="FEW30" s="178"/>
      <c r="FEX30" s="178"/>
      <c r="FFM30" s="178"/>
      <c r="FFN30" s="178"/>
      <c r="FGC30" s="178"/>
      <c r="FGD30" s="178"/>
      <c r="FGS30" s="178"/>
      <c r="FGT30" s="178"/>
      <c r="FHI30" s="178"/>
      <c r="FHJ30" s="178"/>
      <c r="FHY30" s="178"/>
      <c r="FHZ30" s="178"/>
      <c r="FIO30" s="178"/>
      <c r="FIP30" s="178"/>
      <c r="FJE30" s="178"/>
      <c r="FJF30" s="178"/>
      <c r="FJU30" s="178"/>
      <c r="FJV30" s="178"/>
      <c r="FKK30" s="178"/>
      <c r="FKL30" s="178"/>
      <c r="FLA30" s="178"/>
      <c r="FLB30" s="178"/>
      <c r="FLQ30" s="178"/>
      <c r="FLR30" s="178"/>
      <c r="FMG30" s="178"/>
      <c r="FMH30" s="178"/>
      <c r="FMW30" s="178"/>
      <c r="FMX30" s="178"/>
      <c r="FNM30" s="178"/>
      <c r="FNN30" s="178"/>
      <c r="FOC30" s="178"/>
      <c r="FOD30" s="178"/>
      <c r="FOS30" s="178"/>
      <c r="FOT30" s="178"/>
      <c r="FPI30" s="178"/>
      <c r="FPJ30" s="178"/>
      <c r="FPY30" s="178"/>
      <c r="FPZ30" s="178"/>
      <c r="FQO30" s="178"/>
      <c r="FQP30" s="178"/>
      <c r="FRE30" s="178"/>
      <c r="FRF30" s="178"/>
      <c r="FRU30" s="178"/>
      <c r="FRV30" s="178"/>
      <c r="FSK30" s="178"/>
      <c r="FSL30" s="178"/>
      <c r="FTA30" s="178"/>
      <c r="FTB30" s="178"/>
      <c r="FTQ30" s="178"/>
      <c r="FTR30" s="178"/>
      <c r="FUG30" s="178"/>
      <c r="FUH30" s="178"/>
      <c r="FUW30" s="178"/>
      <c r="FUX30" s="178"/>
      <c r="FVM30" s="178"/>
      <c r="FVN30" s="178"/>
      <c r="FWC30" s="178"/>
      <c r="FWD30" s="178"/>
      <c r="FWS30" s="178"/>
      <c r="FWT30" s="178"/>
      <c r="FXI30" s="178"/>
      <c r="FXJ30" s="178"/>
      <c r="FXY30" s="178"/>
      <c r="FXZ30" s="178"/>
      <c r="FYO30" s="178"/>
      <c r="FYP30" s="178"/>
      <c r="FZE30" s="178"/>
      <c r="FZF30" s="178"/>
      <c r="FZU30" s="178"/>
      <c r="FZV30" s="178"/>
      <c r="GAK30" s="178"/>
      <c r="GAL30" s="178"/>
      <c r="GBA30" s="178"/>
      <c r="GBB30" s="178"/>
      <c r="GBQ30" s="178"/>
      <c r="GBR30" s="178"/>
      <c r="GCG30" s="178"/>
      <c r="GCH30" s="178"/>
      <c r="GCW30" s="178"/>
      <c r="GCX30" s="178"/>
      <c r="GDM30" s="178"/>
      <c r="GDN30" s="178"/>
      <c r="GEC30" s="178"/>
      <c r="GED30" s="178"/>
      <c r="GES30" s="178"/>
      <c r="GET30" s="178"/>
      <c r="GFI30" s="178"/>
      <c r="GFJ30" s="178"/>
      <c r="GFY30" s="178"/>
      <c r="GFZ30" s="178"/>
      <c r="GGO30" s="178"/>
      <c r="GGP30" s="178"/>
      <c r="GHE30" s="178"/>
      <c r="GHF30" s="178"/>
      <c r="GHU30" s="178"/>
      <c r="GHV30" s="178"/>
      <c r="GIK30" s="178"/>
      <c r="GIL30" s="178"/>
      <c r="GJA30" s="178"/>
      <c r="GJB30" s="178"/>
      <c r="GJQ30" s="178"/>
      <c r="GJR30" s="178"/>
      <c r="GKG30" s="178"/>
      <c r="GKH30" s="178"/>
      <c r="GKW30" s="178"/>
      <c r="GKX30" s="178"/>
      <c r="GLM30" s="178"/>
      <c r="GLN30" s="178"/>
      <c r="GMC30" s="178"/>
      <c r="GMD30" s="178"/>
      <c r="GMS30" s="178"/>
      <c r="GMT30" s="178"/>
      <c r="GNI30" s="178"/>
      <c r="GNJ30" s="178"/>
      <c r="GNY30" s="178"/>
      <c r="GNZ30" s="178"/>
      <c r="GOO30" s="178"/>
      <c r="GOP30" s="178"/>
      <c r="GPE30" s="178"/>
      <c r="GPF30" s="178"/>
      <c r="GPU30" s="178"/>
      <c r="GPV30" s="178"/>
      <c r="GQK30" s="178"/>
      <c r="GQL30" s="178"/>
      <c r="GRA30" s="178"/>
      <c r="GRB30" s="178"/>
      <c r="GRQ30" s="178"/>
      <c r="GRR30" s="178"/>
      <c r="GSG30" s="178"/>
      <c r="GSH30" s="178"/>
      <c r="GSW30" s="178"/>
      <c r="GSX30" s="178"/>
      <c r="GTM30" s="178"/>
      <c r="GTN30" s="178"/>
      <c r="GUC30" s="178"/>
      <c r="GUD30" s="178"/>
      <c r="GUS30" s="178"/>
      <c r="GUT30" s="178"/>
      <c r="GVI30" s="178"/>
      <c r="GVJ30" s="178"/>
      <c r="GVY30" s="178"/>
      <c r="GVZ30" s="178"/>
      <c r="GWO30" s="178"/>
      <c r="GWP30" s="178"/>
      <c r="GXE30" s="178"/>
      <c r="GXF30" s="178"/>
      <c r="GXU30" s="178"/>
      <c r="GXV30" s="178"/>
      <c r="GYK30" s="178"/>
      <c r="GYL30" s="178"/>
      <c r="GZA30" s="178"/>
      <c r="GZB30" s="178"/>
      <c r="GZQ30" s="178"/>
      <c r="GZR30" s="178"/>
      <c r="HAG30" s="178"/>
      <c r="HAH30" s="178"/>
      <c r="HAW30" s="178"/>
      <c r="HAX30" s="178"/>
      <c r="HBM30" s="178"/>
      <c r="HBN30" s="178"/>
      <c r="HCC30" s="178"/>
      <c r="HCD30" s="178"/>
      <c r="HCS30" s="178"/>
      <c r="HCT30" s="178"/>
      <c r="HDI30" s="178"/>
      <c r="HDJ30" s="178"/>
      <c r="HDY30" s="178"/>
      <c r="HDZ30" s="178"/>
      <c r="HEO30" s="178"/>
      <c r="HEP30" s="178"/>
      <c r="HFE30" s="178"/>
      <c r="HFF30" s="178"/>
      <c r="HFU30" s="178"/>
      <c r="HFV30" s="178"/>
      <c r="HGK30" s="178"/>
      <c r="HGL30" s="178"/>
      <c r="HHA30" s="178"/>
      <c r="HHB30" s="178"/>
      <c r="HHQ30" s="178"/>
      <c r="HHR30" s="178"/>
      <c r="HIG30" s="178"/>
      <c r="HIH30" s="178"/>
      <c r="HIW30" s="178"/>
      <c r="HIX30" s="178"/>
      <c r="HJM30" s="178"/>
      <c r="HJN30" s="178"/>
      <c r="HKC30" s="178"/>
      <c r="HKD30" s="178"/>
      <c r="HKS30" s="178"/>
      <c r="HKT30" s="178"/>
      <c r="HLI30" s="178"/>
      <c r="HLJ30" s="178"/>
      <c r="HLY30" s="178"/>
      <c r="HLZ30" s="178"/>
      <c r="HMO30" s="178"/>
      <c r="HMP30" s="178"/>
      <c r="HNE30" s="178"/>
      <c r="HNF30" s="178"/>
      <c r="HNU30" s="178"/>
      <c r="HNV30" s="178"/>
      <c r="HOK30" s="178"/>
      <c r="HOL30" s="178"/>
      <c r="HPA30" s="178"/>
      <c r="HPB30" s="178"/>
      <c r="HPQ30" s="178"/>
      <c r="HPR30" s="178"/>
      <c r="HQG30" s="178"/>
      <c r="HQH30" s="178"/>
      <c r="HQW30" s="178"/>
      <c r="HQX30" s="178"/>
      <c r="HRM30" s="178"/>
      <c r="HRN30" s="178"/>
      <c r="HSC30" s="178"/>
      <c r="HSD30" s="178"/>
      <c r="HSS30" s="178"/>
      <c r="HST30" s="178"/>
      <c r="HTI30" s="178"/>
      <c r="HTJ30" s="178"/>
      <c r="HTY30" s="178"/>
      <c r="HTZ30" s="178"/>
      <c r="HUO30" s="178"/>
      <c r="HUP30" s="178"/>
      <c r="HVE30" s="178"/>
      <c r="HVF30" s="178"/>
      <c r="HVU30" s="178"/>
      <c r="HVV30" s="178"/>
      <c r="HWK30" s="178"/>
      <c r="HWL30" s="178"/>
      <c r="HXA30" s="178"/>
      <c r="HXB30" s="178"/>
      <c r="HXQ30" s="178"/>
      <c r="HXR30" s="178"/>
      <c r="HYG30" s="178"/>
      <c r="HYH30" s="178"/>
      <c r="HYW30" s="178"/>
      <c r="HYX30" s="178"/>
      <c r="HZM30" s="178"/>
      <c r="HZN30" s="178"/>
      <c r="IAC30" s="178"/>
      <c r="IAD30" s="178"/>
      <c r="IAS30" s="178"/>
      <c r="IAT30" s="178"/>
      <c r="IBI30" s="178"/>
      <c r="IBJ30" s="178"/>
      <c r="IBY30" s="178"/>
      <c r="IBZ30" s="178"/>
      <c r="ICO30" s="178"/>
      <c r="ICP30" s="178"/>
      <c r="IDE30" s="178"/>
      <c r="IDF30" s="178"/>
      <c r="IDU30" s="178"/>
      <c r="IDV30" s="178"/>
      <c r="IEK30" s="178"/>
      <c r="IEL30" s="178"/>
      <c r="IFA30" s="178"/>
      <c r="IFB30" s="178"/>
      <c r="IFQ30" s="178"/>
      <c r="IFR30" s="178"/>
      <c r="IGG30" s="178"/>
      <c r="IGH30" s="178"/>
      <c r="IGW30" s="178"/>
      <c r="IGX30" s="178"/>
      <c r="IHM30" s="178"/>
      <c r="IHN30" s="178"/>
      <c r="IIC30" s="178"/>
      <c r="IID30" s="178"/>
      <c r="IIS30" s="178"/>
      <c r="IIT30" s="178"/>
      <c r="IJI30" s="178"/>
      <c r="IJJ30" s="178"/>
      <c r="IJY30" s="178"/>
      <c r="IJZ30" s="178"/>
      <c r="IKO30" s="178"/>
      <c r="IKP30" s="178"/>
      <c r="ILE30" s="178"/>
      <c r="ILF30" s="178"/>
      <c r="ILU30" s="178"/>
      <c r="ILV30" s="178"/>
      <c r="IMK30" s="178"/>
      <c r="IML30" s="178"/>
      <c r="INA30" s="178"/>
      <c r="INB30" s="178"/>
      <c r="INQ30" s="178"/>
      <c r="INR30" s="178"/>
      <c r="IOG30" s="178"/>
      <c r="IOH30" s="178"/>
      <c r="IOW30" s="178"/>
      <c r="IOX30" s="178"/>
      <c r="IPM30" s="178"/>
      <c r="IPN30" s="178"/>
      <c r="IQC30" s="178"/>
      <c r="IQD30" s="178"/>
      <c r="IQS30" s="178"/>
      <c r="IQT30" s="178"/>
      <c r="IRI30" s="178"/>
      <c r="IRJ30" s="178"/>
      <c r="IRY30" s="178"/>
      <c r="IRZ30" s="178"/>
      <c r="ISO30" s="178"/>
      <c r="ISP30" s="178"/>
      <c r="ITE30" s="178"/>
      <c r="ITF30" s="178"/>
      <c r="ITU30" s="178"/>
      <c r="ITV30" s="178"/>
      <c r="IUK30" s="178"/>
      <c r="IUL30" s="178"/>
      <c r="IVA30" s="178"/>
      <c r="IVB30" s="178"/>
      <c r="IVQ30" s="178"/>
      <c r="IVR30" s="178"/>
      <c r="IWG30" s="178"/>
      <c r="IWH30" s="178"/>
      <c r="IWW30" s="178"/>
      <c r="IWX30" s="178"/>
      <c r="IXM30" s="178"/>
      <c r="IXN30" s="178"/>
      <c r="IYC30" s="178"/>
      <c r="IYD30" s="178"/>
      <c r="IYS30" s="178"/>
      <c r="IYT30" s="178"/>
      <c r="IZI30" s="178"/>
      <c r="IZJ30" s="178"/>
      <c r="IZY30" s="178"/>
      <c r="IZZ30" s="178"/>
      <c r="JAO30" s="178"/>
      <c r="JAP30" s="178"/>
      <c r="JBE30" s="178"/>
      <c r="JBF30" s="178"/>
      <c r="JBU30" s="178"/>
      <c r="JBV30" s="178"/>
      <c r="JCK30" s="178"/>
      <c r="JCL30" s="178"/>
      <c r="JDA30" s="178"/>
      <c r="JDB30" s="178"/>
      <c r="JDQ30" s="178"/>
      <c r="JDR30" s="178"/>
      <c r="JEG30" s="178"/>
      <c r="JEH30" s="178"/>
      <c r="JEW30" s="178"/>
      <c r="JEX30" s="178"/>
      <c r="JFM30" s="178"/>
      <c r="JFN30" s="178"/>
      <c r="JGC30" s="178"/>
      <c r="JGD30" s="178"/>
      <c r="JGS30" s="178"/>
      <c r="JGT30" s="178"/>
      <c r="JHI30" s="178"/>
      <c r="JHJ30" s="178"/>
      <c r="JHY30" s="178"/>
      <c r="JHZ30" s="178"/>
      <c r="JIO30" s="178"/>
      <c r="JIP30" s="178"/>
      <c r="JJE30" s="178"/>
      <c r="JJF30" s="178"/>
      <c r="JJU30" s="178"/>
      <c r="JJV30" s="178"/>
      <c r="JKK30" s="178"/>
      <c r="JKL30" s="178"/>
      <c r="JLA30" s="178"/>
      <c r="JLB30" s="178"/>
      <c r="JLQ30" s="178"/>
      <c r="JLR30" s="178"/>
      <c r="JMG30" s="178"/>
      <c r="JMH30" s="178"/>
      <c r="JMW30" s="178"/>
      <c r="JMX30" s="178"/>
      <c r="JNM30" s="178"/>
      <c r="JNN30" s="178"/>
      <c r="JOC30" s="178"/>
      <c r="JOD30" s="178"/>
      <c r="JOS30" s="178"/>
      <c r="JOT30" s="178"/>
      <c r="JPI30" s="178"/>
      <c r="JPJ30" s="178"/>
      <c r="JPY30" s="178"/>
      <c r="JPZ30" s="178"/>
      <c r="JQO30" s="178"/>
      <c r="JQP30" s="178"/>
      <c r="JRE30" s="178"/>
      <c r="JRF30" s="178"/>
      <c r="JRU30" s="178"/>
      <c r="JRV30" s="178"/>
      <c r="JSK30" s="178"/>
      <c r="JSL30" s="178"/>
      <c r="JTA30" s="178"/>
      <c r="JTB30" s="178"/>
      <c r="JTQ30" s="178"/>
      <c r="JTR30" s="178"/>
      <c r="JUG30" s="178"/>
      <c r="JUH30" s="178"/>
      <c r="JUW30" s="178"/>
      <c r="JUX30" s="178"/>
      <c r="JVM30" s="178"/>
      <c r="JVN30" s="178"/>
      <c r="JWC30" s="178"/>
      <c r="JWD30" s="178"/>
      <c r="JWS30" s="178"/>
      <c r="JWT30" s="178"/>
      <c r="JXI30" s="178"/>
      <c r="JXJ30" s="178"/>
      <c r="JXY30" s="178"/>
      <c r="JXZ30" s="178"/>
      <c r="JYO30" s="178"/>
      <c r="JYP30" s="178"/>
      <c r="JZE30" s="178"/>
      <c r="JZF30" s="178"/>
      <c r="JZU30" s="178"/>
      <c r="JZV30" s="178"/>
      <c r="KAK30" s="178"/>
      <c r="KAL30" s="178"/>
      <c r="KBA30" s="178"/>
      <c r="KBB30" s="178"/>
      <c r="KBQ30" s="178"/>
      <c r="KBR30" s="178"/>
      <c r="KCG30" s="178"/>
      <c r="KCH30" s="178"/>
      <c r="KCW30" s="178"/>
      <c r="KCX30" s="178"/>
      <c r="KDM30" s="178"/>
      <c r="KDN30" s="178"/>
      <c r="KEC30" s="178"/>
      <c r="KED30" s="178"/>
      <c r="KES30" s="178"/>
      <c r="KET30" s="178"/>
      <c r="KFI30" s="178"/>
      <c r="KFJ30" s="178"/>
      <c r="KFY30" s="178"/>
      <c r="KFZ30" s="178"/>
      <c r="KGO30" s="178"/>
      <c r="KGP30" s="178"/>
      <c r="KHE30" s="178"/>
      <c r="KHF30" s="178"/>
      <c r="KHU30" s="178"/>
      <c r="KHV30" s="178"/>
      <c r="KIK30" s="178"/>
      <c r="KIL30" s="178"/>
      <c r="KJA30" s="178"/>
      <c r="KJB30" s="178"/>
      <c r="KJQ30" s="178"/>
      <c r="KJR30" s="178"/>
      <c r="KKG30" s="178"/>
      <c r="KKH30" s="178"/>
      <c r="KKW30" s="178"/>
      <c r="KKX30" s="178"/>
      <c r="KLM30" s="178"/>
      <c r="KLN30" s="178"/>
      <c r="KMC30" s="178"/>
      <c r="KMD30" s="178"/>
      <c r="KMS30" s="178"/>
      <c r="KMT30" s="178"/>
      <c r="KNI30" s="178"/>
      <c r="KNJ30" s="178"/>
      <c r="KNY30" s="178"/>
      <c r="KNZ30" s="178"/>
      <c r="KOO30" s="178"/>
      <c r="KOP30" s="178"/>
      <c r="KPE30" s="178"/>
      <c r="KPF30" s="178"/>
      <c r="KPU30" s="178"/>
      <c r="KPV30" s="178"/>
      <c r="KQK30" s="178"/>
      <c r="KQL30" s="178"/>
      <c r="KRA30" s="178"/>
      <c r="KRB30" s="178"/>
      <c r="KRQ30" s="178"/>
      <c r="KRR30" s="178"/>
      <c r="KSG30" s="178"/>
      <c r="KSH30" s="178"/>
      <c r="KSW30" s="178"/>
      <c r="KSX30" s="178"/>
      <c r="KTM30" s="178"/>
      <c r="KTN30" s="178"/>
      <c r="KUC30" s="178"/>
      <c r="KUD30" s="178"/>
      <c r="KUS30" s="178"/>
      <c r="KUT30" s="178"/>
      <c r="KVI30" s="178"/>
      <c r="KVJ30" s="178"/>
      <c r="KVY30" s="178"/>
      <c r="KVZ30" s="178"/>
      <c r="KWO30" s="178"/>
      <c r="KWP30" s="178"/>
      <c r="KXE30" s="178"/>
      <c r="KXF30" s="178"/>
      <c r="KXU30" s="178"/>
      <c r="KXV30" s="178"/>
      <c r="KYK30" s="178"/>
      <c r="KYL30" s="178"/>
      <c r="KZA30" s="178"/>
      <c r="KZB30" s="178"/>
      <c r="KZQ30" s="178"/>
      <c r="KZR30" s="178"/>
      <c r="LAG30" s="178"/>
      <c r="LAH30" s="178"/>
      <c r="LAW30" s="178"/>
      <c r="LAX30" s="178"/>
      <c r="LBM30" s="178"/>
      <c r="LBN30" s="178"/>
      <c r="LCC30" s="178"/>
      <c r="LCD30" s="178"/>
      <c r="LCS30" s="178"/>
      <c r="LCT30" s="178"/>
      <c r="LDI30" s="178"/>
      <c r="LDJ30" s="178"/>
      <c r="LDY30" s="178"/>
      <c r="LDZ30" s="178"/>
      <c r="LEO30" s="178"/>
      <c r="LEP30" s="178"/>
      <c r="LFE30" s="178"/>
      <c r="LFF30" s="178"/>
      <c r="LFU30" s="178"/>
      <c r="LFV30" s="178"/>
      <c r="LGK30" s="178"/>
      <c r="LGL30" s="178"/>
      <c r="LHA30" s="178"/>
      <c r="LHB30" s="178"/>
      <c r="LHQ30" s="178"/>
      <c r="LHR30" s="178"/>
      <c r="LIG30" s="178"/>
      <c r="LIH30" s="178"/>
      <c r="LIW30" s="178"/>
      <c r="LIX30" s="178"/>
      <c r="LJM30" s="178"/>
      <c r="LJN30" s="178"/>
      <c r="LKC30" s="178"/>
      <c r="LKD30" s="178"/>
      <c r="LKS30" s="178"/>
      <c r="LKT30" s="178"/>
      <c r="LLI30" s="178"/>
      <c r="LLJ30" s="178"/>
      <c r="LLY30" s="178"/>
      <c r="LLZ30" s="178"/>
      <c r="LMO30" s="178"/>
      <c r="LMP30" s="178"/>
      <c r="LNE30" s="178"/>
      <c r="LNF30" s="178"/>
      <c r="LNU30" s="178"/>
      <c r="LNV30" s="178"/>
      <c r="LOK30" s="178"/>
      <c r="LOL30" s="178"/>
      <c r="LPA30" s="178"/>
      <c r="LPB30" s="178"/>
      <c r="LPQ30" s="178"/>
      <c r="LPR30" s="178"/>
      <c r="LQG30" s="178"/>
      <c r="LQH30" s="178"/>
      <c r="LQW30" s="178"/>
      <c r="LQX30" s="178"/>
      <c r="LRM30" s="178"/>
      <c r="LRN30" s="178"/>
      <c r="LSC30" s="178"/>
      <c r="LSD30" s="178"/>
      <c r="LSS30" s="178"/>
      <c r="LST30" s="178"/>
      <c r="LTI30" s="178"/>
      <c r="LTJ30" s="178"/>
      <c r="LTY30" s="178"/>
      <c r="LTZ30" s="178"/>
      <c r="LUO30" s="178"/>
      <c r="LUP30" s="178"/>
      <c r="LVE30" s="178"/>
      <c r="LVF30" s="178"/>
      <c r="LVU30" s="178"/>
      <c r="LVV30" s="178"/>
      <c r="LWK30" s="178"/>
      <c r="LWL30" s="178"/>
      <c r="LXA30" s="178"/>
      <c r="LXB30" s="178"/>
      <c r="LXQ30" s="178"/>
      <c r="LXR30" s="178"/>
      <c r="LYG30" s="178"/>
      <c r="LYH30" s="178"/>
      <c r="LYW30" s="178"/>
      <c r="LYX30" s="178"/>
      <c r="LZM30" s="178"/>
      <c r="LZN30" s="178"/>
      <c r="MAC30" s="178"/>
      <c r="MAD30" s="178"/>
      <c r="MAS30" s="178"/>
      <c r="MAT30" s="178"/>
      <c r="MBI30" s="178"/>
      <c r="MBJ30" s="178"/>
      <c r="MBY30" s="178"/>
      <c r="MBZ30" s="178"/>
      <c r="MCO30" s="178"/>
      <c r="MCP30" s="178"/>
      <c r="MDE30" s="178"/>
      <c r="MDF30" s="178"/>
      <c r="MDU30" s="178"/>
      <c r="MDV30" s="178"/>
      <c r="MEK30" s="178"/>
      <c r="MEL30" s="178"/>
      <c r="MFA30" s="178"/>
      <c r="MFB30" s="178"/>
      <c r="MFQ30" s="178"/>
      <c r="MFR30" s="178"/>
      <c r="MGG30" s="178"/>
      <c r="MGH30" s="178"/>
      <c r="MGW30" s="178"/>
      <c r="MGX30" s="178"/>
      <c r="MHM30" s="178"/>
      <c r="MHN30" s="178"/>
      <c r="MIC30" s="178"/>
      <c r="MID30" s="178"/>
      <c r="MIS30" s="178"/>
      <c r="MIT30" s="178"/>
      <c r="MJI30" s="178"/>
      <c r="MJJ30" s="178"/>
      <c r="MJY30" s="178"/>
      <c r="MJZ30" s="178"/>
      <c r="MKO30" s="178"/>
      <c r="MKP30" s="178"/>
      <c r="MLE30" s="178"/>
      <c r="MLF30" s="178"/>
      <c r="MLU30" s="178"/>
      <c r="MLV30" s="178"/>
      <c r="MMK30" s="178"/>
      <c r="MML30" s="178"/>
      <c r="MNA30" s="178"/>
      <c r="MNB30" s="178"/>
      <c r="MNQ30" s="178"/>
      <c r="MNR30" s="178"/>
      <c r="MOG30" s="178"/>
      <c r="MOH30" s="178"/>
      <c r="MOW30" s="178"/>
      <c r="MOX30" s="178"/>
      <c r="MPM30" s="178"/>
      <c r="MPN30" s="178"/>
      <c r="MQC30" s="178"/>
      <c r="MQD30" s="178"/>
      <c r="MQS30" s="178"/>
      <c r="MQT30" s="178"/>
      <c r="MRI30" s="178"/>
      <c r="MRJ30" s="178"/>
      <c r="MRY30" s="178"/>
      <c r="MRZ30" s="178"/>
      <c r="MSO30" s="178"/>
      <c r="MSP30" s="178"/>
      <c r="MTE30" s="178"/>
      <c r="MTF30" s="178"/>
      <c r="MTU30" s="178"/>
      <c r="MTV30" s="178"/>
      <c r="MUK30" s="178"/>
      <c r="MUL30" s="178"/>
      <c r="MVA30" s="178"/>
      <c r="MVB30" s="178"/>
      <c r="MVQ30" s="178"/>
      <c r="MVR30" s="178"/>
      <c r="MWG30" s="178"/>
      <c r="MWH30" s="178"/>
      <c r="MWW30" s="178"/>
      <c r="MWX30" s="178"/>
      <c r="MXM30" s="178"/>
      <c r="MXN30" s="178"/>
      <c r="MYC30" s="178"/>
      <c r="MYD30" s="178"/>
      <c r="MYS30" s="178"/>
      <c r="MYT30" s="178"/>
      <c r="MZI30" s="178"/>
      <c r="MZJ30" s="178"/>
      <c r="MZY30" s="178"/>
      <c r="MZZ30" s="178"/>
      <c r="NAO30" s="178"/>
      <c r="NAP30" s="178"/>
      <c r="NBE30" s="178"/>
      <c r="NBF30" s="178"/>
      <c r="NBU30" s="178"/>
      <c r="NBV30" s="178"/>
      <c r="NCK30" s="178"/>
      <c r="NCL30" s="178"/>
      <c r="NDA30" s="178"/>
      <c r="NDB30" s="178"/>
      <c r="NDQ30" s="178"/>
      <c r="NDR30" s="178"/>
      <c r="NEG30" s="178"/>
      <c r="NEH30" s="178"/>
      <c r="NEW30" s="178"/>
      <c r="NEX30" s="178"/>
      <c r="NFM30" s="178"/>
      <c r="NFN30" s="178"/>
      <c r="NGC30" s="178"/>
      <c r="NGD30" s="178"/>
      <c r="NGS30" s="178"/>
      <c r="NGT30" s="178"/>
      <c r="NHI30" s="178"/>
      <c r="NHJ30" s="178"/>
      <c r="NHY30" s="178"/>
      <c r="NHZ30" s="178"/>
      <c r="NIO30" s="178"/>
      <c r="NIP30" s="178"/>
      <c r="NJE30" s="178"/>
      <c r="NJF30" s="178"/>
      <c r="NJU30" s="178"/>
      <c r="NJV30" s="178"/>
      <c r="NKK30" s="178"/>
      <c r="NKL30" s="178"/>
      <c r="NLA30" s="178"/>
      <c r="NLB30" s="178"/>
      <c r="NLQ30" s="178"/>
      <c r="NLR30" s="178"/>
      <c r="NMG30" s="178"/>
      <c r="NMH30" s="178"/>
      <c r="NMW30" s="178"/>
      <c r="NMX30" s="178"/>
      <c r="NNM30" s="178"/>
      <c r="NNN30" s="178"/>
      <c r="NOC30" s="178"/>
      <c r="NOD30" s="178"/>
      <c r="NOS30" s="178"/>
      <c r="NOT30" s="178"/>
      <c r="NPI30" s="178"/>
      <c r="NPJ30" s="178"/>
      <c r="NPY30" s="178"/>
      <c r="NPZ30" s="178"/>
      <c r="NQO30" s="178"/>
      <c r="NQP30" s="178"/>
      <c r="NRE30" s="178"/>
      <c r="NRF30" s="178"/>
      <c r="NRU30" s="178"/>
      <c r="NRV30" s="178"/>
      <c r="NSK30" s="178"/>
      <c r="NSL30" s="178"/>
      <c r="NTA30" s="178"/>
      <c r="NTB30" s="178"/>
      <c r="NTQ30" s="178"/>
      <c r="NTR30" s="178"/>
      <c r="NUG30" s="178"/>
      <c r="NUH30" s="178"/>
      <c r="NUW30" s="178"/>
      <c r="NUX30" s="178"/>
      <c r="NVM30" s="178"/>
      <c r="NVN30" s="178"/>
      <c r="NWC30" s="178"/>
      <c r="NWD30" s="178"/>
      <c r="NWS30" s="178"/>
      <c r="NWT30" s="178"/>
      <c r="NXI30" s="178"/>
      <c r="NXJ30" s="178"/>
      <c r="NXY30" s="178"/>
      <c r="NXZ30" s="178"/>
      <c r="NYO30" s="178"/>
      <c r="NYP30" s="178"/>
      <c r="NZE30" s="178"/>
      <c r="NZF30" s="178"/>
      <c r="NZU30" s="178"/>
      <c r="NZV30" s="178"/>
      <c r="OAK30" s="178"/>
      <c r="OAL30" s="178"/>
      <c r="OBA30" s="178"/>
      <c r="OBB30" s="178"/>
      <c r="OBQ30" s="178"/>
      <c r="OBR30" s="178"/>
      <c r="OCG30" s="178"/>
      <c r="OCH30" s="178"/>
      <c r="OCW30" s="178"/>
      <c r="OCX30" s="178"/>
      <c r="ODM30" s="178"/>
      <c r="ODN30" s="178"/>
      <c r="OEC30" s="178"/>
      <c r="OED30" s="178"/>
      <c r="OES30" s="178"/>
      <c r="OET30" s="178"/>
      <c r="OFI30" s="178"/>
      <c r="OFJ30" s="178"/>
      <c r="OFY30" s="178"/>
      <c r="OFZ30" s="178"/>
      <c r="OGO30" s="178"/>
      <c r="OGP30" s="178"/>
      <c r="OHE30" s="178"/>
      <c r="OHF30" s="178"/>
      <c r="OHU30" s="178"/>
      <c r="OHV30" s="178"/>
      <c r="OIK30" s="178"/>
      <c r="OIL30" s="178"/>
      <c r="OJA30" s="178"/>
      <c r="OJB30" s="178"/>
      <c r="OJQ30" s="178"/>
      <c r="OJR30" s="178"/>
      <c r="OKG30" s="178"/>
      <c r="OKH30" s="178"/>
      <c r="OKW30" s="178"/>
      <c r="OKX30" s="178"/>
      <c r="OLM30" s="178"/>
      <c r="OLN30" s="178"/>
      <c r="OMC30" s="178"/>
      <c r="OMD30" s="178"/>
      <c r="OMS30" s="178"/>
      <c r="OMT30" s="178"/>
      <c r="ONI30" s="178"/>
      <c r="ONJ30" s="178"/>
      <c r="ONY30" s="178"/>
      <c r="ONZ30" s="178"/>
      <c r="OOO30" s="178"/>
      <c r="OOP30" s="178"/>
      <c r="OPE30" s="178"/>
      <c r="OPF30" s="178"/>
      <c r="OPU30" s="178"/>
      <c r="OPV30" s="178"/>
      <c r="OQK30" s="178"/>
      <c r="OQL30" s="178"/>
      <c r="ORA30" s="178"/>
      <c r="ORB30" s="178"/>
      <c r="ORQ30" s="178"/>
      <c r="ORR30" s="178"/>
      <c r="OSG30" s="178"/>
      <c r="OSH30" s="178"/>
      <c r="OSW30" s="178"/>
      <c r="OSX30" s="178"/>
      <c r="OTM30" s="178"/>
      <c r="OTN30" s="178"/>
      <c r="OUC30" s="178"/>
      <c r="OUD30" s="178"/>
      <c r="OUS30" s="178"/>
      <c r="OUT30" s="178"/>
      <c r="OVI30" s="178"/>
      <c r="OVJ30" s="178"/>
      <c r="OVY30" s="178"/>
      <c r="OVZ30" s="178"/>
      <c r="OWO30" s="178"/>
      <c r="OWP30" s="178"/>
      <c r="OXE30" s="178"/>
      <c r="OXF30" s="178"/>
      <c r="OXU30" s="178"/>
      <c r="OXV30" s="178"/>
      <c r="OYK30" s="178"/>
      <c r="OYL30" s="178"/>
      <c r="OZA30" s="178"/>
      <c r="OZB30" s="178"/>
      <c r="OZQ30" s="178"/>
      <c r="OZR30" s="178"/>
      <c r="PAG30" s="178"/>
      <c r="PAH30" s="178"/>
      <c r="PAW30" s="178"/>
      <c r="PAX30" s="178"/>
      <c r="PBM30" s="178"/>
      <c r="PBN30" s="178"/>
      <c r="PCC30" s="178"/>
      <c r="PCD30" s="178"/>
      <c r="PCS30" s="178"/>
      <c r="PCT30" s="178"/>
      <c r="PDI30" s="178"/>
      <c r="PDJ30" s="178"/>
      <c r="PDY30" s="178"/>
      <c r="PDZ30" s="178"/>
      <c r="PEO30" s="178"/>
      <c r="PEP30" s="178"/>
      <c r="PFE30" s="178"/>
      <c r="PFF30" s="178"/>
      <c r="PFU30" s="178"/>
      <c r="PFV30" s="178"/>
      <c r="PGK30" s="178"/>
      <c r="PGL30" s="178"/>
      <c r="PHA30" s="178"/>
      <c r="PHB30" s="178"/>
      <c r="PHQ30" s="178"/>
      <c r="PHR30" s="178"/>
      <c r="PIG30" s="178"/>
      <c r="PIH30" s="178"/>
      <c r="PIW30" s="178"/>
      <c r="PIX30" s="178"/>
      <c r="PJM30" s="178"/>
      <c r="PJN30" s="178"/>
      <c r="PKC30" s="178"/>
      <c r="PKD30" s="178"/>
      <c r="PKS30" s="178"/>
      <c r="PKT30" s="178"/>
      <c r="PLI30" s="178"/>
      <c r="PLJ30" s="178"/>
      <c r="PLY30" s="178"/>
      <c r="PLZ30" s="178"/>
      <c r="PMO30" s="178"/>
      <c r="PMP30" s="178"/>
      <c r="PNE30" s="178"/>
      <c r="PNF30" s="178"/>
      <c r="PNU30" s="178"/>
      <c r="PNV30" s="178"/>
      <c r="POK30" s="178"/>
      <c r="POL30" s="178"/>
      <c r="PPA30" s="178"/>
      <c r="PPB30" s="178"/>
      <c r="PPQ30" s="178"/>
      <c r="PPR30" s="178"/>
      <c r="PQG30" s="178"/>
      <c r="PQH30" s="178"/>
      <c r="PQW30" s="178"/>
      <c r="PQX30" s="178"/>
      <c r="PRM30" s="178"/>
      <c r="PRN30" s="178"/>
      <c r="PSC30" s="178"/>
      <c r="PSD30" s="178"/>
      <c r="PSS30" s="178"/>
      <c r="PST30" s="178"/>
      <c r="PTI30" s="178"/>
      <c r="PTJ30" s="178"/>
      <c r="PTY30" s="178"/>
      <c r="PTZ30" s="178"/>
      <c r="PUO30" s="178"/>
      <c r="PUP30" s="178"/>
      <c r="PVE30" s="178"/>
      <c r="PVF30" s="178"/>
      <c r="PVU30" s="178"/>
      <c r="PVV30" s="178"/>
      <c r="PWK30" s="178"/>
      <c r="PWL30" s="178"/>
      <c r="PXA30" s="178"/>
      <c r="PXB30" s="178"/>
      <c r="PXQ30" s="178"/>
      <c r="PXR30" s="178"/>
      <c r="PYG30" s="178"/>
      <c r="PYH30" s="178"/>
      <c r="PYW30" s="178"/>
      <c r="PYX30" s="178"/>
      <c r="PZM30" s="178"/>
      <c r="PZN30" s="178"/>
      <c r="QAC30" s="178"/>
      <c r="QAD30" s="178"/>
      <c r="QAS30" s="178"/>
      <c r="QAT30" s="178"/>
      <c r="QBI30" s="178"/>
      <c r="QBJ30" s="178"/>
      <c r="QBY30" s="178"/>
      <c r="QBZ30" s="178"/>
      <c r="QCO30" s="178"/>
      <c r="QCP30" s="178"/>
      <c r="QDE30" s="178"/>
      <c r="QDF30" s="178"/>
      <c r="QDU30" s="178"/>
      <c r="QDV30" s="178"/>
      <c r="QEK30" s="178"/>
      <c r="QEL30" s="178"/>
      <c r="QFA30" s="178"/>
      <c r="QFB30" s="178"/>
      <c r="QFQ30" s="178"/>
      <c r="QFR30" s="178"/>
      <c r="QGG30" s="178"/>
      <c r="QGH30" s="178"/>
      <c r="QGW30" s="178"/>
      <c r="QGX30" s="178"/>
      <c r="QHM30" s="178"/>
      <c r="QHN30" s="178"/>
      <c r="QIC30" s="178"/>
      <c r="QID30" s="178"/>
      <c r="QIS30" s="178"/>
      <c r="QIT30" s="178"/>
      <c r="QJI30" s="178"/>
      <c r="QJJ30" s="178"/>
      <c r="QJY30" s="178"/>
      <c r="QJZ30" s="178"/>
      <c r="QKO30" s="178"/>
      <c r="QKP30" s="178"/>
      <c r="QLE30" s="178"/>
      <c r="QLF30" s="178"/>
      <c r="QLU30" s="178"/>
      <c r="QLV30" s="178"/>
      <c r="QMK30" s="178"/>
      <c r="QML30" s="178"/>
      <c r="QNA30" s="178"/>
      <c r="QNB30" s="178"/>
      <c r="QNQ30" s="178"/>
      <c r="QNR30" s="178"/>
      <c r="QOG30" s="178"/>
      <c r="QOH30" s="178"/>
      <c r="QOW30" s="178"/>
      <c r="QOX30" s="178"/>
      <c r="QPM30" s="178"/>
      <c r="QPN30" s="178"/>
      <c r="QQC30" s="178"/>
      <c r="QQD30" s="178"/>
      <c r="QQS30" s="178"/>
      <c r="QQT30" s="178"/>
      <c r="QRI30" s="178"/>
      <c r="QRJ30" s="178"/>
      <c r="QRY30" s="178"/>
      <c r="QRZ30" s="178"/>
      <c r="QSO30" s="178"/>
      <c r="QSP30" s="178"/>
      <c r="QTE30" s="178"/>
      <c r="QTF30" s="178"/>
      <c r="QTU30" s="178"/>
      <c r="QTV30" s="178"/>
      <c r="QUK30" s="178"/>
      <c r="QUL30" s="178"/>
      <c r="QVA30" s="178"/>
      <c r="QVB30" s="178"/>
      <c r="QVQ30" s="178"/>
      <c r="QVR30" s="178"/>
      <c r="QWG30" s="178"/>
      <c r="QWH30" s="178"/>
      <c r="QWW30" s="178"/>
      <c r="QWX30" s="178"/>
      <c r="QXM30" s="178"/>
      <c r="QXN30" s="178"/>
      <c r="QYC30" s="178"/>
      <c r="QYD30" s="178"/>
      <c r="QYS30" s="178"/>
      <c r="QYT30" s="178"/>
      <c r="QZI30" s="178"/>
      <c r="QZJ30" s="178"/>
      <c r="QZY30" s="178"/>
      <c r="QZZ30" s="178"/>
      <c r="RAO30" s="178"/>
      <c r="RAP30" s="178"/>
      <c r="RBE30" s="178"/>
      <c r="RBF30" s="178"/>
      <c r="RBU30" s="178"/>
      <c r="RBV30" s="178"/>
      <c r="RCK30" s="178"/>
      <c r="RCL30" s="178"/>
      <c r="RDA30" s="178"/>
      <c r="RDB30" s="178"/>
      <c r="RDQ30" s="178"/>
      <c r="RDR30" s="178"/>
      <c r="REG30" s="178"/>
      <c r="REH30" s="178"/>
      <c r="REW30" s="178"/>
      <c r="REX30" s="178"/>
      <c r="RFM30" s="178"/>
      <c r="RFN30" s="178"/>
      <c r="RGC30" s="178"/>
      <c r="RGD30" s="178"/>
      <c r="RGS30" s="178"/>
      <c r="RGT30" s="178"/>
      <c r="RHI30" s="178"/>
      <c r="RHJ30" s="178"/>
      <c r="RHY30" s="178"/>
      <c r="RHZ30" s="178"/>
      <c r="RIO30" s="178"/>
      <c r="RIP30" s="178"/>
      <c r="RJE30" s="178"/>
      <c r="RJF30" s="178"/>
      <c r="RJU30" s="178"/>
      <c r="RJV30" s="178"/>
      <c r="RKK30" s="178"/>
      <c r="RKL30" s="178"/>
      <c r="RLA30" s="178"/>
      <c r="RLB30" s="178"/>
      <c r="RLQ30" s="178"/>
      <c r="RLR30" s="178"/>
      <c r="RMG30" s="178"/>
      <c r="RMH30" s="178"/>
      <c r="RMW30" s="178"/>
      <c r="RMX30" s="178"/>
      <c r="RNM30" s="178"/>
      <c r="RNN30" s="178"/>
      <c r="ROC30" s="178"/>
      <c r="ROD30" s="178"/>
      <c r="ROS30" s="178"/>
      <c r="ROT30" s="178"/>
      <c r="RPI30" s="178"/>
      <c r="RPJ30" s="178"/>
      <c r="RPY30" s="178"/>
      <c r="RPZ30" s="178"/>
      <c r="RQO30" s="178"/>
      <c r="RQP30" s="178"/>
      <c r="RRE30" s="178"/>
      <c r="RRF30" s="178"/>
      <c r="RRU30" s="178"/>
      <c r="RRV30" s="178"/>
      <c r="RSK30" s="178"/>
      <c r="RSL30" s="178"/>
      <c r="RTA30" s="178"/>
      <c r="RTB30" s="178"/>
      <c r="RTQ30" s="178"/>
      <c r="RTR30" s="178"/>
      <c r="RUG30" s="178"/>
      <c r="RUH30" s="178"/>
      <c r="RUW30" s="178"/>
      <c r="RUX30" s="178"/>
      <c r="RVM30" s="178"/>
      <c r="RVN30" s="178"/>
      <c r="RWC30" s="178"/>
      <c r="RWD30" s="178"/>
      <c r="RWS30" s="178"/>
      <c r="RWT30" s="178"/>
      <c r="RXI30" s="178"/>
      <c r="RXJ30" s="178"/>
      <c r="RXY30" s="178"/>
      <c r="RXZ30" s="178"/>
      <c r="RYO30" s="178"/>
      <c r="RYP30" s="178"/>
      <c r="RZE30" s="178"/>
      <c r="RZF30" s="178"/>
      <c r="RZU30" s="178"/>
      <c r="RZV30" s="178"/>
      <c r="SAK30" s="178"/>
      <c r="SAL30" s="178"/>
      <c r="SBA30" s="178"/>
      <c r="SBB30" s="178"/>
      <c r="SBQ30" s="178"/>
      <c r="SBR30" s="178"/>
      <c r="SCG30" s="178"/>
      <c r="SCH30" s="178"/>
      <c r="SCW30" s="178"/>
      <c r="SCX30" s="178"/>
      <c r="SDM30" s="178"/>
      <c r="SDN30" s="178"/>
      <c r="SEC30" s="178"/>
      <c r="SED30" s="178"/>
      <c r="SES30" s="178"/>
      <c r="SET30" s="178"/>
      <c r="SFI30" s="178"/>
      <c r="SFJ30" s="178"/>
      <c r="SFY30" s="178"/>
      <c r="SFZ30" s="178"/>
      <c r="SGO30" s="178"/>
      <c r="SGP30" s="178"/>
      <c r="SHE30" s="178"/>
      <c r="SHF30" s="178"/>
      <c r="SHU30" s="178"/>
      <c r="SHV30" s="178"/>
      <c r="SIK30" s="178"/>
      <c r="SIL30" s="178"/>
      <c r="SJA30" s="178"/>
      <c r="SJB30" s="178"/>
      <c r="SJQ30" s="178"/>
      <c r="SJR30" s="178"/>
      <c r="SKG30" s="178"/>
      <c r="SKH30" s="178"/>
      <c r="SKW30" s="178"/>
      <c r="SKX30" s="178"/>
      <c r="SLM30" s="178"/>
      <c r="SLN30" s="178"/>
      <c r="SMC30" s="178"/>
      <c r="SMD30" s="178"/>
      <c r="SMS30" s="178"/>
      <c r="SMT30" s="178"/>
      <c r="SNI30" s="178"/>
      <c r="SNJ30" s="178"/>
      <c r="SNY30" s="178"/>
      <c r="SNZ30" s="178"/>
      <c r="SOO30" s="178"/>
      <c r="SOP30" s="178"/>
      <c r="SPE30" s="178"/>
      <c r="SPF30" s="178"/>
      <c r="SPU30" s="178"/>
      <c r="SPV30" s="178"/>
      <c r="SQK30" s="178"/>
      <c r="SQL30" s="178"/>
      <c r="SRA30" s="178"/>
      <c r="SRB30" s="178"/>
      <c r="SRQ30" s="178"/>
      <c r="SRR30" s="178"/>
      <c r="SSG30" s="178"/>
      <c r="SSH30" s="178"/>
      <c r="SSW30" s="178"/>
      <c r="SSX30" s="178"/>
      <c r="STM30" s="178"/>
      <c r="STN30" s="178"/>
      <c r="SUC30" s="178"/>
      <c r="SUD30" s="178"/>
      <c r="SUS30" s="178"/>
      <c r="SUT30" s="178"/>
      <c r="SVI30" s="178"/>
      <c r="SVJ30" s="178"/>
      <c r="SVY30" s="178"/>
      <c r="SVZ30" s="178"/>
      <c r="SWO30" s="178"/>
      <c r="SWP30" s="178"/>
      <c r="SXE30" s="178"/>
      <c r="SXF30" s="178"/>
      <c r="SXU30" s="178"/>
      <c r="SXV30" s="178"/>
      <c r="SYK30" s="178"/>
      <c r="SYL30" s="178"/>
      <c r="SZA30" s="178"/>
      <c r="SZB30" s="178"/>
      <c r="SZQ30" s="178"/>
      <c r="SZR30" s="178"/>
      <c r="TAG30" s="178"/>
      <c r="TAH30" s="178"/>
      <c r="TAW30" s="178"/>
      <c r="TAX30" s="178"/>
      <c r="TBM30" s="178"/>
      <c r="TBN30" s="178"/>
      <c r="TCC30" s="178"/>
      <c r="TCD30" s="178"/>
      <c r="TCS30" s="178"/>
      <c r="TCT30" s="178"/>
      <c r="TDI30" s="178"/>
      <c r="TDJ30" s="178"/>
      <c r="TDY30" s="178"/>
      <c r="TDZ30" s="178"/>
      <c r="TEO30" s="178"/>
      <c r="TEP30" s="178"/>
      <c r="TFE30" s="178"/>
      <c r="TFF30" s="178"/>
      <c r="TFU30" s="178"/>
      <c r="TFV30" s="178"/>
      <c r="TGK30" s="178"/>
      <c r="TGL30" s="178"/>
      <c r="THA30" s="178"/>
      <c r="THB30" s="178"/>
      <c r="THQ30" s="178"/>
      <c r="THR30" s="178"/>
      <c r="TIG30" s="178"/>
      <c r="TIH30" s="178"/>
      <c r="TIW30" s="178"/>
      <c r="TIX30" s="178"/>
      <c r="TJM30" s="178"/>
      <c r="TJN30" s="178"/>
      <c r="TKC30" s="178"/>
      <c r="TKD30" s="178"/>
      <c r="TKS30" s="178"/>
      <c r="TKT30" s="178"/>
      <c r="TLI30" s="178"/>
      <c r="TLJ30" s="178"/>
      <c r="TLY30" s="178"/>
      <c r="TLZ30" s="178"/>
      <c r="TMO30" s="178"/>
      <c r="TMP30" s="178"/>
      <c r="TNE30" s="178"/>
      <c r="TNF30" s="178"/>
      <c r="TNU30" s="178"/>
      <c r="TNV30" s="178"/>
      <c r="TOK30" s="178"/>
      <c r="TOL30" s="178"/>
      <c r="TPA30" s="178"/>
      <c r="TPB30" s="178"/>
      <c r="TPQ30" s="178"/>
      <c r="TPR30" s="178"/>
      <c r="TQG30" s="178"/>
      <c r="TQH30" s="178"/>
      <c r="TQW30" s="178"/>
      <c r="TQX30" s="178"/>
      <c r="TRM30" s="178"/>
      <c r="TRN30" s="178"/>
      <c r="TSC30" s="178"/>
      <c r="TSD30" s="178"/>
      <c r="TSS30" s="178"/>
      <c r="TST30" s="178"/>
      <c r="TTI30" s="178"/>
      <c r="TTJ30" s="178"/>
      <c r="TTY30" s="178"/>
      <c r="TTZ30" s="178"/>
      <c r="TUO30" s="178"/>
      <c r="TUP30" s="178"/>
      <c r="TVE30" s="178"/>
      <c r="TVF30" s="178"/>
      <c r="TVU30" s="178"/>
      <c r="TVV30" s="178"/>
      <c r="TWK30" s="178"/>
      <c r="TWL30" s="178"/>
      <c r="TXA30" s="178"/>
      <c r="TXB30" s="178"/>
      <c r="TXQ30" s="178"/>
      <c r="TXR30" s="178"/>
      <c r="TYG30" s="178"/>
      <c r="TYH30" s="178"/>
      <c r="TYW30" s="178"/>
      <c r="TYX30" s="178"/>
      <c r="TZM30" s="178"/>
      <c r="TZN30" s="178"/>
      <c r="UAC30" s="178"/>
      <c r="UAD30" s="178"/>
      <c r="UAS30" s="178"/>
      <c r="UAT30" s="178"/>
      <c r="UBI30" s="178"/>
      <c r="UBJ30" s="178"/>
      <c r="UBY30" s="178"/>
      <c r="UBZ30" s="178"/>
      <c r="UCO30" s="178"/>
      <c r="UCP30" s="178"/>
      <c r="UDE30" s="178"/>
      <c r="UDF30" s="178"/>
      <c r="UDU30" s="178"/>
      <c r="UDV30" s="178"/>
      <c r="UEK30" s="178"/>
      <c r="UEL30" s="178"/>
      <c r="UFA30" s="178"/>
      <c r="UFB30" s="178"/>
      <c r="UFQ30" s="178"/>
      <c r="UFR30" s="178"/>
      <c r="UGG30" s="178"/>
      <c r="UGH30" s="178"/>
      <c r="UGW30" s="178"/>
      <c r="UGX30" s="178"/>
      <c r="UHM30" s="178"/>
      <c r="UHN30" s="178"/>
      <c r="UIC30" s="178"/>
      <c r="UID30" s="178"/>
      <c r="UIS30" s="178"/>
      <c r="UIT30" s="178"/>
      <c r="UJI30" s="178"/>
      <c r="UJJ30" s="178"/>
      <c r="UJY30" s="178"/>
      <c r="UJZ30" s="178"/>
      <c r="UKO30" s="178"/>
      <c r="UKP30" s="178"/>
      <c r="ULE30" s="178"/>
      <c r="ULF30" s="178"/>
      <c r="ULU30" s="178"/>
      <c r="ULV30" s="178"/>
      <c r="UMK30" s="178"/>
      <c r="UML30" s="178"/>
      <c r="UNA30" s="178"/>
      <c r="UNB30" s="178"/>
      <c r="UNQ30" s="178"/>
      <c r="UNR30" s="178"/>
      <c r="UOG30" s="178"/>
      <c r="UOH30" s="178"/>
      <c r="UOW30" s="178"/>
      <c r="UOX30" s="178"/>
      <c r="UPM30" s="178"/>
      <c r="UPN30" s="178"/>
      <c r="UQC30" s="178"/>
      <c r="UQD30" s="178"/>
      <c r="UQS30" s="178"/>
      <c r="UQT30" s="178"/>
      <c r="URI30" s="178"/>
      <c r="URJ30" s="178"/>
      <c r="URY30" s="178"/>
      <c r="URZ30" s="178"/>
      <c r="USO30" s="178"/>
      <c r="USP30" s="178"/>
      <c r="UTE30" s="178"/>
      <c r="UTF30" s="178"/>
      <c r="UTU30" s="178"/>
      <c r="UTV30" s="178"/>
      <c r="UUK30" s="178"/>
      <c r="UUL30" s="178"/>
      <c r="UVA30" s="178"/>
      <c r="UVB30" s="178"/>
      <c r="UVQ30" s="178"/>
      <c r="UVR30" s="178"/>
      <c r="UWG30" s="178"/>
      <c r="UWH30" s="178"/>
      <c r="UWW30" s="178"/>
      <c r="UWX30" s="178"/>
      <c r="UXM30" s="178"/>
      <c r="UXN30" s="178"/>
      <c r="UYC30" s="178"/>
      <c r="UYD30" s="178"/>
      <c r="UYS30" s="178"/>
      <c r="UYT30" s="178"/>
      <c r="UZI30" s="178"/>
      <c r="UZJ30" s="178"/>
      <c r="UZY30" s="178"/>
      <c r="UZZ30" s="178"/>
      <c r="VAO30" s="178"/>
      <c r="VAP30" s="178"/>
      <c r="VBE30" s="178"/>
      <c r="VBF30" s="178"/>
      <c r="VBU30" s="178"/>
      <c r="VBV30" s="178"/>
      <c r="VCK30" s="178"/>
      <c r="VCL30" s="178"/>
      <c r="VDA30" s="178"/>
      <c r="VDB30" s="178"/>
      <c r="VDQ30" s="178"/>
      <c r="VDR30" s="178"/>
      <c r="VEG30" s="178"/>
      <c r="VEH30" s="178"/>
      <c r="VEW30" s="178"/>
      <c r="VEX30" s="178"/>
      <c r="VFM30" s="178"/>
      <c r="VFN30" s="178"/>
      <c r="VGC30" s="178"/>
      <c r="VGD30" s="178"/>
      <c r="VGS30" s="178"/>
      <c r="VGT30" s="178"/>
      <c r="VHI30" s="178"/>
      <c r="VHJ30" s="178"/>
      <c r="VHY30" s="178"/>
      <c r="VHZ30" s="178"/>
      <c r="VIO30" s="178"/>
      <c r="VIP30" s="178"/>
      <c r="VJE30" s="178"/>
      <c r="VJF30" s="178"/>
      <c r="VJU30" s="178"/>
      <c r="VJV30" s="178"/>
      <c r="VKK30" s="178"/>
      <c r="VKL30" s="178"/>
      <c r="VLA30" s="178"/>
      <c r="VLB30" s="178"/>
      <c r="VLQ30" s="178"/>
      <c r="VLR30" s="178"/>
      <c r="VMG30" s="178"/>
      <c r="VMH30" s="178"/>
      <c r="VMW30" s="178"/>
      <c r="VMX30" s="178"/>
      <c r="VNM30" s="178"/>
      <c r="VNN30" s="178"/>
      <c r="VOC30" s="178"/>
      <c r="VOD30" s="178"/>
      <c r="VOS30" s="178"/>
      <c r="VOT30" s="178"/>
      <c r="VPI30" s="178"/>
      <c r="VPJ30" s="178"/>
      <c r="VPY30" s="178"/>
      <c r="VPZ30" s="178"/>
      <c r="VQO30" s="178"/>
      <c r="VQP30" s="178"/>
      <c r="VRE30" s="178"/>
      <c r="VRF30" s="178"/>
      <c r="VRU30" s="178"/>
      <c r="VRV30" s="178"/>
      <c r="VSK30" s="178"/>
      <c r="VSL30" s="178"/>
      <c r="VTA30" s="178"/>
      <c r="VTB30" s="178"/>
      <c r="VTQ30" s="178"/>
      <c r="VTR30" s="178"/>
      <c r="VUG30" s="178"/>
      <c r="VUH30" s="178"/>
      <c r="VUW30" s="178"/>
      <c r="VUX30" s="178"/>
      <c r="VVM30" s="178"/>
      <c r="VVN30" s="178"/>
      <c r="VWC30" s="178"/>
      <c r="VWD30" s="178"/>
      <c r="VWS30" s="178"/>
      <c r="VWT30" s="178"/>
      <c r="VXI30" s="178"/>
      <c r="VXJ30" s="178"/>
      <c r="VXY30" s="178"/>
      <c r="VXZ30" s="178"/>
      <c r="VYO30" s="178"/>
      <c r="VYP30" s="178"/>
      <c r="VZE30" s="178"/>
      <c r="VZF30" s="178"/>
      <c r="VZU30" s="178"/>
      <c r="VZV30" s="178"/>
      <c r="WAK30" s="178"/>
      <c r="WAL30" s="178"/>
      <c r="WBA30" s="178"/>
      <c r="WBB30" s="178"/>
      <c r="WBQ30" s="178"/>
      <c r="WBR30" s="178"/>
      <c r="WCG30" s="178"/>
      <c r="WCH30" s="178"/>
      <c r="WCW30" s="178"/>
      <c r="WCX30" s="178"/>
      <c r="WDM30" s="178"/>
      <c r="WDN30" s="178"/>
      <c r="WEC30" s="178"/>
      <c r="WED30" s="178"/>
      <c r="WES30" s="178"/>
      <c r="WET30" s="178"/>
      <c r="WFI30" s="178"/>
      <c r="WFJ30" s="178"/>
      <c r="WFY30" s="178"/>
      <c r="WFZ30" s="178"/>
      <c r="WGO30" s="178"/>
      <c r="WGP30" s="178"/>
      <c r="WHE30" s="178"/>
      <c r="WHF30" s="178"/>
      <c r="WHU30" s="178"/>
      <c r="WHV30" s="178"/>
      <c r="WIK30" s="178"/>
      <c r="WIL30" s="178"/>
      <c r="WJA30" s="178"/>
      <c r="WJB30" s="178"/>
      <c r="WJQ30" s="178"/>
      <c r="WJR30" s="178"/>
      <c r="WKG30" s="178"/>
      <c r="WKH30" s="178"/>
      <c r="WKW30" s="178"/>
      <c r="WKX30" s="178"/>
      <c r="WLM30" s="178"/>
      <c r="WLN30" s="178"/>
      <c r="WMC30" s="178"/>
      <c r="WMD30" s="178"/>
      <c r="WMS30" s="178"/>
      <c r="WMT30" s="178"/>
      <c r="WNI30" s="178"/>
      <c r="WNJ30" s="178"/>
      <c r="WNY30" s="178"/>
      <c r="WNZ30" s="178"/>
      <c r="WOO30" s="178"/>
      <c r="WOP30" s="178"/>
      <c r="WPE30" s="178"/>
      <c r="WPF30" s="178"/>
      <c r="WPU30" s="178"/>
      <c r="WPV30" s="178"/>
      <c r="WQK30" s="178"/>
      <c r="WQL30" s="178"/>
      <c r="WRA30" s="178"/>
      <c r="WRB30" s="178"/>
      <c r="WRQ30" s="178"/>
      <c r="WRR30" s="178"/>
      <c r="WSG30" s="178"/>
      <c r="WSH30" s="178"/>
      <c r="WSW30" s="178"/>
      <c r="WSX30" s="178"/>
      <c r="WTM30" s="178"/>
      <c r="WTN30" s="178"/>
      <c r="WUC30" s="178"/>
      <c r="WUD30" s="178"/>
      <c r="WUS30" s="178"/>
      <c r="WUT30" s="178"/>
      <c r="WVI30" s="178"/>
      <c r="WVJ30" s="178"/>
      <c r="WVY30" s="178"/>
      <c r="WVZ30" s="178"/>
      <c r="WWO30" s="178"/>
      <c r="WWP30" s="178"/>
      <c r="WXE30" s="178"/>
      <c r="WXF30" s="178"/>
      <c r="WXU30" s="178"/>
      <c r="WXV30" s="178"/>
      <c r="WYK30" s="178"/>
      <c r="WYL30" s="178"/>
      <c r="WZA30" s="178"/>
      <c r="WZB30" s="178"/>
      <c r="WZQ30" s="178"/>
      <c r="WZR30" s="178"/>
      <c r="XAG30" s="178"/>
      <c r="XAH30" s="178"/>
      <c r="XAW30" s="178"/>
      <c r="XAX30" s="178"/>
      <c r="XBM30" s="178"/>
      <c r="XBN30" s="178"/>
    </row>
    <row r="31" spans="1:1010 1025:2034 2049:3058 3073:4082 4097:5106 5121:6130 6145:7154 7169:8178 8193:9202 9217:10226 10241:11250 11265:12274 12289:13298 13313:14322 14337:15346 15361:16290" x14ac:dyDescent="0.3">
      <c r="A31" s="180" t="s">
        <v>250</v>
      </c>
      <c r="B31" s="180" t="s">
        <v>253</v>
      </c>
      <c r="C31" s="181">
        <f>SUM(tb_Distr[[#This Row],[PLAN]:[ENTR.]])</f>
        <v>1</v>
      </c>
      <c r="D31" s="179">
        <v>0.1</v>
      </c>
      <c r="E31" s="179">
        <v>0.2</v>
      </c>
      <c r="F31" s="179">
        <v>0.6</v>
      </c>
      <c r="G31" s="179"/>
      <c r="H31" s="179"/>
      <c r="I31" s="179"/>
      <c r="J31" s="179"/>
      <c r="K31" s="179"/>
      <c r="L31" s="179"/>
      <c r="M31" s="179"/>
      <c r="N31" s="179"/>
      <c r="O31" s="179"/>
      <c r="P31" s="179"/>
      <c r="Q31" s="179">
        <v>0.1</v>
      </c>
    </row>
    <row r="32" spans="1:1010 1025:2034 2049:3058 3073:4082 4097:5106 5121:6130 6145:7154 7169:8178 8193:9202 9217:10226 10241:11250 11265:12274 12289:13298 13313:14322 14337:15346 15361:16290" s="240" customFormat="1" ht="13.8" x14ac:dyDescent="0.3">
      <c r="A32" s="180" t="s">
        <v>417</v>
      </c>
      <c r="B32" s="180" t="s">
        <v>420</v>
      </c>
      <c r="C32" s="181">
        <f>SUM(tb_Distr[[#This Row],[PLAN]:[ENTR.]])</f>
        <v>1</v>
      </c>
      <c r="D32" s="179">
        <v>0.1</v>
      </c>
      <c r="E32" s="179">
        <v>0.2</v>
      </c>
      <c r="F32" s="179">
        <v>0.6</v>
      </c>
      <c r="G32" s="179"/>
      <c r="H32" s="179"/>
      <c r="I32" s="179"/>
      <c r="J32" s="179"/>
      <c r="K32" s="179"/>
      <c r="L32" s="179"/>
      <c r="M32" s="179"/>
      <c r="N32" s="179"/>
      <c r="O32" s="179"/>
      <c r="P32" s="179"/>
      <c r="Q32" s="179">
        <v>0.1</v>
      </c>
      <c r="R32" s="178"/>
      <c r="AG32" s="178"/>
      <c r="AH32" s="178"/>
      <c r="AW32" s="178"/>
      <c r="AX32" s="178"/>
      <c r="BM32" s="178"/>
      <c r="BN32" s="178"/>
      <c r="CC32" s="178"/>
      <c r="CD32" s="178"/>
      <c r="CS32" s="178"/>
      <c r="CT32" s="178"/>
      <c r="DI32" s="178"/>
      <c r="DJ32" s="178"/>
      <c r="DY32" s="178"/>
      <c r="DZ32" s="178"/>
      <c r="EO32" s="178"/>
      <c r="EP32" s="178"/>
      <c r="FE32" s="178"/>
      <c r="FF32" s="178"/>
      <c r="FU32" s="178"/>
      <c r="FV32" s="178"/>
      <c r="GK32" s="178"/>
      <c r="GL32" s="178"/>
      <c r="HA32" s="178"/>
      <c r="HB32" s="178"/>
      <c r="HQ32" s="178"/>
      <c r="HR32" s="178"/>
      <c r="IG32" s="178"/>
      <c r="IH32" s="178"/>
      <c r="IW32" s="178"/>
      <c r="IX32" s="178"/>
      <c r="JM32" s="178"/>
      <c r="JN32" s="178"/>
      <c r="KC32" s="178"/>
      <c r="KD32" s="178"/>
      <c r="KS32" s="178"/>
      <c r="KT32" s="178"/>
      <c r="LI32" s="178"/>
      <c r="LJ32" s="178"/>
      <c r="LY32" s="178"/>
      <c r="LZ32" s="178"/>
      <c r="MO32" s="178"/>
      <c r="MP32" s="178"/>
      <c r="NE32" s="178"/>
      <c r="NF32" s="178"/>
      <c r="NU32" s="178"/>
      <c r="NV32" s="178"/>
      <c r="OK32" s="178"/>
      <c r="OL32" s="178"/>
      <c r="PA32" s="178"/>
      <c r="PB32" s="178"/>
      <c r="PQ32" s="178"/>
      <c r="PR32" s="178"/>
      <c r="QG32" s="178"/>
      <c r="QH32" s="178"/>
      <c r="QW32" s="178"/>
      <c r="QX32" s="178"/>
      <c r="RM32" s="178"/>
      <c r="RN32" s="178"/>
      <c r="SC32" s="178"/>
      <c r="SD32" s="178"/>
      <c r="SS32" s="178"/>
      <c r="ST32" s="178"/>
      <c r="TI32" s="178"/>
      <c r="TJ32" s="178"/>
      <c r="TY32" s="178"/>
      <c r="TZ32" s="178"/>
      <c r="UO32" s="178"/>
      <c r="UP32" s="178"/>
      <c r="VE32" s="178"/>
      <c r="VF32" s="178"/>
      <c r="VU32" s="178"/>
      <c r="VV32" s="178"/>
      <c r="WK32" s="178"/>
      <c r="WL32" s="178"/>
      <c r="XA32" s="178"/>
      <c r="XB32" s="178"/>
      <c r="XQ32" s="178"/>
      <c r="XR32" s="178"/>
      <c r="YG32" s="178"/>
      <c r="YH32" s="178"/>
      <c r="YW32" s="178"/>
      <c r="YX32" s="178"/>
      <c r="ZM32" s="178"/>
      <c r="ZN32" s="178"/>
      <c r="AAC32" s="178"/>
      <c r="AAD32" s="178"/>
      <c r="AAS32" s="178"/>
      <c r="AAT32" s="178"/>
      <c r="ABI32" s="178"/>
      <c r="ABJ32" s="178"/>
      <c r="ABY32" s="178"/>
      <c r="ABZ32" s="178"/>
      <c r="ACO32" s="178"/>
      <c r="ACP32" s="178"/>
      <c r="ADE32" s="178"/>
      <c r="ADF32" s="178"/>
      <c r="ADU32" s="178"/>
      <c r="ADV32" s="178"/>
      <c r="AEK32" s="178"/>
      <c r="AEL32" s="178"/>
      <c r="AFA32" s="178"/>
      <c r="AFB32" s="178"/>
      <c r="AFQ32" s="178"/>
      <c r="AFR32" s="178"/>
      <c r="AGG32" s="178"/>
      <c r="AGH32" s="178"/>
      <c r="AGW32" s="178"/>
      <c r="AGX32" s="178"/>
      <c r="AHM32" s="178"/>
      <c r="AHN32" s="178"/>
      <c r="AIC32" s="178"/>
      <c r="AID32" s="178"/>
      <c r="AIS32" s="178"/>
      <c r="AIT32" s="178"/>
      <c r="AJI32" s="178"/>
      <c r="AJJ32" s="178"/>
      <c r="AJY32" s="178"/>
      <c r="AJZ32" s="178"/>
      <c r="AKO32" s="178"/>
      <c r="AKP32" s="178"/>
      <c r="ALE32" s="178"/>
      <c r="ALF32" s="178"/>
      <c r="ALU32" s="178"/>
      <c r="ALV32" s="178"/>
      <c r="AMK32" s="178"/>
      <c r="AML32" s="178"/>
      <c r="ANA32" s="178"/>
      <c r="ANB32" s="178"/>
      <c r="ANQ32" s="178"/>
      <c r="ANR32" s="178"/>
      <c r="AOG32" s="178"/>
      <c r="AOH32" s="178"/>
      <c r="AOW32" s="178"/>
      <c r="AOX32" s="178"/>
      <c r="APM32" s="178"/>
      <c r="APN32" s="178"/>
      <c r="AQC32" s="178"/>
      <c r="AQD32" s="178"/>
      <c r="AQS32" s="178"/>
      <c r="AQT32" s="178"/>
      <c r="ARI32" s="178"/>
      <c r="ARJ32" s="178"/>
      <c r="ARY32" s="178"/>
      <c r="ARZ32" s="178"/>
      <c r="ASO32" s="178"/>
      <c r="ASP32" s="178"/>
      <c r="ATE32" s="178"/>
      <c r="ATF32" s="178"/>
      <c r="ATU32" s="178"/>
      <c r="ATV32" s="178"/>
      <c r="AUK32" s="178"/>
      <c r="AUL32" s="178"/>
      <c r="AVA32" s="178"/>
      <c r="AVB32" s="178"/>
      <c r="AVQ32" s="178"/>
      <c r="AVR32" s="178"/>
      <c r="AWG32" s="178"/>
      <c r="AWH32" s="178"/>
      <c r="AWW32" s="178"/>
      <c r="AWX32" s="178"/>
      <c r="AXM32" s="178"/>
      <c r="AXN32" s="178"/>
      <c r="AYC32" s="178"/>
      <c r="AYD32" s="178"/>
      <c r="AYS32" s="178"/>
      <c r="AYT32" s="178"/>
      <c r="AZI32" s="178"/>
      <c r="AZJ32" s="178"/>
      <c r="AZY32" s="178"/>
      <c r="AZZ32" s="178"/>
      <c r="BAO32" s="178"/>
      <c r="BAP32" s="178"/>
      <c r="BBE32" s="178"/>
      <c r="BBF32" s="178"/>
      <c r="BBU32" s="178"/>
      <c r="BBV32" s="178"/>
      <c r="BCK32" s="178"/>
      <c r="BCL32" s="178"/>
      <c r="BDA32" s="178"/>
      <c r="BDB32" s="178"/>
      <c r="BDQ32" s="178"/>
      <c r="BDR32" s="178"/>
      <c r="BEG32" s="178"/>
      <c r="BEH32" s="178"/>
      <c r="BEW32" s="178"/>
      <c r="BEX32" s="178"/>
      <c r="BFM32" s="178"/>
      <c r="BFN32" s="178"/>
      <c r="BGC32" s="178"/>
      <c r="BGD32" s="178"/>
      <c r="BGS32" s="178"/>
      <c r="BGT32" s="178"/>
      <c r="BHI32" s="178"/>
      <c r="BHJ32" s="178"/>
      <c r="BHY32" s="178"/>
      <c r="BHZ32" s="178"/>
      <c r="BIO32" s="178"/>
      <c r="BIP32" s="178"/>
      <c r="BJE32" s="178"/>
      <c r="BJF32" s="178"/>
      <c r="BJU32" s="178"/>
      <c r="BJV32" s="178"/>
      <c r="BKK32" s="178"/>
      <c r="BKL32" s="178"/>
      <c r="BLA32" s="178"/>
      <c r="BLB32" s="178"/>
      <c r="BLQ32" s="178"/>
      <c r="BLR32" s="178"/>
      <c r="BMG32" s="178"/>
      <c r="BMH32" s="178"/>
      <c r="BMW32" s="178"/>
      <c r="BMX32" s="178"/>
      <c r="BNM32" s="178"/>
      <c r="BNN32" s="178"/>
      <c r="BOC32" s="178"/>
      <c r="BOD32" s="178"/>
      <c r="BOS32" s="178"/>
      <c r="BOT32" s="178"/>
      <c r="BPI32" s="178"/>
      <c r="BPJ32" s="178"/>
      <c r="BPY32" s="178"/>
      <c r="BPZ32" s="178"/>
      <c r="BQO32" s="178"/>
      <c r="BQP32" s="178"/>
      <c r="BRE32" s="178"/>
      <c r="BRF32" s="178"/>
      <c r="BRU32" s="178"/>
      <c r="BRV32" s="178"/>
      <c r="BSK32" s="178"/>
      <c r="BSL32" s="178"/>
      <c r="BTA32" s="178"/>
      <c r="BTB32" s="178"/>
      <c r="BTQ32" s="178"/>
      <c r="BTR32" s="178"/>
      <c r="BUG32" s="178"/>
      <c r="BUH32" s="178"/>
      <c r="BUW32" s="178"/>
      <c r="BUX32" s="178"/>
      <c r="BVM32" s="178"/>
      <c r="BVN32" s="178"/>
      <c r="BWC32" s="178"/>
      <c r="BWD32" s="178"/>
      <c r="BWS32" s="178"/>
      <c r="BWT32" s="178"/>
      <c r="BXI32" s="178"/>
      <c r="BXJ32" s="178"/>
      <c r="BXY32" s="178"/>
      <c r="BXZ32" s="178"/>
      <c r="BYO32" s="178"/>
      <c r="BYP32" s="178"/>
      <c r="BZE32" s="178"/>
      <c r="BZF32" s="178"/>
      <c r="BZU32" s="178"/>
      <c r="BZV32" s="178"/>
      <c r="CAK32" s="178"/>
      <c r="CAL32" s="178"/>
      <c r="CBA32" s="178"/>
      <c r="CBB32" s="178"/>
      <c r="CBQ32" s="178"/>
      <c r="CBR32" s="178"/>
      <c r="CCG32" s="178"/>
      <c r="CCH32" s="178"/>
      <c r="CCW32" s="178"/>
      <c r="CCX32" s="178"/>
      <c r="CDM32" s="178"/>
      <c r="CDN32" s="178"/>
      <c r="CEC32" s="178"/>
      <c r="CED32" s="178"/>
      <c r="CES32" s="178"/>
      <c r="CET32" s="178"/>
      <c r="CFI32" s="178"/>
      <c r="CFJ32" s="178"/>
      <c r="CFY32" s="178"/>
      <c r="CFZ32" s="178"/>
      <c r="CGO32" s="178"/>
      <c r="CGP32" s="178"/>
      <c r="CHE32" s="178"/>
      <c r="CHF32" s="178"/>
      <c r="CHU32" s="178"/>
      <c r="CHV32" s="178"/>
      <c r="CIK32" s="178"/>
      <c r="CIL32" s="178"/>
      <c r="CJA32" s="178"/>
      <c r="CJB32" s="178"/>
      <c r="CJQ32" s="178"/>
      <c r="CJR32" s="178"/>
      <c r="CKG32" s="178"/>
      <c r="CKH32" s="178"/>
      <c r="CKW32" s="178"/>
      <c r="CKX32" s="178"/>
      <c r="CLM32" s="178"/>
      <c r="CLN32" s="178"/>
      <c r="CMC32" s="178"/>
      <c r="CMD32" s="178"/>
      <c r="CMS32" s="178"/>
      <c r="CMT32" s="178"/>
      <c r="CNI32" s="178"/>
      <c r="CNJ32" s="178"/>
      <c r="CNY32" s="178"/>
      <c r="CNZ32" s="178"/>
      <c r="COO32" s="178"/>
      <c r="COP32" s="178"/>
      <c r="CPE32" s="178"/>
      <c r="CPF32" s="178"/>
      <c r="CPU32" s="178"/>
      <c r="CPV32" s="178"/>
      <c r="CQK32" s="178"/>
      <c r="CQL32" s="178"/>
      <c r="CRA32" s="178"/>
      <c r="CRB32" s="178"/>
      <c r="CRQ32" s="178"/>
      <c r="CRR32" s="178"/>
      <c r="CSG32" s="178"/>
      <c r="CSH32" s="178"/>
      <c r="CSW32" s="178"/>
      <c r="CSX32" s="178"/>
      <c r="CTM32" s="178"/>
      <c r="CTN32" s="178"/>
      <c r="CUC32" s="178"/>
      <c r="CUD32" s="178"/>
      <c r="CUS32" s="178"/>
      <c r="CUT32" s="178"/>
      <c r="CVI32" s="178"/>
      <c r="CVJ32" s="178"/>
      <c r="CVY32" s="178"/>
      <c r="CVZ32" s="178"/>
      <c r="CWO32" s="178"/>
      <c r="CWP32" s="178"/>
      <c r="CXE32" s="178"/>
      <c r="CXF32" s="178"/>
      <c r="CXU32" s="178"/>
      <c r="CXV32" s="178"/>
      <c r="CYK32" s="178"/>
      <c r="CYL32" s="178"/>
      <c r="CZA32" s="178"/>
      <c r="CZB32" s="178"/>
      <c r="CZQ32" s="178"/>
      <c r="CZR32" s="178"/>
      <c r="DAG32" s="178"/>
      <c r="DAH32" s="178"/>
      <c r="DAW32" s="178"/>
      <c r="DAX32" s="178"/>
      <c r="DBM32" s="178"/>
      <c r="DBN32" s="178"/>
      <c r="DCC32" s="178"/>
      <c r="DCD32" s="178"/>
      <c r="DCS32" s="178"/>
      <c r="DCT32" s="178"/>
      <c r="DDI32" s="178"/>
      <c r="DDJ32" s="178"/>
      <c r="DDY32" s="178"/>
      <c r="DDZ32" s="178"/>
      <c r="DEO32" s="178"/>
      <c r="DEP32" s="178"/>
      <c r="DFE32" s="178"/>
      <c r="DFF32" s="178"/>
      <c r="DFU32" s="178"/>
      <c r="DFV32" s="178"/>
      <c r="DGK32" s="178"/>
      <c r="DGL32" s="178"/>
      <c r="DHA32" s="178"/>
      <c r="DHB32" s="178"/>
      <c r="DHQ32" s="178"/>
      <c r="DHR32" s="178"/>
      <c r="DIG32" s="178"/>
      <c r="DIH32" s="178"/>
      <c r="DIW32" s="178"/>
      <c r="DIX32" s="178"/>
      <c r="DJM32" s="178"/>
      <c r="DJN32" s="178"/>
      <c r="DKC32" s="178"/>
      <c r="DKD32" s="178"/>
      <c r="DKS32" s="178"/>
      <c r="DKT32" s="178"/>
      <c r="DLI32" s="178"/>
      <c r="DLJ32" s="178"/>
      <c r="DLY32" s="178"/>
      <c r="DLZ32" s="178"/>
      <c r="DMO32" s="178"/>
      <c r="DMP32" s="178"/>
      <c r="DNE32" s="178"/>
      <c r="DNF32" s="178"/>
      <c r="DNU32" s="178"/>
      <c r="DNV32" s="178"/>
      <c r="DOK32" s="178"/>
      <c r="DOL32" s="178"/>
      <c r="DPA32" s="178"/>
      <c r="DPB32" s="178"/>
      <c r="DPQ32" s="178"/>
      <c r="DPR32" s="178"/>
      <c r="DQG32" s="178"/>
      <c r="DQH32" s="178"/>
      <c r="DQW32" s="178"/>
      <c r="DQX32" s="178"/>
      <c r="DRM32" s="178"/>
      <c r="DRN32" s="178"/>
      <c r="DSC32" s="178"/>
      <c r="DSD32" s="178"/>
      <c r="DSS32" s="178"/>
      <c r="DST32" s="178"/>
      <c r="DTI32" s="178"/>
      <c r="DTJ32" s="178"/>
      <c r="DTY32" s="178"/>
      <c r="DTZ32" s="178"/>
      <c r="DUO32" s="178"/>
      <c r="DUP32" s="178"/>
      <c r="DVE32" s="178"/>
      <c r="DVF32" s="178"/>
      <c r="DVU32" s="178"/>
      <c r="DVV32" s="178"/>
      <c r="DWK32" s="178"/>
      <c r="DWL32" s="178"/>
      <c r="DXA32" s="178"/>
      <c r="DXB32" s="178"/>
      <c r="DXQ32" s="178"/>
      <c r="DXR32" s="178"/>
      <c r="DYG32" s="178"/>
      <c r="DYH32" s="178"/>
      <c r="DYW32" s="178"/>
      <c r="DYX32" s="178"/>
      <c r="DZM32" s="178"/>
      <c r="DZN32" s="178"/>
      <c r="EAC32" s="178"/>
      <c r="EAD32" s="178"/>
      <c r="EAS32" s="178"/>
      <c r="EAT32" s="178"/>
      <c r="EBI32" s="178"/>
      <c r="EBJ32" s="178"/>
      <c r="EBY32" s="178"/>
      <c r="EBZ32" s="178"/>
      <c r="ECO32" s="178"/>
      <c r="ECP32" s="178"/>
      <c r="EDE32" s="178"/>
      <c r="EDF32" s="178"/>
      <c r="EDU32" s="178"/>
      <c r="EDV32" s="178"/>
      <c r="EEK32" s="178"/>
      <c r="EEL32" s="178"/>
      <c r="EFA32" s="178"/>
      <c r="EFB32" s="178"/>
      <c r="EFQ32" s="178"/>
      <c r="EFR32" s="178"/>
      <c r="EGG32" s="178"/>
      <c r="EGH32" s="178"/>
      <c r="EGW32" s="178"/>
      <c r="EGX32" s="178"/>
      <c r="EHM32" s="178"/>
      <c r="EHN32" s="178"/>
      <c r="EIC32" s="178"/>
      <c r="EID32" s="178"/>
      <c r="EIS32" s="178"/>
      <c r="EIT32" s="178"/>
      <c r="EJI32" s="178"/>
      <c r="EJJ32" s="178"/>
      <c r="EJY32" s="178"/>
      <c r="EJZ32" s="178"/>
      <c r="EKO32" s="178"/>
      <c r="EKP32" s="178"/>
      <c r="ELE32" s="178"/>
      <c r="ELF32" s="178"/>
      <c r="ELU32" s="178"/>
      <c r="ELV32" s="178"/>
      <c r="EMK32" s="178"/>
      <c r="EML32" s="178"/>
      <c r="ENA32" s="178"/>
      <c r="ENB32" s="178"/>
      <c r="ENQ32" s="178"/>
      <c r="ENR32" s="178"/>
      <c r="EOG32" s="178"/>
      <c r="EOH32" s="178"/>
      <c r="EOW32" s="178"/>
      <c r="EOX32" s="178"/>
      <c r="EPM32" s="178"/>
      <c r="EPN32" s="178"/>
      <c r="EQC32" s="178"/>
      <c r="EQD32" s="178"/>
      <c r="EQS32" s="178"/>
      <c r="EQT32" s="178"/>
      <c r="ERI32" s="178"/>
      <c r="ERJ32" s="178"/>
      <c r="ERY32" s="178"/>
      <c r="ERZ32" s="178"/>
      <c r="ESO32" s="178"/>
      <c r="ESP32" s="178"/>
      <c r="ETE32" s="178"/>
      <c r="ETF32" s="178"/>
      <c r="ETU32" s="178"/>
      <c r="ETV32" s="178"/>
      <c r="EUK32" s="178"/>
      <c r="EUL32" s="178"/>
      <c r="EVA32" s="178"/>
      <c r="EVB32" s="178"/>
      <c r="EVQ32" s="178"/>
      <c r="EVR32" s="178"/>
      <c r="EWG32" s="178"/>
      <c r="EWH32" s="178"/>
      <c r="EWW32" s="178"/>
      <c r="EWX32" s="178"/>
      <c r="EXM32" s="178"/>
      <c r="EXN32" s="178"/>
      <c r="EYC32" s="178"/>
      <c r="EYD32" s="178"/>
      <c r="EYS32" s="178"/>
      <c r="EYT32" s="178"/>
      <c r="EZI32" s="178"/>
      <c r="EZJ32" s="178"/>
      <c r="EZY32" s="178"/>
      <c r="EZZ32" s="178"/>
      <c r="FAO32" s="178"/>
      <c r="FAP32" s="178"/>
      <c r="FBE32" s="178"/>
      <c r="FBF32" s="178"/>
      <c r="FBU32" s="178"/>
      <c r="FBV32" s="178"/>
      <c r="FCK32" s="178"/>
      <c r="FCL32" s="178"/>
      <c r="FDA32" s="178"/>
      <c r="FDB32" s="178"/>
      <c r="FDQ32" s="178"/>
      <c r="FDR32" s="178"/>
      <c r="FEG32" s="178"/>
      <c r="FEH32" s="178"/>
      <c r="FEW32" s="178"/>
      <c r="FEX32" s="178"/>
      <c r="FFM32" s="178"/>
      <c r="FFN32" s="178"/>
      <c r="FGC32" s="178"/>
      <c r="FGD32" s="178"/>
      <c r="FGS32" s="178"/>
      <c r="FGT32" s="178"/>
      <c r="FHI32" s="178"/>
      <c r="FHJ32" s="178"/>
      <c r="FHY32" s="178"/>
      <c r="FHZ32" s="178"/>
      <c r="FIO32" s="178"/>
      <c r="FIP32" s="178"/>
      <c r="FJE32" s="178"/>
      <c r="FJF32" s="178"/>
      <c r="FJU32" s="178"/>
      <c r="FJV32" s="178"/>
      <c r="FKK32" s="178"/>
      <c r="FKL32" s="178"/>
      <c r="FLA32" s="178"/>
      <c r="FLB32" s="178"/>
      <c r="FLQ32" s="178"/>
      <c r="FLR32" s="178"/>
      <c r="FMG32" s="178"/>
      <c r="FMH32" s="178"/>
      <c r="FMW32" s="178"/>
      <c r="FMX32" s="178"/>
      <c r="FNM32" s="178"/>
      <c r="FNN32" s="178"/>
      <c r="FOC32" s="178"/>
      <c r="FOD32" s="178"/>
      <c r="FOS32" s="178"/>
      <c r="FOT32" s="178"/>
      <c r="FPI32" s="178"/>
      <c r="FPJ32" s="178"/>
      <c r="FPY32" s="178"/>
      <c r="FPZ32" s="178"/>
      <c r="FQO32" s="178"/>
      <c r="FQP32" s="178"/>
      <c r="FRE32" s="178"/>
      <c r="FRF32" s="178"/>
      <c r="FRU32" s="178"/>
      <c r="FRV32" s="178"/>
      <c r="FSK32" s="178"/>
      <c r="FSL32" s="178"/>
      <c r="FTA32" s="178"/>
      <c r="FTB32" s="178"/>
      <c r="FTQ32" s="178"/>
      <c r="FTR32" s="178"/>
      <c r="FUG32" s="178"/>
      <c r="FUH32" s="178"/>
      <c r="FUW32" s="178"/>
      <c r="FUX32" s="178"/>
      <c r="FVM32" s="178"/>
      <c r="FVN32" s="178"/>
      <c r="FWC32" s="178"/>
      <c r="FWD32" s="178"/>
      <c r="FWS32" s="178"/>
      <c r="FWT32" s="178"/>
      <c r="FXI32" s="178"/>
      <c r="FXJ32" s="178"/>
      <c r="FXY32" s="178"/>
      <c r="FXZ32" s="178"/>
      <c r="FYO32" s="178"/>
      <c r="FYP32" s="178"/>
      <c r="FZE32" s="178"/>
      <c r="FZF32" s="178"/>
      <c r="FZU32" s="178"/>
      <c r="FZV32" s="178"/>
      <c r="GAK32" s="178"/>
      <c r="GAL32" s="178"/>
      <c r="GBA32" s="178"/>
      <c r="GBB32" s="178"/>
      <c r="GBQ32" s="178"/>
      <c r="GBR32" s="178"/>
      <c r="GCG32" s="178"/>
      <c r="GCH32" s="178"/>
      <c r="GCW32" s="178"/>
      <c r="GCX32" s="178"/>
      <c r="GDM32" s="178"/>
      <c r="GDN32" s="178"/>
      <c r="GEC32" s="178"/>
      <c r="GED32" s="178"/>
      <c r="GES32" s="178"/>
      <c r="GET32" s="178"/>
      <c r="GFI32" s="178"/>
      <c r="GFJ32" s="178"/>
      <c r="GFY32" s="178"/>
      <c r="GFZ32" s="178"/>
      <c r="GGO32" s="178"/>
      <c r="GGP32" s="178"/>
      <c r="GHE32" s="178"/>
      <c r="GHF32" s="178"/>
      <c r="GHU32" s="178"/>
      <c r="GHV32" s="178"/>
      <c r="GIK32" s="178"/>
      <c r="GIL32" s="178"/>
      <c r="GJA32" s="178"/>
      <c r="GJB32" s="178"/>
      <c r="GJQ32" s="178"/>
      <c r="GJR32" s="178"/>
      <c r="GKG32" s="178"/>
      <c r="GKH32" s="178"/>
      <c r="GKW32" s="178"/>
      <c r="GKX32" s="178"/>
      <c r="GLM32" s="178"/>
      <c r="GLN32" s="178"/>
      <c r="GMC32" s="178"/>
      <c r="GMD32" s="178"/>
      <c r="GMS32" s="178"/>
      <c r="GMT32" s="178"/>
      <c r="GNI32" s="178"/>
      <c r="GNJ32" s="178"/>
      <c r="GNY32" s="178"/>
      <c r="GNZ32" s="178"/>
      <c r="GOO32" s="178"/>
      <c r="GOP32" s="178"/>
      <c r="GPE32" s="178"/>
      <c r="GPF32" s="178"/>
      <c r="GPU32" s="178"/>
      <c r="GPV32" s="178"/>
      <c r="GQK32" s="178"/>
      <c r="GQL32" s="178"/>
      <c r="GRA32" s="178"/>
      <c r="GRB32" s="178"/>
      <c r="GRQ32" s="178"/>
      <c r="GRR32" s="178"/>
      <c r="GSG32" s="178"/>
      <c r="GSH32" s="178"/>
      <c r="GSW32" s="178"/>
      <c r="GSX32" s="178"/>
      <c r="GTM32" s="178"/>
      <c r="GTN32" s="178"/>
      <c r="GUC32" s="178"/>
      <c r="GUD32" s="178"/>
      <c r="GUS32" s="178"/>
      <c r="GUT32" s="178"/>
      <c r="GVI32" s="178"/>
      <c r="GVJ32" s="178"/>
      <c r="GVY32" s="178"/>
      <c r="GVZ32" s="178"/>
      <c r="GWO32" s="178"/>
      <c r="GWP32" s="178"/>
      <c r="GXE32" s="178"/>
      <c r="GXF32" s="178"/>
      <c r="GXU32" s="178"/>
      <c r="GXV32" s="178"/>
      <c r="GYK32" s="178"/>
      <c r="GYL32" s="178"/>
      <c r="GZA32" s="178"/>
      <c r="GZB32" s="178"/>
      <c r="GZQ32" s="178"/>
      <c r="GZR32" s="178"/>
      <c r="HAG32" s="178"/>
      <c r="HAH32" s="178"/>
      <c r="HAW32" s="178"/>
      <c r="HAX32" s="178"/>
      <c r="HBM32" s="178"/>
      <c r="HBN32" s="178"/>
      <c r="HCC32" s="178"/>
      <c r="HCD32" s="178"/>
      <c r="HCS32" s="178"/>
      <c r="HCT32" s="178"/>
      <c r="HDI32" s="178"/>
      <c r="HDJ32" s="178"/>
      <c r="HDY32" s="178"/>
      <c r="HDZ32" s="178"/>
      <c r="HEO32" s="178"/>
      <c r="HEP32" s="178"/>
      <c r="HFE32" s="178"/>
      <c r="HFF32" s="178"/>
      <c r="HFU32" s="178"/>
      <c r="HFV32" s="178"/>
      <c r="HGK32" s="178"/>
      <c r="HGL32" s="178"/>
      <c r="HHA32" s="178"/>
      <c r="HHB32" s="178"/>
      <c r="HHQ32" s="178"/>
      <c r="HHR32" s="178"/>
      <c r="HIG32" s="178"/>
      <c r="HIH32" s="178"/>
      <c r="HIW32" s="178"/>
      <c r="HIX32" s="178"/>
      <c r="HJM32" s="178"/>
      <c r="HJN32" s="178"/>
      <c r="HKC32" s="178"/>
      <c r="HKD32" s="178"/>
      <c r="HKS32" s="178"/>
      <c r="HKT32" s="178"/>
      <c r="HLI32" s="178"/>
      <c r="HLJ32" s="178"/>
      <c r="HLY32" s="178"/>
      <c r="HLZ32" s="178"/>
      <c r="HMO32" s="178"/>
      <c r="HMP32" s="178"/>
      <c r="HNE32" s="178"/>
      <c r="HNF32" s="178"/>
      <c r="HNU32" s="178"/>
      <c r="HNV32" s="178"/>
      <c r="HOK32" s="178"/>
      <c r="HOL32" s="178"/>
      <c r="HPA32" s="178"/>
      <c r="HPB32" s="178"/>
      <c r="HPQ32" s="178"/>
      <c r="HPR32" s="178"/>
      <c r="HQG32" s="178"/>
      <c r="HQH32" s="178"/>
      <c r="HQW32" s="178"/>
      <c r="HQX32" s="178"/>
      <c r="HRM32" s="178"/>
      <c r="HRN32" s="178"/>
      <c r="HSC32" s="178"/>
      <c r="HSD32" s="178"/>
      <c r="HSS32" s="178"/>
      <c r="HST32" s="178"/>
      <c r="HTI32" s="178"/>
      <c r="HTJ32" s="178"/>
      <c r="HTY32" s="178"/>
      <c r="HTZ32" s="178"/>
      <c r="HUO32" s="178"/>
      <c r="HUP32" s="178"/>
      <c r="HVE32" s="178"/>
      <c r="HVF32" s="178"/>
      <c r="HVU32" s="178"/>
      <c r="HVV32" s="178"/>
      <c r="HWK32" s="178"/>
      <c r="HWL32" s="178"/>
      <c r="HXA32" s="178"/>
      <c r="HXB32" s="178"/>
      <c r="HXQ32" s="178"/>
      <c r="HXR32" s="178"/>
      <c r="HYG32" s="178"/>
      <c r="HYH32" s="178"/>
      <c r="HYW32" s="178"/>
      <c r="HYX32" s="178"/>
      <c r="HZM32" s="178"/>
      <c r="HZN32" s="178"/>
      <c r="IAC32" s="178"/>
      <c r="IAD32" s="178"/>
      <c r="IAS32" s="178"/>
      <c r="IAT32" s="178"/>
      <c r="IBI32" s="178"/>
      <c r="IBJ32" s="178"/>
      <c r="IBY32" s="178"/>
      <c r="IBZ32" s="178"/>
      <c r="ICO32" s="178"/>
      <c r="ICP32" s="178"/>
      <c r="IDE32" s="178"/>
      <c r="IDF32" s="178"/>
      <c r="IDU32" s="178"/>
      <c r="IDV32" s="178"/>
      <c r="IEK32" s="178"/>
      <c r="IEL32" s="178"/>
      <c r="IFA32" s="178"/>
      <c r="IFB32" s="178"/>
      <c r="IFQ32" s="178"/>
      <c r="IFR32" s="178"/>
      <c r="IGG32" s="178"/>
      <c r="IGH32" s="178"/>
      <c r="IGW32" s="178"/>
      <c r="IGX32" s="178"/>
      <c r="IHM32" s="178"/>
      <c r="IHN32" s="178"/>
      <c r="IIC32" s="178"/>
      <c r="IID32" s="178"/>
      <c r="IIS32" s="178"/>
      <c r="IIT32" s="178"/>
      <c r="IJI32" s="178"/>
      <c r="IJJ32" s="178"/>
      <c r="IJY32" s="178"/>
      <c r="IJZ32" s="178"/>
      <c r="IKO32" s="178"/>
      <c r="IKP32" s="178"/>
      <c r="ILE32" s="178"/>
      <c r="ILF32" s="178"/>
      <c r="ILU32" s="178"/>
      <c r="ILV32" s="178"/>
      <c r="IMK32" s="178"/>
      <c r="IML32" s="178"/>
      <c r="INA32" s="178"/>
      <c r="INB32" s="178"/>
      <c r="INQ32" s="178"/>
      <c r="INR32" s="178"/>
      <c r="IOG32" s="178"/>
      <c r="IOH32" s="178"/>
      <c r="IOW32" s="178"/>
      <c r="IOX32" s="178"/>
      <c r="IPM32" s="178"/>
      <c r="IPN32" s="178"/>
      <c r="IQC32" s="178"/>
      <c r="IQD32" s="178"/>
      <c r="IQS32" s="178"/>
      <c r="IQT32" s="178"/>
      <c r="IRI32" s="178"/>
      <c r="IRJ32" s="178"/>
      <c r="IRY32" s="178"/>
      <c r="IRZ32" s="178"/>
      <c r="ISO32" s="178"/>
      <c r="ISP32" s="178"/>
      <c r="ITE32" s="178"/>
      <c r="ITF32" s="178"/>
      <c r="ITU32" s="178"/>
      <c r="ITV32" s="178"/>
      <c r="IUK32" s="178"/>
      <c r="IUL32" s="178"/>
      <c r="IVA32" s="178"/>
      <c r="IVB32" s="178"/>
      <c r="IVQ32" s="178"/>
      <c r="IVR32" s="178"/>
      <c r="IWG32" s="178"/>
      <c r="IWH32" s="178"/>
      <c r="IWW32" s="178"/>
      <c r="IWX32" s="178"/>
      <c r="IXM32" s="178"/>
      <c r="IXN32" s="178"/>
      <c r="IYC32" s="178"/>
      <c r="IYD32" s="178"/>
      <c r="IYS32" s="178"/>
      <c r="IYT32" s="178"/>
      <c r="IZI32" s="178"/>
      <c r="IZJ32" s="178"/>
      <c r="IZY32" s="178"/>
      <c r="IZZ32" s="178"/>
      <c r="JAO32" s="178"/>
      <c r="JAP32" s="178"/>
      <c r="JBE32" s="178"/>
      <c r="JBF32" s="178"/>
      <c r="JBU32" s="178"/>
      <c r="JBV32" s="178"/>
      <c r="JCK32" s="178"/>
      <c r="JCL32" s="178"/>
      <c r="JDA32" s="178"/>
      <c r="JDB32" s="178"/>
      <c r="JDQ32" s="178"/>
      <c r="JDR32" s="178"/>
      <c r="JEG32" s="178"/>
      <c r="JEH32" s="178"/>
      <c r="JEW32" s="178"/>
      <c r="JEX32" s="178"/>
      <c r="JFM32" s="178"/>
      <c r="JFN32" s="178"/>
      <c r="JGC32" s="178"/>
      <c r="JGD32" s="178"/>
      <c r="JGS32" s="178"/>
      <c r="JGT32" s="178"/>
      <c r="JHI32" s="178"/>
      <c r="JHJ32" s="178"/>
      <c r="JHY32" s="178"/>
      <c r="JHZ32" s="178"/>
      <c r="JIO32" s="178"/>
      <c r="JIP32" s="178"/>
      <c r="JJE32" s="178"/>
      <c r="JJF32" s="178"/>
      <c r="JJU32" s="178"/>
      <c r="JJV32" s="178"/>
      <c r="JKK32" s="178"/>
      <c r="JKL32" s="178"/>
      <c r="JLA32" s="178"/>
      <c r="JLB32" s="178"/>
      <c r="JLQ32" s="178"/>
      <c r="JLR32" s="178"/>
      <c r="JMG32" s="178"/>
      <c r="JMH32" s="178"/>
      <c r="JMW32" s="178"/>
      <c r="JMX32" s="178"/>
      <c r="JNM32" s="178"/>
      <c r="JNN32" s="178"/>
      <c r="JOC32" s="178"/>
      <c r="JOD32" s="178"/>
      <c r="JOS32" s="178"/>
      <c r="JOT32" s="178"/>
      <c r="JPI32" s="178"/>
      <c r="JPJ32" s="178"/>
      <c r="JPY32" s="178"/>
      <c r="JPZ32" s="178"/>
      <c r="JQO32" s="178"/>
      <c r="JQP32" s="178"/>
      <c r="JRE32" s="178"/>
      <c r="JRF32" s="178"/>
      <c r="JRU32" s="178"/>
      <c r="JRV32" s="178"/>
      <c r="JSK32" s="178"/>
      <c r="JSL32" s="178"/>
      <c r="JTA32" s="178"/>
      <c r="JTB32" s="178"/>
      <c r="JTQ32" s="178"/>
      <c r="JTR32" s="178"/>
      <c r="JUG32" s="178"/>
      <c r="JUH32" s="178"/>
      <c r="JUW32" s="178"/>
      <c r="JUX32" s="178"/>
      <c r="JVM32" s="178"/>
      <c r="JVN32" s="178"/>
      <c r="JWC32" s="178"/>
      <c r="JWD32" s="178"/>
      <c r="JWS32" s="178"/>
      <c r="JWT32" s="178"/>
      <c r="JXI32" s="178"/>
      <c r="JXJ32" s="178"/>
      <c r="JXY32" s="178"/>
      <c r="JXZ32" s="178"/>
      <c r="JYO32" s="178"/>
      <c r="JYP32" s="178"/>
      <c r="JZE32" s="178"/>
      <c r="JZF32" s="178"/>
      <c r="JZU32" s="178"/>
      <c r="JZV32" s="178"/>
      <c r="KAK32" s="178"/>
      <c r="KAL32" s="178"/>
      <c r="KBA32" s="178"/>
      <c r="KBB32" s="178"/>
      <c r="KBQ32" s="178"/>
      <c r="KBR32" s="178"/>
      <c r="KCG32" s="178"/>
      <c r="KCH32" s="178"/>
      <c r="KCW32" s="178"/>
      <c r="KCX32" s="178"/>
      <c r="KDM32" s="178"/>
      <c r="KDN32" s="178"/>
      <c r="KEC32" s="178"/>
      <c r="KED32" s="178"/>
      <c r="KES32" s="178"/>
      <c r="KET32" s="178"/>
      <c r="KFI32" s="178"/>
      <c r="KFJ32" s="178"/>
      <c r="KFY32" s="178"/>
      <c r="KFZ32" s="178"/>
      <c r="KGO32" s="178"/>
      <c r="KGP32" s="178"/>
      <c r="KHE32" s="178"/>
      <c r="KHF32" s="178"/>
      <c r="KHU32" s="178"/>
      <c r="KHV32" s="178"/>
      <c r="KIK32" s="178"/>
      <c r="KIL32" s="178"/>
      <c r="KJA32" s="178"/>
      <c r="KJB32" s="178"/>
      <c r="KJQ32" s="178"/>
      <c r="KJR32" s="178"/>
      <c r="KKG32" s="178"/>
      <c r="KKH32" s="178"/>
      <c r="KKW32" s="178"/>
      <c r="KKX32" s="178"/>
      <c r="KLM32" s="178"/>
      <c r="KLN32" s="178"/>
      <c r="KMC32" s="178"/>
      <c r="KMD32" s="178"/>
      <c r="KMS32" s="178"/>
      <c r="KMT32" s="178"/>
      <c r="KNI32" s="178"/>
      <c r="KNJ32" s="178"/>
      <c r="KNY32" s="178"/>
      <c r="KNZ32" s="178"/>
      <c r="KOO32" s="178"/>
      <c r="KOP32" s="178"/>
      <c r="KPE32" s="178"/>
      <c r="KPF32" s="178"/>
      <c r="KPU32" s="178"/>
      <c r="KPV32" s="178"/>
      <c r="KQK32" s="178"/>
      <c r="KQL32" s="178"/>
      <c r="KRA32" s="178"/>
      <c r="KRB32" s="178"/>
      <c r="KRQ32" s="178"/>
      <c r="KRR32" s="178"/>
      <c r="KSG32" s="178"/>
      <c r="KSH32" s="178"/>
      <c r="KSW32" s="178"/>
      <c r="KSX32" s="178"/>
      <c r="KTM32" s="178"/>
      <c r="KTN32" s="178"/>
      <c r="KUC32" s="178"/>
      <c r="KUD32" s="178"/>
      <c r="KUS32" s="178"/>
      <c r="KUT32" s="178"/>
      <c r="KVI32" s="178"/>
      <c r="KVJ32" s="178"/>
      <c r="KVY32" s="178"/>
      <c r="KVZ32" s="178"/>
      <c r="KWO32" s="178"/>
      <c r="KWP32" s="178"/>
      <c r="KXE32" s="178"/>
      <c r="KXF32" s="178"/>
      <c r="KXU32" s="178"/>
      <c r="KXV32" s="178"/>
      <c r="KYK32" s="178"/>
      <c r="KYL32" s="178"/>
      <c r="KZA32" s="178"/>
      <c r="KZB32" s="178"/>
      <c r="KZQ32" s="178"/>
      <c r="KZR32" s="178"/>
      <c r="LAG32" s="178"/>
      <c r="LAH32" s="178"/>
      <c r="LAW32" s="178"/>
      <c r="LAX32" s="178"/>
      <c r="LBM32" s="178"/>
      <c r="LBN32" s="178"/>
      <c r="LCC32" s="178"/>
      <c r="LCD32" s="178"/>
      <c r="LCS32" s="178"/>
      <c r="LCT32" s="178"/>
      <c r="LDI32" s="178"/>
      <c r="LDJ32" s="178"/>
      <c r="LDY32" s="178"/>
      <c r="LDZ32" s="178"/>
      <c r="LEO32" s="178"/>
      <c r="LEP32" s="178"/>
      <c r="LFE32" s="178"/>
      <c r="LFF32" s="178"/>
      <c r="LFU32" s="178"/>
      <c r="LFV32" s="178"/>
      <c r="LGK32" s="178"/>
      <c r="LGL32" s="178"/>
      <c r="LHA32" s="178"/>
      <c r="LHB32" s="178"/>
      <c r="LHQ32" s="178"/>
      <c r="LHR32" s="178"/>
      <c r="LIG32" s="178"/>
      <c r="LIH32" s="178"/>
      <c r="LIW32" s="178"/>
      <c r="LIX32" s="178"/>
      <c r="LJM32" s="178"/>
      <c r="LJN32" s="178"/>
      <c r="LKC32" s="178"/>
      <c r="LKD32" s="178"/>
      <c r="LKS32" s="178"/>
      <c r="LKT32" s="178"/>
      <c r="LLI32" s="178"/>
      <c r="LLJ32" s="178"/>
      <c r="LLY32" s="178"/>
      <c r="LLZ32" s="178"/>
      <c r="LMO32" s="178"/>
      <c r="LMP32" s="178"/>
      <c r="LNE32" s="178"/>
      <c r="LNF32" s="178"/>
      <c r="LNU32" s="178"/>
      <c r="LNV32" s="178"/>
      <c r="LOK32" s="178"/>
      <c r="LOL32" s="178"/>
      <c r="LPA32" s="178"/>
      <c r="LPB32" s="178"/>
      <c r="LPQ32" s="178"/>
      <c r="LPR32" s="178"/>
      <c r="LQG32" s="178"/>
      <c r="LQH32" s="178"/>
      <c r="LQW32" s="178"/>
      <c r="LQX32" s="178"/>
      <c r="LRM32" s="178"/>
      <c r="LRN32" s="178"/>
      <c r="LSC32" s="178"/>
      <c r="LSD32" s="178"/>
      <c r="LSS32" s="178"/>
      <c r="LST32" s="178"/>
      <c r="LTI32" s="178"/>
      <c r="LTJ32" s="178"/>
      <c r="LTY32" s="178"/>
      <c r="LTZ32" s="178"/>
      <c r="LUO32" s="178"/>
      <c r="LUP32" s="178"/>
      <c r="LVE32" s="178"/>
      <c r="LVF32" s="178"/>
      <c r="LVU32" s="178"/>
      <c r="LVV32" s="178"/>
      <c r="LWK32" s="178"/>
      <c r="LWL32" s="178"/>
      <c r="LXA32" s="178"/>
      <c r="LXB32" s="178"/>
      <c r="LXQ32" s="178"/>
      <c r="LXR32" s="178"/>
      <c r="LYG32" s="178"/>
      <c r="LYH32" s="178"/>
      <c r="LYW32" s="178"/>
      <c r="LYX32" s="178"/>
      <c r="LZM32" s="178"/>
      <c r="LZN32" s="178"/>
      <c r="MAC32" s="178"/>
      <c r="MAD32" s="178"/>
      <c r="MAS32" s="178"/>
      <c r="MAT32" s="178"/>
      <c r="MBI32" s="178"/>
      <c r="MBJ32" s="178"/>
      <c r="MBY32" s="178"/>
      <c r="MBZ32" s="178"/>
      <c r="MCO32" s="178"/>
      <c r="MCP32" s="178"/>
      <c r="MDE32" s="178"/>
      <c r="MDF32" s="178"/>
      <c r="MDU32" s="178"/>
      <c r="MDV32" s="178"/>
      <c r="MEK32" s="178"/>
      <c r="MEL32" s="178"/>
      <c r="MFA32" s="178"/>
      <c r="MFB32" s="178"/>
      <c r="MFQ32" s="178"/>
      <c r="MFR32" s="178"/>
      <c r="MGG32" s="178"/>
      <c r="MGH32" s="178"/>
      <c r="MGW32" s="178"/>
      <c r="MGX32" s="178"/>
      <c r="MHM32" s="178"/>
      <c r="MHN32" s="178"/>
      <c r="MIC32" s="178"/>
      <c r="MID32" s="178"/>
      <c r="MIS32" s="178"/>
      <c r="MIT32" s="178"/>
      <c r="MJI32" s="178"/>
      <c r="MJJ32" s="178"/>
      <c r="MJY32" s="178"/>
      <c r="MJZ32" s="178"/>
      <c r="MKO32" s="178"/>
      <c r="MKP32" s="178"/>
      <c r="MLE32" s="178"/>
      <c r="MLF32" s="178"/>
      <c r="MLU32" s="178"/>
      <c r="MLV32" s="178"/>
      <c r="MMK32" s="178"/>
      <c r="MML32" s="178"/>
      <c r="MNA32" s="178"/>
      <c r="MNB32" s="178"/>
      <c r="MNQ32" s="178"/>
      <c r="MNR32" s="178"/>
      <c r="MOG32" s="178"/>
      <c r="MOH32" s="178"/>
      <c r="MOW32" s="178"/>
      <c r="MOX32" s="178"/>
      <c r="MPM32" s="178"/>
      <c r="MPN32" s="178"/>
      <c r="MQC32" s="178"/>
      <c r="MQD32" s="178"/>
      <c r="MQS32" s="178"/>
      <c r="MQT32" s="178"/>
      <c r="MRI32" s="178"/>
      <c r="MRJ32" s="178"/>
      <c r="MRY32" s="178"/>
      <c r="MRZ32" s="178"/>
      <c r="MSO32" s="178"/>
      <c r="MSP32" s="178"/>
      <c r="MTE32" s="178"/>
      <c r="MTF32" s="178"/>
      <c r="MTU32" s="178"/>
      <c r="MTV32" s="178"/>
      <c r="MUK32" s="178"/>
      <c r="MUL32" s="178"/>
      <c r="MVA32" s="178"/>
      <c r="MVB32" s="178"/>
      <c r="MVQ32" s="178"/>
      <c r="MVR32" s="178"/>
      <c r="MWG32" s="178"/>
      <c r="MWH32" s="178"/>
      <c r="MWW32" s="178"/>
      <c r="MWX32" s="178"/>
      <c r="MXM32" s="178"/>
      <c r="MXN32" s="178"/>
      <c r="MYC32" s="178"/>
      <c r="MYD32" s="178"/>
      <c r="MYS32" s="178"/>
      <c r="MYT32" s="178"/>
      <c r="MZI32" s="178"/>
      <c r="MZJ32" s="178"/>
      <c r="MZY32" s="178"/>
      <c r="MZZ32" s="178"/>
      <c r="NAO32" s="178"/>
      <c r="NAP32" s="178"/>
      <c r="NBE32" s="178"/>
      <c r="NBF32" s="178"/>
      <c r="NBU32" s="178"/>
      <c r="NBV32" s="178"/>
      <c r="NCK32" s="178"/>
      <c r="NCL32" s="178"/>
      <c r="NDA32" s="178"/>
      <c r="NDB32" s="178"/>
      <c r="NDQ32" s="178"/>
      <c r="NDR32" s="178"/>
      <c r="NEG32" s="178"/>
      <c r="NEH32" s="178"/>
      <c r="NEW32" s="178"/>
      <c r="NEX32" s="178"/>
      <c r="NFM32" s="178"/>
      <c r="NFN32" s="178"/>
      <c r="NGC32" s="178"/>
      <c r="NGD32" s="178"/>
      <c r="NGS32" s="178"/>
      <c r="NGT32" s="178"/>
      <c r="NHI32" s="178"/>
      <c r="NHJ32" s="178"/>
      <c r="NHY32" s="178"/>
      <c r="NHZ32" s="178"/>
      <c r="NIO32" s="178"/>
      <c r="NIP32" s="178"/>
      <c r="NJE32" s="178"/>
      <c r="NJF32" s="178"/>
      <c r="NJU32" s="178"/>
      <c r="NJV32" s="178"/>
      <c r="NKK32" s="178"/>
      <c r="NKL32" s="178"/>
      <c r="NLA32" s="178"/>
      <c r="NLB32" s="178"/>
      <c r="NLQ32" s="178"/>
      <c r="NLR32" s="178"/>
      <c r="NMG32" s="178"/>
      <c r="NMH32" s="178"/>
      <c r="NMW32" s="178"/>
      <c r="NMX32" s="178"/>
      <c r="NNM32" s="178"/>
      <c r="NNN32" s="178"/>
      <c r="NOC32" s="178"/>
      <c r="NOD32" s="178"/>
      <c r="NOS32" s="178"/>
      <c r="NOT32" s="178"/>
      <c r="NPI32" s="178"/>
      <c r="NPJ32" s="178"/>
      <c r="NPY32" s="178"/>
      <c r="NPZ32" s="178"/>
      <c r="NQO32" s="178"/>
      <c r="NQP32" s="178"/>
      <c r="NRE32" s="178"/>
      <c r="NRF32" s="178"/>
      <c r="NRU32" s="178"/>
      <c r="NRV32" s="178"/>
      <c r="NSK32" s="178"/>
      <c r="NSL32" s="178"/>
      <c r="NTA32" s="178"/>
      <c r="NTB32" s="178"/>
      <c r="NTQ32" s="178"/>
      <c r="NTR32" s="178"/>
      <c r="NUG32" s="178"/>
      <c r="NUH32" s="178"/>
      <c r="NUW32" s="178"/>
      <c r="NUX32" s="178"/>
      <c r="NVM32" s="178"/>
      <c r="NVN32" s="178"/>
      <c r="NWC32" s="178"/>
      <c r="NWD32" s="178"/>
      <c r="NWS32" s="178"/>
      <c r="NWT32" s="178"/>
      <c r="NXI32" s="178"/>
      <c r="NXJ32" s="178"/>
      <c r="NXY32" s="178"/>
      <c r="NXZ32" s="178"/>
      <c r="NYO32" s="178"/>
      <c r="NYP32" s="178"/>
      <c r="NZE32" s="178"/>
      <c r="NZF32" s="178"/>
      <c r="NZU32" s="178"/>
      <c r="NZV32" s="178"/>
      <c r="OAK32" s="178"/>
      <c r="OAL32" s="178"/>
      <c r="OBA32" s="178"/>
      <c r="OBB32" s="178"/>
      <c r="OBQ32" s="178"/>
      <c r="OBR32" s="178"/>
      <c r="OCG32" s="178"/>
      <c r="OCH32" s="178"/>
      <c r="OCW32" s="178"/>
      <c r="OCX32" s="178"/>
      <c r="ODM32" s="178"/>
      <c r="ODN32" s="178"/>
      <c r="OEC32" s="178"/>
      <c r="OED32" s="178"/>
      <c r="OES32" s="178"/>
      <c r="OET32" s="178"/>
      <c r="OFI32" s="178"/>
      <c r="OFJ32" s="178"/>
      <c r="OFY32" s="178"/>
      <c r="OFZ32" s="178"/>
      <c r="OGO32" s="178"/>
      <c r="OGP32" s="178"/>
      <c r="OHE32" s="178"/>
      <c r="OHF32" s="178"/>
      <c r="OHU32" s="178"/>
      <c r="OHV32" s="178"/>
      <c r="OIK32" s="178"/>
      <c r="OIL32" s="178"/>
      <c r="OJA32" s="178"/>
      <c r="OJB32" s="178"/>
      <c r="OJQ32" s="178"/>
      <c r="OJR32" s="178"/>
      <c r="OKG32" s="178"/>
      <c r="OKH32" s="178"/>
      <c r="OKW32" s="178"/>
      <c r="OKX32" s="178"/>
      <c r="OLM32" s="178"/>
      <c r="OLN32" s="178"/>
      <c r="OMC32" s="178"/>
      <c r="OMD32" s="178"/>
      <c r="OMS32" s="178"/>
      <c r="OMT32" s="178"/>
      <c r="ONI32" s="178"/>
      <c r="ONJ32" s="178"/>
      <c r="ONY32" s="178"/>
      <c r="ONZ32" s="178"/>
      <c r="OOO32" s="178"/>
      <c r="OOP32" s="178"/>
      <c r="OPE32" s="178"/>
      <c r="OPF32" s="178"/>
      <c r="OPU32" s="178"/>
      <c r="OPV32" s="178"/>
      <c r="OQK32" s="178"/>
      <c r="OQL32" s="178"/>
      <c r="ORA32" s="178"/>
      <c r="ORB32" s="178"/>
      <c r="ORQ32" s="178"/>
      <c r="ORR32" s="178"/>
      <c r="OSG32" s="178"/>
      <c r="OSH32" s="178"/>
      <c r="OSW32" s="178"/>
      <c r="OSX32" s="178"/>
      <c r="OTM32" s="178"/>
      <c r="OTN32" s="178"/>
      <c r="OUC32" s="178"/>
      <c r="OUD32" s="178"/>
      <c r="OUS32" s="178"/>
      <c r="OUT32" s="178"/>
      <c r="OVI32" s="178"/>
      <c r="OVJ32" s="178"/>
      <c r="OVY32" s="178"/>
      <c r="OVZ32" s="178"/>
      <c r="OWO32" s="178"/>
      <c r="OWP32" s="178"/>
      <c r="OXE32" s="178"/>
      <c r="OXF32" s="178"/>
      <c r="OXU32" s="178"/>
      <c r="OXV32" s="178"/>
      <c r="OYK32" s="178"/>
      <c r="OYL32" s="178"/>
      <c r="OZA32" s="178"/>
      <c r="OZB32" s="178"/>
      <c r="OZQ32" s="178"/>
      <c r="OZR32" s="178"/>
      <c r="PAG32" s="178"/>
      <c r="PAH32" s="178"/>
      <c r="PAW32" s="178"/>
      <c r="PAX32" s="178"/>
      <c r="PBM32" s="178"/>
      <c r="PBN32" s="178"/>
      <c r="PCC32" s="178"/>
      <c r="PCD32" s="178"/>
      <c r="PCS32" s="178"/>
      <c r="PCT32" s="178"/>
      <c r="PDI32" s="178"/>
      <c r="PDJ32" s="178"/>
      <c r="PDY32" s="178"/>
      <c r="PDZ32" s="178"/>
      <c r="PEO32" s="178"/>
      <c r="PEP32" s="178"/>
      <c r="PFE32" s="178"/>
      <c r="PFF32" s="178"/>
      <c r="PFU32" s="178"/>
      <c r="PFV32" s="178"/>
      <c r="PGK32" s="178"/>
      <c r="PGL32" s="178"/>
      <c r="PHA32" s="178"/>
      <c r="PHB32" s="178"/>
      <c r="PHQ32" s="178"/>
      <c r="PHR32" s="178"/>
      <c r="PIG32" s="178"/>
      <c r="PIH32" s="178"/>
      <c r="PIW32" s="178"/>
      <c r="PIX32" s="178"/>
      <c r="PJM32" s="178"/>
      <c r="PJN32" s="178"/>
      <c r="PKC32" s="178"/>
      <c r="PKD32" s="178"/>
      <c r="PKS32" s="178"/>
      <c r="PKT32" s="178"/>
      <c r="PLI32" s="178"/>
      <c r="PLJ32" s="178"/>
      <c r="PLY32" s="178"/>
      <c r="PLZ32" s="178"/>
      <c r="PMO32" s="178"/>
      <c r="PMP32" s="178"/>
      <c r="PNE32" s="178"/>
      <c r="PNF32" s="178"/>
      <c r="PNU32" s="178"/>
      <c r="PNV32" s="178"/>
      <c r="POK32" s="178"/>
      <c r="POL32" s="178"/>
      <c r="PPA32" s="178"/>
      <c r="PPB32" s="178"/>
      <c r="PPQ32" s="178"/>
      <c r="PPR32" s="178"/>
      <c r="PQG32" s="178"/>
      <c r="PQH32" s="178"/>
      <c r="PQW32" s="178"/>
      <c r="PQX32" s="178"/>
      <c r="PRM32" s="178"/>
      <c r="PRN32" s="178"/>
      <c r="PSC32" s="178"/>
      <c r="PSD32" s="178"/>
      <c r="PSS32" s="178"/>
      <c r="PST32" s="178"/>
      <c r="PTI32" s="178"/>
      <c r="PTJ32" s="178"/>
      <c r="PTY32" s="178"/>
      <c r="PTZ32" s="178"/>
      <c r="PUO32" s="178"/>
      <c r="PUP32" s="178"/>
      <c r="PVE32" s="178"/>
      <c r="PVF32" s="178"/>
      <c r="PVU32" s="178"/>
      <c r="PVV32" s="178"/>
      <c r="PWK32" s="178"/>
      <c r="PWL32" s="178"/>
      <c r="PXA32" s="178"/>
      <c r="PXB32" s="178"/>
      <c r="PXQ32" s="178"/>
      <c r="PXR32" s="178"/>
      <c r="PYG32" s="178"/>
      <c r="PYH32" s="178"/>
      <c r="PYW32" s="178"/>
      <c r="PYX32" s="178"/>
      <c r="PZM32" s="178"/>
      <c r="PZN32" s="178"/>
      <c r="QAC32" s="178"/>
      <c r="QAD32" s="178"/>
      <c r="QAS32" s="178"/>
      <c r="QAT32" s="178"/>
      <c r="QBI32" s="178"/>
      <c r="QBJ32" s="178"/>
      <c r="QBY32" s="178"/>
      <c r="QBZ32" s="178"/>
      <c r="QCO32" s="178"/>
      <c r="QCP32" s="178"/>
      <c r="QDE32" s="178"/>
      <c r="QDF32" s="178"/>
      <c r="QDU32" s="178"/>
      <c r="QDV32" s="178"/>
      <c r="QEK32" s="178"/>
      <c r="QEL32" s="178"/>
      <c r="QFA32" s="178"/>
      <c r="QFB32" s="178"/>
      <c r="QFQ32" s="178"/>
      <c r="QFR32" s="178"/>
      <c r="QGG32" s="178"/>
      <c r="QGH32" s="178"/>
      <c r="QGW32" s="178"/>
      <c r="QGX32" s="178"/>
      <c r="QHM32" s="178"/>
      <c r="QHN32" s="178"/>
      <c r="QIC32" s="178"/>
      <c r="QID32" s="178"/>
      <c r="QIS32" s="178"/>
      <c r="QIT32" s="178"/>
      <c r="QJI32" s="178"/>
      <c r="QJJ32" s="178"/>
      <c r="QJY32" s="178"/>
      <c r="QJZ32" s="178"/>
      <c r="QKO32" s="178"/>
      <c r="QKP32" s="178"/>
      <c r="QLE32" s="178"/>
      <c r="QLF32" s="178"/>
      <c r="QLU32" s="178"/>
      <c r="QLV32" s="178"/>
      <c r="QMK32" s="178"/>
      <c r="QML32" s="178"/>
      <c r="QNA32" s="178"/>
      <c r="QNB32" s="178"/>
      <c r="QNQ32" s="178"/>
      <c r="QNR32" s="178"/>
      <c r="QOG32" s="178"/>
      <c r="QOH32" s="178"/>
      <c r="QOW32" s="178"/>
      <c r="QOX32" s="178"/>
      <c r="QPM32" s="178"/>
      <c r="QPN32" s="178"/>
      <c r="QQC32" s="178"/>
      <c r="QQD32" s="178"/>
      <c r="QQS32" s="178"/>
      <c r="QQT32" s="178"/>
      <c r="QRI32" s="178"/>
      <c r="QRJ32" s="178"/>
      <c r="QRY32" s="178"/>
      <c r="QRZ32" s="178"/>
      <c r="QSO32" s="178"/>
      <c r="QSP32" s="178"/>
      <c r="QTE32" s="178"/>
      <c r="QTF32" s="178"/>
      <c r="QTU32" s="178"/>
      <c r="QTV32" s="178"/>
      <c r="QUK32" s="178"/>
      <c r="QUL32" s="178"/>
      <c r="QVA32" s="178"/>
      <c r="QVB32" s="178"/>
      <c r="QVQ32" s="178"/>
      <c r="QVR32" s="178"/>
      <c r="QWG32" s="178"/>
      <c r="QWH32" s="178"/>
      <c r="QWW32" s="178"/>
      <c r="QWX32" s="178"/>
      <c r="QXM32" s="178"/>
      <c r="QXN32" s="178"/>
      <c r="QYC32" s="178"/>
      <c r="QYD32" s="178"/>
      <c r="QYS32" s="178"/>
      <c r="QYT32" s="178"/>
      <c r="QZI32" s="178"/>
      <c r="QZJ32" s="178"/>
      <c r="QZY32" s="178"/>
      <c r="QZZ32" s="178"/>
      <c r="RAO32" s="178"/>
      <c r="RAP32" s="178"/>
      <c r="RBE32" s="178"/>
      <c r="RBF32" s="178"/>
      <c r="RBU32" s="178"/>
      <c r="RBV32" s="178"/>
      <c r="RCK32" s="178"/>
      <c r="RCL32" s="178"/>
      <c r="RDA32" s="178"/>
      <c r="RDB32" s="178"/>
      <c r="RDQ32" s="178"/>
      <c r="RDR32" s="178"/>
      <c r="REG32" s="178"/>
      <c r="REH32" s="178"/>
      <c r="REW32" s="178"/>
      <c r="REX32" s="178"/>
      <c r="RFM32" s="178"/>
      <c r="RFN32" s="178"/>
      <c r="RGC32" s="178"/>
      <c r="RGD32" s="178"/>
      <c r="RGS32" s="178"/>
      <c r="RGT32" s="178"/>
      <c r="RHI32" s="178"/>
      <c r="RHJ32" s="178"/>
      <c r="RHY32" s="178"/>
      <c r="RHZ32" s="178"/>
      <c r="RIO32" s="178"/>
      <c r="RIP32" s="178"/>
      <c r="RJE32" s="178"/>
      <c r="RJF32" s="178"/>
      <c r="RJU32" s="178"/>
      <c r="RJV32" s="178"/>
      <c r="RKK32" s="178"/>
      <c r="RKL32" s="178"/>
      <c r="RLA32" s="178"/>
      <c r="RLB32" s="178"/>
      <c r="RLQ32" s="178"/>
      <c r="RLR32" s="178"/>
      <c r="RMG32" s="178"/>
      <c r="RMH32" s="178"/>
      <c r="RMW32" s="178"/>
      <c r="RMX32" s="178"/>
      <c r="RNM32" s="178"/>
      <c r="RNN32" s="178"/>
      <c r="ROC32" s="178"/>
      <c r="ROD32" s="178"/>
      <c r="ROS32" s="178"/>
      <c r="ROT32" s="178"/>
      <c r="RPI32" s="178"/>
      <c r="RPJ32" s="178"/>
      <c r="RPY32" s="178"/>
      <c r="RPZ32" s="178"/>
      <c r="RQO32" s="178"/>
      <c r="RQP32" s="178"/>
      <c r="RRE32" s="178"/>
      <c r="RRF32" s="178"/>
      <c r="RRU32" s="178"/>
      <c r="RRV32" s="178"/>
      <c r="RSK32" s="178"/>
      <c r="RSL32" s="178"/>
      <c r="RTA32" s="178"/>
      <c r="RTB32" s="178"/>
      <c r="RTQ32" s="178"/>
      <c r="RTR32" s="178"/>
      <c r="RUG32" s="178"/>
      <c r="RUH32" s="178"/>
      <c r="RUW32" s="178"/>
      <c r="RUX32" s="178"/>
      <c r="RVM32" s="178"/>
      <c r="RVN32" s="178"/>
      <c r="RWC32" s="178"/>
      <c r="RWD32" s="178"/>
      <c r="RWS32" s="178"/>
      <c r="RWT32" s="178"/>
      <c r="RXI32" s="178"/>
      <c r="RXJ32" s="178"/>
      <c r="RXY32" s="178"/>
      <c r="RXZ32" s="178"/>
      <c r="RYO32" s="178"/>
      <c r="RYP32" s="178"/>
      <c r="RZE32" s="178"/>
      <c r="RZF32" s="178"/>
      <c r="RZU32" s="178"/>
      <c r="RZV32" s="178"/>
      <c r="SAK32" s="178"/>
      <c r="SAL32" s="178"/>
      <c r="SBA32" s="178"/>
      <c r="SBB32" s="178"/>
      <c r="SBQ32" s="178"/>
      <c r="SBR32" s="178"/>
      <c r="SCG32" s="178"/>
      <c r="SCH32" s="178"/>
      <c r="SCW32" s="178"/>
      <c r="SCX32" s="178"/>
      <c r="SDM32" s="178"/>
      <c r="SDN32" s="178"/>
      <c r="SEC32" s="178"/>
      <c r="SED32" s="178"/>
      <c r="SES32" s="178"/>
      <c r="SET32" s="178"/>
      <c r="SFI32" s="178"/>
      <c r="SFJ32" s="178"/>
      <c r="SFY32" s="178"/>
      <c r="SFZ32" s="178"/>
      <c r="SGO32" s="178"/>
      <c r="SGP32" s="178"/>
      <c r="SHE32" s="178"/>
      <c r="SHF32" s="178"/>
      <c r="SHU32" s="178"/>
      <c r="SHV32" s="178"/>
      <c r="SIK32" s="178"/>
      <c r="SIL32" s="178"/>
      <c r="SJA32" s="178"/>
      <c r="SJB32" s="178"/>
      <c r="SJQ32" s="178"/>
      <c r="SJR32" s="178"/>
      <c r="SKG32" s="178"/>
      <c r="SKH32" s="178"/>
      <c r="SKW32" s="178"/>
      <c r="SKX32" s="178"/>
      <c r="SLM32" s="178"/>
      <c r="SLN32" s="178"/>
      <c r="SMC32" s="178"/>
      <c r="SMD32" s="178"/>
      <c r="SMS32" s="178"/>
      <c r="SMT32" s="178"/>
      <c r="SNI32" s="178"/>
      <c r="SNJ32" s="178"/>
      <c r="SNY32" s="178"/>
      <c r="SNZ32" s="178"/>
      <c r="SOO32" s="178"/>
      <c r="SOP32" s="178"/>
      <c r="SPE32" s="178"/>
      <c r="SPF32" s="178"/>
      <c r="SPU32" s="178"/>
      <c r="SPV32" s="178"/>
      <c r="SQK32" s="178"/>
      <c r="SQL32" s="178"/>
      <c r="SRA32" s="178"/>
      <c r="SRB32" s="178"/>
      <c r="SRQ32" s="178"/>
      <c r="SRR32" s="178"/>
      <c r="SSG32" s="178"/>
      <c r="SSH32" s="178"/>
      <c r="SSW32" s="178"/>
      <c r="SSX32" s="178"/>
      <c r="STM32" s="178"/>
      <c r="STN32" s="178"/>
      <c r="SUC32" s="178"/>
      <c r="SUD32" s="178"/>
      <c r="SUS32" s="178"/>
      <c r="SUT32" s="178"/>
      <c r="SVI32" s="178"/>
      <c r="SVJ32" s="178"/>
      <c r="SVY32" s="178"/>
      <c r="SVZ32" s="178"/>
      <c r="SWO32" s="178"/>
      <c r="SWP32" s="178"/>
      <c r="SXE32" s="178"/>
      <c r="SXF32" s="178"/>
      <c r="SXU32" s="178"/>
      <c r="SXV32" s="178"/>
      <c r="SYK32" s="178"/>
      <c r="SYL32" s="178"/>
      <c r="SZA32" s="178"/>
      <c r="SZB32" s="178"/>
      <c r="SZQ32" s="178"/>
      <c r="SZR32" s="178"/>
      <c r="TAG32" s="178"/>
      <c r="TAH32" s="178"/>
      <c r="TAW32" s="178"/>
      <c r="TAX32" s="178"/>
      <c r="TBM32" s="178"/>
      <c r="TBN32" s="178"/>
      <c r="TCC32" s="178"/>
      <c r="TCD32" s="178"/>
      <c r="TCS32" s="178"/>
      <c r="TCT32" s="178"/>
      <c r="TDI32" s="178"/>
      <c r="TDJ32" s="178"/>
      <c r="TDY32" s="178"/>
      <c r="TDZ32" s="178"/>
      <c r="TEO32" s="178"/>
      <c r="TEP32" s="178"/>
      <c r="TFE32" s="178"/>
      <c r="TFF32" s="178"/>
      <c r="TFU32" s="178"/>
      <c r="TFV32" s="178"/>
      <c r="TGK32" s="178"/>
      <c r="TGL32" s="178"/>
      <c r="THA32" s="178"/>
      <c r="THB32" s="178"/>
      <c r="THQ32" s="178"/>
      <c r="THR32" s="178"/>
      <c r="TIG32" s="178"/>
      <c r="TIH32" s="178"/>
      <c r="TIW32" s="178"/>
      <c r="TIX32" s="178"/>
      <c r="TJM32" s="178"/>
      <c r="TJN32" s="178"/>
      <c r="TKC32" s="178"/>
      <c r="TKD32" s="178"/>
      <c r="TKS32" s="178"/>
      <c r="TKT32" s="178"/>
      <c r="TLI32" s="178"/>
      <c r="TLJ32" s="178"/>
      <c r="TLY32" s="178"/>
      <c r="TLZ32" s="178"/>
      <c r="TMO32" s="178"/>
      <c r="TMP32" s="178"/>
      <c r="TNE32" s="178"/>
      <c r="TNF32" s="178"/>
      <c r="TNU32" s="178"/>
      <c r="TNV32" s="178"/>
      <c r="TOK32" s="178"/>
      <c r="TOL32" s="178"/>
      <c r="TPA32" s="178"/>
      <c r="TPB32" s="178"/>
      <c r="TPQ32" s="178"/>
      <c r="TPR32" s="178"/>
      <c r="TQG32" s="178"/>
      <c r="TQH32" s="178"/>
      <c r="TQW32" s="178"/>
      <c r="TQX32" s="178"/>
      <c r="TRM32" s="178"/>
      <c r="TRN32" s="178"/>
      <c r="TSC32" s="178"/>
      <c r="TSD32" s="178"/>
      <c r="TSS32" s="178"/>
      <c r="TST32" s="178"/>
      <c r="TTI32" s="178"/>
      <c r="TTJ32" s="178"/>
      <c r="TTY32" s="178"/>
      <c r="TTZ32" s="178"/>
      <c r="TUO32" s="178"/>
      <c r="TUP32" s="178"/>
      <c r="TVE32" s="178"/>
      <c r="TVF32" s="178"/>
      <c r="TVU32" s="178"/>
      <c r="TVV32" s="178"/>
      <c r="TWK32" s="178"/>
      <c r="TWL32" s="178"/>
      <c r="TXA32" s="178"/>
      <c r="TXB32" s="178"/>
      <c r="TXQ32" s="178"/>
      <c r="TXR32" s="178"/>
      <c r="TYG32" s="178"/>
      <c r="TYH32" s="178"/>
      <c r="TYW32" s="178"/>
      <c r="TYX32" s="178"/>
      <c r="TZM32" s="178"/>
      <c r="TZN32" s="178"/>
      <c r="UAC32" s="178"/>
      <c r="UAD32" s="178"/>
      <c r="UAS32" s="178"/>
      <c r="UAT32" s="178"/>
      <c r="UBI32" s="178"/>
      <c r="UBJ32" s="178"/>
      <c r="UBY32" s="178"/>
      <c r="UBZ32" s="178"/>
      <c r="UCO32" s="178"/>
      <c r="UCP32" s="178"/>
      <c r="UDE32" s="178"/>
      <c r="UDF32" s="178"/>
      <c r="UDU32" s="178"/>
      <c r="UDV32" s="178"/>
      <c r="UEK32" s="178"/>
      <c r="UEL32" s="178"/>
      <c r="UFA32" s="178"/>
      <c r="UFB32" s="178"/>
      <c r="UFQ32" s="178"/>
      <c r="UFR32" s="178"/>
      <c r="UGG32" s="178"/>
      <c r="UGH32" s="178"/>
      <c r="UGW32" s="178"/>
      <c r="UGX32" s="178"/>
      <c r="UHM32" s="178"/>
      <c r="UHN32" s="178"/>
      <c r="UIC32" s="178"/>
      <c r="UID32" s="178"/>
      <c r="UIS32" s="178"/>
      <c r="UIT32" s="178"/>
      <c r="UJI32" s="178"/>
      <c r="UJJ32" s="178"/>
      <c r="UJY32" s="178"/>
      <c r="UJZ32" s="178"/>
      <c r="UKO32" s="178"/>
      <c r="UKP32" s="178"/>
      <c r="ULE32" s="178"/>
      <c r="ULF32" s="178"/>
      <c r="ULU32" s="178"/>
      <c r="ULV32" s="178"/>
      <c r="UMK32" s="178"/>
      <c r="UML32" s="178"/>
      <c r="UNA32" s="178"/>
      <c r="UNB32" s="178"/>
      <c r="UNQ32" s="178"/>
      <c r="UNR32" s="178"/>
      <c r="UOG32" s="178"/>
      <c r="UOH32" s="178"/>
      <c r="UOW32" s="178"/>
      <c r="UOX32" s="178"/>
      <c r="UPM32" s="178"/>
      <c r="UPN32" s="178"/>
      <c r="UQC32" s="178"/>
      <c r="UQD32" s="178"/>
      <c r="UQS32" s="178"/>
      <c r="UQT32" s="178"/>
      <c r="URI32" s="178"/>
      <c r="URJ32" s="178"/>
      <c r="URY32" s="178"/>
      <c r="URZ32" s="178"/>
      <c r="USO32" s="178"/>
      <c r="USP32" s="178"/>
      <c r="UTE32" s="178"/>
      <c r="UTF32" s="178"/>
      <c r="UTU32" s="178"/>
      <c r="UTV32" s="178"/>
      <c r="UUK32" s="178"/>
      <c r="UUL32" s="178"/>
      <c r="UVA32" s="178"/>
      <c r="UVB32" s="178"/>
      <c r="UVQ32" s="178"/>
      <c r="UVR32" s="178"/>
      <c r="UWG32" s="178"/>
      <c r="UWH32" s="178"/>
      <c r="UWW32" s="178"/>
      <c r="UWX32" s="178"/>
      <c r="UXM32" s="178"/>
      <c r="UXN32" s="178"/>
      <c r="UYC32" s="178"/>
      <c r="UYD32" s="178"/>
      <c r="UYS32" s="178"/>
      <c r="UYT32" s="178"/>
      <c r="UZI32" s="178"/>
      <c r="UZJ32" s="178"/>
      <c r="UZY32" s="178"/>
      <c r="UZZ32" s="178"/>
      <c r="VAO32" s="178"/>
      <c r="VAP32" s="178"/>
      <c r="VBE32" s="178"/>
      <c r="VBF32" s="178"/>
      <c r="VBU32" s="178"/>
      <c r="VBV32" s="178"/>
      <c r="VCK32" s="178"/>
      <c r="VCL32" s="178"/>
      <c r="VDA32" s="178"/>
      <c r="VDB32" s="178"/>
      <c r="VDQ32" s="178"/>
      <c r="VDR32" s="178"/>
      <c r="VEG32" s="178"/>
      <c r="VEH32" s="178"/>
      <c r="VEW32" s="178"/>
      <c r="VEX32" s="178"/>
      <c r="VFM32" s="178"/>
      <c r="VFN32" s="178"/>
      <c r="VGC32" s="178"/>
      <c r="VGD32" s="178"/>
      <c r="VGS32" s="178"/>
      <c r="VGT32" s="178"/>
      <c r="VHI32" s="178"/>
      <c r="VHJ32" s="178"/>
      <c r="VHY32" s="178"/>
      <c r="VHZ32" s="178"/>
      <c r="VIO32" s="178"/>
      <c r="VIP32" s="178"/>
      <c r="VJE32" s="178"/>
      <c r="VJF32" s="178"/>
      <c r="VJU32" s="178"/>
      <c r="VJV32" s="178"/>
      <c r="VKK32" s="178"/>
      <c r="VKL32" s="178"/>
      <c r="VLA32" s="178"/>
      <c r="VLB32" s="178"/>
      <c r="VLQ32" s="178"/>
      <c r="VLR32" s="178"/>
      <c r="VMG32" s="178"/>
      <c r="VMH32" s="178"/>
      <c r="VMW32" s="178"/>
      <c r="VMX32" s="178"/>
      <c r="VNM32" s="178"/>
      <c r="VNN32" s="178"/>
      <c r="VOC32" s="178"/>
      <c r="VOD32" s="178"/>
      <c r="VOS32" s="178"/>
      <c r="VOT32" s="178"/>
      <c r="VPI32" s="178"/>
      <c r="VPJ32" s="178"/>
      <c r="VPY32" s="178"/>
      <c r="VPZ32" s="178"/>
      <c r="VQO32" s="178"/>
      <c r="VQP32" s="178"/>
      <c r="VRE32" s="178"/>
      <c r="VRF32" s="178"/>
      <c r="VRU32" s="178"/>
      <c r="VRV32" s="178"/>
      <c r="VSK32" s="178"/>
      <c r="VSL32" s="178"/>
      <c r="VTA32" s="178"/>
      <c r="VTB32" s="178"/>
      <c r="VTQ32" s="178"/>
      <c r="VTR32" s="178"/>
      <c r="VUG32" s="178"/>
      <c r="VUH32" s="178"/>
      <c r="VUW32" s="178"/>
      <c r="VUX32" s="178"/>
      <c r="VVM32" s="178"/>
      <c r="VVN32" s="178"/>
      <c r="VWC32" s="178"/>
      <c r="VWD32" s="178"/>
      <c r="VWS32" s="178"/>
      <c r="VWT32" s="178"/>
      <c r="VXI32" s="178"/>
      <c r="VXJ32" s="178"/>
      <c r="VXY32" s="178"/>
      <c r="VXZ32" s="178"/>
      <c r="VYO32" s="178"/>
      <c r="VYP32" s="178"/>
      <c r="VZE32" s="178"/>
      <c r="VZF32" s="178"/>
      <c r="VZU32" s="178"/>
      <c r="VZV32" s="178"/>
      <c r="WAK32" s="178"/>
      <c r="WAL32" s="178"/>
      <c r="WBA32" s="178"/>
      <c r="WBB32" s="178"/>
      <c r="WBQ32" s="178"/>
      <c r="WBR32" s="178"/>
      <c r="WCG32" s="178"/>
      <c r="WCH32" s="178"/>
      <c r="WCW32" s="178"/>
      <c r="WCX32" s="178"/>
      <c r="WDM32" s="178"/>
      <c r="WDN32" s="178"/>
      <c r="WEC32" s="178"/>
      <c r="WED32" s="178"/>
      <c r="WES32" s="178"/>
      <c r="WET32" s="178"/>
      <c r="WFI32" s="178"/>
      <c r="WFJ32" s="178"/>
      <c r="WFY32" s="178"/>
      <c r="WFZ32" s="178"/>
      <c r="WGO32" s="178"/>
      <c r="WGP32" s="178"/>
      <c r="WHE32" s="178"/>
      <c r="WHF32" s="178"/>
      <c r="WHU32" s="178"/>
      <c r="WHV32" s="178"/>
      <c r="WIK32" s="178"/>
      <c r="WIL32" s="178"/>
      <c r="WJA32" s="178"/>
      <c r="WJB32" s="178"/>
      <c r="WJQ32" s="178"/>
      <c r="WJR32" s="178"/>
      <c r="WKG32" s="178"/>
      <c r="WKH32" s="178"/>
      <c r="WKW32" s="178"/>
      <c r="WKX32" s="178"/>
      <c r="WLM32" s="178"/>
      <c r="WLN32" s="178"/>
      <c r="WMC32" s="178"/>
      <c r="WMD32" s="178"/>
      <c r="WMS32" s="178"/>
      <c r="WMT32" s="178"/>
      <c r="WNI32" s="178"/>
      <c r="WNJ32" s="178"/>
      <c r="WNY32" s="178"/>
      <c r="WNZ32" s="178"/>
      <c r="WOO32" s="178"/>
      <c r="WOP32" s="178"/>
      <c r="WPE32" s="178"/>
      <c r="WPF32" s="178"/>
      <c r="WPU32" s="178"/>
      <c r="WPV32" s="178"/>
      <c r="WQK32" s="178"/>
      <c r="WQL32" s="178"/>
      <c r="WRA32" s="178"/>
      <c r="WRB32" s="178"/>
      <c r="WRQ32" s="178"/>
      <c r="WRR32" s="178"/>
      <c r="WSG32" s="178"/>
      <c r="WSH32" s="178"/>
      <c r="WSW32" s="178"/>
      <c r="WSX32" s="178"/>
      <c r="WTM32" s="178"/>
      <c r="WTN32" s="178"/>
      <c r="WUC32" s="178"/>
      <c r="WUD32" s="178"/>
      <c r="WUS32" s="178"/>
      <c r="WUT32" s="178"/>
      <c r="WVI32" s="178"/>
      <c r="WVJ32" s="178"/>
      <c r="WVY32" s="178"/>
      <c r="WVZ32" s="178"/>
      <c r="WWO32" s="178"/>
      <c r="WWP32" s="178"/>
      <c r="WXE32" s="178"/>
      <c r="WXF32" s="178"/>
      <c r="WXU32" s="178"/>
      <c r="WXV32" s="178"/>
      <c r="WYK32" s="178"/>
      <c r="WYL32" s="178"/>
      <c r="WZA32" s="178"/>
      <c r="WZB32" s="178"/>
      <c r="WZQ32" s="178"/>
      <c r="WZR32" s="178"/>
      <c r="XAG32" s="178"/>
      <c r="XAH32" s="178"/>
      <c r="XAW32" s="178"/>
      <c r="XAX32" s="178"/>
      <c r="XBM32" s="178"/>
      <c r="XBN32" s="178"/>
    </row>
    <row r="33" spans="1:1010 1025:2034 2049:3058 3073:4082 4097:5106 5121:6130 6145:7154 7169:8178 8193:9202 9217:10226 10241:11250 11265:12274 12289:13298 13313:14322 14337:15346 15361:16290" s="240" customFormat="1" ht="13.8" x14ac:dyDescent="0.3">
      <c r="A33" s="180" t="s">
        <v>416</v>
      </c>
      <c r="B33" s="180" t="s">
        <v>421</v>
      </c>
      <c r="C33" s="181">
        <f>SUM(tb_Distr[[#This Row],[PLAN]:[ENTR.]])</f>
        <v>0.99999999999999989</v>
      </c>
      <c r="D33" s="179">
        <v>0.1</v>
      </c>
      <c r="E33" s="179">
        <v>0.2</v>
      </c>
      <c r="F33" s="179">
        <v>0.08</v>
      </c>
      <c r="G33" s="179">
        <v>0.09</v>
      </c>
      <c r="H33" s="179">
        <v>0.09</v>
      </c>
      <c r="I33" s="179">
        <v>0.09</v>
      </c>
      <c r="J33" s="179">
        <v>0.09</v>
      </c>
      <c r="K33" s="179">
        <v>0.08</v>
      </c>
      <c r="L33" s="179">
        <v>0.08</v>
      </c>
      <c r="M33" s="179"/>
      <c r="N33" s="179"/>
      <c r="O33" s="179"/>
      <c r="P33" s="179"/>
      <c r="Q33" s="179">
        <v>0.1</v>
      </c>
      <c r="R33" s="178"/>
      <c r="AG33" s="178"/>
      <c r="AH33" s="178"/>
      <c r="AW33" s="178"/>
      <c r="AX33" s="178"/>
      <c r="BM33" s="178"/>
      <c r="BN33" s="178"/>
      <c r="CC33" s="178"/>
      <c r="CD33" s="178"/>
      <c r="CS33" s="178"/>
      <c r="CT33" s="178"/>
      <c r="DI33" s="178"/>
      <c r="DJ33" s="178"/>
      <c r="DY33" s="178"/>
      <c r="DZ33" s="178"/>
      <c r="EO33" s="178"/>
      <c r="EP33" s="178"/>
      <c r="FE33" s="178"/>
      <c r="FF33" s="178"/>
      <c r="FU33" s="178"/>
      <c r="FV33" s="178"/>
      <c r="GK33" s="178"/>
      <c r="GL33" s="178"/>
      <c r="HA33" s="178"/>
      <c r="HB33" s="178"/>
      <c r="HQ33" s="178"/>
      <c r="HR33" s="178"/>
      <c r="IG33" s="178"/>
      <c r="IH33" s="178"/>
      <c r="IW33" s="178"/>
      <c r="IX33" s="178"/>
      <c r="JM33" s="178"/>
      <c r="JN33" s="178"/>
      <c r="KC33" s="178"/>
      <c r="KD33" s="178"/>
      <c r="KS33" s="178"/>
      <c r="KT33" s="178"/>
      <c r="LI33" s="178"/>
      <c r="LJ33" s="178"/>
      <c r="LY33" s="178"/>
      <c r="LZ33" s="178"/>
      <c r="MO33" s="178"/>
      <c r="MP33" s="178"/>
      <c r="NE33" s="178"/>
      <c r="NF33" s="178"/>
      <c r="NU33" s="178"/>
      <c r="NV33" s="178"/>
      <c r="OK33" s="178"/>
      <c r="OL33" s="178"/>
      <c r="PA33" s="178"/>
      <c r="PB33" s="178"/>
      <c r="PQ33" s="178"/>
      <c r="PR33" s="178"/>
      <c r="QG33" s="178"/>
      <c r="QH33" s="178"/>
      <c r="QW33" s="178"/>
      <c r="QX33" s="178"/>
      <c r="RM33" s="178"/>
      <c r="RN33" s="178"/>
      <c r="SC33" s="178"/>
      <c r="SD33" s="178"/>
      <c r="SS33" s="178"/>
      <c r="ST33" s="178"/>
      <c r="TI33" s="178"/>
      <c r="TJ33" s="178"/>
      <c r="TY33" s="178"/>
      <c r="TZ33" s="178"/>
      <c r="UO33" s="178"/>
      <c r="UP33" s="178"/>
      <c r="VE33" s="178"/>
      <c r="VF33" s="178"/>
      <c r="VU33" s="178"/>
      <c r="VV33" s="178"/>
      <c r="WK33" s="178"/>
      <c r="WL33" s="178"/>
      <c r="XA33" s="178"/>
      <c r="XB33" s="178"/>
      <c r="XQ33" s="178"/>
      <c r="XR33" s="178"/>
      <c r="YG33" s="178"/>
      <c r="YH33" s="178"/>
      <c r="YW33" s="178"/>
      <c r="YX33" s="178"/>
      <c r="ZM33" s="178"/>
      <c r="ZN33" s="178"/>
      <c r="AAC33" s="178"/>
      <c r="AAD33" s="178"/>
      <c r="AAS33" s="178"/>
      <c r="AAT33" s="178"/>
      <c r="ABI33" s="178"/>
      <c r="ABJ33" s="178"/>
      <c r="ABY33" s="178"/>
      <c r="ABZ33" s="178"/>
      <c r="ACO33" s="178"/>
      <c r="ACP33" s="178"/>
      <c r="ADE33" s="178"/>
      <c r="ADF33" s="178"/>
      <c r="ADU33" s="178"/>
      <c r="ADV33" s="178"/>
      <c r="AEK33" s="178"/>
      <c r="AEL33" s="178"/>
      <c r="AFA33" s="178"/>
      <c r="AFB33" s="178"/>
      <c r="AFQ33" s="178"/>
      <c r="AFR33" s="178"/>
      <c r="AGG33" s="178"/>
      <c r="AGH33" s="178"/>
      <c r="AGW33" s="178"/>
      <c r="AGX33" s="178"/>
      <c r="AHM33" s="178"/>
      <c r="AHN33" s="178"/>
      <c r="AIC33" s="178"/>
      <c r="AID33" s="178"/>
      <c r="AIS33" s="178"/>
      <c r="AIT33" s="178"/>
      <c r="AJI33" s="178"/>
      <c r="AJJ33" s="178"/>
      <c r="AJY33" s="178"/>
      <c r="AJZ33" s="178"/>
      <c r="AKO33" s="178"/>
      <c r="AKP33" s="178"/>
      <c r="ALE33" s="178"/>
      <c r="ALF33" s="178"/>
      <c r="ALU33" s="178"/>
      <c r="ALV33" s="178"/>
      <c r="AMK33" s="178"/>
      <c r="AML33" s="178"/>
      <c r="ANA33" s="178"/>
      <c r="ANB33" s="178"/>
      <c r="ANQ33" s="178"/>
      <c r="ANR33" s="178"/>
      <c r="AOG33" s="178"/>
      <c r="AOH33" s="178"/>
      <c r="AOW33" s="178"/>
      <c r="AOX33" s="178"/>
      <c r="APM33" s="178"/>
      <c r="APN33" s="178"/>
      <c r="AQC33" s="178"/>
      <c r="AQD33" s="178"/>
      <c r="AQS33" s="178"/>
      <c r="AQT33" s="178"/>
      <c r="ARI33" s="178"/>
      <c r="ARJ33" s="178"/>
      <c r="ARY33" s="178"/>
      <c r="ARZ33" s="178"/>
      <c r="ASO33" s="178"/>
      <c r="ASP33" s="178"/>
      <c r="ATE33" s="178"/>
      <c r="ATF33" s="178"/>
      <c r="ATU33" s="178"/>
      <c r="ATV33" s="178"/>
      <c r="AUK33" s="178"/>
      <c r="AUL33" s="178"/>
      <c r="AVA33" s="178"/>
      <c r="AVB33" s="178"/>
      <c r="AVQ33" s="178"/>
      <c r="AVR33" s="178"/>
      <c r="AWG33" s="178"/>
      <c r="AWH33" s="178"/>
      <c r="AWW33" s="178"/>
      <c r="AWX33" s="178"/>
      <c r="AXM33" s="178"/>
      <c r="AXN33" s="178"/>
      <c r="AYC33" s="178"/>
      <c r="AYD33" s="178"/>
      <c r="AYS33" s="178"/>
      <c r="AYT33" s="178"/>
      <c r="AZI33" s="178"/>
      <c r="AZJ33" s="178"/>
      <c r="AZY33" s="178"/>
      <c r="AZZ33" s="178"/>
      <c r="BAO33" s="178"/>
      <c r="BAP33" s="178"/>
      <c r="BBE33" s="178"/>
      <c r="BBF33" s="178"/>
      <c r="BBU33" s="178"/>
      <c r="BBV33" s="178"/>
      <c r="BCK33" s="178"/>
      <c r="BCL33" s="178"/>
      <c r="BDA33" s="178"/>
      <c r="BDB33" s="178"/>
      <c r="BDQ33" s="178"/>
      <c r="BDR33" s="178"/>
      <c r="BEG33" s="178"/>
      <c r="BEH33" s="178"/>
      <c r="BEW33" s="178"/>
      <c r="BEX33" s="178"/>
      <c r="BFM33" s="178"/>
      <c r="BFN33" s="178"/>
      <c r="BGC33" s="178"/>
      <c r="BGD33" s="178"/>
      <c r="BGS33" s="178"/>
      <c r="BGT33" s="178"/>
      <c r="BHI33" s="178"/>
      <c r="BHJ33" s="178"/>
      <c r="BHY33" s="178"/>
      <c r="BHZ33" s="178"/>
      <c r="BIO33" s="178"/>
      <c r="BIP33" s="178"/>
      <c r="BJE33" s="178"/>
      <c r="BJF33" s="178"/>
      <c r="BJU33" s="178"/>
      <c r="BJV33" s="178"/>
      <c r="BKK33" s="178"/>
      <c r="BKL33" s="178"/>
      <c r="BLA33" s="178"/>
      <c r="BLB33" s="178"/>
      <c r="BLQ33" s="178"/>
      <c r="BLR33" s="178"/>
      <c r="BMG33" s="178"/>
      <c r="BMH33" s="178"/>
      <c r="BMW33" s="178"/>
      <c r="BMX33" s="178"/>
      <c r="BNM33" s="178"/>
      <c r="BNN33" s="178"/>
      <c r="BOC33" s="178"/>
      <c r="BOD33" s="178"/>
      <c r="BOS33" s="178"/>
      <c r="BOT33" s="178"/>
      <c r="BPI33" s="178"/>
      <c r="BPJ33" s="178"/>
      <c r="BPY33" s="178"/>
      <c r="BPZ33" s="178"/>
      <c r="BQO33" s="178"/>
      <c r="BQP33" s="178"/>
      <c r="BRE33" s="178"/>
      <c r="BRF33" s="178"/>
      <c r="BRU33" s="178"/>
      <c r="BRV33" s="178"/>
      <c r="BSK33" s="178"/>
      <c r="BSL33" s="178"/>
      <c r="BTA33" s="178"/>
      <c r="BTB33" s="178"/>
      <c r="BTQ33" s="178"/>
      <c r="BTR33" s="178"/>
      <c r="BUG33" s="178"/>
      <c r="BUH33" s="178"/>
      <c r="BUW33" s="178"/>
      <c r="BUX33" s="178"/>
      <c r="BVM33" s="178"/>
      <c r="BVN33" s="178"/>
      <c r="BWC33" s="178"/>
      <c r="BWD33" s="178"/>
      <c r="BWS33" s="178"/>
      <c r="BWT33" s="178"/>
      <c r="BXI33" s="178"/>
      <c r="BXJ33" s="178"/>
      <c r="BXY33" s="178"/>
      <c r="BXZ33" s="178"/>
      <c r="BYO33" s="178"/>
      <c r="BYP33" s="178"/>
      <c r="BZE33" s="178"/>
      <c r="BZF33" s="178"/>
      <c r="BZU33" s="178"/>
      <c r="BZV33" s="178"/>
      <c r="CAK33" s="178"/>
      <c r="CAL33" s="178"/>
      <c r="CBA33" s="178"/>
      <c r="CBB33" s="178"/>
      <c r="CBQ33" s="178"/>
      <c r="CBR33" s="178"/>
      <c r="CCG33" s="178"/>
      <c r="CCH33" s="178"/>
      <c r="CCW33" s="178"/>
      <c r="CCX33" s="178"/>
      <c r="CDM33" s="178"/>
      <c r="CDN33" s="178"/>
      <c r="CEC33" s="178"/>
      <c r="CED33" s="178"/>
      <c r="CES33" s="178"/>
      <c r="CET33" s="178"/>
      <c r="CFI33" s="178"/>
      <c r="CFJ33" s="178"/>
      <c r="CFY33" s="178"/>
      <c r="CFZ33" s="178"/>
      <c r="CGO33" s="178"/>
      <c r="CGP33" s="178"/>
      <c r="CHE33" s="178"/>
      <c r="CHF33" s="178"/>
      <c r="CHU33" s="178"/>
      <c r="CHV33" s="178"/>
      <c r="CIK33" s="178"/>
      <c r="CIL33" s="178"/>
      <c r="CJA33" s="178"/>
      <c r="CJB33" s="178"/>
      <c r="CJQ33" s="178"/>
      <c r="CJR33" s="178"/>
      <c r="CKG33" s="178"/>
      <c r="CKH33" s="178"/>
      <c r="CKW33" s="178"/>
      <c r="CKX33" s="178"/>
      <c r="CLM33" s="178"/>
      <c r="CLN33" s="178"/>
      <c r="CMC33" s="178"/>
      <c r="CMD33" s="178"/>
      <c r="CMS33" s="178"/>
      <c r="CMT33" s="178"/>
      <c r="CNI33" s="178"/>
      <c r="CNJ33" s="178"/>
      <c r="CNY33" s="178"/>
      <c r="CNZ33" s="178"/>
      <c r="COO33" s="178"/>
      <c r="COP33" s="178"/>
      <c r="CPE33" s="178"/>
      <c r="CPF33" s="178"/>
      <c r="CPU33" s="178"/>
      <c r="CPV33" s="178"/>
      <c r="CQK33" s="178"/>
      <c r="CQL33" s="178"/>
      <c r="CRA33" s="178"/>
      <c r="CRB33" s="178"/>
      <c r="CRQ33" s="178"/>
      <c r="CRR33" s="178"/>
      <c r="CSG33" s="178"/>
      <c r="CSH33" s="178"/>
      <c r="CSW33" s="178"/>
      <c r="CSX33" s="178"/>
      <c r="CTM33" s="178"/>
      <c r="CTN33" s="178"/>
      <c r="CUC33" s="178"/>
      <c r="CUD33" s="178"/>
      <c r="CUS33" s="178"/>
      <c r="CUT33" s="178"/>
      <c r="CVI33" s="178"/>
      <c r="CVJ33" s="178"/>
      <c r="CVY33" s="178"/>
      <c r="CVZ33" s="178"/>
      <c r="CWO33" s="178"/>
      <c r="CWP33" s="178"/>
      <c r="CXE33" s="178"/>
      <c r="CXF33" s="178"/>
      <c r="CXU33" s="178"/>
      <c r="CXV33" s="178"/>
      <c r="CYK33" s="178"/>
      <c r="CYL33" s="178"/>
      <c r="CZA33" s="178"/>
      <c r="CZB33" s="178"/>
      <c r="CZQ33" s="178"/>
      <c r="CZR33" s="178"/>
      <c r="DAG33" s="178"/>
      <c r="DAH33" s="178"/>
      <c r="DAW33" s="178"/>
      <c r="DAX33" s="178"/>
      <c r="DBM33" s="178"/>
      <c r="DBN33" s="178"/>
      <c r="DCC33" s="178"/>
      <c r="DCD33" s="178"/>
      <c r="DCS33" s="178"/>
      <c r="DCT33" s="178"/>
      <c r="DDI33" s="178"/>
      <c r="DDJ33" s="178"/>
      <c r="DDY33" s="178"/>
      <c r="DDZ33" s="178"/>
      <c r="DEO33" s="178"/>
      <c r="DEP33" s="178"/>
      <c r="DFE33" s="178"/>
      <c r="DFF33" s="178"/>
      <c r="DFU33" s="178"/>
      <c r="DFV33" s="178"/>
      <c r="DGK33" s="178"/>
      <c r="DGL33" s="178"/>
      <c r="DHA33" s="178"/>
      <c r="DHB33" s="178"/>
      <c r="DHQ33" s="178"/>
      <c r="DHR33" s="178"/>
      <c r="DIG33" s="178"/>
      <c r="DIH33" s="178"/>
      <c r="DIW33" s="178"/>
      <c r="DIX33" s="178"/>
      <c r="DJM33" s="178"/>
      <c r="DJN33" s="178"/>
      <c r="DKC33" s="178"/>
      <c r="DKD33" s="178"/>
      <c r="DKS33" s="178"/>
      <c r="DKT33" s="178"/>
      <c r="DLI33" s="178"/>
      <c r="DLJ33" s="178"/>
      <c r="DLY33" s="178"/>
      <c r="DLZ33" s="178"/>
      <c r="DMO33" s="178"/>
      <c r="DMP33" s="178"/>
      <c r="DNE33" s="178"/>
      <c r="DNF33" s="178"/>
      <c r="DNU33" s="178"/>
      <c r="DNV33" s="178"/>
      <c r="DOK33" s="178"/>
      <c r="DOL33" s="178"/>
      <c r="DPA33" s="178"/>
      <c r="DPB33" s="178"/>
      <c r="DPQ33" s="178"/>
      <c r="DPR33" s="178"/>
      <c r="DQG33" s="178"/>
      <c r="DQH33" s="178"/>
      <c r="DQW33" s="178"/>
      <c r="DQX33" s="178"/>
      <c r="DRM33" s="178"/>
      <c r="DRN33" s="178"/>
      <c r="DSC33" s="178"/>
      <c r="DSD33" s="178"/>
      <c r="DSS33" s="178"/>
      <c r="DST33" s="178"/>
      <c r="DTI33" s="178"/>
      <c r="DTJ33" s="178"/>
      <c r="DTY33" s="178"/>
      <c r="DTZ33" s="178"/>
      <c r="DUO33" s="178"/>
      <c r="DUP33" s="178"/>
      <c r="DVE33" s="178"/>
      <c r="DVF33" s="178"/>
      <c r="DVU33" s="178"/>
      <c r="DVV33" s="178"/>
      <c r="DWK33" s="178"/>
      <c r="DWL33" s="178"/>
      <c r="DXA33" s="178"/>
      <c r="DXB33" s="178"/>
      <c r="DXQ33" s="178"/>
      <c r="DXR33" s="178"/>
      <c r="DYG33" s="178"/>
      <c r="DYH33" s="178"/>
      <c r="DYW33" s="178"/>
      <c r="DYX33" s="178"/>
      <c r="DZM33" s="178"/>
      <c r="DZN33" s="178"/>
      <c r="EAC33" s="178"/>
      <c r="EAD33" s="178"/>
      <c r="EAS33" s="178"/>
      <c r="EAT33" s="178"/>
      <c r="EBI33" s="178"/>
      <c r="EBJ33" s="178"/>
      <c r="EBY33" s="178"/>
      <c r="EBZ33" s="178"/>
      <c r="ECO33" s="178"/>
      <c r="ECP33" s="178"/>
      <c r="EDE33" s="178"/>
      <c r="EDF33" s="178"/>
      <c r="EDU33" s="178"/>
      <c r="EDV33" s="178"/>
      <c r="EEK33" s="178"/>
      <c r="EEL33" s="178"/>
      <c r="EFA33" s="178"/>
      <c r="EFB33" s="178"/>
      <c r="EFQ33" s="178"/>
      <c r="EFR33" s="178"/>
      <c r="EGG33" s="178"/>
      <c r="EGH33" s="178"/>
      <c r="EGW33" s="178"/>
      <c r="EGX33" s="178"/>
      <c r="EHM33" s="178"/>
      <c r="EHN33" s="178"/>
      <c r="EIC33" s="178"/>
      <c r="EID33" s="178"/>
      <c r="EIS33" s="178"/>
      <c r="EIT33" s="178"/>
      <c r="EJI33" s="178"/>
      <c r="EJJ33" s="178"/>
      <c r="EJY33" s="178"/>
      <c r="EJZ33" s="178"/>
      <c r="EKO33" s="178"/>
      <c r="EKP33" s="178"/>
      <c r="ELE33" s="178"/>
      <c r="ELF33" s="178"/>
      <c r="ELU33" s="178"/>
      <c r="ELV33" s="178"/>
      <c r="EMK33" s="178"/>
      <c r="EML33" s="178"/>
      <c r="ENA33" s="178"/>
      <c r="ENB33" s="178"/>
      <c r="ENQ33" s="178"/>
      <c r="ENR33" s="178"/>
      <c r="EOG33" s="178"/>
      <c r="EOH33" s="178"/>
      <c r="EOW33" s="178"/>
      <c r="EOX33" s="178"/>
      <c r="EPM33" s="178"/>
      <c r="EPN33" s="178"/>
      <c r="EQC33" s="178"/>
      <c r="EQD33" s="178"/>
      <c r="EQS33" s="178"/>
      <c r="EQT33" s="178"/>
      <c r="ERI33" s="178"/>
      <c r="ERJ33" s="178"/>
      <c r="ERY33" s="178"/>
      <c r="ERZ33" s="178"/>
      <c r="ESO33" s="178"/>
      <c r="ESP33" s="178"/>
      <c r="ETE33" s="178"/>
      <c r="ETF33" s="178"/>
      <c r="ETU33" s="178"/>
      <c r="ETV33" s="178"/>
      <c r="EUK33" s="178"/>
      <c r="EUL33" s="178"/>
      <c r="EVA33" s="178"/>
      <c r="EVB33" s="178"/>
      <c r="EVQ33" s="178"/>
      <c r="EVR33" s="178"/>
      <c r="EWG33" s="178"/>
      <c r="EWH33" s="178"/>
      <c r="EWW33" s="178"/>
      <c r="EWX33" s="178"/>
      <c r="EXM33" s="178"/>
      <c r="EXN33" s="178"/>
      <c r="EYC33" s="178"/>
      <c r="EYD33" s="178"/>
      <c r="EYS33" s="178"/>
      <c r="EYT33" s="178"/>
      <c r="EZI33" s="178"/>
      <c r="EZJ33" s="178"/>
      <c r="EZY33" s="178"/>
      <c r="EZZ33" s="178"/>
      <c r="FAO33" s="178"/>
      <c r="FAP33" s="178"/>
      <c r="FBE33" s="178"/>
      <c r="FBF33" s="178"/>
      <c r="FBU33" s="178"/>
      <c r="FBV33" s="178"/>
      <c r="FCK33" s="178"/>
      <c r="FCL33" s="178"/>
      <c r="FDA33" s="178"/>
      <c r="FDB33" s="178"/>
      <c r="FDQ33" s="178"/>
      <c r="FDR33" s="178"/>
      <c r="FEG33" s="178"/>
      <c r="FEH33" s="178"/>
      <c r="FEW33" s="178"/>
      <c r="FEX33" s="178"/>
      <c r="FFM33" s="178"/>
      <c r="FFN33" s="178"/>
      <c r="FGC33" s="178"/>
      <c r="FGD33" s="178"/>
      <c r="FGS33" s="178"/>
      <c r="FGT33" s="178"/>
      <c r="FHI33" s="178"/>
      <c r="FHJ33" s="178"/>
      <c r="FHY33" s="178"/>
      <c r="FHZ33" s="178"/>
      <c r="FIO33" s="178"/>
      <c r="FIP33" s="178"/>
      <c r="FJE33" s="178"/>
      <c r="FJF33" s="178"/>
      <c r="FJU33" s="178"/>
      <c r="FJV33" s="178"/>
      <c r="FKK33" s="178"/>
      <c r="FKL33" s="178"/>
      <c r="FLA33" s="178"/>
      <c r="FLB33" s="178"/>
      <c r="FLQ33" s="178"/>
      <c r="FLR33" s="178"/>
      <c r="FMG33" s="178"/>
      <c r="FMH33" s="178"/>
      <c r="FMW33" s="178"/>
      <c r="FMX33" s="178"/>
      <c r="FNM33" s="178"/>
      <c r="FNN33" s="178"/>
      <c r="FOC33" s="178"/>
      <c r="FOD33" s="178"/>
      <c r="FOS33" s="178"/>
      <c r="FOT33" s="178"/>
      <c r="FPI33" s="178"/>
      <c r="FPJ33" s="178"/>
      <c r="FPY33" s="178"/>
      <c r="FPZ33" s="178"/>
      <c r="FQO33" s="178"/>
      <c r="FQP33" s="178"/>
      <c r="FRE33" s="178"/>
      <c r="FRF33" s="178"/>
      <c r="FRU33" s="178"/>
      <c r="FRV33" s="178"/>
      <c r="FSK33" s="178"/>
      <c r="FSL33" s="178"/>
      <c r="FTA33" s="178"/>
      <c r="FTB33" s="178"/>
      <c r="FTQ33" s="178"/>
      <c r="FTR33" s="178"/>
      <c r="FUG33" s="178"/>
      <c r="FUH33" s="178"/>
      <c r="FUW33" s="178"/>
      <c r="FUX33" s="178"/>
      <c r="FVM33" s="178"/>
      <c r="FVN33" s="178"/>
      <c r="FWC33" s="178"/>
      <c r="FWD33" s="178"/>
      <c r="FWS33" s="178"/>
      <c r="FWT33" s="178"/>
      <c r="FXI33" s="178"/>
      <c r="FXJ33" s="178"/>
      <c r="FXY33" s="178"/>
      <c r="FXZ33" s="178"/>
      <c r="FYO33" s="178"/>
      <c r="FYP33" s="178"/>
      <c r="FZE33" s="178"/>
      <c r="FZF33" s="178"/>
      <c r="FZU33" s="178"/>
      <c r="FZV33" s="178"/>
      <c r="GAK33" s="178"/>
      <c r="GAL33" s="178"/>
      <c r="GBA33" s="178"/>
      <c r="GBB33" s="178"/>
      <c r="GBQ33" s="178"/>
      <c r="GBR33" s="178"/>
      <c r="GCG33" s="178"/>
      <c r="GCH33" s="178"/>
      <c r="GCW33" s="178"/>
      <c r="GCX33" s="178"/>
      <c r="GDM33" s="178"/>
      <c r="GDN33" s="178"/>
      <c r="GEC33" s="178"/>
      <c r="GED33" s="178"/>
      <c r="GES33" s="178"/>
      <c r="GET33" s="178"/>
      <c r="GFI33" s="178"/>
      <c r="GFJ33" s="178"/>
      <c r="GFY33" s="178"/>
      <c r="GFZ33" s="178"/>
      <c r="GGO33" s="178"/>
      <c r="GGP33" s="178"/>
      <c r="GHE33" s="178"/>
      <c r="GHF33" s="178"/>
      <c r="GHU33" s="178"/>
      <c r="GHV33" s="178"/>
      <c r="GIK33" s="178"/>
      <c r="GIL33" s="178"/>
      <c r="GJA33" s="178"/>
      <c r="GJB33" s="178"/>
      <c r="GJQ33" s="178"/>
      <c r="GJR33" s="178"/>
      <c r="GKG33" s="178"/>
      <c r="GKH33" s="178"/>
      <c r="GKW33" s="178"/>
      <c r="GKX33" s="178"/>
      <c r="GLM33" s="178"/>
      <c r="GLN33" s="178"/>
      <c r="GMC33" s="178"/>
      <c r="GMD33" s="178"/>
      <c r="GMS33" s="178"/>
      <c r="GMT33" s="178"/>
      <c r="GNI33" s="178"/>
      <c r="GNJ33" s="178"/>
      <c r="GNY33" s="178"/>
      <c r="GNZ33" s="178"/>
      <c r="GOO33" s="178"/>
      <c r="GOP33" s="178"/>
      <c r="GPE33" s="178"/>
      <c r="GPF33" s="178"/>
      <c r="GPU33" s="178"/>
      <c r="GPV33" s="178"/>
      <c r="GQK33" s="178"/>
      <c r="GQL33" s="178"/>
      <c r="GRA33" s="178"/>
      <c r="GRB33" s="178"/>
      <c r="GRQ33" s="178"/>
      <c r="GRR33" s="178"/>
      <c r="GSG33" s="178"/>
      <c r="GSH33" s="178"/>
      <c r="GSW33" s="178"/>
      <c r="GSX33" s="178"/>
      <c r="GTM33" s="178"/>
      <c r="GTN33" s="178"/>
      <c r="GUC33" s="178"/>
      <c r="GUD33" s="178"/>
      <c r="GUS33" s="178"/>
      <c r="GUT33" s="178"/>
      <c r="GVI33" s="178"/>
      <c r="GVJ33" s="178"/>
      <c r="GVY33" s="178"/>
      <c r="GVZ33" s="178"/>
      <c r="GWO33" s="178"/>
      <c r="GWP33" s="178"/>
      <c r="GXE33" s="178"/>
      <c r="GXF33" s="178"/>
      <c r="GXU33" s="178"/>
      <c r="GXV33" s="178"/>
      <c r="GYK33" s="178"/>
      <c r="GYL33" s="178"/>
      <c r="GZA33" s="178"/>
      <c r="GZB33" s="178"/>
      <c r="GZQ33" s="178"/>
      <c r="GZR33" s="178"/>
      <c r="HAG33" s="178"/>
      <c r="HAH33" s="178"/>
      <c r="HAW33" s="178"/>
      <c r="HAX33" s="178"/>
      <c r="HBM33" s="178"/>
      <c r="HBN33" s="178"/>
      <c r="HCC33" s="178"/>
      <c r="HCD33" s="178"/>
      <c r="HCS33" s="178"/>
      <c r="HCT33" s="178"/>
      <c r="HDI33" s="178"/>
      <c r="HDJ33" s="178"/>
      <c r="HDY33" s="178"/>
      <c r="HDZ33" s="178"/>
      <c r="HEO33" s="178"/>
      <c r="HEP33" s="178"/>
      <c r="HFE33" s="178"/>
      <c r="HFF33" s="178"/>
      <c r="HFU33" s="178"/>
      <c r="HFV33" s="178"/>
      <c r="HGK33" s="178"/>
      <c r="HGL33" s="178"/>
      <c r="HHA33" s="178"/>
      <c r="HHB33" s="178"/>
      <c r="HHQ33" s="178"/>
      <c r="HHR33" s="178"/>
      <c r="HIG33" s="178"/>
      <c r="HIH33" s="178"/>
      <c r="HIW33" s="178"/>
      <c r="HIX33" s="178"/>
      <c r="HJM33" s="178"/>
      <c r="HJN33" s="178"/>
      <c r="HKC33" s="178"/>
      <c r="HKD33" s="178"/>
      <c r="HKS33" s="178"/>
      <c r="HKT33" s="178"/>
      <c r="HLI33" s="178"/>
      <c r="HLJ33" s="178"/>
      <c r="HLY33" s="178"/>
      <c r="HLZ33" s="178"/>
      <c r="HMO33" s="178"/>
      <c r="HMP33" s="178"/>
      <c r="HNE33" s="178"/>
      <c r="HNF33" s="178"/>
      <c r="HNU33" s="178"/>
      <c r="HNV33" s="178"/>
      <c r="HOK33" s="178"/>
      <c r="HOL33" s="178"/>
      <c r="HPA33" s="178"/>
      <c r="HPB33" s="178"/>
      <c r="HPQ33" s="178"/>
      <c r="HPR33" s="178"/>
      <c r="HQG33" s="178"/>
      <c r="HQH33" s="178"/>
      <c r="HQW33" s="178"/>
      <c r="HQX33" s="178"/>
      <c r="HRM33" s="178"/>
      <c r="HRN33" s="178"/>
      <c r="HSC33" s="178"/>
      <c r="HSD33" s="178"/>
      <c r="HSS33" s="178"/>
      <c r="HST33" s="178"/>
      <c r="HTI33" s="178"/>
      <c r="HTJ33" s="178"/>
      <c r="HTY33" s="178"/>
      <c r="HTZ33" s="178"/>
      <c r="HUO33" s="178"/>
      <c r="HUP33" s="178"/>
      <c r="HVE33" s="178"/>
      <c r="HVF33" s="178"/>
      <c r="HVU33" s="178"/>
      <c r="HVV33" s="178"/>
      <c r="HWK33" s="178"/>
      <c r="HWL33" s="178"/>
      <c r="HXA33" s="178"/>
      <c r="HXB33" s="178"/>
      <c r="HXQ33" s="178"/>
      <c r="HXR33" s="178"/>
      <c r="HYG33" s="178"/>
      <c r="HYH33" s="178"/>
      <c r="HYW33" s="178"/>
      <c r="HYX33" s="178"/>
      <c r="HZM33" s="178"/>
      <c r="HZN33" s="178"/>
      <c r="IAC33" s="178"/>
      <c r="IAD33" s="178"/>
      <c r="IAS33" s="178"/>
      <c r="IAT33" s="178"/>
      <c r="IBI33" s="178"/>
      <c r="IBJ33" s="178"/>
      <c r="IBY33" s="178"/>
      <c r="IBZ33" s="178"/>
      <c r="ICO33" s="178"/>
      <c r="ICP33" s="178"/>
      <c r="IDE33" s="178"/>
      <c r="IDF33" s="178"/>
      <c r="IDU33" s="178"/>
      <c r="IDV33" s="178"/>
      <c r="IEK33" s="178"/>
      <c r="IEL33" s="178"/>
      <c r="IFA33" s="178"/>
      <c r="IFB33" s="178"/>
      <c r="IFQ33" s="178"/>
      <c r="IFR33" s="178"/>
      <c r="IGG33" s="178"/>
      <c r="IGH33" s="178"/>
      <c r="IGW33" s="178"/>
      <c r="IGX33" s="178"/>
      <c r="IHM33" s="178"/>
      <c r="IHN33" s="178"/>
      <c r="IIC33" s="178"/>
      <c r="IID33" s="178"/>
      <c r="IIS33" s="178"/>
      <c r="IIT33" s="178"/>
      <c r="IJI33" s="178"/>
      <c r="IJJ33" s="178"/>
      <c r="IJY33" s="178"/>
      <c r="IJZ33" s="178"/>
      <c r="IKO33" s="178"/>
      <c r="IKP33" s="178"/>
      <c r="ILE33" s="178"/>
      <c r="ILF33" s="178"/>
      <c r="ILU33" s="178"/>
      <c r="ILV33" s="178"/>
      <c r="IMK33" s="178"/>
      <c r="IML33" s="178"/>
      <c r="INA33" s="178"/>
      <c r="INB33" s="178"/>
      <c r="INQ33" s="178"/>
      <c r="INR33" s="178"/>
      <c r="IOG33" s="178"/>
      <c r="IOH33" s="178"/>
      <c r="IOW33" s="178"/>
      <c r="IOX33" s="178"/>
      <c r="IPM33" s="178"/>
      <c r="IPN33" s="178"/>
      <c r="IQC33" s="178"/>
      <c r="IQD33" s="178"/>
      <c r="IQS33" s="178"/>
      <c r="IQT33" s="178"/>
      <c r="IRI33" s="178"/>
      <c r="IRJ33" s="178"/>
      <c r="IRY33" s="178"/>
      <c r="IRZ33" s="178"/>
      <c r="ISO33" s="178"/>
      <c r="ISP33" s="178"/>
      <c r="ITE33" s="178"/>
      <c r="ITF33" s="178"/>
      <c r="ITU33" s="178"/>
      <c r="ITV33" s="178"/>
      <c r="IUK33" s="178"/>
      <c r="IUL33" s="178"/>
      <c r="IVA33" s="178"/>
      <c r="IVB33" s="178"/>
      <c r="IVQ33" s="178"/>
      <c r="IVR33" s="178"/>
      <c r="IWG33" s="178"/>
      <c r="IWH33" s="178"/>
      <c r="IWW33" s="178"/>
      <c r="IWX33" s="178"/>
      <c r="IXM33" s="178"/>
      <c r="IXN33" s="178"/>
      <c r="IYC33" s="178"/>
      <c r="IYD33" s="178"/>
      <c r="IYS33" s="178"/>
      <c r="IYT33" s="178"/>
      <c r="IZI33" s="178"/>
      <c r="IZJ33" s="178"/>
      <c r="IZY33" s="178"/>
      <c r="IZZ33" s="178"/>
      <c r="JAO33" s="178"/>
      <c r="JAP33" s="178"/>
      <c r="JBE33" s="178"/>
      <c r="JBF33" s="178"/>
      <c r="JBU33" s="178"/>
      <c r="JBV33" s="178"/>
      <c r="JCK33" s="178"/>
      <c r="JCL33" s="178"/>
      <c r="JDA33" s="178"/>
      <c r="JDB33" s="178"/>
      <c r="JDQ33" s="178"/>
      <c r="JDR33" s="178"/>
      <c r="JEG33" s="178"/>
      <c r="JEH33" s="178"/>
      <c r="JEW33" s="178"/>
      <c r="JEX33" s="178"/>
      <c r="JFM33" s="178"/>
      <c r="JFN33" s="178"/>
      <c r="JGC33" s="178"/>
      <c r="JGD33" s="178"/>
      <c r="JGS33" s="178"/>
      <c r="JGT33" s="178"/>
      <c r="JHI33" s="178"/>
      <c r="JHJ33" s="178"/>
      <c r="JHY33" s="178"/>
      <c r="JHZ33" s="178"/>
      <c r="JIO33" s="178"/>
      <c r="JIP33" s="178"/>
      <c r="JJE33" s="178"/>
      <c r="JJF33" s="178"/>
      <c r="JJU33" s="178"/>
      <c r="JJV33" s="178"/>
      <c r="JKK33" s="178"/>
      <c r="JKL33" s="178"/>
      <c r="JLA33" s="178"/>
      <c r="JLB33" s="178"/>
      <c r="JLQ33" s="178"/>
      <c r="JLR33" s="178"/>
      <c r="JMG33" s="178"/>
      <c r="JMH33" s="178"/>
      <c r="JMW33" s="178"/>
      <c r="JMX33" s="178"/>
      <c r="JNM33" s="178"/>
      <c r="JNN33" s="178"/>
      <c r="JOC33" s="178"/>
      <c r="JOD33" s="178"/>
      <c r="JOS33" s="178"/>
      <c r="JOT33" s="178"/>
      <c r="JPI33" s="178"/>
      <c r="JPJ33" s="178"/>
      <c r="JPY33" s="178"/>
      <c r="JPZ33" s="178"/>
      <c r="JQO33" s="178"/>
      <c r="JQP33" s="178"/>
      <c r="JRE33" s="178"/>
      <c r="JRF33" s="178"/>
      <c r="JRU33" s="178"/>
      <c r="JRV33" s="178"/>
      <c r="JSK33" s="178"/>
      <c r="JSL33" s="178"/>
      <c r="JTA33" s="178"/>
      <c r="JTB33" s="178"/>
      <c r="JTQ33" s="178"/>
      <c r="JTR33" s="178"/>
      <c r="JUG33" s="178"/>
      <c r="JUH33" s="178"/>
      <c r="JUW33" s="178"/>
      <c r="JUX33" s="178"/>
      <c r="JVM33" s="178"/>
      <c r="JVN33" s="178"/>
      <c r="JWC33" s="178"/>
      <c r="JWD33" s="178"/>
      <c r="JWS33" s="178"/>
      <c r="JWT33" s="178"/>
      <c r="JXI33" s="178"/>
      <c r="JXJ33" s="178"/>
      <c r="JXY33" s="178"/>
      <c r="JXZ33" s="178"/>
      <c r="JYO33" s="178"/>
      <c r="JYP33" s="178"/>
      <c r="JZE33" s="178"/>
      <c r="JZF33" s="178"/>
      <c r="JZU33" s="178"/>
      <c r="JZV33" s="178"/>
      <c r="KAK33" s="178"/>
      <c r="KAL33" s="178"/>
      <c r="KBA33" s="178"/>
      <c r="KBB33" s="178"/>
      <c r="KBQ33" s="178"/>
      <c r="KBR33" s="178"/>
      <c r="KCG33" s="178"/>
      <c r="KCH33" s="178"/>
      <c r="KCW33" s="178"/>
      <c r="KCX33" s="178"/>
      <c r="KDM33" s="178"/>
      <c r="KDN33" s="178"/>
      <c r="KEC33" s="178"/>
      <c r="KED33" s="178"/>
      <c r="KES33" s="178"/>
      <c r="KET33" s="178"/>
      <c r="KFI33" s="178"/>
      <c r="KFJ33" s="178"/>
      <c r="KFY33" s="178"/>
      <c r="KFZ33" s="178"/>
      <c r="KGO33" s="178"/>
      <c r="KGP33" s="178"/>
      <c r="KHE33" s="178"/>
      <c r="KHF33" s="178"/>
      <c r="KHU33" s="178"/>
      <c r="KHV33" s="178"/>
      <c r="KIK33" s="178"/>
      <c r="KIL33" s="178"/>
      <c r="KJA33" s="178"/>
      <c r="KJB33" s="178"/>
      <c r="KJQ33" s="178"/>
      <c r="KJR33" s="178"/>
      <c r="KKG33" s="178"/>
      <c r="KKH33" s="178"/>
      <c r="KKW33" s="178"/>
      <c r="KKX33" s="178"/>
      <c r="KLM33" s="178"/>
      <c r="KLN33" s="178"/>
      <c r="KMC33" s="178"/>
      <c r="KMD33" s="178"/>
      <c r="KMS33" s="178"/>
      <c r="KMT33" s="178"/>
      <c r="KNI33" s="178"/>
      <c r="KNJ33" s="178"/>
      <c r="KNY33" s="178"/>
      <c r="KNZ33" s="178"/>
      <c r="KOO33" s="178"/>
      <c r="KOP33" s="178"/>
      <c r="KPE33" s="178"/>
      <c r="KPF33" s="178"/>
      <c r="KPU33" s="178"/>
      <c r="KPV33" s="178"/>
      <c r="KQK33" s="178"/>
      <c r="KQL33" s="178"/>
      <c r="KRA33" s="178"/>
      <c r="KRB33" s="178"/>
      <c r="KRQ33" s="178"/>
      <c r="KRR33" s="178"/>
      <c r="KSG33" s="178"/>
      <c r="KSH33" s="178"/>
      <c r="KSW33" s="178"/>
      <c r="KSX33" s="178"/>
      <c r="KTM33" s="178"/>
      <c r="KTN33" s="178"/>
      <c r="KUC33" s="178"/>
      <c r="KUD33" s="178"/>
      <c r="KUS33" s="178"/>
      <c r="KUT33" s="178"/>
      <c r="KVI33" s="178"/>
      <c r="KVJ33" s="178"/>
      <c r="KVY33" s="178"/>
      <c r="KVZ33" s="178"/>
      <c r="KWO33" s="178"/>
      <c r="KWP33" s="178"/>
      <c r="KXE33" s="178"/>
      <c r="KXF33" s="178"/>
      <c r="KXU33" s="178"/>
      <c r="KXV33" s="178"/>
      <c r="KYK33" s="178"/>
      <c r="KYL33" s="178"/>
      <c r="KZA33" s="178"/>
      <c r="KZB33" s="178"/>
      <c r="KZQ33" s="178"/>
      <c r="KZR33" s="178"/>
      <c r="LAG33" s="178"/>
      <c r="LAH33" s="178"/>
      <c r="LAW33" s="178"/>
      <c r="LAX33" s="178"/>
      <c r="LBM33" s="178"/>
      <c r="LBN33" s="178"/>
      <c r="LCC33" s="178"/>
      <c r="LCD33" s="178"/>
      <c r="LCS33" s="178"/>
      <c r="LCT33" s="178"/>
      <c r="LDI33" s="178"/>
      <c r="LDJ33" s="178"/>
      <c r="LDY33" s="178"/>
      <c r="LDZ33" s="178"/>
      <c r="LEO33" s="178"/>
      <c r="LEP33" s="178"/>
      <c r="LFE33" s="178"/>
      <c r="LFF33" s="178"/>
      <c r="LFU33" s="178"/>
      <c r="LFV33" s="178"/>
      <c r="LGK33" s="178"/>
      <c r="LGL33" s="178"/>
      <c r="LHA33" s="178"/>
      <c r="LHB33" s="178"/>
      <c r="LHQ33" s="178"/>
      <c r="LHR33" s="178"/>
      <c r="LIG33" s="178"/>
      <c r="LIH33" s="178"/>
      <c r="LIW33" s="178"/>
      <c r="LIX33" s="178"/>
      <c r="LJM33" s="178"/>
      <c r="LJN33" s="178"/>
      <c r="LKC33" s="178"/>
      <c r="LKD33" s="178"/>
      <c r="LKS33" s="178"/>
      <c r="LKT33" s="178"/>
      <c r="LLI33" s="178"/>
      <c r="LLJ33" s="178"/>
      <c r="LLY33" s="178"/>
      <c r="LLZ33" s="178"/>
      <c r="LMO33" s="178"/>
      <c r="LMP33" s="178"/>
      <c r="LNE33" s="178"/>
      <c r="LNF33" s="178"/>
      <c r="LNU33" s="178"/>
      <c r="LNV33" s="178"/>
      <c r="LOK33" s="178"/>
      <c r="LOL33" s="178"/>
      <c r="LPA33" s="178"/>
      <c r="LPB33" s="178"/>
      <c r="LPQ33" s="178"/>
      <c r="LPR33" s="178"/>
      <c r="LQG33" s="178"/>
      <c r="LQH33" s="178"/>
      <c r="LQW33" s="178"/>
      <c r="LQX33" s="178"/>
      <c r="LRM33" s="178"/>
      <c r="LRN33" s="178"/>
      <c r="LSC33" s="178"/>
      <c r="LSD33" s="178"/>
      <c r="LSS33" s="178"/>
      <c r="LST33" s="178"/>
      <c r="LTI33" s="178"/>
      <c r="LTJ33" s="178"/>
      <c r="LTY33" s="178"/>
      <c r="LTZ33" s="178"/>
      <c r="LUO33" s="178"/>
      <c r="LUP33" s="178"/>
      <c r="LVE33" s="178"/>
      <c r="LVF33" s="178"/>
      <c r="LVU33" s="178"/>
      <c r="LVV33" s="178"/>
      <c r="LWK33" s="178"/>
      <c r="LWL33" s="178"/>
      <c r="LXA33" s="178"/>
      <c r="LXB33" s="178"/>
      <c r="LXQ33" s="178"/>
      <c r="LXR33" s="178"/>
      <c r="LYG33" s="178"/>
      <c r="LYH33" s="178"/>
      <c r="LYW33" s="178"/>
      <c r="LYX33" s="178"/>
      <c r="LZM33" s="178"/>
      <c r="LZN33" s="178"/>
      <c r="MAC33" s="178"/>
      <c r="MAD33" s="178"/>
      <c r="MAS33" s="178"/>
      <c r="MAT33" s="178"/>
      <c r="MBI33" s="178"/>
      <c r="MBJ33" s="178"/>
      <c r="MBY33" s="178"/>
      <c r="MBZ33" s="178"/>
      <c r="MCO33" s="178"/>
      <c r="MCP33" s="178"/>
      <c r="MDE33" s="178"/>
      <c r="MDF33" s="178"/>
      <c r="MDU33" s="178"/>
      <c r="MDV33" s="178"/>
      <c r="MEK33" s="178"/>
      <c r="MEL33" s="178"/>
      <c r="MFA33" s="178"/>
      <c r="MFB33" s="178"/>
      <c r="MFQ33" s="178"/>
      <c r="MFR33" s="178"/>
      <c r="MGG33" s="178"/>
      <c r="MGH33" s="178"/>
      <c r="MGW33" s="178"/>
      <c r="MGX33" s="178"/>
      <c r="MHM33" s="178"/>
      <c r="MHN33" s="178"/>
      <c r="MIC33" s="178"/>
      <c r="MID33" s="178"/>
      <c r="MIS33" s="178"/>
      <c r="MIT33" s="178"/>
      <c r="MJI33" s="178"/>
      <c r="MJJ33" s="178"/>
      <c r="MJY33" s="178"/>
      <c r="MJZ33" s="178"/>
      <c r="MKO33" s="178"/>
      <c r="MKP33" s="178"/>
      <c r="MLE33" s="178"/>
      <c r="MLF33" s="178"/>
      <c r="MLU33" s="178"/>
      <c r="MLV33" s="178"/>
      <c r="MMK33" s="178"/>
      <c r="MML33" s="178"/>
      <c r="MNA33" s="178"/>
      <c r="MNB33" s="178"/>
      <c r="MNQ33" s="178"/>
      <c r="MNR33" s="178"/>
      <c r="MOG33" s="178"/>
      <c r="MOH33" s="178"/>
      <c r="MOW33" s="178"/>
      <c r="MOX33" s="178"/>
      <c r="MPM33" s="178"/>
      <c r="MPN33" s="178"/>
      <c r="MQC33" s="178"/>
      <c r="MQD33" s="178"/>
      <c r="MQS33" s="178"/>
      <c r="MQT33" s="178"/>
      <c r="MRI33" s="178"/>
      <c r="MRJ33" s="178"/>
      <c r="MRY33" s="178"/>
      <c r="MRZ33" s="178"/>
      <c r="MSO33" s="178"/>
      <c r="MSP33" s="178"/>
      <c r="MTE33" s="178"/>
      <c r="MTF33" s="178"/>
      <c r="MTU33" s="178"/>
      <c r="MTV33" s="178"/>
      <c r="MUK33" s="178"/>
      <c r="MUL33" s="178"/>
      <c r="MVA33" s="178"/>
      <c r="MVB33" s="178"/>
      <c r="MVQ33" s="178"/>
      <c r="MVR33" s="178"/>
      <c r="MWG33" s="178"/>
      <c r="MWH33" s="178"/>
      <c r="MWW33" s="178"/>
      <c r="MWX33" s="178"/>
      <c r="MXM33" s="178"/>
      <c r="MXN33" s="178"/>
      <c r="MYC33" s="178"/>
      <c r="MYD33" s="178"/>
      <c r="MYS33" s="178"/>
      <c r="MYT33" s="178"/>
      <c r="MZI33" s="178"/>
      <c r="MZJ33" s="178"/>
      <c r="MZY33" s="178"/>
      <c r="MZZ33" s="178"/>
      <c r="NAO33" s="178"/>
      <c r="NAP33" s="178"/>
      <c r="NBE33" s="178"/>
      <c r="NBF33" s="178"/>
      <c r="NBU33" s="178"/>
      <c r="NBV33" s="178"/>
      <c r="NCK33" s="178"/>
      <c r="NCL33" s="178"/>
      <c r="NDA33" s="178"/>
      <c r="NDB33" s="178"/>
      <c r="NDQ33" s="178"/>
      <c r="NDR33" s="178"/>
      <c r="NEG33" s="178"/>
      <c r="NEH33" s="178"/>
      <c r="NEW33" s="178"/>
      <c r="NEX33" s="178"/>
      <c r="NFM33" s="178"/>
      <c r="NFN33" s="178"/>
      <c r="NGC33" s="178"/>
      <c r="NGD33" s="178"/>
      <c r="NGS33" s="178"/>
      <c r="NGT33" s="178"/>
      <c r="NHI33" s="178"/>
      <c r="NHJ33" s="178"/>
      <c r="NHY33" s="178"/>
      <c r="NHZ33" s="178"/>
      <c r="NIO33" s="178"/>
      <c r="NIP33" s="178"/>
      <c r="NJE33" s="178"/>
      <c r="NJF33" s="178"/>
      <c r="NJU33" s="178"/>
      <c r="NJV33" s="178"/>
      <c r="NKK33" s="178"/>
      <c r="NKL33" s="178"/>
      <c r="NLA33" s="178"/>
      <c r="NLB33" s="178"/>
      <c r="NLQ33" s="178"/>
      <c r="NLR33" s="178"/>
      <c r="NMG33" s="178"/>
      <c r="NMH33" s="178"/>
      <c r="NMW33" s="178"/>
      <c r="NMX33" s="178"/>
      <c r="NNM33" s="178"/>
      <c r="NNN33" s="178"/>
      <c r="NOC33" s="178"/>
      <c r="NOD33" s="178"/>
      <c r="NOS33" s="178"/>
      <c r="NOT33" s="178"/>
      <c r="NPI33" s="178"/>
      <c r="NPJ33" s="178"/>
      <c r="NPY33" s="178"/>
      <c r="NPZ33" s="178"/>
      <c r="NQO33" s="178"/>
      <c r="NQP33" s="178"/>
      <c r="NRE33" s="178"/>
      <c r="NRF33" s="178"/>
      <c r="NRU33" s="178"/>
      <c r="NRV33" s="178"/>
      <c r="NSK33" s="178"/>
      <c r="NSL33" s="178"/>
      <c r="NTA33" s="178"/>
      <c r="NTB33" s="178"/>
      <c r="NTQ33" s="178"/>
      <c r="NTR33" s="178"/>
      <c r="NUG33" s="178"/>
      <c r="NUH33" s="178"/>
      <c r="NUW33" s="178"/>
      <c r="NUX33" s="178"/>
      <c r="NVM33" s="178"/>
      <c r="NVN33" s="178"/>
      <c r="NWC33" s="178"/>
      <c r="NWD33" s="178"/>
      <c r="NWS33" s="178"/>
      <c r="NWT33" s="178"/>
      <c r="NXI33" s="178"/>
      <c r="NXJ33" s="178"/>
      <c r="NXY33" s="178"/>
      <c r="NXZ33" s="178"/>
      <c r="NYO33" s="178"/>
      <c r="NYP33" s="178"/>
      <c r="NZE33" s="178"/>
      <c r="NZF33" s="178"/>
      <c r="NZU33" s="178"/>
      <c r="NZV33" s="178"/>
      <c r="OAK33" s="178"/>
      <c r="OAL33" s="178"/>
      <c r="OBA33" s="178"/>
      <c r="OBB33" s="178"/>
      <c r="OBQ33" s="178"/>
      <c r="OBR33" s="178"/>
      <c r="OCG33" s="178"/>
      <c r="OCH33" s="178"/>
      <c r="OCW33" s="178"/>
      <c r="OCX33" s="178"/>
      <c r="ODM33" s="178"/>
      <c r="ODN33" s="178"/>
      <c r="OEC33" s="178"/>
      <c r="OED33" s="178"/>
      <c r="OES33" s="178"/>
      <c r="OET33" s="178"/>
      <c r="OFI33" s="178"/>
      <c r="OFJ33" s="178"/>
      <c r="OFY33" s="178"/>
      <c r="OFZ33" s="178"/>
      <c r="OGO33" s="178"/>
      <c r="OGP33" s="178"/>
      <c r="OHE33" s="178"/>
      <c r="OHF33" s="178"/>
      <c r="OHU33" s="178"/>
      <c r="OHV33" s="178"/>
      <c r="OIK33" s="178"/>
      <c r="OIL33" s="178"/>
      <c r="OJA33" s="178"/>
      <c r="OJB33" s="178"/>
      <c r="OJQ33" s="178"/>
      <c r="OJR33" s="178"/>
      <c r="OKG33" s="178"/>
      <c r="OKH33" s="178"/>
      <c r="OKW33" s="178"/>
      <c r="OKX33" s="178"/>
      <c r="OLM33" s="178"/>
      <c r="OLN33" s="178"/>
      <c r="OMC33" s="178"/>
      <c r="OMD33" s="178"/>
      <c r="OMS33" s="178"/>
      <c r="OMT33" s="178"/>
      <c r="ONI33" s="178"/>
      <c r="ONJ33" s="178"/>
      <c r="ONY33" s="178"/>
      <c r="ONZ33" s="178"/>
      <c r="OOO33" s="178"/>
      <c r="OOP33" s="178"/>
      <c r="OPE33" s="178"/>
      <c r="OPF33" s="178"/>
      <c r="OPU33" s="178"/>
      <c r="OPV33" s="178"/>
      <c r="OQK33" s="178"/>
      <c r="OQL33" s="178"/>
      <c r="ORA33" s="178"/>
      <c r="ORB33" s="178"/>
      <c r="ORQ33" s="178"/>
      <c r="ORR33" s="178"/>
      <c r="OSG33" s="178"/>
      <c r="OSH33" s="178"/>
      <c r="OSW33" s="178"/>
      <c r="OSX33" s="178"/>
      <c r="OTM33" s="178"/>
      <c r="OTN33" s="178"/>
      <c r="OUC33" s="178"/>
      <c r="OUD33" s="178"/>
      <c r="OUS33" s="178"/>
      <c r="OUT33" s="178"/>
      <c r="OVI33" s="178"/>
      <c r="OVJ33" s="178"/>
      <c r="OVY33" s="178"/>
      <c r="OVZ33" s="178"/>
      <c r="OWO33" s="178"/>
      <c r="OWP33" s="178"/>
      <c r="OXE33" s="178"/>
      <c r="OXF33" s="178"/>
      <c r="OXU33" s="178"/>
      <c r="OXV33" s="178"/>
      <c r="OYK33" s="178"/>
      <c r="OYL33" s="178"/>
      <c r="OZA33" s="178"/>
      <c r="OZB33" s="178"/>
      <c r="OZQ33" s="178"/>
      <c r="OZR33" s="178"/>
      <c r="PAG33" s="178"/>
      <c r="PAH33" s="178"/>
      <c r="PAW33" s="178"/>
      <c r="PAX33" s="178"/>
      <c r="PBM33" s="178"/>
      <c r="PBN33" s="178"/>
      <c r="PCC33" s="178"/>
      <c r="PCD33" s="178"/>
      <c r="PCS33" s="178"/>
      <c r="PCT33" s="178"/>
      <c r="PDI33" s="178"/>
      <c r="PDJ33" s="178"/>
      <c r="PDY33" s="178"/>
      <c r="PDZ33" s="178"/>
      <c r="PEO33" s="178"/>
      <c r="PEP33" s="178"/>
      <c r="PFE33" s="178"/>
      <c r="PFF33" s="178"/>
      <c r="PFU33" s="178"/>
      <c r="PFV33" s="178"/>
      <c r="PGK33" s="178"/>
      <c r="PGL33" s="178"/>
      <c r="PHA33" s="178"/>
      <c r="PHB33" s="178"/>
      <c r="PHQ33" s="178"/>
      <c r="PHR33" s="178"/>
      <c r="PIG33" s="178"/>
      <c r="PIH33" s="178"/>
      <c r="PIW33" s="178"/>
      <c r="PIX33" s="178"/>
      <c r="PJM33" s="178"/>
      <c r="PJN33" s="178"/>
      <c r="PKC33" s="178"/>
      <c r="PKD33" s="178"/>
      <c r="PKS33" s="178"/>
      <c r="PKT33" s="178"/>
      <c r="PLI33" s="178"/>
      <c r="PLJ33" s="178"/>
      <c r="PLY33" s="178"/>
      <c r="PLZ33" s="178"/>
      <c r="PMO33" s="178"/>
      <c r="PMP33" s="178"/>
      <c r="PNE33" s="178"/>
      <c r="PNF33" s="178"/>
      <c r="PNU33" s="178"/>
      <c r="PNV33" s="178"/>
      <c r="POK33" s="178"/>
      <c r="POL33" s="178"/>
      <c r="PPA33" s="178"/>
      <c r="PPB33" s="178"/>
      <c r="PPQ33" s="178"/>
      <c r="PPR33" s="178"/>
      <c r="PQG33" s="178"/>
      <c r="PQH33" s="178"/>
      <c r="PQW33" s="178"/>
      <c r="PQX33" s="178"/>
      <c r="PRM33" s="178"/>
      <c r="PRN33" s="178"/>
      <c r="PSC33" s="178"/>
      <c r="PSD33" s="178"/>
      <c r="PSS33" s="178"/>
      <c r="PST33" s="178"/>
      <c r="PTI33" s="178"/>
      <c r="PTJ33" s="178"/>
      <c r="PTY33" s="178"/>
      <c r="PTZ33" s="178"/>
      <c r="PUO33" s="178"/>
      <c r="PUP33" s="178"/>
      <c r="PVE33" s="178"/>
      <c r="PVF33" s="178"/>
      <c r="PVU33" s="178"/>
      <c r="PVV33" s="178"/>
      <c r="PWK33" s="178"/>
      <c r="PWL33" s="178"/>
      <c r="PXA33" s="178"/>
      <c r="PXB33" s="178"/>
      <c r="PXQ33" s="178"/>
      <c r="PXR33" s="178"/>
      <c r="PYG33" s="178"/>
      <c r="PYH33" s="178"/>
      <c r="PYW33" s="178"/>
      <c r="PYX33" s="178"/>
      <c r="PZM33" s="178"/>
      <c r="PZN33" s="178"/>
      <c r="QAC33" s="178"/>
      <c r="QAD33" s="178"/>
      <c r="QAS33" s="178"/>
      <c r="QAT33" s="178"/>
      <c r="QBI33" s="178"/>
      <c r="QBJ33" s="178"/>
      <c r="QBY33" s="178"/>
      <c r="QBZ33" s="178"/>
      <c r="QCO33" s="178"/>
      <c r="QCP33" s="178"/>
      <c r="QDE33" s="178"/>
      <c r="QDF33" s="178"/>
      <c r="QDU33" s="178"/>
      <c r="QDV33" s="178"/>
      <c r="QEK33" s="178"/>
      <c r="QEL33" s="178"/>
      <c r="QFA33" s="178"/>
      <c r="QFB33" s="178"/>
      <c r="QFQ33" s="178"/>
      <c r="QFR33" s="178"/>
      <c r="QGG33" s="178"/>
      <c r="QGH33" s="178"/>
      <c r="QGW33" s="178"/>
      <c r="QGX33" s="178"/>
      <c r="QHM33" s="178"/>
      <c r="QHN33" s="178"/>
      <c r="QIC33" s="178"/>
      <c r="QID33" s="178"/>
      <c r="QIS33" s="178"/>
      <c r="QIT33" s="178"/>
      <c r="QJI33" s="178"/>
      <c r="QJJ33" s="178"/>
      <c r="QJY33" s="178"/>
      <c r="QJZ33" s="178"/>
      <c r="QKO33" s="178"/>
      <c r="QKP33" s="178"/>
      <c r="QLE33" s="178"/>
      <c r="QLF33" s="178"/>
      <c r="QLU33" s="178"/>
      <c r="QLV33" s="178"/>
      <c r="QMK33" s="178"/>
      <c r="QML33" s="178"/>
      <c r="QNA33" s="178"/>
      <c r="QNB33" s="178"/>
      <c r="QNQ33" s="178"/>
      <c r="QNR33" s="178"/>
      <c r="QOG33" s="178"/>
      <c r="QOH33" s="178"/>
      <c r="QOW33" s="178"/>
      <c r="QOX33" s="178"/>
      <c r="QPM33" s="178"/>
      <c r="QPN33" s="178"/>
      <c r="QQC33" s="178"/>
      <c r="QQD33" s="178"/>
      <c r="QQS33" s="178"/>
      <c r="QQT33" s="178"/>
      <c r="QRI33" s="178"/>
      <c r="QRJ33" s="178"/>
      <c r="QRY33" s="178"/>
      <c r="QRZ33" s="178"/>
      <c r="QSO33" s="178"/>
      <c r="QSP33" s="178"/>
      <c r="QTE33" s="178"/>
      <c r="QTF33" s="178"/>
      <c r="QTU33" s="178"/>
      <c r="QTV33" s="178"/>
      <c r="QUK33" s="178"/>
      <c r="QUL33" s="178"/>
      <c r="QVA33" s="178"/>
      <c r="QVB33" s="178"/>
      <c r="QVQ33" s="178"/>
      <c r="QVR33" s="178"/>
      <c r="QWG33" s="178"/>
      <c r="QWH33" s="178"/>
      <c r="QWW33" s="178"/>
      <c r="QWX33" s="178"/>
      <c r="QXM33" s="178"/>
      <c r="QXN33" s="178"/>
      <c r="QYC33" s="178"/>
      <c r="QYD33" s="178"/>
      <c r="QYS33" s="178"/>
      <c r="QYT33" s="178"/>
      <c r="QZI33" s="178"/>
      <c r="QZJ33" s="178"/>
      <c r="QZY33" s="178"/>
      <c r="QZZ33" s="178"/>
      <c r="RAO33" s="178"/>
      <c r="RAP33" s="178"/>
      <c r="RBE33" s="178"/>
      <c r="RBF33" s="178"/>
      <c r="RBU33" s="178"/>
      <c r="RBV33" s="178"/>
      <c r="RCK33" s="178"/>
      <c r="RCL33" s="178"/>
      <c r="RDA33" s="178"/>
      <c r="RDB33" s="178"/>
      <c r="RDQ33" s="178"/>
      <c r="RDR33" s="178"/>
      <c r="REG33" s="178"/>
      <c r="REH33" s="178"/>
      <c r="REW33" s="178"/>
      <c r="REX33" s="178"/>
      <c r="RFM33" s="178"/>
      <c r="RFN33" s="178"/>
      <c r="RGC33" s="178"/>
      <c r="RGD33" s="178"/>
      <c r="RGS33" s="178"/>
      <c r="RGT33" s="178"/>
      <c r="RHI33" s="178"/>
      <c r="RHJ33" s="178"/>
      <c r="RHY33" s="178"/>
      <c r="RHZ33" s="178"/>
      <c r="RIO33" s="178"/>
      <c r="RIP33" s="178"/>
      <c r="RJE33" s="178"/>
      <c r="RJF33" s="178"/>
      <c r="RJU33" s="178"/>
      <c r="RJV33" s="178"/>
      <c r="RKK33" s="178"/>
      <c r="RKL33" s="178"/>
      <c r="RLA33" s="178"/>
      <c r="RLB33" s="178"/>
      <c r="RLQ33" s="178"/>
      <c r="RLR33" s="178"/>
      <c r="RMG33" s="178"/>
      <c r="RMH33" s="178"/>
      <c r="RMW33" s="178"/>
      <c r="RMX33" s="178"/>
      <c r="RNM33" s="178"/>
      <c r="RNN33" s="178"/>
      <c r="ROC33" s="178"/>
      <c r="ROD33" s="178"/>
      <c r="ROS33" s="178"/>
      <c r="ROT33" s="178"/>
      <c r="RPI33" s="178"/>
      <c r="RPJ33" s="178"/>
      <c r="RPY33" s="178"/>
      <c r="RPZ33" s="178"/>
      <c r="RQO33" s="178"/>
      <c r="RQP33" s="178"/>
      <c r="RRE33" s="178"/>
      <c r="RRF33" s="178"/>
      <c r="RRU33" s="178"/>
      <c r="RRV33" s="178"/>
      <c r="RSK33" s="178"/>
      <c r="RSL33" s="178"/>
      <c r="RTA33" s="178"/>
      <c r="RTB33" s="178"/>
      <c r="RTQ33" s="178"/>
      <c r="RTR33" s="178"/>
      <c r="RUG33" s="178"/>
      <c r="RUH33" s="178"/>
      <c r="RUW33" s="178"/>
      <c r="RUX33" s="178"/>
      <c r="RVM33" s="178"/>
      <c r="RVN33" s="178"/>
      <c r="RWC33" s="178"/>
      <c r="RWD33" s="178"/>
      <c r="RWS33" s="178"/>
      <c r="RWT33" s="178"/>
      <c r="RXI33" s="178"/>
      <c r="RXJ33" s="178"/>
      <c r="RXY33" s="178"/>
      <c r="RXZ33" s="178"/>
      <c r="RYO33" s="178"/>
      <c r="RYP33" s="178"/>
      <c r="RZE33" s="178"/>
      <c r="RZF33" s="178"/>
      <c r="RZU33" s="178"/>
      <c r="RZV33" s="178"/>
      <c r="SAK33" s="178"/>
      <c r="SAL33" s="178"/>
      <c r="SBA33" s="178"/>
      <c r="SBB33" s="178"/>
      <c r="SBQ33" s="178"/>
      <c r="SBR33" s="178"/>
      <c r="SCG33" s="178"/>
      <c r="SCH33" s="178"/>
      <c r="SCW33" s="178"/>
      <c r="SCX33" s="178"/>
      <c r="SDM33" s="178"/>
      <c r="SDN33" s="178"/>
      <c r="SEC33" s="178"/>
      <c r="SED33" s="178"/>
      <c r="SES33" s="178"/>
      <c r="SET33" s="178"/>
      <c r="SFI33" s="178"/>
      <c r="SFJ33" s="178"/>
      <c r="SFY33" s="178"/>
      <c r="SFZ33" s="178"/>
      <c r="SGO33" s="178"/>
      <c r="SGP33" s="178"/>
      <c r="SHE33" s="178"/>
      <c r="SHF33" s="178"/>
      <c r="SHU33" s="178"/>
      <c r="SHV33" s="178"/>
      <c r="SIK33" s="178"/>
      <c r="SIL33" s="178"/>
      <c r="SJA33" s="178"/>
      <c r="SJB33" s="178"/>
      <c r="SJQ33" s="178"/>
      <c r="SJR33" s="178"/>
      <c r="SKG33" s="178"/>
      <c r="SKH33" s="178"/>
      <c r="SKW33" s="178"/>
      <c r="SKX33" s="178"/>
      <c r="SLM33" s="178"/>
      <c r="SLN33" s="178"/>
      <c r="SMC33" s="178"/>
      <c r="SMD33" s="178"/>
      <c r="SMS33" s="178"/>
      <c r="SMT33" s="178"/>
      <c r="SNI33" s="178"/>
      <c r="SNJ33" s="178"/>
      <c r="SNY33" s="178"/>
      <c r="SNZ33" s="178"/>
      <c r="SOO33" s="178"/>
      <c r="SOP33" s="178"/>
      <c r="SPE33" s="178"/>
      <c r="SPF33" s="178"/>
      <c r="SPU33" s="178"/>
      <c r="SPV33" s="178"/>
      <c r="SQK33" s="178"/>
      <c r="SQL33" s="178"/>
      <c r="SRA33" s="178"/>
      <c r="SRB33" s="178"/>
      <c r="SRQ33" s="178"/>
      <c r="SRR33" s="178"/>
      <c r="SSG33" s="178"/>
      <c r="SSH33" s="178"/>
      <c r="SSW33" s="178"/>
      <c r="SSX33" s="178"/>
      <c r="STM33" s="178"/>
      <c r="STN33" s="178"/>
      <c r="SUC33" s="178"/>
      <c r="SUD33" s="178"/>
      <c r="SUS33" s="178"/>
      <c r="SUT33" s="178"/>
      <c r="SVI33" s="178"/>
      <c r="SVJ33" s="178"/>
      <c r="SVY33" s="178"/>
      <c r="SVZ33" s="178"/>
      <c r="SWO33" s="178"/>
      <c r="SWP33" s="178"/>
      <c r="SXE33" s="178"/>
      <c r="SXF33" s="178"/>
      <c r="SXU33" s="178"/>
      <c r="SXV33" s="178"/>
      <c r="SYK33" s="178"/>
      <c r="SYL33" s="178"/>
      <c r="SZA33" s="178"/>
      <c r="SZB33" s="178"/>
      <c r="SZQ33" s="178"/>
      <c r="SZR33" s="178"/>
      <c r="TAG33" s="178"/>
      <c r="TAH33" s="178"/>
      <c r="TAW33" s="178"/>
      <c r="TAX33" s="178"/>
      <c r="TBM33" s="178"/>
      <c r="TBN33" s="178"/>
      <c r="TCC33" s="178"/>
      <c r="TCD33" s="178"/>
      <c r="TCS33" s="178"/>
      <c r="TCT33" s="178"/>
      <c r="TDI33" s="178"/>
      <c r="TDJ33" s="178"/>
      <c r="TDY33" s="178"/>
      <c r="TDZ33" s="178"/>
      <c r="TEO33" s="178"/>
      <c r="TEP33" s="178"/>
      <c r="TFE33" s="178"/>
      <c r="TFF33" s="178"/>
      <c r="TFU33" s="178"/>
      <c r="TFV33" s="178"/>
      <c r="TGK33" s="178"/>
      <c r="TGL33" s="178"/>
      <c r="THA33" s="178"/>
      <c r="THB33" s="178"/>
      <c r="THQ33" s="178"/>
      <c r="THR33" s="178"/>
      <c r="TIG33" s="178"/>
      <c r="TIH33" s="178"/>
      <c r="TIW33" s="178"/>
      <c r="TIX33" s="178"/>
      <c r="TJM33" s="178"/>
      <c r="TJN33" s="178"/>
      <c r="TKC33" s="178"/>
      <c r="TKD33" s="178"/>
      <c r="TKS33" s="178"/>
      <c r="TKT33" s="178"/>
      <c r="TLI33" s="178"/>
      <c r="TLJ33" s="178"/>
      <c r="TLY33" s="178"/>
      <c r="TLZ33" s="178"/>
      <c r="TMO33" s="178"/>
      <c r="TMP33" s="178"/>
      <c r="TNE33" s="178"/>
      <c r="TNF33" s="178"/>
      <c r="TNU33" s="178"/>
      <c r="TNV33" s="178"/>
      <c r="TOK33" s="178"/>
      <c r="TOL33" s="178"/>
      <c r="TPA33" s="178"/>
      <c r="TPB33" s="178"/>
      <c r="TPQ33" s="178"/>
      <c r="TPR33" s="178"/>
      <c r="TQG33" s="178"/>
      <c r="TQH33" s="178"/>
      <c r="TQW33" s="178"/>
      <c r="TQX33" s="178"/>
      <c r="TRM33" s="178"/>
      <c r="TRN33" s="178"/>
      <c r="TSC33" s="178"/>
      <c r="TSD33" s="178"/>
      <c r="TSS33" s="178"/>
      <c r="TST33" s="178"/>
      <c r="TTI33" s="178"/>
      <c r="TTJ33" s="178"/>
      <c r="TTY33" s="178"/>
      <c r="TTZ33" s="178"/>
      <c r="TUO33" s="178"/>
      <c r="TUP33" s="178"/>
      <c r="TVE33" s="178"/>
      <c r="TVF33" s="178"/>
      <c r="TVU33" s="178"/>
      <c r="TVV33" s="178"/>
      <c r="TWK33" s="178"/>
      <c r="TWL33" s="178"/>
      <c r="TXA33" s="178"/>
      <c r="TXB33" s="178"/>
      <c r="TXQ33" s="178"/>
      <c r="TXR33" s="178"/>
      <c r="TYG33" s="178"/>
      <c r="TYH33" s="178"/>
      <c r="TYW33" s="178"/>
      <c r="TYX33" s="178"/>
      <c r="TZM33" s="178"/>
      <c r="TZN33" s="178"/>
      <c r="UAC33" s="178"/>
      <c r="UAD33" s="178"/>
      <c r="UAS33" s="178"/>
      <c r="UAT33" s="178"/>
      <c r="UBI33" s="178"/>
      <c r="UBJ33" s="178"/>
      <c r="UBY33" s="178"/>
      <c r="UBZ33" s="178"/>
      <c r="UCO33" s="178"/>
      <c r="UCP33" s="178"/>
      <c r="UDE33" s="178"/>
      <c r="UDF33" s="178"/>
      <c r="UDU33" s="178"/>
      <c r="UDV33" s="178"/>
      <c r="UEK33" s="178"/>
      <c r="UEL33" s="178"/>
      <c r="UFA33" s="178"/>
      <c r="UFB33" s="178"/>
      <c r="UFQ33" s="178"/>
      <c r="UFR33" s="178"/>
      <c r="UGG33" s="178"/>
      <c r="UGH33" s="178"/>
      <c r="UGW33" s="178"/>
      <c r="UGX33" s="178"/>
      <c r="UHM33" s="178"/>
      <c r="UHN33" s="178"/>
      <c r="UIC33" s="178"/>
      <c r="UID33" s="178"/>
      <c r="UIS33" s="178"/>
      <c r="UIT33" s="178"/>
      <c r="UJI33" s="178"/>
      <c r="UJJ33" s="178"/>
      <c r="UJY33" s="178"/>
      <c r="UJZ33" s="178"/>
      <c r="UKO33" s="178"/>
      <c r="UKP33" s="178"/>
      <c r="ULE33" s="178"/>
      <c r="ULF33" s="178"/>
      <c r="ULU33" s="178"/>
      <c r="ULV33" s="178"/>
      <c r="UMK33" s="178"/>
      <c r="UML33" s="178"/>
      <c r="UNA33" s="178"/>
      <c r="UNB33" s="178"/>
      <c r="UNQ33" s="178"/>
      <c r="UNR33" s="178"/>
      <c r="UOG33" s="178"/>
      <c r="UOH33" s="178"/>
      <c r="UOW33" s="178"/>
      <c r="UOX33" s="178"/>
      <c r="UPM33" s="178"/>
      <c r="UPN33" s="178"/>
      <c r="UQC33" s="178"/>
      <c r="UQD33" s="178"/>
      <c r="UQS33" s="178"/>
      <c r="UQT33" s="178"/>
      <c r="URI33" s="178"/>
      <c r="URJ33" s="178"/>
      <c r="URY33" s="178"/>
      <c r="URZ33" s="178"/>
      <c r="USO33" s="178"/>
      <c r="USP33" s="178"/>
      <c r="UTE33" s="178"/>
      <c r="UTF33" s="178"/>
      <c r="UTU33" s="178"/>
      <c r="UTV33" s="178"/>
      <c r="UUK33" s="178"/>
      <c r="UUL33" s="178"/>
      <c r="UVA33" s="178"/>
      <c r="UVB33" s="178"/>
      <c r="UVQ33" s="178"/>
      <c r="UVR33" s="178"/>
      <c r="UWG33" s="178"/>
      <c r="UWH33" s="178"/>
      <c r="UWW33" s="178"/>
      <c r="UWX33" s="178"/>
      <c r="UXM33" s="178"/>
      <c r="UXN33" s="178"/>
      <c r="UYC33" s="178"/>
      <c r="UYD33" s="178"/>
      <c r="UYS33" s="178"/>
      <c r="UYT33" s="178"/>
      <c r="UZI33" s="178"/>
      <c r="UZJ33" s="178"/>
      <c r="UZY33" s="178"/>
      <c r="UZZ33" s="178"/>
      <c r="VAO33" s="178"/>
      <c r="VAP33" s="178"/>
      <c r="VBE33" s="178"/>
      <c r="VBF33" s="178"/>
      <c r="VBU33" s="178"/>
      <c r="VBV33" s="178"/>
      <c r="VCK33" s="178"/>
      <c r="VCL33" s="178"/>
      <c r="VDA33" s="178"/>
      <c r="VDB33" s="178"/>
      <c r="VDQ33" s="178"/>
      <c r="VDR33" s="178"/>
      <c r="VEG33" s="178"/>
      <c r="VEH33" s="178"/>
      <c r="VEW33" s="178"/>
      <c r="VEX33" s="178"/>
      <c r="VFM33" s="178"/>
      <c r="VFN33" s="178"/>
      <c r="VGC33" s="178"/>
      <c r="VGD33" s="178"/>
      <c r="VGS33" s="178"/>
      <c r="VGT33" s="178"/>
      <c r="VHI33" s="178"/>
      <c r="VHJ33" s="178"/>
      <c r="VHY33" s="178"/>
      <c r="VHZ33" s="178"/>
      <c r="VIO33" s="178"/>
      <c r="VIP33" s="178"/>
      <c r="VJE33" s="178"/>
      <c r="VJF33" s="178"/>
      <c r="VJU33" s="178"/>
      <c r="VJV33" s="178"/>
      <c r="VKK33" s="178"/>
      <c r="VKL33" s="178"/>
      <c r="VLA33" s="178"/>
      <c r="VLB33" s="178"/>
      <c r="VLQ33" s="178"/>
      <c r="VLR33" s="178"/>
      <c r="VMG33" s="178"/>
      <c r="VMH33" s="178"/>
      <c r="VMW33" s="178"/>
      <c r="VMX33" s="178"/>
      <c r="VNM33" s="178"/>
      <c r="VNN33" s="178"/>
      <c r="VOC33" s="178"/>
      <c r="VOD33" s="178"/>
      <c r="VOS33" s="178"/>
      <c r="VOT33" s="178"/>
      <c r="VPI33" s="178"/>
      <c r="VPJ33" s="178"/>
      <c r="VPY33" s="178"/>
      <c r="VPZ33" s="178"/>
      <c r="VQO33" s="178"/>
      <c r="VQP33" s="178"/>
      <c r="VRE33" s="178"/>
      <c r="VRF33" s="178"/>
      <c r="VRU33" s="178"/>
      <c r="VRV33" s="178"/>
      <c r="VSK33" s="178"/>
      <c r="VSL33" s="178"/>
      <c r="VTA33" s="178"/>
      <c r="VTB33" s="178"/>
      <c r="VTQ33" s="178"/>
      <c r="VTR33" s="178"/>
      <c r="VUG33" s="178"/>
      <c r="VUH33" s="178"/>
      <c r="VUW33" s="178"/>
      <c r="VUX33" s="178"/>
      <c r="VVM33" s="178"/>
      <c r="VVN33" s="178"/>
      <c r="VWC33" s="178"/>
      <c r="VWD33" s="178"/>
      <c r="VWS33" s="178"/>
      <c r="VWT33" s="178"/>
      <c r="VXI33" s="178"/>
      <c r="VXJ33" s="178"/>
      <c r="VXY33" s="178"/>
      <c r="VXZ33" s="178"/>
      <c r="VYO33" s="178"/>
      <c r="VYP33" s="178"/>
      <c r="VZE33" s="178"/>
      <c r="VZF33" s="178"/>
      <c r="VZU33" s="178"/>
      <c r="VZV33" s="178"/>
      <c r="WAK33" s="178"/>
      <c r="WAL33" s="178"/>
      <c r="WBA33" s="178"/>
      <c r="WBB33" s="178"/>
      <c r="WBQ33" s="178"/>
      <c r="WBR33" s="178"/>
      <c r="WCG33" s="178"/>
      <c r="WCH33" s="178"/>
      <c r="WCW33" s="178"/>
      <c r="WCX33" s="178"/>
      <c r="WDM33" s="178"/>
      <c r="WDN33" s="178"/>
      <c r="WEC33" s="178"/>
      <c r="WED33" s="178"/>
      <c r="WES33" s="178"/>
      <c r="WET33" s="178"/>
      <c r="WFI33" s="178"/>
      <c r="WFJ33" s="178"/>
      <c r="WFY33" s="178"/>
      <c r="WFZ33" s="178"/>
      <c r="WGO33" s="178"/>
      <c r="WGP33" s="178"/>
      <c r="WHE33" s="178"/>
      <c r="WHF33" s="178"/>
      <c r="WHU33" s="178"/>
      <c r="WHV33" s="178"/>
      <c r="WIK33" s="178"/>
      <c r="WIL33" s="178"/>
      <c r="WJA33" s="178"/>
      <c r="WJB33" s="178"/>
      <c r="WJQ33" s="178"/>
      <c r="WJR33" s="178"/>
      <c r="WKG33" s="178"/>
      <c r="WKH33" s="178"/>
      <c r="WKW33" s="178"/>
      <c r="WKX33" s="178"/>
      <c r="WLM33" s="178"/>
      <c r="WLN33" s="178"/>
      <c r="WMC33" s="178"/>
      <c r="WMD33" s="178"/>
      <c r="WMS33" s="178"/>
      <c r="WMT33" s="178"/>
      <c r="WNI33" s="178"/>
      <c r="WNJ33" s="178"/>
      <c r="WNY33" s="178"/>
      <c r="WNZ33" s="178"/>
      <c r="WOO33" s="178"/>
      <c r="WOP33" s="178"/>
      <c r="WPE33" s="178"/>
      <c r="WPF33" s="178"/>
      <c r="WPU33" s="178"/>
      <c r="WPV33" s="178"/>
      <c r="WQK33" s="178"/>
      <c r="WQL33" s="178"/>
      <c r="WRA33" s="178"/>
      <c r="WRB33" s="178"/>
      <c r="WRQ33" s="178"/>
      <c r="WRR33" s="178"/>
      <c r="WSG33" s="178"/>
      <c r="WSH33" s="178"/>
      <c r="WSW33" s="178"/>
      <c r="WSX33" s="178"/>
      <c r="WTM33" s="178"/>
      <c r="WTN33" s="178"/>
      <c r="WUC33" s="178"/>
      <c r="WUD33" s="178"/>
      <c r="WUS33" s="178"/>
      <c r="WUT33" s="178"/>
      <c r="WVI33" s="178"/>
      <c r="WVJ33" s="178"/>
      <c r="WVY33" s="178"/>
      <c r="WVZ33" s="178"/>
      <c r="WWO33" s="178"/>
      <c r="WWP33" s="178"/>
      <c r="WXE33" s="178"/>
      <c r="WXF33" s="178"/>
      <c r="WXU33" s="178"/>
      <c r="WXV33" s="178"/>
      <c r="WYK33" s="178"/>
      <c r="WYL33" s="178"/>
      <c r="WZA33" s="178"/>
      <c r="WZB33" s="178"/>
      <c r="WZQ33" s="178"/>
      <c r="WZR33" s="178"/>
      <c r="XAG33" s="178"/>
      <c r="XAH33" s="178"/>
      <c r="XAW33" s="178"/>
      <c r="XAX33" s="178"/>
      <c r="XBM33" s="178"/>
      <c r="XBN33" s="178"/>
    </row>
    <row r="34" spans="1:1010 1025:2034 2049:3058 3073:4082 4097:5106 5121:6130 6145:7154 7169:8178 8193:9202 9217:10226 10241:11250 11265:12274 12289:13298 13313:14322 14337:15346 15361:16290" s="240" customFormat="1" ht="13.8" x14ac:dyDescent="0.3">
      <c r="A34" s="180" t="s">
        <v>445</v>
      </c>
      <c r="B34" s="180" t="s">
        <v>424</v>
      </c>
      <c r="C34" s="181">
        <f>SUM(tb_Distr[[#This Row],[PLAN]:[ENTR.]])</f>
        <v>1.0000000000000002</v>
      </c>
      <c r="D34" s="179">
        <v>0.1</v>
      </c>
      <c r="E34" s="179">
        <v>0.2</v>
      </c>
      <c r="F34" s="179">
        <v>7.0000000000000007E-2</v>
      </c>
      <c r="G34" s="179">
        <v>0.23</v>
      </c>
      <c r="H34" s="179">
        <v>0.3</v>
      </c>
      <c r="I34" s="179"/>
      <c r="J34" s="179"/>
      <c r="K34" s="179"/>
      <c r="L34" s="179"/>
      <c r="M34" s="179"/>
      <c r="N34" s="179"/>
      <c r="O34" s="179"/>
      <c r="P34" s="179"/>
      <c r="Q34" s="179">
        <v>0.1</v>
      </c>
      <c r="R34" s="178"/>
      <c r="AG34" s="178"/>
      <c r="AH34" s="178"/>
      <c r="AW34" s="178"/>
      <c r="AX34" s="178"/>
      <c r="BM34" s="178"/>
      <c r="BN34" s="178"/>
      <c r="CC34" s="178"/>
      <c r="CD34" s="178"/>
      <c r="CS34" s="178"/>
      <c r="CT34" s="178"/>
      <c r="DI34" s="178"/>
      <c r="DJ34" s="178"/>
      <c r="DY34" s="178"/>
      <c r="DZ34" s="178"/>
      <c r="EO34" s="178"/>
      <c r="EP34" s="178"/>
      <c r="FE34" s="178"/>
      <c r="FF34" s="178"/>
      <c r="FU34" s="178"/>
      <c r="FV34" s="178"/>
      <c r="GK34" s="178"/>
      <c r="GL34" s="178"/>
      <c r="HA34" s="178"/>
      <c r="HB34" s="178"/>
      <c r="HQ34" s="178"/>
      <c r="HR34" s="178"/>
      <c r="IG34" s="178"/>
      <c r="IH34" s="178"/>
      <c r="IW34" s="178"/>
      <c r="IX34" s="178"/>
      <c r="JM34" s="178"/>
      <c r="JN34" s="178"/>
      <c r="KC34" s="178"/>
      <c r="KD34" s="178"/>
      <c r="KS34" s="178"/>
      <c r="KT34" s="178"/>
      <c r="LI34" s="178"/>
      <c r="LJ34" s="178"/>
      <c r="LY34" s="178"/>
      <c r="LZ34" s="178"/>
      <c r="MO34" s="178"/>
      <c r="MP34" s="178"/>
      <c r="NE34" s="178"/>
      <c r="NF34" s="178"/>
      <c r="NU34" s="178"/>
      <c r="NV34" s="178"/>
      <c r="OK34" s="178"/>
      <c r="OL34" s="178"/>
      <c r="PA34" s="178"/>
      <c r="PB34" s="178"/>
      <c r="PQ34" s="178"/>
      <c r="PR34" s="178"/>
      <c r="QG34" s="178"/>
      <c r="QH34" s="178"/>
      <c r="QW34" s="178"/>
      <c r="QX34" s="178"/>
      <c r="RM34" s="178"/>
      <c r="RN34" s="178"/>
      <c r="SC34" s="178"/>
      <c r="SD34" s="178"/>
      <c r="SS34" s="178"/>
      <c r="ST34" s="178"/>
      <c r="TI34" s="178"/>
      <c r="TJ34" s="178"/>
      <c r="TY34" s="178"/>
      <c r="TZ34" s="178"/>
      <c r="UO34" s="178"/>
      <c r="UP34" s="178"/>
      <c r="VE34" s="178"/>
      <c r="VF34" s="178"/>
      <c r="VU34" s="178"/>
      <c r="VV34" s="178"/>
      <c r="WK34" s="178"/>
      <c r="WL34" s="178"/>
      <c r="XA34" s="178"/>
      <c r="XB34" s="178"/>
      <c r="XQ34" s="178"/>
      <c r="XR34" s="178"/>
      <c r="YG34" s="178"/>
      <c r="YH34" s="178"/>
      <c r="YW34" s="178"/>
      <c r="YX34" s="178"/>
      <c r="ZM34" s="178"/>
      <c r="ZN34" s="178"/>
      <c r="AAC34" s="178"/>
      <c r="AAD34" s="178"/>
      <c r="AAS34" s="178"/>
      <c r="AAT34" s="178"/>
      <c r="ABI34" s="178"/>
      <c r="ABJ34" s="178"/>
      <c r="ABY34" s="178"/>
      <c r="ABZ34" s="178"/>
      <c r="ACO34" s="178"/>
      <c r="ACP34" s="178"/>
      <c r="ADE34" s="178"/>
      <c r="ADF34" s="178"/>
      <c r="ADU34" s="178"/>
      <c r="ADV34" s="178"/>
      <c r="AEK34" s="178"/>
      <c r="AEL34" s="178"/>
      <c r="AFA34" s="178"/>
      <c r="AFB34" s="178"/>
      <c r="AFQ34" s="178"/>
      <c r="AFR34" s="178"/>
      <c r="AGG34" s="178"/>
      <c r="AGH34" s="178"/>
      <c r="AGW34" s="178"/>
      <c r="AGX34" s="178"/>
      <c r="AHM34" s="178"/>
      <c r="AHN34" s="178"/>
      <c r="AIC34" s="178"/>
      <c r="AID34" s="178"/>
      <c r="AIS34" s="178"/>
      <c r="AIT34" s="178"/>
      <c r="AJI34" s="178"/>
      <c r="AJJ34" s="178"/>
      <c r="AJY34" s="178"/>
      <c r="AJZ34" s="178"/>
      <c r="AKO34" s="178"/>
      <c r="AKP34" s="178"/>
      <c r="ALE34" s="178"/>
      <c r="ALF34" s="178"/>
      <c r="ALU34" s="178"/>
      <c r="ALV34" s="178"/>
      <c r="AMK34" s="178"/>
      <c r="AML34" s="178"/>
      <c r="ANA34" s="178"/>
      <c r="ANB34" s="178"/>
      <c r="ANQ34" s="178"/>
      <c r="ANR34" s="178"/>
      <c r="AOG34" s="178"/>
      <c r="AOH34" s="178"/>
      <c r="AOW34" s="178"/>
      <c r="AOX34" s="178"/>
      <c r="APM34" s="178"/>
      <c r="APN34" s="178"/>
      <c r="AQC34" s="178"/>
      <c r="AQD34" s="178"/>
      <c r="AQS34" s="178"/>
      <c r="AQT34" s="178"/>
      <c r="ARI34" s="178"/>
      <c r="ARJ34" s="178"/>
      <c r="ARY34" s="178"/>
      <c r="ARZ34" s="178"/>
      <c r="ASO34" s="178"/>
      <c r="ASP34" s="178"/>
      <c r="ATE34" s="178"/>
      <c r="ATF34" s="178"/>
      <c r="ATU34" s="178"/>
      <c r="ATV34" s="178"/>
      <c r="AUK34" s="178"/>
      <c r="AUL34" s="178"/>
      <c r="AVA34" s="178"/>
      <c r="AVB34" s="178"/>
      <c r="AVQ34" s="178"/>
      <c r="AVR34" s="178"/>
      <c r="AWG34" s="178"/>
      <c r="AWH34" s="178"/>
      <c r="AWW34" s="178"/>
      <c r="AWX34" s="178"/>
      <c r="AXM34" s="178"/>
      <c r="AXN34" s="178"/>
      <c r="AYC34" s="178"/>
      <c r="AYD34" s="178"/>
      <c r="AYS34" s="178"/>
      <c r="AYT34" s="178"/>
      <c r="AZI34" s="178"/>
      <c r="AZJ34" s="178"/>
      <c r="AZY34" s="178"/>
      <c r="AZZ34" s="178"/>
      <c r="BAO34" s="178"/>
      <c r="BAP34" s="178"/>
      <c r="BBE34" s="178"/>
      <c r="BBF34" s="178"/>
      <c r="BBU34" s="178"/>
      <c r="BBV34" s="178"/>
      <c r="BCK34" s="178"/>
      <c r="BCL34" s="178"/>
      <c r="BDA34" s="178"/>
      <c r="BDB34" s="178"/>
      <c r="BDQ34" s="178"/>
      <c r="BDR34" s="178"/>
      <c r="BEG34" s="178"/>
      <c r="BEH34" s="178"/>
      <c r="BEW34" s="178"/>
      <c r="BEX34" s="178"/>
      <c r="BFM34" s="178"/>
      <c r="BFN34" s="178"/>
      <c r="BGC34" s="178"/>
      <c r="BGD34" s="178"/>
      <c r="BGS34" s="178"/>
      <c r="BGT34" s="178"/>
      <c r="BHI34" s="178"/>
      <c r="BHJ34" s="178"/>
      <c r="BHY34" s="178"/>
      <c r="BHZ34" s="178"/>
      <c r="BIO34" s="178"/>
      <c r="BIP34" s="178"/>
      <c r="BJE34" s="178"/>
      <c r="BJF34" s="178"/>
      <c r="BJU34" s="178"/>
      <c r="BJV34" s="178"/>
      <c r="BKK34" s="178"/>
      <c r="BKL34" s="178"/>
      <c r="BLA34" s="178"/>
      <c r="BLB34" s="178"/>
      <c r="BLQ34" s="178"/>
      <c r="BLR34" s="178"/>
      <c r="BMG34" s="178"/>
      <c r="BMH34" s="178"/>
      <c r="BMW34" s="178"/>
      <c r="BMX34" s="178"/>
      <c r="BNM34" s="178"/>
      <c r="BNN34" s="178"/>
      <c r="BOC34" s="178"/>
      <c r="BOD34" s="178"/>
      <c r="BOS34" s="178"/>
      <c r="BOT34" s="178"/>
      <c r="BPI34" s="178"/>
      <c r="BPJ34" s="178"/>
      <c r="BPY34" s="178"/>
      <c r="BPZ34" s="178"/>
      <c r="BQO34" s="178"/>
      <c r="BQP34" s="178"/>
      <c r="BRE34" s="178"/>
      <c r="BRF34" s="178"/>
      <c r="BRU34" s="178"/>
      <c r="BRV34" s="178"/>
      <c r="BSK34" s="178"/>
      <c r="BSL34" s="178"/>
      <c r="BTA34" s="178"/>
      <c r="BTB34" s="178"/>
      <c r="BTQ34" s="178"/>
      <c r="BTR34" s="178"/>
      <c r="BUG34" s="178"/>
      <c r="BUH34" s="178"/>
      <c r="BUW34" s="178"/>
      <c r="BUX34" s="178"/>
      <c r="BVM34" s="178"/>
      <c r="BVN34" s="178"/>
      <c r="BWC34" s="178"/>
      <c r="BWD34" s="178"/>
      <c r="BWS34" s="178"/>
      <c r="BWT34" s="178"/>
      <c r="BXI34" s="178"/>
      <c r="BXJ34" s="178"/>
      <c r="BXY34" s="178"/>
      <c r="BXZ34" s="178"/>
      <c r="BYO34" s="178"/>
      <c r="BYP34" s="178"/>
      <c r="BZE34" s="178"/>
      <c r="BZF34" s="178"/>
      <c r="BZU34" s="178"/>
      <c r="BZV34" s="178"/>
      <c r="CAK34" s="178"/>
      <c r="CAL34" s="178"/>
      <c r="CBA34" s="178"/>
      <c r="CBB34" s="178"/>
      <c r="CBQ34" s="178"/>
      <c r="CBR34" s="178"/>
      <c r="CCG34" s="178"/>
      <c r="CCH34" s="178"/>
      <c r="CCW34" s="178"/>
      <c r="CCX34" s="178"/>
      <c r="CDM34" s="178"/>
      <c r="CDN34" s="178"/>
      <c r="CEC34" s="178"/>
      <c r="CED34" s="178"/>
      <c r="CES34" s="178"/>
      <c r="CET34" s="178"/>
      <c r="CFI34" s="178"/>
      <c r="CFJ34" s="178"/>
      <c r="CFY34" s="178"/>
      <c r="CFZ34" s="178"/>
      <c r="CGO34" s="178"/>
      <c r="CGP34" s="178"/>
      <c r="CHE34" s="178"/>
      <c r="CHF34" s="178"/>
      <c r="CHU34" s="178"/>
      <c r="CHV34" s="178"/>
      <c r="CIK34" s="178"/>
      <c r="CIL34" s="178"/>
      <c r="CJA34" s="178"/>
      <c r="CJB34" s="178"/>
      <c r="CJQ34" s="178"/>
      <c r="CJR34" s="178"/>
      <c r="CKG34" s="178"/>
      <c r="CKH34" s="178"/>
      <c r="CKW34" s="178"/>
      <c r="CKX34" s="178"/>
      <c r="CLM34" s="178"/>
      <c r="CLN34" s="178"/>
      <c r="CMC34" s="178"/>
      <c r="CMD34" s="178"/>
      <c r="CMS34" s="178"/>
      <c r="CMT34" s="178"/>
      <c r="CNI34" s="178"/>
      <c r="CNJ34" s="178"/>
      <c r="CNY34" s="178"/>
      <c r="CNZ34" s="178"/>
      <c r="COO34" s="178"/>
      <c r="COP34" s="178"/>
      <c r="CPE34" s="178"/>
      <c r="CPF34" s="178"/>
      <c r="CPU34" s="178"/>
      <c r="CPV34" s="178"/>
      <c r="CQK34" s="178"/>
      <c r="CQL34" s="178"/>
      <c r="CRA34" s="178"/>
      <c r="CRB34" s="178"/>
      <c r="CRQ34" s="178"/>
      <c r="CRR34" s="178"/>
      <c r="CSG34" s="178"/>
      <c r="CSH34" s="178"/>
      <c r="CSW34" s="178"/>
      <c r="CSX34" s="178"/>
      <c r="CTM34" s="178"/>
      <c r="CTN34" s="178"/>
      <c r="CUC34" s="178"/>
      <c r="CUD34" s="178"/>
      <c r="CUS34" s="178"/>
      <c r="CUT34" s="178"/>
      <c r="CVI34" s="178"/>
      <c r="CVJ34" s="178"/>
      <c r="CVY34" s="178"/>
      <c r="CVZ34" s="178"/>
      <c r="CWO34" s="178"/>
      <c r="CWP34" s="178"/>
      <c r="CXE34" s="178"/>
      <c r="CXF34" s="178"/>
      <c r="CXU34" s="178"/>
      <c r="CXV34" s="178"/>
      <c r="CYK34" s="178"/>
      <c r="CYL34" s="178"/>
      <c r="CZA34" s="178"/>
      <c r="CZB34" s="178"/>
      <c r="CZQ34" s="178"/>
      <c r="CZR34" s="178"/>
      <c r="DAG34" s="178"/>
      <c r="DAH34" s="178"/>
      <c r="DAW34" s="178"/>
      <c r="DAX34" s="178"/>
      <c r="DBM34" s="178"/>
      <c r="DBN34" s="178"/>
      <c r="DCC34" s="178"/>
      <c r="DCD34" s="178"/>
      <c r="DCS34" s="178"/>
      <c r="DCT34" s="178"/>
      <c r="DDI34" s="178"/>
      <c r="DDJ34" s="178"/>
      <c r="DDY34" s="178"/>
      <c r="DDZ34" s="178"/>
      <c r="DEO34" s="178"/>
      <c r="DEP34" s="178"/>
      <c r="DFE34" s="178"/>
      <c r="DFF34" s="178"/>
      <c r="DFU34" s="178"/>
      <c r="DFV34" s="178"/>
      <c r="DGK34" s="178"/>
      <c r="DGL34" s="178"/>
      <c r="DHA34" s="178"/>
      <c r="DHB34" s="178"/>
      <c r="DHQ34" s="178"/>
      <c r="DHR34" s="178"/>
      <c r="DIG34" s="178"/>
      <c r="DIH34" s="178"/>
      <c r="DIW34" s="178"/>
      <c r="DIX34" s="178"/>
      <c r="DJM34" s="178"/>
      <c r="DJN34" s="178"/>
      <c r="DKC34" s="178"/>
      <c r="DKD34" s="178"/>
      <c r="DKS34" s="178"/>
      <c r="DKT34" s="178"/>
      <c r="DLI34" s="178"/>
      <c r="DLJ34" s="178"/>
      <c r="DLY34" s="178"/>
      <c r="DLZ34" s="178"/>
      <c r="DMO34" s="178"/>
      <c r="DMP34" s="178"/>
      <c r="DNE34" s="178"/>
      <c r="DNF34" s="178"/>
      <c r="DNU34" s="178"/>
      <c r="DNV34" s="178"/>
      <c r="DOK34" s="178"/>
      <c r="DOL34" s="178"/>
      <c r="DPA34" s="178"/>
      <c r="DPB34" s="178"/>
      <c r="DPQ34" s="178"/>
      <c r="DPR34" s="178"/>
      <c r="DQG34" s="178"/>
      <c r="DQH34" s="178"/>
      <c r="DQW34" s="178"/>
      <c r="DQX34" s="178"/>
      <c r="DRM34" s="178"/>
      <c r="DRN34" s="178"/>
      <c r="DSC34" s="178"/>
      <c r="DSD34" s="178"/>
      <c r="DSS34" s="178"/>
      <c r="DST34" s="178"/>
      <c r="DTI34" s="178"/>
      <c r="DTJ34" s="178"/>
      <c r="DTY34" s="178"/>
      <c r="DTZ34" s="178"/>
      <c r="DUO34" s="178"/>
      <c r="DUP34" s="178"/>
      <c r="DVE34" s="178"/>
      <c r="DVF34" s="178"/>
      <c r="DVU34" s="178"/>
      <c r="DVV34" s="178"/>
      <c r="DWK34" s="178"/>
      <c r="DWL34" s="178"/>
      <c r="DXA34" s="178"/>
      <c r="DXB34" s="178"/>
      <c r="DXQ34" s="178"/>
      <c r="DXR34" s="178"/>
      <c r="DYG34" s="178"/>
      <c r="DYH34" s="178"/>
      <c r="DYW34" s="178"/>
      <c r="DYX34" s="178"/>
      <c r="DZM34" s="178"/>
      <c r="DZN34" s="178"/>
      <c r="EAC34" s="178"/>
      <c r="EAD34" s="178"/>
      <c r="EAS34" s="178"/>
      <c r="EAT34" s="178"/>
      <c r="EBI34" s="178"/>
      <c r="EBJ34" s="178"/>
      <c r="EBY34" s="178"/>
      <c r="EBZ34" s="178"/>
      <c r="ECO34" s="178"/>
      <c r="ECP34" s="178"/>
      <c r="EDE34" s="178"/>
      <c r="EDF34" s="178"/>
      <c r="EDU34" s="178"/>
      <c r="EDV34" s="178"/>
      <c r="EEK34" s="178"/>
      <c r="EEL34" s="178"/>
      <c r="EFA34" s="178"/>
      <c r="EFB34" s="178"/>
      <c r="EFQ34" s="178"/>
      <c r="EFR34" s="178"/>
      <c r="EGG34" s="178"/>
      <c r="EGH34" s="178"/>
      <c r="EGW34" s="178"/>
      <c r="EGX34" s="178"/>
      <c r="EHM34" s="178"/>
      <c r="EHN34" s="178"/>
      <c r="EIC34" s="178"/>
      <c r="EID34" s="178"/>
      <c r="EIS34" s="178"/>
      <c r="EIT34" s="178"/>
      <c r="EJI34" s="178"/>
      <c r="EJJ34" s="178"/>
      <c r="EJY34" s="178"/>
      <c r="EJZ34" s="178"/>
      <c r="EKO34" s="178"/>
      <c r="EKP34" s="178"/>
      <c r="ELE34" s="178"/>
      <c r="ELF34" s="178"/>
      <c r="ELU34" s="178"/>
      <c r="ELV34" s="178"/>
      <c r="EMK34" s="178"/>
      <c r="EML34" s="178"/>
      <c r="ENA34" s="178"/>
      <c r="ENB34" s="178"/>
      <c r="ENQ34" s="178"/>
      <c r="ENR34" s="178"/>
      <c r="EOG34" s="178"/>
      <c r="EOH34" s="178"/>
      <c r="EOW34" s="178"/>
      <c r="EOX34" s="178"/>
      <c r="EPM34" s="178"/>
      <c r="EPN34" s="178"/>
      <c r="EQC34" s="178"/>
      <c r="EQD34" s="178"/>
      <c r="EQS34" s="178"/>
      <c r="EQT34" s="178"/>
      <c r="ERI34" s="178"/>
      <c r="ERJ34" s="178"/>
      <c r="ERY34" s="178"/>
      <c r="ERZ34" s="178"/>
      <c r="ESO34" s="178"/>
      <c r="ESP34" s="178"/>
      <c r="ETE34" s="178"/>
      <c r="ETF34" s="178"/>
      <c r="ETU34" s="178"/>
      <c r="ETV34" s="178"/>
      <c r="EUK34" s="178"/>
      <c r="EUL34" s="178"/>
      <c r="EVA34" s="178"/>
      <c r="EVB34" s="178"/>
      <c r="EVQ34" s="178"/>
      <c r="EVR34" s="178"/>
      <c r="EWG34" s="178"/>
      <c r="EWH34" s="178"/>
      <c r="EWW34" s="178"/>
      <c r="EWX34" s="178"/>
      <c r="EXM34" s="178"/>
      <c r="EXN34" s="178"/>
      <c r="EYC34" s="178"/>
      <c r="EYD34" s="178"/>
      <c r="EYS34" s="178"/>
      <c r="EYT34" s="178"/>
      <c r="EZI34" s="178"/>
      <c r="EZJ34" s="178"/>
      <c r="EZY34" s="178"/>
      <c r="EZZ34" s="178"/>
      <c r="FAO34" s="178"/>
      <c r="FAP34" s="178"/>
      <c r="FBE34" s="178"/>
      <c r="FBF34" s="178"/>
      <c r="FBU34" s="178"/>
      <c r="FBV34" s="178"/>
      <c r="FCK34" s="178"/>
      <c r="FCL34" s="178"/>
      <c r="FDA34" s="178"/>
      <c r="FDB34" s="178"/>
      <c r="FDQ34" s="178"/>
      <c r="FDR34" s="178"/>
      <c r="FEG34" s="178"/>
      <c r="FEH34" s="178"/>
      <c r="FEW34" s="178"/>
      <c r="FEX34" s="178"/>
      <c r="FFM34" s="178"/>
      <c r="FFN34" s="178"/>
      <c r="FGC34" s="178"/>
      <c r="FGD34" s="178"/>
      <c r="FGS34" s="178"/>
      <c r="FGT34" s="178"/>
      <c r="FHI34" s="178"/>
      <c r="FHJ34" s="178"/>
      <c r="FHY34" s="178"/>
      <c r="FHZ34" s="178"/>
      <c r="FIO34" s="178"/>
      <c r="FIP34" s="178"/>
      <c r="FJE34" s="178"/>
      <c r="FJF34" s="178"/>
      <c r="FJU34" s="178"/>
      <c r="FJV34" s="178"/>
      <c r="FKK34" s="178"/>
      <c r="FKL34" s="178"/>
      <c r="FLA34" s="178"/>
      <c r="FLB34" s="178"/>
      <c r="FLQ34" s="178"/>
      <c r="FLR34" s="178"/>
      <c r="FMG34" s="178"/>
      <c r="FMH34" s="178"/>
      <c r="FMW34" s="178"/>
      <c r="FMX34" s="178"/>
      <c r="FNM34" s="178"/>
      <c r="FNN34" s="178"/>
      <c r="FOC34" s="178"/>
      <c r="FOD34" s="178"/>
      <c r="FOS34" s="178"/>
      <c r="FOT34" s="178"/>
      <c r="FPI34" s="178"/>
      <c r="FPJ34" s="178"/>
      <c r="FPY34" s="178"/>
      <c r="FPZ34" s="178"/>
      <c r="FQO34" s="178"/>
      <c r="FQP34" s="178"/>
      <c r="FRE34" s="178"/>
      <c r="FRF34" s="178"/>
      <c r="FRU34" s="178"/>
      <c r="FRV34" s="178"/>
      <c r="FSK34" s="178"/>
      <c r="FSL34" s="178"/>
      <c r="FTA34" s="178"/>
      <c r="FTB34" s="178"/>
      <c r="FTQ34" s="178"/>
      <c r="FTR34" s="178"/>
      <c r="FUG34" s="178"/>
      <c r="FUH34" s="178"/>
      <c r="FUW34" s="178"/>
      <c r="FUX34" s="178"/>
      <c r="FVM34" s="178"/>
      <c r="FVN34" s="178"/>
      <c r="FWC34" s="178"/>
      <c r="FWD34" s="178"/>
      <c r="FWS34" s="178"/>
      <c r="FWT34" s="178"/>
      <c r="FXI34" s="178"/>
      <c r="FXJ34" s="178"/>
      <c r="FXY34" s="178"/>
      <c r="FXZ34" s="178"/>
      <c r="FYO34" s="178"/>
      <c r="FYP34" s="178"/>
      <c r="FZE34" s="178"/>
      <c r="FZF34" s="178"/>
      <c r="FZU34" s="178"/>
      <c r="FZV34" s="178"/>
      <c r="GAK34" s="178"/>
      <c r="GAL34" s="178"/>
      <c r="GBA34" s="178"/>
      <c r="GBB34" s="178"/>
      <c r="GBQ34" s="178"/>
      <c r="GBR34" s="178"/>
      <c r="GCG34" s="178"/>
      <c r="GCH34" s="178"/>
      <c r="GCW34" s="178"/>
      <c r="GCX34" s="178"/>
      <c r="GDM34" s="178"/>
      <c r="GDN34" s="178"/>
      <c r="GEC34" s="178"/>
      <c r="GED34" s="178"/>
      <c r="GES34" s="178"/>
      <c r="GET34" s="178"/>
      <c r="GFI34" s="178"/>
      <c r="GFJ34" s="178"/>
      <c r="GFY34" s="178"/>
      <c r="GFZ34" s="178"/>
      <c r="GGO34" s="178"/>
      <c r="GGP34" s="178"/>
      <c r="GHE34" s="178"/>
      <c r="GHF34" s="178"/>
      <c r="GHU34" s="178"/>
      <c r="GHV34" s="178"/>
      <c r="GIK34" s="178"/>
      <c r="GIL34" s="178"/>
      <c r="GJA34" s="178"/>
      <c r="GJB34" s="178"/>
      <c r="GJQ34" s="178"/>
      <c r="GJR34" s="178"/>
      <c r="GKG34" s="178"/>
      <c r="GKH34" s="178"/>
      <c r="GKW34" s="178"/>
      <c r="GKX34" s="178"/>
      <c r="GLM34" s="178"/>
      <c r="GLN34" s="178"/>
      <c r="GMC34" s="178"/>
      <c r="GMD34" s="178"/>
      <c r="GMS34" s="178"/>
      <c r="GMT34" s="178"/>
      <c r="GNI34" s="178"/>
      <c r="GNJ34" s="178"/>
      <c r="GNY34" s="178"/>
      <c r="GNZ34" s="178"/>
      <c r="GOO34" s="178"/>
      <c r="GOP34" s="178"/>
      <c r="GPE34" s="178"/>
      <c r="GPF34" s="178"/>
      <c r="GPU34" s="178"/>
      <c r="GPV34" s="178"/>
      <c r="GQK34" s="178"/>
      <c r="GQL34" s="178"/>
      <c r="GRA34" s="178"/>
      <c r="GRB34" s="178"/>
      <c r="GRQ34" s="178"/>
      <c r="GRR34" s="178"/>
      <c r="GSG34" s="178"/>
      <c r="GSH34" s="178"/>
      <c r="GSW34" s="178"/>
      <c r="GSX34" s="178"/>
      <c r="GTM34" s="178"/>
      <c r="GTN34" s="178"/>
      <c r="GUC34" s="178"/>
      <c r="GUD34" s="178"/>
      <c r="GUS34" s="178"/>
      <c r="GUT34" s="178"/>
      <c r="GVI34" s="178"/>
      <c r="GVJ34" s="178"/>
      <c r="GVY34" s="178"/>
      <c r="GVZ34" s="178"/>
      <c r="GWO34" s="178"/>
      <c r="GWP34" s="178"/>
      <c r="GXE34" s="178"/>
      <c r="GXF34" s="178"/>
      <c r="GXU34" s="178"/>
      <c r="GXV34" s="178"/>
      <c r="GYK34" s="178"/>
      <c r="GYL34" s="178"/>
      <c r="GZA34" s="178"/>
      <c r="GZB34" s="178"/>
      <c r="GZQ34" s="178"/>
      <c r="GZR34" s="178"/>
      <c r="HAG34" s="178"/>
      <c r="HAH34" s="178"/>
      <c r="HAW34" s="178"/>
      <c r="HAX34" s="178"/>
      <c r="HBM34" s="178"/>
      <c r="HBN34" s="178"/>
      <c r="HCC34" s="178"/>
      <c r="HCD34" s="178"/>
      <c r="HCS34" s="178"/>
      <c r="HCT34" s="178"/>
      <c r="HDI34" s="178"/>
      <c r="HDJ34" s="178"/>
      <c r="HDY34" s="178"/>
      <c r="HDZ34" s="178"/>
      <c r="HEO34" s="178"/>
      <c r="HEP34" s="178"/>
      <c r="HFE34" s="178"/>
      <c r="HFF34" s="178"/>
      <c r="HFU34" s="178"/>
      <c r="HFV34" s="178"/>
      <c r="HGK34" s="178"/>
      <c r="HGL34" s="178"/>
      <c r="HHA34" s="178"/>
      <c r="HHB34" s="178"/>
      <c r="HHQ34" s="178"/>
      <c r="HHR34" s="178"/>
      <c r="HIG34" s="178"/>
      <c r="HIH34" s="178"/>
      <c r="HIW34" s="178"/>
      <c r="HIX34" s="178"/>
      <c r="HJM34" s="178"/>
      <c r="HJN34" s="178"/>
      <c r="HKC34" s="178"/>
      <c r="HKD34" s="178"/>
      <c r="HKS34" s="178"/>
      <c r="HKT34" s="178"/>
      <c r="HLI34" s="178"/>
      <c r="HLJ34" s="178"/>
      <c r="HLY34" s="178"/>
      <c r="HLZ34" s="178"/>
      <c r="HMO34" s="178"/>
      <c r="HMP34" s="178"/>
      <c r="HNE34" s="178"/>
      <c r="HNF34" s="178"/>
      <c r="HNU34" s="178"/>
      <c r="HNV34" s="178"/>
      <c r="HOK34" s="178"/>
      <c r="HOL34" s="178"/>
      <c r="HPA34" s="178"/>
      <c r="HPB34" s="178"/>
      <c r="HPQ34" s="178"/>
      <c r="HPR34" s="178"/>
      <c r="HQG34" s="178"/>
      <c r="HQH34" s="178"/>
      <c r="HQW34" s="178"/>
      <c r="HQX34" s="178"/>
      <c r="HRM34" s="178"/>
      <c r="HRN34" s="178"/>
      <c r="HSC34" s="178"/>
      <c r="HSD34" s="178"/>
      <c r="HSS34" s="178"/>
      <c r="HST34" s="178"/>
      <c r="HTI34" s="178"/>
      <c r="HTJ34" s="178"/>
      <c r="HTY34" s="178"/>
      <c r="HTZ34" s="178"/>
      <c r="HUO34" s="178"/>
      <c r="HUP34" s="178"/>
      <c r="HVE34" s="178"/>
      <c r="HVF34" s="178"/>
      <c r="HVU34" s="178"/>
      <c r="HVV34" s="178"/>
      <c r="HWK34" s="178"/>
      <c r="HWL34" s="178"/>
      <c r="HXA34" s="178"/>
      <c r="HXB34" s="178"/>
      <c r="HXQ34" s="178"/>
      <c r="HXR34" s="178"/>
      <c r="HYG34" s="178"/>
      <c r="HYH34" s="178"/>
      <c r="HYW34" s="178"/>
      <c r="HYX34" s="178"/>
      <c r="HZM34" s="178"/>
      <c r="HZN34" s="178"/>
      <c r="IAC34" s="178"/>
      <c r="IAD34" s="178"/>
      <c r="IAS34" s="178"/>
      <c r="IAT34" s="178"/>
      <c r="IBI34" s="178"/>
      <c r="IBJ34" s="178"/>
      <c r="IBY34" s="178"/>
      <c r="IBZ34" s="178"/>
      <c r="ICO34" s="178"/>
      <c r="ICP34" s="178"/>
      <c r="IDE34" s="178"/>
      <c r="IDF34" s="178"/>
      <c r="IDU34" s="178"/>
      <c r="IDV34" s="178"/>
      <c r="IEK34" s="178"/>
      <c r="IEL34" s="178"/>
      <c r="IFA34" s="178"/>
      <c r="IFB34" s="178"/>
      <c r="IFQ34" s="178"/>
      <c r="IFR34" s="178"/>
      <c r="IGG34" s="178"/>
      <c r="IGH34" s="178"/>
      <c r="IGW34" s="178"/>
      <c r="IGX34" s="178"/>
      <c r="IHM34" s="178"/>
      <c r="IHN34" s="178"/>
      <c r="IIC34" s="178"/>
      <c r="IID34" s="178"/>
      <c r="IIS34" s="178"/>
      <c r="IIT34" s="178"/>
      <c r="IJI34" s="178"/>
      <c r="IJJ34" s="178"/>
      <c r="IJY34" s="178"/>
      <c r="IJZ34" s="178"/>
      <c r="IKO34" s="178"/>
      <c r="IKP34" s="178"/>
      <c r="ILE34" s="178"/>
      <c r="ILF34" s="178"/>
      <c r="ILU34" s="178"/>
      <c r="ILV34" s="178"/>
      <c r="IMK34" s="178"/>
      <c r="IML34" s="178"/>
      <c r="INA34" s="178"/>
      <c r="INB34" s="178"/>
      <c r="INQ34" s="178"/>
      <c r="INR34" s="178"/>
      <c r="IOG34" s="178"/>
      <c r="IOH34" s="178"/>
      <c r="IOW34" s="178"/>
      <c r="IOX34" s="178"/>
      <c r="IPM34" s="178"/>
      <c r="IPN34" s="178"/>
      <c r="IQC34" s="178"/>
      <c r="IQD34" s="178"/>
      <c r="IQS34" s="178"/>
      <c r="IQT34" s="178"/>
      <c r="IRI34" s="178"/>
      <c r="IRJ34" s="178"/>
      <c r="IRY34" s="178"/>
      <c r="IRZ34" s="178"/>
      <c r="ISO34" s="178"/>
      <c r="ISP34" s="178"/>
      <c r="ITE34" s="178"/>
      <c r="ITF34" s="178"/>
      <c r="ITU34" s="178"/>
      <c r="ITV34" s="178"/>
      <c r="IUK34" s="178"/>
      <c r="IUL34" s="178"/>
      <c r="IVA34" s="178"/>
      <c r="IVB34" s="178"/>
      <c r="IVQ34" s="178"/>
      <c r="IVR34" s="178"/>
      <c r="IWG34" s="178"/>
      <c r="IWH34" s="178"/>
      <c r="IWW34" s="178"/>
      <c r="IWX34" s="178"/>
      <c r="IXM34" s="178"/>
      <c r="IXN34" s="178"/>
      <c r="IYC34" s="178"/>
      <c r="IYD34" s="178"/>
      <c r="IYS34" s="178"/>
      <c r="IYT34" s="178"/>
      <c r="IZI34" s="178"/>
      <c r="IZJ34" s="178"/>
      <c r="IZY34" s="178"/>
      <c r="IZZ34" s="178"/>
      <c r="JAO34" s="178"/>
      <c r="JAP34" s="178"/>
      <c r="JBE34" s="178"/>
      <c r="JBF34" s="178"/>
      <c r="JBU34" s="178"/>
      <c r="JBV34" s="178"/>
      <c r="JCK34" s="178"/>
      <c r="JCL34" s="178"/>
      <c r="JDA34" s="178"/>
      <c r="JDB34" s="178"/>
      <c r="JDQ34" s="178"/>
      <c r="JDR34" s="178"/>
      <c r="JEG34" s="178"/>
      <c r="JEH34" s="178"/>
      <c r="JEW34" s="178"/>
      <c r="JEX34" s="178"/>
      <c r="JFM34" s="178"/>
      <c r="JFN34" s="178"/>
      <c r="JGC34" s="178"/>
      <c r="JGD34" s="178"/>
      <c r="JGS34" s="178"/>
      <c r="JGT34" s="178"/>
      <c r="JHI34" s="178"/>
      <c r="JHJ34" s="178"/>
      <c r="JHY34" s="178"/>
      <c r="JHZ34" s="178"/>
      <c r="JIO34" s="178"/>
      <c r="JIP34" s="178"/>
      <c r="JJE34" s="178"/>
      <c r="JJF34" s="178"/>
      <c r="JJU34" s="178"/>
      <c r="JJV34" s="178"/>
      <c r="JKK34" s="178"/>
      <c r="JKL34" s="178"/>
      <c r="JLA34" s="178"/>
      <c r="JLB34" s="178"/>
      <c r="JLQ34" s="178"/>
      <c r="JLR34" s="178"/>
      <c r="JMG34" s="178"/>
      <c r="JMH34" s="178"/>
      <c r="JMW34" s="178"/>
      <c r="JMX34" s="178"/>
      <c r="JNM34" s="178"/>
      <c r="JNN34" s="178"/>
      <c r="JOC34" s="178"/>
      <c r="JOD34" s="178"/>
      <c r="JOS34" s="178"/>
      <c r="JOT34" s="178"/>
      <c r="JPI34" s="178"/>
      <c r="JPJ34" s="178"/>
      <c r="JPY34" s="178"/>
      <c r="JPZ34" s="178"/>
      <c r="JQO34" s="178"/>
      <c r="JQP34" s="178"/>
      <c r="JRE34" s="178"/>
      <c r="JRF34" s="178"/>
      <c r="JRU34" s="178"/>
      <c r="JRV34" s="178"/>
      <c r="JSK34" s="178"/>
      <c r="JSL34" s="178"/>
      <c r="JTA34" s="178"/>
      <c r="JTB34" s="178"/>
      <c r="JTQ34" s="178"/>
      <c r="JTR34" s="178"/>
      <c r="JUG34" s="178"/>
      <c r="JUH34" s="178"/>
      <c r="JUW34" s="178"/>
      <c r="JUX34" s="178"/>
      <c r="JVM34" s="178"/>
      <c r="JVN34" s="178"/>
      <c r="JWC34" s="178"/>
      <c r="JWD34" s="178"/>
      <c r="JWS34" s="178"/>
      <c r="JWT34" s="178"/>
      <c r="JXI34" s="178"/>
      <c r="JXJ34" s="178"/>
      <c r="JXY34" s="178"/>
      <c r="JXZ34" s="178"/>
      <c r="JYO34" s="178"/>
      <c r="JYP34" s="178"/>
      <c r="JZE34" s="178"/>
      <c r="JZF34" s="178"/>
      <c r="JZU34" s="178"/>
      <c r="JZV34" s="178"/>
      <c r="KAK34" s="178"/>
      <c r="KAL34" s="178"/>
      <c r="KBA34" s="178"/>
      <c r="KBB34" s="178"/>
      <c r="KBQ34" s="178"/>
      <c r="KBR34" s="178"/>
      <c r="KCG34" s="178"/>
      <c r="KCH34" s="178"/>
      <c r="KCW34" s="178"/>
      <c r="KCX34" s="178"/>
      <c r="KDM34" s="178"/>
      <c r="KDN34" s="178"/>
      <c r="KEC34" s="178"/>
      <c r="KED34" s="178"/>
      <c r="KES34" s="178"/>
      <c r="KET34" s="178"/>
      <c r="KFI34" s="178"/>
      <c r="KFJ34" s="178"/>
      <c r="KFY34" s="178"/>
      <c r="KFZ34" s="178"/>
      <c r="KGO34" s="178"/>
      <c r="KGP34" s="178"/>
      <c r="KHE34" s="178"/>
      <c r="KHF34" s="178"/>
      <c r="KHU34" s="178"/>
      <c r="KHV34" s="178"/>
      <c r="KIK34" s="178"/>
      <c r="KIL34" s="178"/>
      <c r="KJA34" s="178"/>
      <c r="KJB34" s="178"/>
      <c r="KJQ34" s="178"/>
      <c r="KJR34" s="178"/>
      <c r="KKG34" s="178"/>
      <c r="KKH34" s="178"/>
      <c r="KKW34" s="178"/>
      <c r="KKX34" s="178"/>
      <c r="KLM34" s="178"/>
      <c r="KLN34" s="178"/>
      <c r="KMC34" s="178"/>
      <c r="KMD34" s="178"/>
      <c r="KMS34" s="178"/>
      <c r="KMT34" s="178"/>
      <c r="KNI34" s="178"/>
      <c r="KNJ34" s="178"/>
      <c r="KNY34" s="178"/>
      <c r="KNZ34" s="178"/>
      <c r="KOO34" s="178"/>
      <c r="KOP34" s="178"/>
      <c r="KPE34" s="178"/>
      <c r="KPF34" s="178"/>
      <c r="KPU34" s="178"/>
      <c r="KPV34" s="178"/>
      <c r="KQK34" s="178"/>
      <c r="KQL34" s="178"/>
      <c r="KRA34" s="178"/>
      <c r="KRB34" s="178"/>
      <c r="KRQ34" s="178"/>
      <c r="KRR34" s="178"/>
      <c r="KSG34" s="178"/>
      <c r="KSH34" s="178"/>
      <c r="KSW34" s="178"/>
      <c r="KSX34" s="178"/>
      <c r="KTM34" s="178"/>
      <c r="KTN34" s="178"/>
      <c r="KUC34" s="178"/>
      <c r="KUD34" s="178"/>
      <c r="KUS34" s="178"/>
      <c r="KUT34" s="178"/>
      <c r="KVI34" s="178"/>
      <c r="KVJ34" s="178"/>
      <c r="KVY34" s="178"/>
      <c r="KVZ34" s="178"/>
      <c r="KWO34" s="178"/>
      <c r="KWP34" s="178"/>
      <c r="KXE34" s="178"/>
      <c r="KXF34" s="178"/>
      <c r="KXU34" s="178"/>
      <c r="KXV34" s="178"/>
      <c r="KYK34" s="178"/>
      <c r="KYL34" s="178"/>
      <c r="KZA34" s="178"/>
      <c r="KZB34" s="178"/>
      <c r="KZQ34" s="178"/>
      <c r="KZR34" s="178"/>
      <c r="LAG34" s="178"/>
      <c r="LAH34" s="178"/>
      <c r="LAW34" s="178"/>
      <c r="LAX34" s="178"/>
      <c r="LBM34" s="178"/>
      <c r="LBN34" s="178"/>
      <c r="LCC34" s="178"/>
      <c r="LCD34" s="178"/>
      <c r="LCS34" s="178"/>
      <c r="LCT34" s="178"/>
      <c r="LDI34" s="178"/>
      <c r="LDJ34" s="178"/>
      <c r="LDY34" s="178"/>
      <c r="LDZ34" s="178"/>
      <c r="LEO34" s="178"/>
      <c r="LEP34" s="178"/>
      <c r="LFE34" s="178"/>
      <c r="LFF34" s="178"/>
      <c r="LFU34" s="178"/>
      <c r="LFV34" s="178"/>
      <c r="LGK34" s="178"/>
      <c r="LGL34" s="178"/>
      <c r="LHA34" s="178"/>
      <c r="LHB34" s="178"/>
      <c r="LHQ34" s="178"/>
      <c r="LHR34" s="178"/>
      <c r="LIG34" s="178"/>
      <c r="LIH34" s="178"/>
      <c r="LIW34" s="178"/>
      <c r="LIX34" s="178"/>
      <c r="LJM34" s="178"/>
      <c r="LJN34" s="178"/>
      <c r="LKC34" s="178"/>
      <c r="LKD34" s="178"/>
      <c r="LKS34" s="178"/>
      <c r="LKT34" s="178"/>
      <c r="LLI34" s="178"/>
      <c r="LLJ34" s="178"/>
      <c r="LLY34" s="178"/>
      <c r="LLZ34" s="178"/>
      <c r="LMO34" s="178"/>
      <c r="LMP34" s="178"/>
      <c r="LNE34" s="178"/>
      <c r="LNF34" s="178"/>
      <c r="LNU34" s="178"/>
      <c r="LNV34" s="178"/>
      <c r="LOK34" s="178"/>
      <c r="LOL34" s="178"/>
      <c r="LPA34" s="178"/>
      <c r="LPB34" s="178"/>
      <c r="LPQ34" s="178"/>
      <c r="LPR34" s="178"/>
      <c r="LQG34" s="178"/>
      <c r="LQH34" s="178"/>
      <c r="LQW34" s="178"/>
      <c r="LQX34" s="178"/>
      <c r="LRM34" s="178"/>
      <c r="LRN34" s="178"/>
      <c r="LSC34" s="178"/>
      <c r="LSD34" s="178"/>
      <c r="LSS34" s="178"/>
      <c r="LST34" s="178"/>
      <c r="LTI34" s="178"/>
      <c r="LTJ34" s="178"/>
      <c r="LTY34" s="178"/>
      <c r="LTZ34" s="178"/>
      <c r="LUO34" s="178"/>
      <c r="LUP34" s="178"/>
      <c r="LVE34" s="178"/>
      <c r="LVF34" s="178"/>
      <c r="LVU34" s="178"/>
      <c r="LVV34" s="178"/>
      <c r="LWK34" s="178"/>
      <c r="LWL34" s="178"/>
      <c r="LXA34" s="178"/>
      <c r="LXB34" s="178"/>
      <c r="LXQ34" s="178"/>
      <c r="LXR34" s="178"/>
      <c r="LYG34" s="178"/>
      <c r="LYH34" s="178"/>
      <c r="LYW34" s="178"/>
      <c r="LYX34" s="178"/>
      <c r="LZM34" s="178"/>
      <c r="LZN34" s="178"/>
      <c r="MAC34" s="178"/>
      <c r="MAD34" s="178"/>
      <c r="MAS34" s="178"/>
      <c r="MAT34" s="178"/>
      <c r="MBI34" s="178"/>
      <c r="MBJ34" s="178"/>
      <c r="MBY34" s="178"/>
      <c r="MBZ34" s="178"/>
      <c r="MCO34" s="178"/>
      <c r="MCP34" s="178"/>
      <c r="MDE34" s="178"/>
      <c r="MDF34" s="178"/>
      <c r="MDU34" s="178"/>
      <c r="MDV34" s="178"/>
      <c r="MEK34" s="178"/>
      <c r="MEL34" s="178"/>
      <c r="MFA34" s="178"/>
      <c r="MFB34" s="178"/>
      <c r="MFQ34" s="178"/>
      <c r="MFR34" s="178"/>
      <c r="MGG34" s="178"/>
      <c r="MGH34" s="178"/>
      <c r="MGW34" s="178"/>
      <c r="MGX34" s="178"/>
      <c r="MHM34" s="178"/>
      <c r="MHN34" s="178"/>
      <c r="MIC34" s="178"/>
      <c r="MID34" s="178"/>
      <c r="MIS34" s="178"/>
      <c r="MIT34" s="178"/>
      <c r="MJI34" s="178"/>
      <c r="MJJ34" s="178"/>
      <c r="MJY34" s="178"/>
      <c r="MJZ34" s="178"/>
      <c r="MKO34" s="178"/>
      <c r="MKP34" s="178"/>
      <c r="MLE34" s="178"/>
      <c r="MLF34" s="178"/>
      <c r="MLU34" s="178"/>
      <c r="MLV34" s="178"/>
      <c r="MMK34" s="178"/>
      <c r="MML34" s="178"/>
      <c r="MNA34" s="178"/>
      <c r="MNB34" s="178"/>
      <c r="MNQ34" s="178"/>
      <c r="MNR34" s="178"/>
      <c r="MOG34" s="178"/>
      <c r="MOH34" s="178"/>
      <c r="MOW34" s="178"/>
      <c r="MOX34" s="178"/>
      <c r="MPM34" s="178"/>
      <c r="MPN34" s="178"/>
      <c r="MQC34" s="178"/>
      <c r="MQD34" s="178"/>
      <c r="MQS34" s="178"/>
      <c r="MQT34" s="178"/>
      <c r="MRI34" s="178"/>
      <c r="MRJ34" s="178"/>
      <c r="MRY34" s="178"/>
      <c r="MRZ34" s="178"/>
      <c r="MSO34" s="178"/>
      <c r="MSP34" s="178"/>
      <c r="MTE34" s="178"/>
      <c r="MTF34" s="178"/>
      <c r="MTU34" s="178"/>
      <c r="MTV34" s="178"/>
      <c r="MUK34" s="178"/>
      <c r="MUL34" s="178"/>
      <c r="MVA34" s="178"/>
      <c r="MVB34" s="178"/>
      <c r="MVQ34" s="178"/>
      <c r="MVR34" s="178"/>
      <c r="MWG34" s="178"/>
      <c r="MWH34" s="178"/>
      <c r="MWW34" s="178"/>
      <c r="MWX34" s="178"/>
      <c r="MXM34" s="178"/>
      <c r="MXN34" s="178"/>
      <c r="MYC34" s="178"/>
      <c r="MYD34" s="178"/>
      <c r="MYS34" s="178"/>
      <c r="MYT34" s="178"/>
      <c r="MZI34" s="178"/>
      <c r="MZJ34" s="178"/>
      <c r="MZY34" s="178"/>
      <c r="MZZ34" s="178"/>
      <c r="NAO34" s="178"/>
      <c r="NAP34" s="178"/>
      <c r="NBE34" s="178"/>
      <c r="NBF34" s="178"/>
      <c r="NBU34" s="178"/>
      <c r="NBV34" s="178"/>
      <c r="NCK34" s="178"/>
      <c r="NCL34" s="178"/>
      <c r="NDA34" s="178"/>
      <c r="NDB34" s="178"/>
      <c r="NDQ34" s="178"/>
      <c r="NDR34" s="178"/>
      <c r="NEG34" s="178"/>
      <c r="NEH34" s="178"/>
      <c r="NEW34" s="178"/>
      <c r="NEX34" s="178"/>
      <c r="NFM34" s="178"/>
      <c r="NFN34" s="178"/>
      <c r="NGC34" s="178"/>
      <c r="NGD34" s="178"/>
      <c r="NGS34" s="178"/>
      <c r="NGT34" s="178"/>
      <c r="NHI34" s="178"/>
      <c r="NHJ34" s="178"/>
      <c r="NHY34" s="178"/>
      <c r="NHZ34" s="178"/>
      <c r="NIO34" s="178"/>
      <c r="NIP34" s="178"/>
      <c r="NJE34" s="178"/>
      <c r="NJF34" s="178"/>
      <c r="NJU34" s="178"/>
      <c r="NJV34" s="178"/>
      <c r="NKK34" s="178"/>
      <c r="NKL34" s="178"/>
      <c r="NLA34" s="178"/>
      <c r="NLB34" s="178"/>
      <c r="NLQ34" s="178"/>
      <c r="NLR34" s="178"/>
      <c r="NMG34" s="178"/>
      <c r="NMH34" s="178"/>
      <c r="NMW34" s="178"/>
      <c r="NMX34" s="178"/>
      <c r="NNM34" s="178"/>
      <c r="NNN34" s="178"/>
      <c r="NOC34" s="178"/>
      <c r="NOD34" s="178"/>
      <c r="NOS34" s="178"/>
      <c r="NOT34" s="178"/>
      <c r="NPI34" s="178"/>
      <c r="NPJ34" s="178"/>
      <c r="NPY34" s="178"/>
      <c r="NPZ34" s="178"/>
      <c r="NQO34" s="178"/>
      <c r="NQP34" s="178"/>
      <c r="NRE34" s="178"/>
      <c r="NRF34" s="178"/>
      <c r="NRU34" s="178"/>
      <c r="NRV34" s="178"/>
      <c r="NSK34" s="178"/>
      <c r="NSL34" s="178"/>
      <c r="NTA34" s="178"/>
      <c r="NTB34" s="178"/>
      <c r="NTQ34" s="178"/>
      <c r="NTR34" s="178"/>
      <c r="NUG34" s="178"/>
      <c r="NUH34" s="178"/>
      <c r="NUW34" s="178"/>
      <c r="NUX34" s="178"/>
      <c r="NVM34" s="178"/>
      <c r="NVN34" s="178"/>
      <c r="NWC34" s="178"/>
      <c r="NWD34" s="178"/>
      <c r="NWS34" s="178"/>
      <c r="NWT34" s="178"/>
      <c r="NXI34" s="178"/>
      <c r="NXJ34" s="178"/>
      <c r="NXY34" s="178"/>
      <c r="NXZ34" s="178"/>
      <c r="NYO34" s="178"/>
      <c r="NYP34" s="178"/>
      <c r="NZE34" s="178"/>
      <c r="NZF34" s="178"/>
      <c r="NZU34" s="178"/>
      <c r="NZV34" s="178"/>
      <c r="OAK34" s="178"/>
      <c r="OAL34" s="178"/>
      <c r="OBA34" s="178"/>
      <c r="OBB34" s="178"/>
      <c r="OBQ34" s="178"/>
      <c r="OBR34" s="178"/>
      <c r="OCG34" s="178"/>
      <c r="OCH34" s="178"/>
      <c r="OCW34" s="178"/>
      <c r="OCX34" s="178"/>
      <c r="ODM34" s="178"/>
      <c r="ODN34" s="178"/>
      <c r="OEC34" s="178"/>
      <c r="OED34" s="178"/>
      <c r="OES34" s="178"/>
      <c r="OET34" s="178"/>
      <c r="OFI34" s="178"/>
      <c r="OFJ34" s="178"/>
      <c r="OFY34" s="178"/>
      <c r="OFZ34" s="178"/>
      <c r="OGO34" s="178"/>
      <c r="OGP34" s="178"/>
      <c r="OHE34" s="178"/>
      <c r="OHF34" s="178"/>
      <c r="OHU34" s="178"/>
      <c r="OHV34" s="178"/>
      <c r="OIK34" s="178"/>
      <c r="OIL34" s="178"/>
      <c r="OJA34" s="178"/>
      <c r="OJB34" s="178"/>
      <c r="OJQ34" s="178"/>
      <c r="OJR34" s="178"/>
      <c r="OKG34" s="178"/>
      <c r="OKH34" s="178"/>
      <c r="OKW34" s="178"/>
      <c r="OKX34" s="178"/>
      <c r="OLM34" s="178"/>
      <c r="OLN34" s="178"/>
      <c r="OMC34" s="178"/>
      <c r="OMD34" s="178"/>
      <c r="OMS34" s="178"/>
      <c r="OMT34" s="178"/>
      <c r="ONI34" s="178"/>
      <c r="ONJ34" s="178"/>
      <c r="ONY34" s="178"/>
      <c r="ONZ34" s="178"/>
      <c r="OOO34" s="178"/>
      <c r="OOP34" s="178"/>
      <c r="OPE34" s="178"/>
      <c r="OPF34" s="178"/>
      <c r="OPU34" s="178"/>
      <c r="OPV34" s="178"/>
      <c r="OQK34" s="178"/>
      <c r="OQL34" s="178"/>
      <c r="ORA34" s="178"/>
      <c r="ORB34" s="178"/>
      <c r="ORQ34" s="178"/>
      <c r="ORR34" s="178"/>
      <c r="OSG34" s="178"/>
      <c r="OSH34" s="178"/>
      <c r="OSW34" s="178"/>
      <c r="OSX34" s="178"/>
      <c r="OTM34" s="178"/>
      <c r="OTN34" s="178"/>
      <c r="OUC34" s="178"/>
      <c r="OUD34" s="178"/>
      <c r="OUS34" s="178"/>
      <c r="OUT34" s="178"/>
      <c r="OVI34" s="178"/>
      <c r="OVJ34" s="178"/>
      <c r="OVY34" s="178"/>
      <c r="OVZ34" s="178"/>
      <c r="OWO34" s="178"/>
      <c r="OWP34" s="178"/>
      <c r="OXE34" s="178"/>
      <c r="OXF34" s="178"/>
      <c r="OXU34" s="178"/>
      <c r="OXV34" s="178"/>
      <c r="OYK34" s="178"/>
      <c r="OYL34" s="178"/>
      <c r="OZA34" s="178"/>
      <c r="OZB34" s="178"/>
      <c r="OZQ34" s="178"/>
      <c r="OZR34" s="178"/>
      <c r="PAG34" s="178"/>
      <c r="PAH34" s="178"/>
      <c r="PAW34" s="178"/>
      <c r="PAX34" s="178"/>
      <c r="PBM34" s="178"/>
      <c r="PBN34" s="178"/>
      <c r="PCC34" s="178"/>
      <c r="PCD34" s="178"/>
      <c r="PCS34" s="178"/>
      <c r="PCT34" s="178"/>
      <c r="PDI34" s="178"/>
      <c r="PDJ34" s="178"/>
      <c r="PDY34" s="178"/>
      <c r="PDZ34" s="178"/>
      <c r="PEO34" s="178"/>
      <c r="PEP34" s="178"/>
      <c r="PFE34" s="178"/>
      <c r="PFF34" s="178"/>
      <c r="PFU34" s="178"/>
      <c r="PFV34" s="178"/>
      <c r="PGK34" s="178"/>
      <c r="PGL34" s="178"/>
      <c r="PHA34" s="178"/>
      <c r="PHB34" s="178"/>
      <c r="PHQ34" s="178"/>
      <c r="PHR34" s="178"/>
      <c r="PIG34" s="178"/>
      <c r="PIH34" s="178"/>
      <c r="PIW34" s="178"/>
      <c r="PIX34" s="178"/>
      <c r="PJM34" s="178"/>
      <c r="PJN34" s="178"/>
      <c r="PKC34" s="178"/>
      <c r="PKD34" s="178"/>
      <c r="PKS34" s="178"/>
      <c r="PKT34" s="178"/>
      <c r="PLI34" s="178"/>
      <c r="PLJ34" s="178"/>
      <c r="PLY34" s="178"/>
      <c r="PLZ34" s="178"/>
      <c r="PMO34" s="178"/>
      <c r="PMP34" s="178"/>
      <c r="PNE34" s="178"/>
      <c r="PNF34" s="178"/>
      <c r="PNU34" s="178"/>
      <c r="PNV34" s="178"/>
      <c r="POK34" s="178"/>
      <c r="POL34" s="178"/>
      <c r="PPA34" s="178"/>
      <c r="PPB34" s="178"/>
      <c r="PPQ34" s="178"/>
      <c r="PPR34" s="178"/>
      <c r="PQG34" s="178"/>
      <c r="PQH34" s="178"/>
      <c r="PQW34" s="178"/>
      <c r="PQX34" s="178"/>
      <c r="PRM34" s="178"/>
      <c r="PRN34" s="178"/>
      <c r="PSC34" s="178"/>
      <c r="PSD34" s="178"/>
      <c r="PSS34" s="178"/>
      <c r="PST34" s="178"/>
      <c r="PTI34" s="178"/>
      <c r="PTJ34" s="178"/>
      <c r="PTY34" s="178"/>
      <c r="PTZ34" s="178"/>
      <c r="PUO34" s="178"/>
      <c r="PUP34" s="178"/>
      <c r="PVE34" s="178"/>
      <c r="PVF34" s="178"/>
      <c r="PVU34" s="178"/>
      <c r="PVV34" s="178"/>
      <c r="PWK34" s="178"/>
      <c r="PWL34" s="178"/>
      <c r="PXA34" s="178"/>
      <c r="PXB34" s="178"/>
      <c r="PXQ34" s="178"/>
      <c r="PXR34" s="178"/>
      <c r="PYG34" s="178"/>
      <c r="PYH34" s="178"/>
      <c r="PYW34" s="178"/>
      <c r="PYX34" s="178"/>
      <c r="PZM34" s="178"/>
      <c r="PZN34" s="178"/>
      <c r="QAC34" s="178"/>
      <c r="QAD34" s="178"/>
      <c r="QAS34" s="178"/>
      <c r="QAT34" s="178"/>
      <c r="QBI34" s="178"/>
      <c r="QBJ34" s="178"/>
      <c r="QBY34" s="178"/>
      <c r="QBZ34" s="178"/>
      <c r="QCO34" s="178"/>
      <c r="QCP34" s="178"/>
      <c r="QDE34" s="178"/>
      <c r="QDF34" s="178"/>
      <c r="QDU34" s="178"/>
      <c r="QDV34" s="178"/>
      <c r="QEK34" s="178"/>
      <c r="QEL34" s="178"/>
      <c r="QFA34" s="178"/>
      <c r="QFB34" s="178"/>
      <c r="QFQ34" s="178"/>
      <c r="QFR34" s="178"/>
      <c r="QGG34" s="178"/>
      <c r="QGH34" s="178"/>
      <c r="QGW34" s="178"/>
      <c r="QGX34" s="178"/>
      <c r="QHM34" s="178"/>
      <c r="QHN34" s="178"/>
      <c r="QIC34" s="178"/>
      <c r="QID34" s="178"/>
      <c r="QIS34" s="178"/>
      <c r="QIT34" s="178"/>
      <c r="QJI34" s="178"/>
      <c r="QJJ34" s="178"/>
      <c r="QJY34" s="178"/>
      <c r="QJZ34" s="178"/>
      <c r="QKO34" s="178"/>
      <c r="QKP34" s="178"/>
      <c r="QLE34" s="178"/>
      <c r="QLF34" s="178"/>
      <c r="QLU34" s="178"/>
      <c r="QLV34" s="178"/>
      <c r="QMK34" s="178"/>
      <c r="QML34" s="178"/>
      <c r="QNA34" s="178"/>
      <c r="QNB34" s="178"/>
      <c r="QNQ34" s="178"/>
      <c r="QNR34" s="178"/>
      <c r="QOG34" s="178"/>
      <c r="QOH34" s="178"/>
      <c r="QOW34" s="178"/>
      <c r="QOX34" s="178"/>
      <c r="QPM34" s="178"/>
      <c r="QPN34" s="178"/>
      <c r="QQC34" s="178"/>
      <c r="QQD34" s="178"/>
      <c r="QQS34" s="178"/>
      <c r="QQT34" s="178"/>
      <c r="QRI34" s="178"/>
      <c r="QRJ34" s="178"/>
      <c r="QRY34" s="178"/>
      <c r="QRZ34" s="178"/>
      <c r="QSO34" s="178"/>
      <c r="QSP34" s="178"/>
      <c r="QTE34" s="178"/>
      <c r="QTF34" s="178"/>
      <c r="QTU34" s="178"/>
      <c r="QTV34" s="178"/>
      <c r="QUK34" s="178"/>
      <c r="QUL34" s="178"/>
      <c r="QVA34" s="178"/>
      <c r="QVB34" s="178"/>
      <c r="QVQ34" s="178"/>
      <c r="QVR34" s="178"/>
      <c r="QWG34" s="178"/>
      <c r="QWH34" s="178"/>
      <c r="QWW34" s="178"/>
      <c r="QWX34" s="178"/>
      <c r="QXM34" s="178"/>
      <c r="QXN34" s="178"/>
      <c r="QYC34" s="178"/>
      <c r="QYD34" s="178"/>
      <c r="QYS34" s="178"/>
      <c r="QYT34" s="178"/>
      <c r="QZI34" s="178"/>
      <c r="QZJ34" s="178"/>
      <c r="QZY34" s="178"/>
      <c r="QZZ34" s="178"/>
      <c r="RAO34" s="178"/>
      <c r="RAP34" s="178"/>
      <c r="RBE34" s="178"/>
      <c r="RBF34" s="178"/>
      <c r="RBU34" s="178"/>
      <c r="RBV34" s="178"/>
      <c r="RCK34" s="178"/>
      <c r="RCL34" s="178"/>
      <c r="RDA34" s="178"/>
      <c r="RDB34" s="178"/>
      <c r="RDQ34" s="178"/>
      <c r="RDR34" s="178"/>
      <c r="REG34" s="178"/>
      <c r="REH34" s="178"/>
      <c r="REW34" s="178"/>
      <c r="REX34" s="178"/>
      <c r="RFM34" s="178"/>
      <c r="RFN34" s="178"/>
      <c r="RGC34" s="178"/>
      <c r="RGD34" s="178"/>
      <c r="RGS34" s="178"/>
      <c r="RGT34" s="178"/>
      <c r="RHI34" s="178"/>
      <c r="RHJ34" s="178"/>
      <c r="RHY34" s="178"/>
      <c r="RHZ34" s="178"/>
      <c r="RIO34" s="178"/>
      <c r="RIP34" s="178"/>
      <c r="RJE34" s="178"/>
      <c r="RJF34" s="178"/>
      <c r="RJU34" s="178"/>
      <c r="RJV34" s="178"/>
      <c r="RKK34" s="178"/>
      <c r="RKL34" s="178"/>
      <c r="RLA34" s="178"/>
      <c r="RLB34" s="178"/>
      <c r="RLQ34" s="178"/>
      <c r="RLR34" s="178"/>
      <c r="RMG34" s="178"/>
      <c r="RMH34" s="178"/>
      <c r="RMW34" s="178"/>
      <c r="RMX34" s="178"/>
      <c r="RNM34" s="178"/>
      <c r="RNN34" s="178"/>
      <c r="ROC34" s="178"/>
      <c r="ROD34" s="178"/>
      <c r="ROS34" s="178"/>
      <c r="ROT34" s="178"/>
      <c r="RPI34" s="178"/>
      <c r="RPJ34" s="178"/>
      <c r="RPY34" s="178"/>
      <c r="RPZ34" s="178"/>
      <c r="RQO34" s="178"/>
      <c r="RQP34" s="178"/>
      <c r="RRE34" s="178"/>
      <c r="RRF34" s="178"/>
      <c r="RRU34" s="178"/>
      <c r="RRV34" s="178"/>
      <c r="RSK34" s="178"/>
      <c r="RSL34" s="178"/>
      <c r="RTA34" s="178"/>
      <c r="RTB34" s="178"/>
      <c r="RTQ34" s="178"/>
      <c r="RTR34" s="178"/>
      <c r="RUG34" s="178"/>
      <c r="RUH34" s="178"/>
      <c r="RUW34" s="178"/>
      <c r="RUX34" s="178"/>
      <c r="RVM34" s="178"/>
      <c r="RVN34" s="178"/>
      <c r="RWC34" s="178"/>
      <c r="RWD34" s="178"/>
      <c r="RWS34" s="178"/>
      <c r="RWT34" s="178"/>
      <c r="RXI34" s="178"/>
      <c r="RXJ34" s="178"/>
      <c r="RXY34" s="178"/>
      <c r="RXZ34" s="178"/>
      <c r="RYO34" s="178"/>
      <c r="RYP34" s="178"/>
      <c r="RZE34" s="178"/>
      <c r="RZF34" s="178"/>
      <c r="RZU34" s="178"/>
      <c r="RZV34" s="178"/>
      <c r="SAK34" s="178"/>
      <c r="SAL34" s="178"/>
      <c r="SBA34" s="178"/>
      <c r="SBB34" s="178"/>
      <c r="SBQ34" s="178"/>
      <c r="SBR34" s="178"/>
      <c r="SCG34" s="178"/>
      <c r="SCH34" s="178"/>
      <c r="SCW34" s="178"/>
      <c r="SCX34" s="178"/>
      <c r="SDM34" s="178"/>
      <c r="SDN34" s="178"/>
      <c r="SEC34" s="178"/>
      <c r="SED34" s="178"/>
      <c r="SES34" s="178"/>
      <c r="SET34" s="178"/>
      <c r="SFI34" s="178"/>
      <c r="SFJ34" s="178"/>
      <c r="SFY34" s="178"/>
      <c r="SFZ34" s="178"/>
      <c r="SGO34" s="178"/>
      <c r="SGP34" s="178"/>
      <c r="SHE34" s="178"/>
      <c r="SHF34" s="178"/>
      <c r="SHU34" s="178"/>
      <c r="SHV34" s="178"/>
      <c r="SIK34" s="178"/>
      <c r="SIL34" s="178"/>
      <c r="SJA34" s="178"/>
      <c r="SJB34" s="178"/>
      <c r="SJQ34" s="178"/>
      <c r="SJR34" s="178"/>
      <c r="SKG34" s="178"/>
      <c r="SKH34" s="178"/>
      <c r="SKW34" s="178"/>
      <c r="SKX34" s="178"/>
      <c r="SLM34" s="178"/>
      <c r="SLN34" s="178"/>
      <c r="SMC34" s="178"/>
      <c r="SMD34" s="178"/>
      <c r="SMS34" s="178"/>
      <c r="SMT34" s="178"/>
      <c r="SNI34" s="178"/>
      <c r="SNJ34" s="178"/>
      <c r="SNY34" s="178"/>
      <c r="SNZ34" s="178"/>
      <c r="SOO34" s="178"/>
      <c r="SOP34" s="178"/>
      <c r="SPE34" s="178"/>
      <c r="SPF34" s="178"/>
      <c r="SPU34" s="178"/>
      <c r="SPV34" s="178"/>
      <c r="SQK34" s="178"/>
      <c r="SQL34" s="178"/>
      <c r="SRA34" s="178"/>
      <c r="SRB34" s="178"/>
      <c r="SRQ34" s="178"/>
      <c r="SRR34" s="178"/>
      <c r="SSG34" s="178"/>
      <c r="SSH34" s="178"/>
      <c r="SSW34" s="178"/>
      <c r="SSX34" s="178"/>
      <c r="STM34" s="178"/>
      <c r="STN34" s="178"/>
      <c r="SUC34" s="178"/>
      <c r="SUD34" s="178"/>
      <c r="SUS34" s="178"/>
      <c r="SUT34" s="178"/>
      <c r="SVI34" s="178"/>
      <c r="SVJ34" s="178"/>
      <c r="SVY34" s="178"/>
      <c r="SVZ34" s="178"/>
      <c r="SWO34" s="178"/>
      <c r="SWP34" s="178"/>
      <c r="SXE34" s="178"/>
      <c r="SXF34" s="178"/>
      <c r="SXU34" s="178"/>
      <c r="SXV34" s="178"/>
      <c r="SYK34" s="178"/>
      <c r="SYL34" s="178"/>
      <c r="SZA34" s="178"/>
      <c r="SZB34" s="178"/>
      <c r="SZQ34" s="178"/>
      <c r="SZR34" s="178"/>
      <c r="TAG34" s="178"/>
      <c r="TAH34" s="178"/>
      <c r="TAW34" s="178"/>
      <c r="TAX34" s="178"/>
      <c r="TBM34" s="178"/>
      <c r="TBN34" s="178"/>
      <c r="TCC34" s="178"/>
      <c r="TCD34" s="178"/>
      <c r="TCS34" s="178"/>
      <c r="TCT34" s="178"/>
      <c r="TDI34" s="178"/>
      <c r="TDJ34" s="178"/>
      <c r="TDY34" s="178"/>
      <c r="TDZ34" s="178"/>
      <c r="TEO34" s="178"/>
      <c r="TEP34" s="178"/>
      <c r="TFE34" s="178"/>
      <c r="TFF34" s="178"/>
      <c r="TFU34" s="178"/>
      <c r="TFV34" s="178"/>
      <c r="TGK34" s="178"/>
      <c r="TGL34" s="178"/>
      <c r="THA34" s="178"/>
      <c r="THB34" s="178"/>
      <c r="THQ34" s="178"/>
      <c r="THR34" s="178"/>
      <c r="TIG34" s="178"/>
      <c r="TIH34" s="178"/>
      <c r="TIW34" s="178"/>
      <c r="TIX34" s="178"/>
      <c r="TJM34" s="178"/>
      <c r="TJN34" s="178"/>
      <c r="TKC34" s="178"/>
      <c r="TKD34" s="178"/>
      <c r="TKS34" s="178"/>
      <c r="TKT34" s="178"/>
      <c r="TLI34" s="178"/>
      <c r="TLJ34" s="178"/>
      <c r="TLY34" s="178"/>
      <c r="TLZ34" s="178"/>
      <c r="TMO34" s="178"/>
      <c r="TMP34" s="178"/>
      <c r="TNE34" s="178"/>
      <c r="TNF34" s="178"/>
      <c r="TNU34" s="178"/>
      <c r="TNV34" s="178"/>
      <c r="TOK34" s="178"/>
      <c r="TOL34" s="178"/>
      <c r="TPA34" s="178"/>
      <c r="TPB34" s="178"/>
      <c r="TPQ34" s="178"/>
      <c r="TPR34" s="178"/>
      <c r="TQG34" s="178"/>
      <c r="TQH34" s="178"/>
      <c r="TQW34" s="178"/>
      <c r="TQX34" s="178"/>
      <c r="TRM34" s="178"/>
      <c r="TRN34" s="178"/>
      <c r="TSC34" s="178"/>
      <c r="TSD34" s="178"/>
      <c r="TSS34" s="178"/>
      <c r="TST34" s="178"/>
      <c r="TTI34" s="178"/>
      <c r="TTJ34" s="178"/>
      <c r="TTY34" s="178"/>
      <c r="TTZ34" s="178"/>
      <c r="TUO34" s="178"/>
      <c r="TUP34" s="178"/>
      <c r="TVE34" s="178"/>
      <c r="TVF34" s="178"/>
      <c r="TVU34" s="178"/>
      <c r="TVV34" s="178"/>
      <c r="TWK34" s="178"/>
      <c r="TWL34" s="178"/>
      <c r="TXA34" s="178"/>
      <c r="TXB34" s="178"/>
      <c r="TXQ34" s="178"/>
      <c r="TXR34" s="178"/>
      <c r="TYG34" s="178"/>
      <c r="TYH34" s="178"/>
      <c r="TYW34" s="178"/>
      <c r="TYX34" s="178"/>
      <c r="TZM34" s="178"/>
      <c r="TZN34" s="178"/>
      <c r="UAC34" s="178"/>
      <c r="UAD34" s="178"/>
      <c r="UAS34" s="178"/>
      <c r="UAT34" s="178"/>
      <c r="UBI34" s="178"/>
      <c r="UBJ34" s="178"/>
      <c r="UBY34" s="178"/>
      <c r="UBZ34" s="178"/>
      <c r="UCO34" s="178"/>
      <c r="UCP34" s="178"/>
      <c r="UDE34" s="178"/>
      <c r="UDF34" s="178"/>
      <c r="UDU34" s="178"/>
      <c r="UDV34" s="178"/>
      <c r="UEK34" s="178"/>
      <c r="UEL34" s="178"/>
      <c r="UFA34" s="178"/>
      <c r="UFB34" s="178"/>
      <c r="UFQ34" s="178"/>
      <c r="UFR34" s="178"/>
      <c r="UGG34" s="178"/>
      <c r="UGH34" s="178"/>
      <c r="UGW34" s="178"/>
      <c r="UGX34" s="178"/>
      <c r="UHM34" s="178"/>
      <c r="UHN34" s="178"/>
      <c r="UIC34" s="178"/>
      <c r="UID34" s="178"/>
      <c r="UIS34" s="178"/>
      <c r="UIT34" s="178"/>
      <c r="UJI34" s="178"/>
      <c r="UJJ34" s="178"/>
      <c r="UJY34" s="178"/>
      <c r="UJZ34" s="178"/>
      <c r="UKO34" s="178"/>
      <c r="UKP34" s="178"/>
      <c r="ULE34" s="178"/>
      <c r="ULF34" s="178"/>
      <c r="ULU34" s="178"/>
      <c r="ULV34" s="178"/>
      <c r="UMK34" s="178"/>
      <c r="UML34" s="178"/>
      <c r="UNA34" s="178"/>
      <c r="UNB34" s="178"/>
      <c r="UNQ34" s="178"/>
      <c r="UNR34" s="178"/>
      <c r="UOG34" s="178"/>
      <c r="UOH34" s="178"/>
      <c r="UOW34" s="178"/>
      <c r="UOX34" s="178"/>
      <c r="UPM34" s="178"/>
      <c r="UPN34" s="178"/>
      <c r="UQC34" s="178"/>
      <c r="UQD34" s="178"/>
      <c r="UQS34" s="178"/>
      <c r="UQT34" s="178"/>
      <c r="URI34" s="178"/>
      <c r="URJ34" s="178"/>
      <c r="URY34" s="178"/>
      <c r="URZ34" s="178"/>
      <c r="USO34" s="178"/>
      <c r="USP34" s="178"/>
      <c r="UTE34" s="178"/>
      <c r="UTF34" s="178"/>
      <c r="UTU34" s="178"/>
      <c r="UTV34" s="178"/>
      <c r="UUK34" s="178"/>
      <c r="UUL34" s="178"/>
      <c r="UVA34" s="178"/>
      <c r="UVB34" s="178"/>
      <c r="UVQ34" s="178"/>
      <c r="UVR34" s="178"/>
      <c r="UWG34" s="178"/>
      <c r="UWH34" s="178"/>
      <c r="UWW34" s="178"/>
      <c r="UWX34" s="178"/>
      <c r="UXM34" s="178"/>
      <c r="UXN34" s="178"/>
      <c r="UYC34" s="178"/>
      <c r="UYD34" s="178"/>
      <c r="UYS34" s="178"/>
      <c r="UYT34" s="178"/>
      <c r="UZI34" s="178"/>
      <c r="UZJ34" s="178"/>
      <c r="UZY34" s="178"/>
      <c r="UZZ34" s="178"/>
      <c r="VAO34" s="178"/>
      <c r="VAP34" s="178"/>
      <c r="VBE34" s="178"/>
      <c r="VBF34" s="178"/>
      <c r="VBU34" s="178"/>
      <c r="VBV34" s="178"/>
      <c r="VCK34" s="178"/>
      <c r="VCL34" s="178"/>
      <c r="VDA34" s="178"/>
      <c r="VDB34" s="178"/>
      <c r="VDQ34" s="178"/>
      <c r="VDR34" s="178"/>
      <c r="VEG34" s="178"/>
      <c r="VEH34" s="178"/>
      <c r="VEW34" s="178"/>
      <c r="VEX34" s="178"/>
      <c r="VFM34" s="178"/>
      <c r="VFN34" s="178"/>
      <c r="VGC34" s="178"/>
      <c r="VGD34" s="178"/>
      <c r="VGS34" s="178"/>
      <c r="VGT34" s="178"/>
      <c r="VHI34" s="178"/>
      <c r="VHJ34" s="178"/>
      <c r="VHY34" s="178"/>
      <c r="VHZ34" s="178"/>
      <c r="VIO34" s="178"/>
      <c r="VIP34" s="178"/>
      <c r="VJE34" s="178"/>
      <c r="VJF34" s="178"/>
      <c r="VJU34" s="178"/>
      <c r="VJV34" s="178"/>
      <c r="VKK34" s="178"/>
      <c r="VKL34" s="178"/>
      <c r="VLA34" s="178"/>
      <c r="VLB34" s="178"/>
      <c r="VLQ34" s="178"/>
      <c r="VLR34" s="178"/>
      <c r="VMG34" s="178"/>
      <c r="VMH34" s="178"/>
      <c r="VMW34" s="178"/>
      <c r="VMX34" s="178"/>
      <c r="VNM34" s="178"/>
      <c r="VNN34" s="178"/>
      <c r="VOC34" s="178"/>
      <c r="VOD34" s="178"/>
      <c r="VOS34" s="178"/>
      <c r="VOT34" s="178"/>
      <c r="VPI34" s="178"/>
      <c r="VPJ34" s="178"/>
      <c r="VPY34" s="178"/>
      <c r="VPZ34" s="178"/>
      <c r="VQO34" s="178"/>
      <c r="VQP34" s="178"/>
      <c r="VRE34" s="178"/>
      <c r="VRF34" s="178"/>
      <c r="VRU34" s="178"/>
      <c r="VRV34" s="178"/>
      <c r="VSK34" s="178"/>
      <c r="VSL34" s="178"/>
      <c r="VTA34" s="178"/>
      <c r="VTB34" s="178"/>
      <c r="VTQ34" s="178"/>
      <c r="VTR34" s="178"/>
      <c r="VUG34" s="178"/>
      <c r="VUH34" s="178"/>
      <c r="VUW34" s="178"/>
      <c r="VUX34" s="178"/>
      <c r="VVM34" s="178"/>
      <c r="VVN34" s="178"/>
      <c r="VWC34" s="178"/>
      <c r="VWD34" s="178"/>
      <c r="VWS34" s="178"/>
      <c r="VWT34" s="178"/>
      <c r="VXI34" s="178"/>
      <c r="VXJ34" s="178"/>
      <c r="VXY34" s="178"/>
      <c r="VXZ34" s="178"/>
      <c r="VYO34" s="178"/>
      <c r="VYP34" s="178"/>
      <c r="VZE34" s="178"/>
      <c r="VZF34" s="178"/>
      <c r="VZU34" s="178"/>
      <c r="VZV34" s="178"/>
      <c r="WAK34" s="178"/>
      <c r="WAL34" s="178"/>
      <c r="WBA34" s="178"/>
      <c r="WBB34" s="178"/>
      <c r="WBQ34" s="178"/>
      <c r="WBR34" s="178"/>
      <c r="WCG34" s="178"/>
      <c r="WCH34" s="178"/>
      <c r="WCW34" s="178"/>
      <c r="WCX34" s="178"/>
      <c r="WDM34" s="178"/>
      <c r="WDN34" s="178"/>
      <c r="WEC34" s="178"/>
      <c r="WED34" s="178"/>
      <c r="WES34" s="178"/>
      <c r="WET34" s="178"/>
      <c r="WFI34" s="178"/>
      <c r="WFJ34" s="178"/>
      <c r="WFY34" s="178"/>
      <c r="WFZ34" s="178"/>
      <c r="WGO34" s="178"/>
      <c r="WGP34" s="178"/>
      <c r="WHE34" s="178"/>
      <c r="WHF34" s="178"/>
      <c r="WHU34" s="178"/>
      <c r="WHV34" s="178"/>
      <c r="WIK34" s="178"/>
      <c r="WIL34" s="178"/>
      <c r="WJA34" s="178"/>
      <c r="WJB34" s="178"/>
      <c r="WJQ34" s="178"/>
      <c r="WJR34" s="178"/>
      <c r="WKG34" s="178"/>
      <c r="WKH34" s="178"/>
      <c r="WKW34" s="178"/>
      <c r="WKX34" s="178"/>
      <c r="WLM34" s="178"/>
      <c r="WLN34" s="178"/>
      <c r="WMC34" s="178"/>
      <c r="WMD34" s="178"/>
      <c r="WMS34" s="178"/>
      <c r="WMT34" s="178"/>
      <c r="WNI34" s="178"/>
      <c r="WNJ34" s="178"/>
      <c r="WNY34" s="178"/>
      <c r="WNZ34" s="178"/>
      <c r="WOO34" s="178"/>
      <c r="WOP34" s="178"/>
      <c r="WPE34" s="178"/>
      <c r="WPF34" s="178"/>
      <c r="WPU34" s="178"/>
      <c r="WPV34" s="178"/>
      <c r="WQK34" s="178"/>
      <c r="WQL34" s="178"/>
      <c r="WRA34" s="178"/>
      <c r="WRB34" s="178"/>
      <c r="WRQ34" s="178"/>
      <c r="WRR34" s="178"/>
      <c r="WSG34" s="178"/>
      <c r="WSH34" s="178"/>
      <c r="WSW34" s="178"/>
      <c r="WSX34" s="178"/>
      <c r="WTM34" s="178"/>
      <c r="WTN34" s="178"/>
      <c r="WUC34" s="178"/>
      <c r="WUD34" s="178"/>
      <c r="WUS34" s="178"/>
      <c r="WUT34" s="178"/>
      <c r="WVI34" s="178"/>
      <c r="WVJ34" s="178"/>
      <c r="WVY34" s="178"/>
      <c r="WVZ34" s="178"/>
      <c r="WWO34" s="178"/>
      <c r="WWP34" s="178"/>
      <c r="WXE34" s="178"/>
      <c r="WXF34" s="178"/>
      <c r="WXU34" s="178"/>
      <c r="WXV34" s="178"/>
      <c r="WYK34" s="178"/>
      <c r="WYL34" s="178"/>
      <c r="WZA34" s="178"/>
      <c r="WZB34" s="178"/>
      <c r="WZQ34" s="178"/>
      <c r="WZR34" s="178"/>
      <c r="XAG34" s="178"/>
      <c r="XAH34" s="178"/>
      <c r="XAW34" s="178"/>
      <c r="XAX34" s="178"/>
      <c r="XBM34" s="178"/>
      <c r="XBN34" s="178"/>
    </row>
    <row r="35" spans="1:1010 1025:2034 2049:3058 3073:4082 4097:5106 5121:6130 6145:7154 7169:8178 8193:9202 9217:10226 10241:11250 11265:12274 12289:13298 13313:14322 14337:15346 15361:16290" s="240" customFormat="1" ht="13.8" x14ac:dyDescent="0.3">
      <c r="A35" s="180" t="s">
        <v>530</v>
      </c>
      <c r="B35" s="180" t="s">
        <v>538</v>
      </c>
      <c r="C35" s="181">
        <f>SUM(tb_Distr[[#This Row],[PLAN]:[ENTR.]])</f>
        <v>1.0000000000000002</v>
      </c>
      <c r="D35" s="179">
        <v>0.1</v>
      </c>
      <c r="E35" s="179">
        <v>0.2</v>
      </c>
      <c r="F35" s="179">
        <v>0.1</v>
      </c>
      <c r="G35" s="179">
        <v>0.05</v>
      </c>
      <c r="H35" s="179">
        <v>0.13</v>
      </c>
      <c r="I35" s="179">
        <v>0.13</v>
      </c>
      <c r="J35" s="179">
        <v>0.13</v>
      </c>
      <c r="K35" s="179">
        <v>0.06</v>
      </c>
      <c r="L35" s="179"/>
      <c r="M35" s="179"/>
      <c r="N35" s="179"/>
      <c r="O35" s="179"/>
      <c r="P35" s="179"/>
      <c r="Q35" s="179">
        <v>0.1</v>
      </c>
      <c r="R35" s="178"/>
      <c r="AG35" s="178"/>
      <c r="AH35" s="178"/>
      <c r="AW35" s="178"/>
      <c r="AX35" s="178"/>
      <c r="BM35" s="178"/>
      <c r="BN35" s="178"/>
      <c r="CC35" s="178"/>
      <c r="CD35" s="178"/>
      <c r="CS35" s="178"/>
      <c r="CT35" s="178"/>
      <c r="DI35" s="178"/>
      <c r="DJ35" s="178"/>
      <c r="DY35" s="178"/>
      <c r="DZ35" s="178"/>
      <c r="EO35" s="178"/>
      <c r="EP35" s="178"/>
      <c r="FE35" s="178"/>
      <c r="FF35" s="178"/>
      <c r="FU35" s="178"/>
      <c r="FV35" s="178"/>
      <c r="GK35" s="178"/>
      <c r="GL35" s="178"/>
      <c r="HA35" s="178"/>
      <c r="HB35" s="178"/>
      <c r="HQ35" s="178"/>
      <c r="HR35" s="178"/>
      <c r="IG35" s="178"/>
      <c r="IH35" s="178"/>
      <c r="IW35" s="178"/>
      <c r="IX35" s="178"/>
      <c r="JM35" s="178"/>
      <c r="JN35" s="178"/>
      <c r="KC35" s="178"/>
      <c r="KD35" s="178"/>
      <c r="KS35" s="178"/>
      <c r="KT35" s="178"/>
      <c r="LI35" s="178"/>
      <c r="LJ35" s="178"/>
      <c r="LY35" s="178"/>
      <c r="LZ35" s="178"/>
      <c r="MO35" s="178"/>
      <c r="MP35" s="178"/>
      <c r="NE35" s="178"/>
      <c r="NF35" s="178"/>
      <c r="NU35" s="178"/>
      <c r="NV35" s="178"/>
      <c r="OK35" s="178"/>
      <c r="OL35" s="178"/>
      <c r="PA35" s="178"/>
      <c r="PB35" s="178"/>
      <c r="PQ35" s="178"/>
      <c r="PR35" s="178"/>
      <c r="QG35" s="178"/>
      <c r="QH35" s="178"/>
      <c r="QW35" s="178"/>
      <c r="QX35" s="178"/>
      <c r="RM35" s="178"/>
      <c r="RN35" s="178"/>
      <c r="SC35" s="178"/>
      <c r="SD35" s="178"/>
      <c r="SS35" s="178"/>
      <c r="ST35" s="178"/>
      <c r="TI35" s="178"/>
      <c r="TJ35" s="178"/>
      <c r="TY35" s="178"/>
      <c r="TZ35" s="178"/>
      <c r="UO35" s="178"/>
      <c r="UP35" s="178"/>
      <c r="VE35" s="178"/>
      <c r="VF35" s="178"/>
      <c r="VU35" s="178"/>
      <c r="VV35" s="178"/>
      <c r="WK35" s="178"/>
      <c r="WL35" s="178"/>
      <c r="XA35" s="178"/>
      <c r="XB35" s="178"/>
      <c r="XQ35" s="178"/>
      <c r="XR35" s="178"/>
      <c r="YG35" s="178"/>
      <c r="YH35" s="178"/>
      <c r="YW35" s="178"/>
      <c r="YX35" s="178"/>
      <c r="ZM35" s="178"/>
      <c r="ZN35" s="178"/>
      <c r="AAC35" s="178"/>
      <c r="AAD35" s="178"/>
      <c r="AAS35" s="178"/>
      <c r="AAT35" s="178"/>
      <c r="ABI35" s="178"/>
      <c r="ABJ35" s="178"/>
      <c r="ABY35" s="178"/>
      <c r="ABZ35" s="178"/>
      <c r="ACO35" s="178"/>
      <c r="ACP35" s="178"/>
      <c r="ADE35" s="178"/>
      <c r="ADF35" s="178"/>
      <c r="ADU35" s="178"/>
      <c r="ADV35" s="178"/>
      <c r="AEK35" s="178"/>
      <c r="AEL35" s="178"/>
      <c r="AFA35" s="178"/>
      <c r="AFB35" s="178"/>
      <c r="AFQ35" s="178"/>
      <c r="AFR35" s="178"/>
      <c r="AGG35" s="178"/>
      <c r="AGH35" s="178"/>
      <c r="AGW35" s="178"/>
      <c r="AGX35" s="178"/>
      <c r="AHM35" s="178"/>
      <c r="AHN35" s="178"/>
      <c r="AIC35" s="178"/>
      <c r="AID35" s="178"/>
      <c r="AIS35" s="178"/>
      <c r="AIT35" s="178"/>
      <c r="AJI35" s="178"/>
      <c r="AJJ35" s="178"/>
      <c r="AJY35" s="178"/>
      <c r="AJZ35" s="178"/>
      <c r="AKO35" s="178"/>
      <c r="AKP35" s="178"/>
      <c r="ALE35" s="178"/>
      <c r="ALF35" s="178"/>
      <c r="ALU35" s="178"/>
      <c r="ALV35" s="178"/>
      <c r="AMK35" s="178"/>
      <c r="AML35" s="178"/>
      <c r="ANA35" s="178"/>
      <c r="ANB35" s="178"/>
      <c r="ANQ35" s="178"/>
      <c r="ANR35" s="178"/>
      <c r="AOG35" s="178"/>
      <c r="AOH35" s="178"/>
      <c r="AOW35" s="178"/>
      <c r="AOX35" s="178"/>
      <c r="APM35" s="178"/>
      <c r="APN35" s="178"/>
      <c r="AQC35" s="178"/>
      <c r="AQD35" s="178"/>
      <c r="AQS35" s="178"/>
      <c r="AQT35" s="178"/>
      <c r="ARI35" s="178"/>
      <c r="ARJ35" s="178"/>
      <c r="ARY35" s="178"/>
      <c r="ARZ35" s="178"/>
      <c r="ASO35" s="178"/>
      <c r="ASP35" s="178"/>
      <c r="ATE35" s="178"/>
      <c r="ATF35" s="178"/>
      <c r="ATU35" s="178"/>
      <c r="ATV35" s="178"/>
      <c r="AUK35" s="178"/>
      <c r="AUL35" s="178"/>
      <c r="AVA35" s="178"/>
      <c r="AVB35" s="178"/>
      <c r="AVQ35" s="178"/>
      <c r="AVR35" s="178"/>
      <c r="AWG35" s="178"/>
      <c r="AWH35" s="178"/>
      <c r="AWW35" s="178"/>
      <c r="AWX35" s="178"/>
      <c r="AXM35" s="178"/>
      <c r="AXN35" s="178"/>
      <c r="AYC35" s="178"/>
      <c r="AYD35" s="178"/>
      <c r="AYS35" s="178"/>
      <c r="AYT35" s="178"/>
      <c r="AZI35" s="178"/>
      <c r="AZJ35" s="178"/>
      <c r="AZY35" s="178"/>
      <c r="AZZ35" s="178"/>
      <c r="BAO35" s="178"/>
      <c r="BAP35" s="178"/>
      <c r="BBE35" s="178"/>
      <c r="BBF35" s="178"/>
      <c r="BBU35" s="178"/>
      <c r="BBV35" s="178"/>
      <c r="BCK35" s="178"/>
      <c r="BCL35" s="178"/>
      <c r="BDA35" s="178"/>
      <c r="BDB35" s="178"/>
      <c r="BDQ35" s="178"/>
      <c r="BDR35" s="178"/>
      <c r="BEG35" s="178"/>
      <c r="BEH35" s="178"/>
      <c r="BEW35" s="178"/>
      <c r="BEX35" s="178"/>
      <c r="BFM35" s="178"/>
      <c r="BFN35" s="178"/>
      <c r="BGC35" s="178"/>
      <c r="BGD35" s="178"/>
      <c r="BGS35" s="178"/>
      <c r="BGT35" s="178"/>
      <c r="BHI35" s="178"/>
      <c r="BHJ35" s="178"/>
      <c r="BHY35" s="178"/>
      <c r="BHZ35" s="178"/>
      <c r="BIO35" s="178"/>
      <c r="BIP35" s="178"/>
      <c r="BJE35" s="178"/>
      <c r="BJF35" s="178"/>
      <c r="BJU35" s="178"/>
      <c r="BJV35" s="178"/>
      <c r="BKK35" s="178"/>
      <c r="BKL35" s="178"/>
      <c r="BLA35" s="178"/>
      <c r="BLB35" s="178"/>
      <c r="BLQ35" s="178"/>
      <c r="BLR35" s="178"/>
      <c r="BMG35" s="178"/>
      <c r="BMH35" s="178"/>
      <c r="BMW35" s="178"/>
      <c r="BMX35" s="178"/>
      <c r="BNM35" s="178"/>
      <c r="BNN35" s="178"/>
      <c r="BOC35" s="178"/>
      <c r="BOD35" s="178"/>
      <c r="BOS35" s="178"/>
      <c r="BOT35" s="178"/>
      <c r="BPI35" s="178"/>
      <c r="BPJ35" s="178"/>
      <c r="BPY35" s="178"/>
      <c r="BPZ35" s="178"/>
      <c r="BQO35" s="178"/>
      <c r="BQP35" s="178"/>
      <c r="BRE35" s="178"/>
      <c r="BRF35" s="178"/>
      <c r="BRU35" s="178"/>
      <c r="BRV35" s="178"/>
      <c r="BSK35" s="178"/>
      <c r="BSL35" s="178"/>
      <c r="BTA35" s="178"/>
      <c r="BTB35" s="178"/>
      <c r="BTQ35" s="178"/>
      <c r="BTR35" s="178"/>
      <c r="BUG35" s="178"/>
      <c r="BUH35" s="178"/>
      <c r="BUW35" s="178"/>
      <c r="BUX35" s="178"/>
      <c r="BVM35" s="178"/>
      <c r="BVN35" s="178"/>
      <c r="BWC35" s="178"/>
      <c r="BWD35" s="178"/>
      <c r="BWS35" s="178"/>
      <c r="BWT35" s="178"/>
      <c r="BXI35" s="178"/>
      <c r="BXJ35" s="178"/>
      <c r="BXY35" s="178"/>
      <c r="BXZ35" s="178"/>
      <c r="BYO35" s="178"/>
      <c r="BYP35" s="178"/>
      <c r="BZE35" s="178"/>
      <c r="BZF35" s="178"/>
      <c r="BZU35" s="178"/>
      <c r="BZV35" s="178"/>
      <c r="CAK35" s="178"/>
      <c r="CAL35" s="178"/>
      <c r="CBA35" s="178"/>
      <c r="CBB35" s="178"/>
      <c r="CBQ35" s="178"/>
      <c r="CBR35" s="178"/>
      <c r="CCG35" s="178"/>
      <c r="CCH35" s="178"/>
      <c r="CCW35" s="178"/>
      <c r="CCX35" s="178"/>
      <c r="CDM35" s="178"/>
      <c r="CDN35" s="178"/>
      <c r="CEC35" s="178"/>
      <c r="CED35" s="178"/>
      <c r="CES35" s="178"/>
      <c r="CET35" s="178"/>
      <c r="CFI35" s="178"/>
      <c r="CFJ35" s="178"/>
      <c r="CFY35" s="178"/>
      <c r="CFZ35" s="178"/>
      <c r="CGO35" s="178"/>
      <c r="CGP35" s="178"/>
      <c r="CHE35" s="178"/>
      <c r="CHF35" s="178"/>
      <c r="CHU35" s="178"/>
      <c r="CHV35" s="178"/>
      <c r="CIK35" s="178"/>
      <c r="CIL35" s="178"/>
      <c r="CJA35" s="178"/>
      <c r="CJB35" s="178"/>
      <c r="CJQ35" s="178"/>
      <c r="CJR35" s="178"/>
      <c r="CKG35" s="178"/>
      <c r="CKH35" s="178"/>
      <c r="CKW35" s="178"/>
      <c r="CKX35" s="178"/>
      <c r="CLM35" s="178"/>
      <c r="CLN35" s="178"/>
      <c r="CMC35" s="178"/>
      <c r="CMD35" s="178"/>
      <c r="CMS35" s="178"/>
      <c r="CMT35" s="178"/>
      <c r="CNI35" s="178"/>
      <c r="CNJ35" s="178"/>
      <c r="CNY35" s="178"/>
      <c r="CNZ35" s="178"/>
      <c r="COO35" s="178"/>
      <c r="COP35" s="178"/>
      <c r="CPE35" s="178"/>
      <c r="CPF35" s="178"/>
      <c r="CPU35" s="178"/>
      <c r="CPV35" s="178"/>
      <c r="CQK35" s="178"/>
      <c r="CQL35" s="178"/>
      <c r="CRA35" s="178"/>
      <c r="CRB35" s="178"/>
      <c r="CRQ35" s="178"/>
      <c r="CRR35" s="178"/>
      <c r="CSG35" s="178"/>
      <c r="CSH35" s="178"/>
      <c r="CSW35" s="178"/>
      <c r="CSX35" s="178"/>
      <c r="CTM35" s="178"/>
      <c r="CTN35" s="178"/>
      <c r="CUC35" s="178"/>
      <c r="CUD35" s="178"/>
      <c r="CUS35" s="178"/>
      <c r="CUT35" s="178"/>
      <c r="CVI35" s="178"/>
      <c r="CVJ35" s="178"/>
      <c r="CVY35" s="178"/>
      <c r="CVZ35" s="178"/>
      <c r="CWO35" s="178"/>
      <c r="CWP35" s="178"/>
      <c r="CXE35" s="178"/>
      <c r="CXF35" s="178"/>
      <c r="CXU35" s="178"/>
      <c r="CXV35" s="178"/>
      <c r="CYK35" s="178"/>
      <c r="CYL35" s="178"/>
      <c r="CZA35" s="178"/>
      <c r="CZB35" s="178"/>
      <c r="CZQ35" s="178"/>
      <c r="CZR35" s="178"/>
      <c r="DAG35" s="178"/>
      <c r="DAH35" s="178"/>
      <c r="DAW35" s="178"/>
      <c r="DAX35" s="178"/>
      <c r="DBM35" s="178"/>
      <c r="DBN35" s="178"/>
      <c r="DCC35" s="178"/>
      <c r="DCD35" s="178"/>
      <c r="DCS35" s="178"/>
      <c r="DCT35" s="178"/>
      <c r="DDI35" s="178"/>
      <c r="DDJ35" s="178"/>
      <c r="DDY35" s="178"/>
      <c r="DDZ35" s="178"/>
      <c r="DEO35" s="178"/>
      <c r="DEP35" s="178"/>
      <c r="DFE35" s="178"/>
      <c r="DFF35" s="178"/>
      <c r="DFU35" s="178"/>
      <c r="DFV35" s="178"/>
      <c r="DGK35" s="178"/>
      <c r="DGL35" s="178"/>
      <c r="DHA35" s="178"/>
      <c r="DHB35" s="178"/>
      <c r="DHQ35" s="178"/>
      <c r="DHR35" s="178"/>
      <c r="DIG35" s="178"/>
      <c r="DIH35" s="178"/>
      <c r="DIW35" s="178"/>
      <c r="DIX35" s="178"/>
      <c r="DJM35" s="178"/>
      <c r="DJN35" s="178"/>
      <c r="DKC35" s="178"/>
      <c r="DKD35" s="178"/>
      <c r="DKS35" s="178"/>
      <c r="DKT35" s="178"/>
      <c r="DLI35" s="178"/>
      <c r="DLJ35" s="178"/>
      <c r="DLY35" s="178"/>
      <c r="DLZ35" s="178"/>
      <c r="DMO35" s="178"/>
      <c r="DMP35" s="178"/>
      <c r="DNE35" s="178"/>
      <c r="DNF35" s="178"/>
      <c r="DNU35" s="178"/>
      <c r="DNV35" s="178"/>
      <c r="DOK35" s="178"/>
      <c r="DOL35" s="178"/>
      <c r="DPA35" s="178"/>
      <c r="DPB35" s="178"/>
      <c r="DPQ35" s="178"/>
      <c r="DPR35" s="178"/>
      <c r="DQG35" s="178"/>
      <c r="DQH35" s="178"/>
      <c r="DQW35" s="178"/>
      <c r="DQX35" s="178"/>
      <c r="DRM35" s="178"/>
      <c r="DRN35" s="178"/>
      <c r="DSC35" s="178"/>
      <c r="DSD35" s="178"/>
      <c r="DSS35" s="178"/>
      <c r="DST35" s="178"/>
      <c r="DTI35" s="178"/>
      <c r="DTJ35" s="178"/>
      <c r="DTY35" s="178"/>
      <c r="DTZ35" s="178"/>
      <c r="DUO35" s="178"/>
      <c r="DUP35" s="178"/>
      <c r="DVE35" s="178"/>
      <c r="DVF35" s="178"/>
      <c r="DVU35" s="178"/>
      <c r="DVV35" s="178"/>
      <c r="DWK35" s="178"/>
      <c r="DWL35" s="178"/>
      <c r="DXA35" s="178"/>
      <c r="DXB35" s="178"/>
      <c r="DXQ35" s="178"/>
      <c r="DXR35" s="178"/>
      <c r="DYG35" s="178"/>
      <c r="DYH35" s="178"/>
      <c r="DYW35" s="178"/>
      <c r="DYX35" s="178"/>
      <c r="DZM35" s="178"/>
      <c r="DZN35" s="178"/>
      <c r="EAC35" s="178"/>
      <c r="EAD35" s="178"/>
      <c r="EAS35" s="178"/>
      <c r="EAT35" s="178"/>
      <c r="EBI35" s="178"/>
      <c r="EBJ35" s="178"/>
      <c r="EBY35" s="178"/>
      <c r="EBZ35" s="178"/>
      <c r="ECO35" s="178"/>
      <c r="ECP35" s="178"/>
      <c r="EDE35" s="178"/>
      <c r="EDF35" s="178"/>
      <c r="EDU35" s="178"/>
      <c r="EDV35" s="178"/>
      <c r="EEK35" s="178"/>
      <c r="EEL35" s="178"/>
      <c r="EFA35" s="178"/>
      <c r="EFB35" s="178"/>
      <c r="EFQ35" s="178"/>
      <c r="EFR35" s="178"/>
      <c r="EGG35" s="178"/>
      <c r="EGH35" s="178"/>
      <c r="EGW35" s="178"/>
      <c r="EGX35" s="178"/>
      <c r="EHM35" s="178"/>
      <c r="EHN35" s="178"/>
      <c r="EIC35" s="178"/>
      <c r="EID35" s="178"/>
      <c r="EIS35" s="178"/>
      <c r="EIT35" s="178"/>
      <c r="EJI35" s="178"/>
      <c r="EJJ35" s="178"/>
      <c r="EJY35" s="178"/>
      <c r="EJZ35" s="178"/>
      <c r="EKO35" s="178"/>
      <c r="EKP35" s="178"/>
      <c r="ELE35" s="178"/>
      <c r="ELF35" s="178"/>
      <c r="ELU35" s="178"/>
      <c r="ELV35" s="178"/>
      <c r="EMK35" s="178"/>
      <c r="EML35" s="178"/>
      <c r="ENA35" s="178"/>
      <c r="ENB35" s="178"/>
      <c r="ENQ35" s="178"/>
      <c r="ENR35" s="178"/>
      <c r="EOG35" s="178"/>
      <c r="EOH35" s="178"/>
      <c r="EOW35" s="178"/>
      <c r="EOX35" s="178"/>
      <c r="EPM35" s="178"/>
      <c r="EPN35" s="178"/>
      <c r="EQC35" s="178"/>
      <c r="EQD35" s="178"/>
      <c r="EQS35" s="178"/>
      <c r="EQT35" s="178"/>
      <c r="ERI35" s="178"/>
      <c r="ERJ35" s="178"/>
      <c r="ERY35" s="178"/>
      <c r="ERZ35" s="178"/>
      <c r="ESO35" s="178"/>
      <c r="ESP35" s="178"/>
      <c r="ETE35" s="178"/>
      <c r="ETF35" s="178"/>
      <c r="ETU35" s="178"/>
      <c r="ETV35" s="178"/>
      <c r="EUK35" s="178"/>
      <c r="EUL35" s="178"/>
      <c r="EVA35" s="178"/>
      <c r="EVB35" s="178"/>
      <c r="EVQ35" s="178"/>
      <c r="EVR35" s="178"/>
      <c r="EWG35" s="178"/>
      <c r="EWH35" s="178"/>
      <c r="EWW35" s="178"/>
      <c r="EWX35" s="178"/>
      <c r="EXM35" s="178"/>
      <c r="EXN35" s="178"/>
      <c r="EYC35" s="178"/>
      <c r="EYD35" s="178"/>
      <c r="EYS35" s="178"/>
      <c r="EYT35" s="178"/>
      <c r="EZI35" s="178"/>
      <c r="EZJ35" s="178"/>
      <c r="EZY35" s="178"/>
      <c r="EZZ35" s="178"/>
      <c r="FAO35" s="178"/>
      <c r="FAP35" s="178"/>
      <c r="FBE35" s="178"/>
      <c r="FBF35" s="178"/>
      <c r="FBU35" s="178"/>
      <c r="FBV35" s="178"/>
      <c r="FCK35" s="178"/>
      <c r="FCL35" s="178"/>
      <c r="FDA35" s="178"/>
      <c r="FDB35" s="178"/>
      <c r="FDQ35" s="178"/>
      <c r="FDR35" s="178"/>
      <c r="FEG35" s="178"/>
      <c r="FEH35" s="178"/>
      <c r="FEW35" s="178"/>
      <c r="FEX35" s="178"/>
      <c r="FFM35" s="178"/>
      <c r="FFN35" s="178"/>
      <c r="FGC35" s="178"/>
      <c r="FGD35" s="178"/>
      <c r="FGS35" s="178"/>
      <c r="FGT35" s="178"/>
      <c r="FHI35" s="178"/>
      <c r="FHJ35" s="178"/>
      <c r="FHY35" s="178"/>
      <c r="FHZ35" s="178"/>
      <c r="FIO35" s="178"/>
      <c r="FIP35" s="178"/>
      <c r="FJE35" s="178"/>
      <c r="FJF35" s="178"/>
      <c r="FJU35" s="178"/>
      <c r="FJV35" s="178"/>
      <c r="FKK35" s="178"/>
      <c r="FKL35" s="178"/>
      <c r="FLA35" s="178"/>
      <c r="FLB35" s="178"/>
      <c r="FLQ35" s="178"/>
      <c r="FLR35" s="178"/>
      <c r="FMG35" s="178"/>
      <c r="FMH35" s="178"/>
      <c r="FMW35" s="178"/>
      <c r="FMX35" s="178"/>
      <c r="FNM35" s="178"/>
      <c r="FNN35" s="178"/>
      <c r="FOC35" s="178"/>
      <c r="FOD35" s="178"/>
      <c r="FOS35" s="178"/>
      <c r="FOT35" s="178"/>
      <c r="FPI35" s="178"/>
      <c r="FPJ35" s="178"/>
      <c r="FPY35" s="178"/>
      <c r="FPZ35" s="178"/>
      <c r="FQO35" s="178"/>
      <c r="FQP35" s="178"/>
      <c r="FRE35" s="178"/>
      <c r="FRF35" s="178"/>
      <c r="FRU35" s="178"/>
      <c r="FRV35" s="178"/>
      <c r="FSK35" s="178"/>
      <c r="FSL35" s="178"/>
      <c r="FTA35" s="178"/>
      <c r="FTB35" s="178"/>
      <c r="FTQ35" s="178"/>
      <c r="FTR35" s="178"/>
      <c r="FUG35" s="178"/>
      <c r="FUH35" s="178"/>
      <c r="FUW35" s="178"/>
      <c r="FUX35" s="178"/>
      <c r="FVM35" s="178"/>
      <c r="FVN35" s="178"/>
      <c r="FWC35" s="178"/>
      <c r="FWD35" s="178"/>
      <c r="FWS35" s="178"/>
      <c r="FWT35" s="178"/>
      <c r="FXI35" s="178"/>
      <c r="FXJ35" s="178"/>
      <c r="FXY35" s="178"/>
      <c r="FXZ35" s="178"/>
      <c r="FYO35" s="178"/>
      <c r="FYP35" s="178"/>
      <c r="FZE35" s="178"/>
      <c r="FZF35" s="178"/>
      <c r="FZU35" s="178"/>
      <c r="FZV35" s="178"/>
      <c r="GAK35" s="178"/>
      <c r="GAL35" s="178"/>
      <c r="GBA35" s="178"/>
      <c r="GBB35" s="178"/>
      <c r="GBQ35" s="178"/>
      <c r="GBR35" s="178"/>
      <c r="GCG35" s="178"/>
      <c r="GCH35" s="178"/>
      <c r="GCW35" s="178"/>
      <c r="GCX35" s="178"/>
      <c r="GDM35" s="178"/>
      <c r="GDN35" s="178"/>
      <c r="GEC35" s="178"/>
      <c r="GED35" s="178"/>
      <c r="GES35" s="178"/>
      <c r="GET35" s="178"/>
      <c r="GFI35" s="178"/>
      <c r="GFJ35" s="178"/>
      <c r="GFY35" s="178"/>
      <c r="GFZ35" s="178"/>
      <c r="GGO35" s="178"/>
      <c r="GGP35" s="178"/>
      <c r="GHE35" s="178"/>
      <c r="GHF35" s="178"/>
      <c r="GHU35" s="178"/>
      <c r="GHV35" s="178"/>
      <c r="GIK35" s="178"/>
      <c r="GIL35" s="178"/>
      <c r="GJA35" s="178"/>
      <c r="GJB35" s="178"/>
      <c r="GJQ35" s="178"/>
      <c r="GJR35" s="178"/>
      <c r="GKG35" s="178"/>
      <c r="GKH35" s="178"/>
      <c r="GKW35" s="178"/>
      <c r="GKX35" s="178"/>
      <c r="GLM35" s="178"/>
      <c r="GLN35" s="178"/>
      <c r="GMC35" s="178"/>
      <c r="GMD35" s="178"/>
      <c r="GMS35" s="178"/>
      <c r="GMT35" s="178"/>
      <c r="GNI35" s="178"/>
      <c r="GNJ35" s="178"/>
      <c r="GNY35" s="178"/>
      <c r="GNZ35" s="178"/>
      <c r="GOO35" s="178"/>
      <c r="GOP35" s="178"/>
      <c r="GPE35" s="178"/>
      <c r="GPF35" s="178"/>
      <c r="GPU35" s="178"/>
      <c r="GPV35" s="178"/>
      <c r="GQK35" s="178"/>
      <c r="GQL35" s="178"/>
      <c r="GRA35" s="178"/>
      <c r="GRB35" s="178"/>
      <c r="GRQ35" s="178"/>
      <c r="GRR35" s="178"/>
      <c r="GSG35" s="178"/>
      <c r="GSH35" s="178"/>
      <c r="GSW35" s="178"/>
      <c r="GSX35" s="178"/>
      <c r="GTM35" s="178"/>
      <c r="GTN35" s="178"/>
      <c r="GUC35" s="178"/>
      <c r="GUD35" s="178"/>
      <c r="GUS35" s="178"/>
      <c r="GUT35" s="178"/>
      <c r="GVI35" s="178"/>
      <c r="GVJ35" s="178"/>
      <c r="GVY35" s="178"/>
      <c r="GVZ35" s="178"/>
      <c r="GWO35" s="178"/>
      <c r="GWP35" s="178"/>
      <c r="GXE35" s="178"/>
      <c r="GXF35" s="178"/>
      <c r="GXU35" s="178"/>
      <c r="GXV35" s="178"/>
      <c r="GYK35" s="178"/>
      <c r="GYL35" s="178"/>
      <c r="GZA35" s="178"/>
      <c r="GZB35" s="178"/>
      <c r="GZQ35" s="178"/>
      <c r="GZR35" s="178"/>
      <c r="HAG35" s="178"/>
      <c r="HAH35" s="178"/>
      <c r="HAW35" s="178"/>
      <c r="HAX35" s="178"/>
      <c r="HBM35" s="178"/>
      <c r="HBN35" s="178"/>
      <c r="HCC35" s="178"/>
      <c r="HCD35" s="178"/>
      <c r="HCS35" s="178"/>
      <c r="HCT35" s="178"/>
      <c r="HDI35" s="178"/>
      <c r="HDJ35" s="178"/>
      <c r="HDY35" s="178"/>
      <c r="HDZ35" s="178"/>
      <c r="HEO35" s="178"/>
      <c r="HEP35" s="178"/>
      <c r="HFE35" s="178"/>
      <c r="HFF35" s="178"/>
      <c r="HFU35" s="178"/>
      <c r="HFV35" s="178"/>
      <c r="HGK35" s="178"/>
      <c r="HGL35" s="178"/>
      <c r="HHA35" s="178"/>
      <c r="HHB35" s="178"/>
      <c r="HHQ35" s="178"/>
      <c r="HHR35" s="178"/>
      <c r="HIG35" s="178"/>
      <c r="HIH35" s="178"/>
      <c r="HIW35" s="178"/>
      <c r="HIX35" s="178"/>
      <c r="HJM35" s="178"/>
      <c r="HJN35" s="178"/>
      <c r="HKC35" s="178"/>
      <c r="HKD35" s="178"/>
      <c r="HKS35" s="178"/>
      <c r="HKT35" s="178"/>
      <c r="HLI35" s="178"/>
      <c r="HLJ35" s="178"/>
      <c r="HLY35" s="178"/>
      <c r="HLZ35" s="178"/>
      <c r="HMO35" s="178"/>
      <c r="HMP35" s="178"/>
      <c r="HNE35" s="178"/>
      <c r="HNF35" s="178"/>
      <c r="HNU35" s="178"/>
      <c r="HNV35" s="178"/>
      <c r="HOK35" s="178"/>
      <c r="HOL35" s="178"/>
      <c r="HPA35" s="178"/>
      <c r="HPB35" s="178"/>
      <c r="HPQ35" s="178"/>
      <c r="HPR35" s="178"/>
      <c r="HQG35" s="178"/>
      <c r="HQH35" s="178"/>
      <c r="HQW35" s="178"/>
      <c r="HQX35" s="178"/>
      <c r="HRM35" s="178"/>
      <c r="HRN35" s="178"/>
      <c r="HSC35" s="178"/>
      <c r="HSD35" s="178"/>
      <c r="HSS35" s="178"/>
      <c r="HST35" s="178"/>
      <c r="HTI35" s="178"/>
      <c r="HTJ35" s="178"/>
      <c r="HTY35" s="178"/>
      <c r="HTZ35" s="178"/>
      <c r="HUO35" s="178"/>
      <c r="HUP35" s="178"/>
      <c r="HVE35" s="178"/>
      <c r="HVF35" s="178"/>
      <c r="HVU35" s="178"/>
      <c r="HVV35" s="178"/>
      <c r="HWK35" s="178"/>
      <c r="HWL35" s="178"/>
      <c r="HXA35" s="178"/>
      <c r="HXB35" s="178"/>
      <c r="HXQ35" s="178"/>
      <c r="HXR35" s="178"/>
      <c r="HYG35" s="178"/>
      <c r="HYH35" s="178"/>
      <c r="HYW35" s="178"/>
      <c r="HYX35" s="178"/>
      <c r="HZM35" s="178"/>
      <c r="HZN35" s="178"/>
      <c r="IAC35" s="178"/>
      <c r="IAD35" s="178"/>
      <c r="IAS35" s="178"/>
      <c r="IAT35" s="178"/>
      <c r="IBI35" s="178"/>
      <c r="IBJ35" s="178"/>
      <c r="IBY35" s="178"/>
      <c r="IBZ35" s="178"/>
      <c r="ICO35" s="178"/>
      <c r="ICP35" s="178"/>
      <c r="IDE35" s="178"/>
      <c r="IDF35" s="178"/>
      <c r="IDU35" s="178"/>
      <c r="IDV35" s="178"/>
      <c r="IEK35" s="178"/>
      <c r="IEL35" s="178"/>
      <c r="IFA35" s="178"/>
      <c r="IFB35" s="178"/>
      <c r="IFQ35" s="178"/>
      <c r="IFR35" s="178"/>
      <c r="IGG35" s="178"/>
      <c r="IGH35" s="178"/>
      <c r="IGW35" s="178"/>
      <c r="IGX35" s="178"/>
      <c r="IHM35" s="178"/>
      <c r="IHN35" s="178"/>
      <c r="IIC35" s="178"/>
      <c r="IID35" s="178"/>
      <c r="IIS35" s="178"/>
      <c r="IIT35" s="178"/>
      <c r="IJI35" s="178"/>
      <c r="IJJ35" s="178"/>
      <c r="IJY35" s="178"/>
      <c r="IJZ35" s="178"/>
      <c r="IKO35" s="178"/>
      <c r="IKP35" s="178"/>
      <c r="ILE35" s="178"/>
      <c r="ILF35" s="178"/>
      <c r="ILU35" s="178"/>
      <c r="ILV35" s="178"/>
      <c r="IMK35" s="178"/>
      <c r="IML35" s="178"/>
      <c r="INA35" s="178"/>
      <c r="INB35" s="178"/>
      <c r="INQ35" s="178"/>
      <c r="INR35" s="178"/>
      <c r="IOG35" s="178"/>
      <c r="IOH35" s="178"/>
      <c r="IOW35" s="178"/>
      <c r="IOX35" s="178"/>
      <c r="IPM35" s="178"/>
      <c r="IPN35" s="178"/>
      <c r="IQC35" s="178"/>
      <c r="IQD35" s="178"/>
      <c r="IQS35" s="178"/>
      <c r="IQT35" s="178"/>
      <c r="IRI35" s="178"/>
      <c r="IRJ35" s="178"/>
      <c r="IRY35" s="178"/>
      <c r="IRZ35" s="178"/>
      <c r="ISO35" s="178"/>
      <c r="ISP35" s="178"/>
      <c r="ITE35" s="178"/>
      <c r="ITF35" s="178"/>
      <c r="ITU35" s="178"/>
      <c r="ITV35" s="178"/>
      <c r="IUK35" s="178"/>
      <c r="IUL35" s="178"/>
      <c r="IVA35" s="178"/>
      <c r="IVB35" s="178"/>
      <c r="IVQ35" s="178"/>
      <c r="IVR35" s="178"/>
      <c r="IWG35" s="178"/>
      <c r="IWH35" s="178"/>
      <c r="IWW35" s="178"/>
      <c r="IWX35" s="178"/>
      <c r="IXM35" s="178"/>
      <c r="IXN35" s="178"/>
      <c r="IYC35" s="178"/>
      <c r="IYD35" s="178"/>
      <c r="IYS35" s="178"/>
      <c r="IYT35" s="178"/>
      <c r="IZI35" s="178"/>
      <c r="IZJ35" s="178"/>
      <c r="IZY35" s="178"/>
      <c r="IZZ35" s="178"/>
      <c r="JAO35" s="178"/>
      <c r="JAP35" s="178"/>
      <c r="JBE35" s="178"/>
      <c r="JBF35" s="178"/>
      <c r="JBU35" s="178"/>
      <c r="JBV35" s="178"/>
      <c r="JCK35" s="178"/>
      <c r="JCL35" s="178"/>
      <c r="JDA35" s="178"/>
      <c r="JDB35" s="178"/>
      <c r="JDQ35" s="178"/>
      <c r="JDR35" s="178"/>
      <c r="JEG35" s="178"/>
      <c r="JEH35" s="178"/>
      <c r="JEW35" s="178"/>
      <c r="JEX35" s="178"/>
      <c r="JFM35" s="178"/>
      <c r="JFN35" s="178"/>
      <c r="JGC35" s="178"/>
      <c r="JGD35" s="178"/>
      <c r="JGS35" s="178"/>
      <c r="JGT35" s="178"/>
      <c r="JHI35" s="178"/>
      <c r="JHJ35" s="178"/>
      <c r="JHY35" s="178"/>
      <c r="JHZ35" s="178"/>
      <c r="JIO35" s="178"/>
      <c r="JIP35" s="178"/>
      <c r="JJE35" s="178"/>
      <c r="JJF35" s="178"/>
      <c r="JJU35" s="178"/>
      <c r="JJV35" s="178"/>
      <c r="JKK35" s="178"/>
      <c r="JKL35" s="178"/>
      <c r="JLA35" s="178"/>
      <c r="JLB35" s="178"/>
      <c r="JLQ35" s="178"/>
      <c r="JLR35" s="178"/>
      <c r="JMG35" s="178"/>
      <c r="JMH35" s="178"/>
      <c r="JMW35" s="178"/>
      <c r="JMX35" s="178"/>
      <c r="JNM35" s="178"/>
      <c r="JNN35" s="178"/>
      <c r="JOC35" s="178"/>
      <c r="JOD35" s="178"/>
      <c r="JOS35" s="178"/>
      <c r="JOT35" s="178"/>
      <c r="JPI35" s="178"/>
      <c r="JPJ35" s="178"/>
      <c r="JPY35" s="178"/>
      <c r="JPZ35" s="178"/>
      <c r="JQO35" s="178"/>
      <c r="JQP35" s="178"/>
      <c r="JRE35" s="178"/>
      <c r="JRF35" s="178"/>
      <c r="JRU35" s="178"/>
      <c r="JRV35" s="178"/>
      <c r="JSK35" s="178"/>
      <c r="JSL35" s="178"/>
      <c r="JTA35" s="178"/>
      <c r="JTB35" s="178"/>
      <c r="JTQ35" s="178"/>
      <c r="JTR35" s="178"/>
      <c r="JUG35" s="178"/>
      <c r="JUH35" s="178"/>
      <c r="JUW35" s="178"/>
      <c r="JUX35" s="178"/>
      <c r="JVM35" s="178"/>
      <c r="JVN35" s="178"/>
      <c r="JWC35" s="178"/>
      <c r="JWD35" s="178"/>
      <c r="JWS35" s="178"/>
      <c r="JWT35" s="178"/>
      <c r="JXI35" s="178"/>
      <c r="JXJ35" s="178"/>
      <c r="JXY35" s="178"/>
      <c r="JXZ35" s="178"/>
      <c r="JYO35" s="178"/>
      <c r="JYP35" s="178"/>
      <c r="JZE35" s="178"/>
      <c r="JZF35" s="178"/>
      <c r="JZU35" s="178"/>
      <c r="JZV35" s="178"/>
      <c r="KAK35" s="178"/>
      <c r="KAL35" s="178"/>
      <c r="KBA35" s="178"/>
      <c r="KBB35" s="178"/>
      <c r="KBQ35" s="178"/>
      <c r="KBR35" s="178"/>
      <c r="KCG35" s="178"/>
      <c r="KCH35" s="178"/>
      <c r="KCW35" s="178"/>
      <c r="KCX35" s="178"/>
      <c r="KDM35" s="178"/>
      <c r="KDN35" s="178"/>
      <c r="KEC35" s="178"/>
      <c r="KED35" s="178"/>
      <c r="KES35" s="178"/>
      <c r="KET35" s="178"/>
      <c r="KFI35" s="178"/>
      <c r="KFJ35" s="178"/>
      <c r="KFY35" s="178"/>
      <c r="KFZ35" s="178"/>
      <c r="KGO35" s="178"/>
      <c r="KGP35" s="178"/>
      <c r="KHE35" s="178"/>
      <c r="KHF35" s="178"/>
      <c r="KHU35" s="178"/>
      <c r="KHV35" s="178"/>
      <c r="KIK35" s="178"/>
      <c r="KIL35" s="178"/>
      <c r="KJA35" s="178"/>
      <c r="KJB35" s="178"/>
      <c r="KJQ35" s="178"/>
      <c r="KJR35" s="178"/>
      <c r="KKG35" s="178"/>
      <c r="KKH35" s="178"/>
      <c r="KKW35" s="178"/>
      <c r="KKX35" s="178"/>
      <c r="KLM35" s="178"/>
      <c r="KLN35" s="178"/>
      <c r="KMC35" s="178"/>
      <c r="KMD35" s="178"/>
      <c r="KMS35" s="178"/>
      <c r="KMT35" s="178"/>
      <c r="KNI35" s="178"/>
      <c r="KNJ35" s="178"/>
      <c r="KNY35" s="178"/>
      <c r="KNZ35" s="178"/>
      <c r="KOO35" s="178"/>
      <c r="KOP35" s="178"/>
      <c r="KPE35" s="178"/>
      <c r="KPF35" s="178"/>
      <c r="KPU35" s="178"/>
      <c r="KPV35" s="178"/>
      <c r="KQK35" s="178"/>
      <c r="KQL35" s="178"/>
      <c r="KRA35" s="178"/>
      <c r="KRB35" s="178"/>
      <c r="KRQ35" s="178"/>
      <c r="KRR35" s="178"/>
      <c r="KSG35" s="178"/>
      <c r="KSH35" s="178"/>
      <c r="KSW35" s="178"/>
      <c r="KSX35" s="178"/>
      <c r="KTM35" s="178"/>
      <c r="KTN35" s="178"/>
      <c r="KUC35" s="178"/>
      <c r="KUD35" s="178"/>
      <c r="KUS35" s="178"/>
      <c r="KUT35" s="178"/>
      <c r="KVI35" s="178"/>
      <c r="KVJ35" s="178"/>
      <c r="KVY35" s="178"/>
      <c r="KVZ35" s="178"/>
      <c r="KWO35" s="178"/>
      <c r="KWP35" s="178"/>
      <c r="KXE35" s="178"/>
      <c r="KXF35" s="178"/>
      <c r="KXU35" s="178"/>
      <c r="KXV35" s="178"/>
      <c r="KYK35" s="178"/>
      <c r="KYL35" s="178"/>
      <c r="KZA35" s="178"/>
      <c r="KZB35" s="178"/>
      <c r="KZQ35" s="178"/>
      <c r="KZR35" s="178"/>
      <c r="LAG35" s="178"/>
      <c r="LAH35" s="178"/>
      <c r="LAW35" s="178"/>
      <c r="LAX35" s="178"/>
      <c r="LBM35" s="178"/>
      <c r="LBN35" s="178"/>
      <c r="LCC35" s="178"/>
      <c r="LCD35" s="178"/>
      <c r="LCS35" s="178"/>
      <c r="LCT35" s="178"/>
      <c r="LDI35" s="178"/>
      <c r="LDJ35" s="178"/>
      <c r="LDY35" s="178"/>
      <c r="LDZ35" s="178"/>
      <c r="LEO35" s="178"/>
      <c r="LEP35" s="178"/>
      <c r="LFE35" s="178"/>
      <c r="LFF35" s="178"/>
      <c r="LFU35" s="178"/>
      <c r="LFV35" s="178"/>
      <c r="LGK35" s="178"/>
      <c r="LGL35" s="178"/>
      <c r="LHA35" s="178"/>
      <c r="LHB35" s="178"/>
      <c r="LHQ35" s="178"/>
      <c r="LHR35" s="178"/>
      <c r="LIG35" s="178"/>
      <c r="LIH35" s="178"/>
      <c r="LIW35" s="178"/>
      <c r="LIX35" s="178"/>
      <c r="LJM35" s="178"/>
      <c r="LJN35" s="178"/>
      <c r="LKC35" s="178"/>
      <c r="LKD35" s="178"/>
      <c r="LKS35" s="178"/>
      <c r="LKT35" s="178"/>
      <c r="LLI35" s="178"/>
      <c r="LLJ35" s="178"/>
      <c r="LLY35" s="178"/>
      <c r="LLZ35" s="178"/>
      <c r="LMO35" s="178"/>
      <c r="LMP35" s="178"/>
      <c r="LNE35" s="178"/>
      <c r="LNF35" s="178"/>
      <c r="LNU35" s="178"/>
      <c r="LNV35" s="178"/>
      <c r="LOK35" s="178"/>
      <c r="LOL35" s="178"/>
      <c r="LPA35" s="178"/>
      <c r="LPB35" s="178"/>
      <c r="LPQ35" s="178"/>
      <c r="LPR35" s="178"/>
      <c r="LQG35" s="178"/>
      <c r="LQH35" s="178"/>
      <c r="LQW35" s="178"/>
      <c r="LQX35" s="178"/>
      <c r="LRM35" s="178"/>
      <c r="LRN35" s="178"/>
      <c r="LSC35" s="178"/>
      <c r="LSD35" s="178"/>
      <c r="LSS35" s="178"/>
      <c r="LST35" s="178"/>
      <c r="LTI35" s="178"/>
      <c r="LTJ35" s="178"/>
      <c r="LTY35" s="178"/>
      <c r="LTZ35" s="178"/>
      <c r="LUO35" s="178"/>
      <c r="LUP35" s="178"/>
      <c r="LVE35" s="178"/>
      <c r="LVF35" s="178"/>
      <c r="LVU35" s="178"/>
      <c r="LVV35" s="178"/>
      <c r="LWK35" s="178"/>
      <c r="LWL35" s="178"/>
      <c r="LXA35" s="178"/>
      <c r="LXB35" s="178"/>
      <c r="LXQ35" s="178"/>
      <c r="LXR35" s="178"/>
      <c r="LYG35" s="178"/>
      <c r="LYH35" s="178"/>
      <c r="LYW35" s="178"/>
      <c r="LYX35" s="178"/>
      <c r="LZM35" s="178"/>
      <c r="LZN35" s="178"/>
      <c r="MAC35" s="178"/>
      <c r="MAD35" s="178"/>
      <c r="MAS35" s="178"/>
      <c r="MAT35" s="178"/>
      <c r="MBI35" s="178"/>
      <c r="MBJ35" s="178"/>
      <c r="MBY35" s="178"/>
      <c r="MBZ35" s="178"/>
      <c r="MCO35" s="178"/>
      <c r="MCP35" s="178"/>
      <c r="MDE35" s="178"/>
      <c r="MDF35" s="178"/>
      <c r="MDU35" s="178"/>
      <c r="MDV35" s="178"/>
      <c r="MEK35" s="178"/>
      <c r="MEL35" s="178"/>
      <c r="MFA35" s="178"/>
      <c r="MFB35" s="178"/>
      <c r="MFQ35" s="178"/>
      <c r="MFR35" s="178"/>
      <c r="MGG35" s="178"/>
      <c r="MGH35" s="178"/>
      <c r="MGW35" s="178"/>
      <c r="MGX35" s="178"/>
      <c r="MHM35" s="178"/>
      <c r="MHN35" s="178"/>
      <c r="MIC35" s="178"/>
      <c r="MID35" s="178"/>
      <c r="MIS35" s="178"/>
      <c r="MIT35" s="178"/>
      <c r="MJI35" s="178"/>
      <c r="MJJ35" s="178"/>
      <c r="MJY35" s="178"/>
      <c r="MJZ35" s="178"/>
      <c r="MKO35" s="178"/>
      <c r="MKP35" s="178"/>
      <c r="MLE35" s="178"/>
      <c r="MLF35" s="178"/>
      <c r="MLU35" s="178"/>
      <c r="MLV35" s="178"/>
      <c r="MMK35" s="178"/>
      <c r="MML35" s="178"/>
      <c r="MNA35" s="178"/>
      <c r="MNB35" s="178"/>
      <c r="MNQ35" s="178"/>
      <c r="MNR35" s="178"/>
      <c r="MOG35" s="178"/>
      <c r="MOH35" s="178"/>
      <c r="MOW35" s="178"/>
      <c r="MOX35" s="178"/>
      <c r="MPM35" s="178"/>
      <c r="MPN35" s="178"/>
      <c r="MQC35" s="178"/>
      <c r="MQD35" s="178"/>
      <c r="MQS35" s="178"/>
      <c r="MQT35" s="178"/>
      <c r="MRI35" s="178"/>
      <c r="MRJ35" s="178"/>
      <c r="MRY35" s="178"/>
      <c r="MRZ35" s="178"/>
      <c r="MSO35" s="178"/>
      <c r="MSP35" s="178"/>
      <c r="MTE35" s="178"/>
      <c r="MTF35" s="178"/>
      <c r="MTU35" s="178"/>
      <c r="MTV35" s="178"/>
      <c r="MUK35" s="178"/>
      <c r="MUL35" s="178"/>
      <c r="MVA35" s="178"/>
      <c r="MVB35" s="178"/>
      <c r="MVQ35" s="178"/>
      <c r="MVR35" s="178"/>
      <c r="MWG35" s="178"/>
      <c r="MWH35" s="178"/>
      <c r="MWW35" s="178"/>
      <c r="MWX35" s="178"/>
      <c r="MXM35" s="178"/>
      <c r="MXN35" s="178"/>
      <c r="MYC35" s="178"/>
      <c r="MYD35" s="178"/>
      <c r="MYS35" s="178"/>
      <c r="MYT35" s="178"/>
      <c r="MZI35" s="178"/>
      <c r="MZJ35" s="178"/>
      <c r="MZY35" s="178"/>
      <c r="MZZ35" s="178"/>
      <c r="NAO35" s="178"/>
      <c r="NAP35" s="178"/>
      <c r="NBE35" s="178"/>
      <c r="NBF35" s="178"/>
      <c r="NBU35" s="178"/>
      <c r="NBV35" s="178"/>
      <c r="NCK35" s="178"/>
      <c r="NCL35" s="178"/>
      <c r="NDA35" s="178"/>
      <c r="NDB35" s="178"/>
      <c r="NDQ35" s="178"/>
      <c r="NDR35" s="178"/>
      <c r="NEG35" s="178"/>
      <c r="NEH35" s="178"/>
      <c r="NEW35" s="178"/>
      <c r="NEX35" s="178"/>
      <c r="NFM35" s="178"/>
      <c r="NFN35" s="178"/>
      <c r="NGC35" s="178"/>
      <c r="NGD35" s="178"/>
      <c r="NGS35" s="178"/>
      <c r="NGT35" s="178"/>
      <c r="NHI35" s="178"/>
      <c r="NHJ35" s="178"/>
      <c r="NHY35" s="178"/>
      <c r="NHZ35" s="178"/>
      <c r="NIO35" s="178"/>
      <c r="NIP35" s="178"/>
      <c r="NJE35" s="178"/>
      <c r="NJF35" s="178"/>
      <c r="NJU35" s="178"/>
      <c r="NJV35" s="178"/>
      <c r="NKK35" s="178"/>
      <c r="NKL35" s="178"/>
      <c r="NLA35" s="178"/>
      <c r="NLB35" s="178"/>
      <c r="NLQ35" s="178"/>
      <c r="NLR35" s="178"/>
      <c r="NMG35" s="178"/>
      <c r="NMH35" s="178"/>
      <c r="NMW35" s="178"/>
      <c r="NMX35" s="178"/>
      <c r="NNM35" s="178"/>
      <c r="NNN35" s="178"/>
      <c r="NOC35" s="178"/>
      <c r="NOD35" s="178"/>
      <c r="NOS35" s="178"/>
      <c r="NOT35" s="178"/>
      <c r="NPI35" s="178"/>
      <c r="NPJ35" s="178"/>
      <c r="NPY35" s="178"/>
      <c r="NPZ35" s="178"/>
      <c r="NQO35" s="178"/>
      <c r="NQP35" s="178"/>
      <c r="NRE35" s="178"/>
      <c r="NRF35" s="178"/>
      <c r="NRU35" s="178"/>
      <c r="NRV35" s="178"/>
      <c r="NSK35" s="178"/>
      <c r="NSL35" s="178"/>
      <c r="NTA35" s="178"/>
      <c r="NTB35" s="178"/>
      <c r="NTQ35" s="178"/>
      <c r="NTR35" s="178"/>
      <c r="NUG35" s="178"/>
      <c r="NUH35" s="178"/>
      <c r="NUW35" s="178"/>
      <c r="NUX35" s="178"/>
      <c r="NVM35" s="178"/>
      <c r="NVN35" s="178"/>
      <c r="NWC35" s="178"/>
      <c r="NWD35" s="178"/>
      <c r="NWS35" s="178"/>
      <c r="NWT35" s="178"/>
      <c r="NXI35" s="178"/>
      <c r="NXJ35" s="178"/>
      <c r="NXY35" s="178"/>
      <c r="NXZ35" s="178"/>
      <c r="NYO35" s="178"/>
      <c r="NYP35" s="178"/>
      <c r="NZE35" s="178"/>
      <c r="NZF35" s="178"/>
      <c r="NZU35" s="178"/>
      <c r="NZV35" s="178"/>
      <c r="OAK35" s="178"/>
      <c r="OAL35" s="178"/>
      <c r="OBA35" s="178"/>
      <c r="OBB35" s="178"/>
      <c r="OBQ35" s="178"/>
      <c r="OBR35" s="178"/>
      <c r="OCG35" s="178"/>
      <c r="OCH35" s="178"/>
      <c r="OCW35" s="178"/>
      <c r="OCX35" s="178"/>
      <c r="ODM35" s="178"/>
      <c r="ODN35" s="178"/>
      <c r="OEC35" s="178"/>
      <c r="OED35" s="178"/>
      <c r="OES35" s="178"/>
      <c r="OET35" s="178"/>
      <c r="OFI35" s="178"/>
      <c r="OFJ35" s="178"/>
      <c r="OFY35" s="178"/>
      <c r="OFZ35" s="178"/>
      <c r="OGO35" s="178"/>
      <c r="OGP35" s="178"/>
      <c r="OHE35" s="178"/>
      <c r="OHF35" s="178"/>
      <c r="OHU35" s="178"/>
      <c r="OHV35" s="178"/>
      <c r="OIK35" s="178"/>
      <c r="OIL35" s="178"/>
      <c r="OJA35" s="178"/>
      <c r="OJB35" s="178"/>
      <c r="OJQ35" s="178"/>
      <c r="OJR35" s="178"/>
      <c r="OKG35" s="178"/>
      <c r="OKH35" s="178"/>
      <c r="OKW35" s="178"/>
      <c r="OKX35" s="178"/>
      <c r="OLM35" s="178"/>
      <c r="OLN35" s="178"/>
      <c r="OMC35" s="178"/>
      <c r="OMD35" s="178"/>
      <c r="OMS35" s="178"/>
      <c r="OMT35" s="178"/>
      <c r="ONI35" s="178"/>
      <c r="ONJ35" s="178"/>
      <c r="ONY35" s="178"/>
      <c r="ONZ35" s="178"/>
      <c r="OOO35" s="178"/>
      <c r="OOP35" s="178"/>
      <c r="OPE35" s="178"/>
      <c r="OPF35" s="178"/>
      <c r="OPU35" s="178"/>
      <c r="OPV35" s="178"/>
      <c r="OQK35" s="178"/>
      <c r="OQL35" s="178"/>
      <c r="ORA35" s="178"/>
      <c r="ORB35" s="178"/>
      <c r="ORQ35" s="178"/>
      <c r="ORR35" s="178"/>
      <c r="OSG35" s="178"/>
      <c r="OSH35" s="178"/>
      <c r="OSW35" s="178"/>
      <c r="OSX35" s="178"/>
      <c r="OTM35" s="178"/>
      <c r="OTN35" s="178"/>
      <c r="OUC35" s="178"/>
      <c r="OUD35" s="178"/>
      <c r="OUS35" s="178"/>
      <c r="OUT35" s="178"/>
      <c r="OVI35" s="178"/>
      <c r="OVJ35" s="178"/>
      <c r="OVY35" s="178"/>
      <c r="OVZ35" s="178"/>
      <c r="OWO35" s="178"/>
      <c r="OWP35" s="178"/>
      <c r="OXE35" s="178"/>
      <c r="OXF35" s="178"/>
      <c r="OXU35" s="178"/>
      <c r="OXV35" s="178"/>
      <c r="OYK35" s="178"/>
      <c r="OYL35" s="178"/>
      <c r="OZA35" s="178"/>
      <c r="OZB35" s="178"/>
      <c r="OZQ35" s="178"/>
      <c r="OZR35" s="178"/>
      <c r="PAG35" s="178"/>
      <c r="PAH35" s="178"/>
      <c r="PAW35" s="178"/>
      <c r="PAX35" s="178"/>
      <c r="PBM35" s="178"/>
      <c r="PBN35" s="178"/>
      <c r="PCC35" s="178"/>
      <c r="PCD35" s="178"/>
      <c r="PCS35" s="178"/>
      <c r="PCT35" s="178"/>
      <c r="PDI35" s="178"/>
      <c r="PDJ35" s="178"/>
      <c r="PDY35" s="178"/>
      <c r="PDZ35" s="178"/>
      <c r="PEO35" s="178"/>
      <c r="PEP35" s="178"/>
      <c r="PFE35" s="178"/>
      <c r="PFF35" s="178"/>
      <c r="PFU35" s="178"/>
      <c r="PFV35" s="178"/>
      <c r="PGK35" s="178"/>
      <c r="PGL35" s="178"/>
      <c r="PHA35" s="178"/>
      <c r="PHB35" s="178"/>
      <c r="PHQ35" s="178"/>
      <c r="PHR35" s="178"/>
      <c r="PIG35" s="178"/>
      <c r="PIH35" s="178"/>
      <c r="PIW35" s="178"/>
      <c r="PIX35" s="178"/>
      <c r="PJM35" s="178"/>
      <c r="PJN35" s="178"/>
      <c r="PKC35" s="178"/>
      <c r="PKD35" s="178"/>
      <c r="PKS35" s="178"/>
      <c r="PKT35" s="178"/>
      <c r="PLI35" s="178"/>
      <c r="PLJ35" s="178"/>
      <c r="PLY35" s="178"/>
      <c r="PLZ35" s="178"/>
      <c r="PMO35" s="178"/>
      <c r="PMP35" s="178"/>
      <c r="PNE35" s="178"/>
      <c r="PNF35" s="178"/>
      <c r="PNU35" s="178"/>
      <c r="PNV35" s="178"/>
      <c r="POK35" s="178"/>
      <c r="POL35" s="178"/>
      <c r="PPA35" s="178"/>
      <c r="PPB35" s="178"/>
      <c r="PPQ35" s="178"/>
      <c r="PPR35" s="178"/>
      <c r="PQG35" s="178"/>
      <c r="PQH35" s="178"/>
      <c r="PQW35" s="178"/>
      <c r="PQX35" s="178"/>
      <c r="PRM35" s="178"/>
      <c r="PRN35" s="178"/>
      <c r="PSC35" s="178"/>
      <c r="PSD35" s="178"/>
      <c r="PSS35" s="178"/>
      <c r="PST35" s="178"/>
      <c r="PTI35" s="178"/>
      <c r="PTJ35" s="178"/>
      <c r="PTY35" s="178"/>
      <c r="PTZ35" s="178"/>
      <c r="PUO35" s="178"/>
      <c r="PUP35" s="178"/>
      <c r="PVE35" s="178"/>
      <c r="PVF35" s="178"/>
      <c r="PVU35" s="178"/>
      <c r="PVV35" s="178"/>
      <c r="PWK35" s="178"/>
      <c r="PWL35" s="178"/>
      <c r="PXA35" s="178"/>
      <c r="PXB35" s="178"/>
      <c r="PXQ35" s="178"/>
      <c r="PXR35" s="178"/>
      <c r="PYG35" s="178"/>
      <c r="PYH35" s="178"/>
      <c r="PYW35" s="178"/>
      <c r="PYX35" s="178"/>
      <c r="PZM35" s="178"/>
      <c r="PZN35" s="178"/>
      <c r="QAC35" s="178"/>
      <c r="QAD35" s="178"/>
      <c r="QAS35" s="178"/>
      <c r="QAT35" s="178"/>
      <c r="QBI35" s="178"/>
      <c r="QBJ35" s="178"/>
      <c r="QBY35" s="178"/>
      <c r="QBZ35" s="178"/>
      <c r="QCO35" s="178"/>
      <c r="QCP35" s="178"/>
      <c r="QDE35" s="178"/>
      <c r="QDF35" s="178"/>
      <c r="QDU35" s="178"/>
      <c r="QDV35" s="178"/>
      <c r="QEK35" s="178"/>
      <c r="QEL35" s="178"/>
      <c r="QFA35" s="178"/>
      <c r="QFB35" s="178"/>
      <c r="QFQ35" s="178"/>
      <c r="QFR35" s="178"/>
      <c r="QGG35" s="178"/>
      <c r="QGH35" s="178"/>
      <c r="QGW35" s="178"/>
      <c r="QGX35" s="178"/>
      <c r="QHM35" s="178"/>
      <c r="QHN35" s="178"/>
      <c r="QIC35" s="178"/>
      <c r="QID35" s="178"/>
      <c r="QIS35" s="178"/>
      <c r="QIT35" s="178"/>
      <c r="QJI35" s="178"/>
      <c r="QJJ35" s="178"/>
      <c r="QJY35" s="178"/>
      <c r="QJZ35" s="178"/>
      <c r="QKO35" s="178"/>
      <c r="QKP35" s="178"/>
      <c r="QLE35" s="178"/>
      <c r="QLF35" s="178"/>
      <c r="QLU35" s="178"/>
      <c r="QLV35" s="178"/>
      <c r="QMK35" s="178"/>
      <c r="QML35" s="178"/>
      <c r="QNA35" s="178"/>
      <c r="QNB35" s="178"/>
      <c r="QNQ35" s="178"/>
      <c r="QNR35" s="178"/>
      <c r="QOG35" s="178"/>
      <c r="QOH35" s="178"/>
      <c r="QOW35" s="178"/>
      <c r="QOX35" s="178"/>
      <c r="QPM35" s="178"/>
      <c r="QPN35" s="178"/>
      <c r="QQC35" s="178"/>
      <c r="QQD35" s="178"/>
      <c r="QQS35" s="178"/>
      <c r="QQT35" s="178"/>
      <c r="QRI35" s="178"/>
      <c r="QRJ35" s="178"/>
      <c r="QRY35" s="178"/>
      <c r="QRZ35" s="178"/>
      <c r="QSO35" s="178"/>
      <c r="QSP35" s="178"/>
      <c r="QTE35" s="178"/>
      <c r="QTF35" s="178"/>
      <c r="QTU35" s="178"/>
      <c r="QTV35" s="178"/>
      <c r="QUK35" s="178"/>
      <c r="QUL35" s="178"/>
      <c r="QVA35" s="178"/>
      <c r="QVB35" s="178"/>
      <c r="QVQ35" s="178"/>
      <c r="QVR35" s="178"/>
      <c r="QWG35" s="178"/>
      <c r="QWH35" s="178"/>
      <c r="QWW35" s="178"/>
      <c r="QWX35" s="178"/>
      <c r="QXM35" s="178"/>
      <c r="QXN35" s="178"/>
      <c r="QYC35" s="178"/>
      <c r="QYD35" s="178"/>
      <c r="QYS35" s="178"/>
      <c r="QYT35" s="178"/>
      <c r="QZI35" s="178"/>
      <c r="QZJ35" s="178"/>
      <c r="QZY35" s="178"/>
      <c r="QZZ35" s="178"/>
      <c r="RAO35" s="178"/>
      <c r="RAP35" s="178"/>
      <c r="RBE35" s="178"/>
      <c r="RBF35" s="178"/>
      <c r="RBU35" s="178"/>
      <c r="RBV35" s="178"/>
      <c r="RCK35" s="178"/>
      <c r="RCL35" s="178"/>
      <c r="RDA35" s="178"/>
      <c r="RDB35" s="178"/>
      <c r="RDQ35" s="178"/>
      <c r="RDR35" s="178"/>
      <c r="REG35" s="178"/>
      <c r="REH35" s="178"/>
      <c r="REW35" s="178"/>
      <c r="REX35" s="178"/>
      <c r="RFM35" s="178"/>
      <c r="RFN35" s="178"/>
      <c r="RGC35" s="178"/>
      <c r="RGD35" s="178"/>
      <c r="RGS35" s="178"/>
      <c r="RGT35" s="178"/>
      <c r="RHI35" s="178"/>
      <c r="RHJ35" s="178"/>
      <c r="RHY35" s="178"/>
      <c r="RHZ35" s="178"/>
      <c r="RIO35" s="178"/>
      <c r="RIP35" s="178"/>
      <c r="RJE35" s="178"/>
      <c r="RJF35" s="178"/>
      <c r="RJU35" s="178"/>
      <c r="RJV35" s="178"/>
      <c r="RKK35" s="178"/>
      <c r="RKL35" s="178"/>
      <c r="RLA35" s="178"/>
      <c r="RLB35" s="178"/>
      <c r="RLQ35" s="178"/>
      <c r="RLR35" s="178"/>
      <c r="RMG35" s="178"/>
      <c r="RMH35" s="178"/>
      <c r="RMW35" s="178"/>
      <c r="RMX35" s="178"/>
      <c r="RNM35" s="178"/>
      <c r="RNN35" s="178"/>
      <c r="ROC35" s="178"/>
      <c r="ROD35" s="178"/>
      <c r="ROS35" s="178"/>
      <c r="ROT35" s="178"/>
      <c r="RPI35" s="178"/>
      <c r="RPJ35" s="178"/>
      <c r="RPY35" s="178"/>
      <c r="RPZ35" s="178"/>
      <c r="RQO35" s="178"/>
      <c r="RQP35" s="178"/>
      <c r="RRE35" s="178"/>
      <c r="RRF35" s="178"/>
      <c r="RRU35" s="178"/>
      <c r="RRV35" s="178"/>
      <c r="RSK35" s="178"/>
      <c r="RSL35" s="178"/>
      <c r="RTA35" s="178"/>
      <c r="RTB35" s="178"/>
      <c r="RTQ35" s="178"/>
      <c r="RTR35" s="178"/>
      <c r="RUG35" s="178"/>
      <c r="RUH35" s="178"/>
      <c r="RUW35" s="178"/>
      <c r="RUX35" s="178"/>
      <c r="RVM35" s="178"/>
      <c r="RVN35" s="178"/>
      <c r="RWC35" s="178"/>
      <c r="RWD35" s="178"/>
      <c r="RWS35" s="178"/>
      <c r="RWT35" s="178"/>
      <c r="RXI35" s="178"/>
      <c r="RXJ35" s="178"/>
      <c r="RXY35" s="178"/>
      <c r="RXZ35" s="178"/>
      <c r="RYO35" s="178"/>
      <c r="RYP35" s="178"/>
      <c r="RZE35" s="178"/>
      <c r="RZF35" s="178"/>
      <c r="RZU35" s="178"/>
      <c r="RZV35" s="178"/>
      <c r="SAK35" s="178"/>
      <c r="SAL35" s="178"/>
      <c r="SBA35" s="178"/>
      <c r="SBB35" s="178"/>
      <c r="SBQ35" s="178"/>
      <c r="SBR35" s="178"/>
      <c r="SCG35" s="178"/>
      <c r="SCH35" s="178"/>
      <c r="SCW35" s="178"/>
      <c r="SCX35" s="178"/>
      <c r="SDM35" s="178"/>
      <c r="SDN35" s="178"/>
      <c r="SEC35" s="178"/>
      <c r="SED35" s="178"/>
      <c r="SES35" s="178"/>
      <c r="SET35" s="178"/>
      <c r="SFI35" s="178"/>
      <c r="SFJ35" s="178"/>
      <c r="SFY35" s="178"/>
      <c r="SFZ35" s="178"/>
      <c r="SGO35" s="178"/>
      <c r="SGP35" s="178"/>
      <c r="SHE35" s="178"/>
      <c r="SHF35" s="178"/>
      <c r="SHU35" s="178"/>
      <c r="SHV35" s="178"/>
      <c r="SIK35" s="178"/>
      <c r="SIL35" s="178"/>
      <c r="SJA35" s="178"/>
      <c r="SJB35" s="178"/>
      <c r="SJQ35" s="178"/>
      <c r="SJR35" s="178"/>
      <c r="SKG35" s="178"/>
      <c r="SKH35" s="178"/>
      <c r="SKW35" s="178"/>
      <c r="SKX35" s="178"/>
      <c r="SLM35" s="178"/>
      <c r="SLN35" s="178"/>
      <c r="SMC35" s="178"/>
      <c r="SMD35" s="178"/>
      <c r="SMS35" s="178"/>
      <c r="SMT35" s="178"/>
      <c r="SNI35" s="178"/>
      <c r="SNJ35" s="178"/>
      <c r="SNY35" s="178"/>
      <c r="SNZ35" s="178"/>
      <c r="SOO35" s="178"/>
      <c r="SOP35" s="178"/>
      <c r="SPE35" s="178"/>
      <c r="SPF35" s="178"/>
      <c r="SPU35" s="178"/>
      <c r="SPV35" s="178"/>
      <c r="SQK35" s="178"/>
      <c r="SQL35" s="178"/>
      <c r="SRA35" s="178"/>
      <c r="SRB35" s="178"/>
      <c r="SRQ35" s="178"/>
      <c r="SRR35" s="178"/>
      <c r="SSG35" s="178"/>
      <c r="SSH35" s="178"/>
      <c r="SSW35" s="178"/>
      <c r="SSX35" s="178"/>
      <c r="STM35" s="178"/>
      <c r="STN35" s="178"/>
      <c r="SUC35" s="178"/>
      <c r="SUD35" s="178"/>
      <c r="SUS35" s="178"/>
      <c r="SUT35" s="178"/>
      <c r="SVI35" s="178"/>
      <c r="SVJ35" s="178"/>
      <c r="SVY35" s="178"/>
      <c r="SVZ35" s="178"/>
      <c r="SWO35" s="178"/>
      <c r="SWP35" s="178"/>
      <c r="SXE35" s="178"/>
      <c r="SXF35" s="178"/>
      <c r="SXU35" s="178"/>
      <c r="SXV35" s="178"/>
      <c r="SYK35" s="178"/>
      <c r="SYL35" s="178"/>
      <c r="SZA35" s="178"/>
      <c r="SZB35" s="178"/>
      <c r="SZQ35" s="178"/>
      <c r="SZR35" s="178"/>
      <c r="TAG35" s="178"/>
      <c r="TAH35" s="178"/>
      <c r="TAW35" s="178"/>
      <c r="TAX35" s="178"/>
      <c r="TBM35" s="178"/>
      <c r="TBN35" s="178"/>
      <c r="TCC35" s="178"/>
      <c r="TCD35" s="178"/>
      <c r="TCS35" s="178"/>
      <c r="TCT35" s="178"/>
      <c r="TDI35" s="178"/>
      <c r="TDJ35" s="178"/>
      <c r="TDY35" s="178"/>
      <c r="TDZ35" s="178"/>
      <c r="TEO35" s="178"/>
      <c r="TEP35" s="178"/>
      <c r="TFE35" s="178"/>
      <c r="TFF35" s="178"/>
      <c r="TFU35" s="178"/>
      <c r="TFV35" s="178"/>
      <c r="TGK35" s="178"/>
      <c r="TGL35" s="178"/>
      <c r="THA35" s="178"/>
      <c r="THB35" s="178"/>
      <c r="THQ35" s="178"/>
      <c r="THR35" s="178"/>
      <c r="TIG35" s="178"/>
      <c r="TIH35" s="178"/>
      <c r="TIW35" s="178"/>
      <c r="TIX35" s="178"/>
      <c r="TJM35" s="178"/>
      <c r="TJN35" s="178"/>
      <c r="TKC35" s="178"/>
      <c r="TKD35" s="178"/>
      <c r="TKS35" s="178"/>
      <c r="TKT35" s="178"/>
      <c r="TLI35" s="178"/>
      <c r="TLJ35" s="178"/>
      <c r="TLY35" s="178"/>
      <c r="TLZ35" s="178"/>
      <c r="TMO35" s="178"/>
      <c r="TMP35" s="178"/>
      <c r="TNE35" s="178"/>
      <c r="TNF35" s="178"/>
      <c r="TNU35" s="178"/>
      <c r="TNV35" s="178"/>
      <c r="TOK35" s="178"/>
      <c r="TOL35" s="178"/>
      <c r="TPA35" s="178"/>
      <c r="TPB35" s="178"/>
      <c r="TPQ35" s="178"/>
      <c r="TPR35" s="178"/>
      <c r="TQG35" s="178"/>
      <c r="TQH35" s="178"/>
      <c r="TQW35" s="178"/>
      <c r="TQX35" s="178"/>
      <c r="TRM35" s="178"/>
      <c r="TRN35" s="178"/>
      <c r="TSC35" s="178"/>
      <c r="TSD35" s="178"/>
      <c r="TSS35" s="178"/>
      <c r="TST35" s="178"/>
      <c r="TTI35" s="178"/>
      <c r="TTJ35" s="178"/>
      <c r="TTY35" s="178"/>
      <c r="TTZ35" s="178"/>
      <c r="TUO35" s="178"/>
      <c r="TUP35" s="178"/>
      <c r="TVE35" s="178"/>
      <c r="TVF35" s="178"/>
      <c r="TVU35" s="178"/>
      <c r="TVV35" s="178"/>
      <c r="TWK35" s="178"/>
      <c r="TWL35" s="178"/>
      <c r="TXA35" s="178"/>
      <c r="TXB35" s="178"/>
      <c r="TXQ35" s="178"/>
      <c r="TXR35" s="178"/>
      <c r="TYG35" s="178"/>
      <c r="TYH35" s="178"/>
      <c r="TYW35" s="178"/>
      <c r="TYX35" s="178"/>
      <c r="TZM35" s="178"/>
      <c r="TZN35" s="178"/>
      <c r="UAC35" s="178"/>
      <c r="UAD35" s="178"/>
      <c r="UAS35" s="178"/>
      <c r="UAT35" s="178"/>
      <c r="UBI35" s="178"/>
      <c r="UBJ35" s="178"/>
      <c r="UBY35" s="178"/>
      <c r="UBZ35" s="178"/>
      <c r="UCO35" s="178"/>
      <c r="UCP35" s="178"/>
      <c r="UDE35" s="178"/>
      <c r="UDF35" s="178"/>
      <c r="UDU35" s="178"/>
      <c r="UDV35" s="178"/>
      <c r="UEK35" s="178"/>
      <c r="UEL35" s="178"/>
      <c r="UFA35" s="178"/>
      <c r="UFB35" s="178"/>
      <c r="UFQ35" s="178"/>
      <c r="UFR35" s="178"/>
      <c r="UGG35" s="178"/>
      <c r="UGH35" s="178"/>
      <c r="UGW35" s="178"/>
      <c r="UGX35" s="178"/>
      <c r="UHM35" s="178"/>
      <c r="UHN35" s="178"/>
      <c r="UIC35" s="178"/>
      <c r="UID35" s="178"/>
      <c r="UIS35" s="178"/>
      <c r="UIT35" s="178"/>
      <c r="UJI35" s="178"/>
      <c r="UJJ35" s="178"/>
      <c r="UJY35" s="178"/>
      <c r="UJZ35" s="178"/>
      <c r="UKO35" s="178"/>
      <c r="UKP35" s="178"/>
      <c r="ULE35" s="178"/>
      <c r="ULF35" s="178"/>
      <c r="ULU35" s="178"/>
      <c r="ULV35" s="178"/>
      <c r="UMK35" s="178"/>
      <c r="UML35" s="178"/>
      <c r="UNA35" s="178"/>
      <c r="UNB35" s="178"/>
      <c r="UNQ35" s="178"/>
      <c r="UNR35" s="178"/>
      <c r="UOG35" s="178"/>
      <c r="UOH35" s="178"/>
      <c r="UOW35" s="178"/>
      <c r="UOX35" s="178"/>
      <c r="UPM35" s="178"/>
      <c r="UPN35" s="178"/>
      <c r="UQC35" s="178"/>
      <c r="UQD35" s="178"/>
      <c r="UQS35" s="178"/>
      <c r="UQT35" s="178"/>
      <c r="URI35" s="178"/>
      <c r="URJ35" s="178"/>
      <c r="URY35" s="178"/>
      <c r="URZ35" s="178"/>
      <c r="USO35" s="178"/>
      <c r="USP35" s="178"/>
      <c r="UTE35" s="178"/>
      <c r="UTF35" s="178"/>
      <c r="UTU35" s="178"/>
      <c r="UTV35" s="178"/>
      <c r="UUK35" s="178"/>
      <c r="UUL35" s="178"/>
      <c r="UVA35" s="178"/>
      <c r="UVB35" s="178"/>
      <c r="UVQ35" s="178"/>
      <c r="UVR35" s="178"/>
      <c r="UWG35" s="178"/>
      <c r="UWH35" s="178"/>
      <c r="UWW35" s="178"/>
      <c r="UWX35" s="178"/>
      <c r="UXM35" s="178"/>
      <c r="UXN35" s="178"/>
      <c r="UYC35" s="178"/>
      <c r="UYD35" s="178"/>
      <c r="UYS35" s="178"/>
      <c r="UYT35" s="178"/>
      <c r="UZI35" s="178"/>
      <c r="UZJ35" s="178"/>
      <c r="UZY35" s="178"/>
      <c r="UZZ35" s="178"/>
      <c r="VAO35" s="178"/>
      <c r="VAP35" s="178"/>
      <c r="VBE35" s="178"/>
      <c r="VBF35" s="178"/>
      <c r="VBU35" s="178"/>
      <c r="VBV35" s="178"/>
      <c r="VCK35" s="178"/>
      <c r="VCL35" s="178"/>
      <c r="VDA35" s="178"/>
      <c r="VDB35" s="178"/>
      <c r="VDQ35" s="178"/>
      <c r="VDR35" s="178"/>
      <c r="VEG35" s="178"/>
      <c r="VEH35" s="178"/>
      <c r="VEW35" s="178"/>
      <c r="VEX35" s="178"/>
      <c r="VFM35" s="178"/>
      <c r="VFN35" s="178"/>
      <c r="VGC35" s="178"/>
      <c r="VGD35" s="178"/>
      <c r="VGS35" s="178"/>
      <c r="VGT35" s="178"/>
      <c r="VHI35" s="178"/>
      <c r="VHJ35" s="178"/>
      <c r="VHY35" s="178"/>
      <c r="VHZ35" s="178"/>
      <c r="VIO35" s="178"/>
      <c r="VIP35" s="178"/>
      <c r="VJE35" s="178"/>
      <c r="VJF35" s="178"/>
      <c r="VJU35" s="178"/>
      <c r="VJV35" s="178"/>
      <c r="VKK35" s="178"/>
      <c r="VKL35" s="178"/>
      <c r="VLA35" s="178"/>
      <c r="VLB35" s="178"/>
      <c r="VLQ35" s="178"/>
      <c r="VLR35" s="178"/>
      <c r="VMG35" s="178"/>
      <c r="VMH35" s="178"/>
      <c r="VMW35" s="178"/>
      <c r="VMX35" s="178"/>
      <c r="VNM35" s="178"/>
      <c r="VNN35" s="178"/>
      <c r="VOC35" s="178"/>
      <c r="VOD35" s="178"/>
      <c r="VOS35" s="178"/>
      <c r="VOT35" s="178"/>
      <c r="VPI35" s="178"/>
      <c r="VPJ35" s="178"/>
      <c r="VPY35" s="178"/>
      <c r="VPZ35" s="178"/>
      <c r="VQO35" s="178"/>
      <c r="VQP35" s="178"/>
      <c r="VRE35" s="178"/>
      <c r="VRF35" s="178"/>
      <c r="VRU35" s="178"/>
      <c r="VRV35" s="178"/>
      <c r="VSK35" s="178"/>
      <c r="VSL35" s="178"/>
      <c r="VTA35" s="178"/>
      <c r="VTB35" s="178"/>
      <c r="VTQ35" s="178"/>
      <c r="VTR35" s="178"/>
      <c r="VUG35" s="178"/>
      <c r="VUH35" s="178"/>
      <c r="VUW35" s="178"/>
      <c r="VUX35" s="178"/>
      <c r="VVM35" s="178"/>
      <c r="VVN35" s="178"/>
      <c r="VWC35" s="178"/>
      <c r="VWD35" s="178"/>
      <c r="VWS35" s="178"/>
      <c r="VWT35" s="178"/>
      <c r="VXI35" s="178"/>
      <c r="VXJ35" s="178"/>
      <c r="VXY35" s="178"/>
      <c r="VXZ35" s="178"/>
      <c r="VYO35" s="178"/>
      <c r="VYP35" s="178"/>
      <c r="VZE35" s="178"/>
      <c r="VZF35" s="178"/>
      <c r="VZU35" s="178"/>
      <c r="VZV35" s="178"/>
      <c r="WAK35" s="178"/>
      <c r="WAL35" s="178"/>
      <c r="WBA35" s="178"/>
      <c r="WBB35" s="178"/>
      <c r="WBQ35" s="178"/>
      <c r="WBR35" s="178"/>
      <c r="WCG35" s="178"/>
      <c r="WCH35" s="178"/>
      <c r="WCW35" s="178"/>
      <c r="WCX35" s="178"/>
      <c r="WDM35" s="178"/>
      <c r="WDN35" s="178"/>
      <c r="WEC35" s="178"/>
      <c r="WED35" s="178"/>
      <c r="WES35" s="178"/>
      <c r="WET35" s="178"/>
      <c r="WFI35" s="178"/>
      <c r="WFJ35" s="178"/>
      <c r="WFY35" s="178"/>
      <c r="WFZ35" s="178"/>
      <c r="WGO35" s="178"/>
      <c r="WGP35" s="178"/>
      <c r="WHE35" s="178"/>
      <c r="WHF35" s="178"/>
      <c r="WHU35" s="178"/>
      <c r="WHV35" s="178"/>
      <c r="WIK35" s="178"/>
      <c r="WIL35" s="178"/>
      <c r="WJA35" s="178"/>
      <c r="WJB35" s="178"/>
      <c r="WJQ35" s="178"/>
      <c r="WJR35" s="178"/>
      <c r="WKG35" s="178"/>
      <c r="WKH35" s="178"/>
      <c r="WKW35" s="178"/>
      <c r="WKX35" s="178"/>
      <c r="WLM35" s="178"/>
      <c r="WLN35" s="178"/>
      <c r="WMC35" s="178"/>
      <c r="WMD35" s="178"/>
      <c r="WMS35" s="178"/>
      <c r="WMT35" s="178"/>
      <c r="WNI35" s="178"/>
      <c r="WNJ35" s="178"/>
      <c r="WNY35" s="178"/>
      <c r="WNZ35" s="178"/>
      <c r="WOO35" s="178"/>
      <c r="WOP35" s="178"/>
      <c r="WPE35" s="178"/>
      <c r="WPF35" s="178"/>
      <c r="WPU35" s="178"/>
      <c r="WPV35" s="178"/>
      <c r="WQK35" s="178"/>
      <c r="WQL35" s="178"/>
      <c r="WRA35" s="178"/>
      <c r="WRB35" s="178"/>
      <c r="WRQ35" s="178"/>
      <c r="WRR35" s="178"/>
      <c r="WSG35" s="178"/>
      <c r="WSH35" s="178"/>
      <c r="WSW35" s="178"/>
      <c r="WSX35" s="178"/>
      <c r="WTM35" s="178"/>
      <c r="WTN35" s="178"/>
      <c r="WUC35" s="178"/>
      <c r="WUD35" s="178"/>
      <c r="WUS35" s="178"/>
      <c r="WUT35" s="178"/>
      <c r="WVI35" s="178"/>
      <c r="WVJ35" s="178"/>
      <c r="WVY35" s="178"/>
      <c r="WVZ35" s="178"/>
      <c r="WWO35" s="178"/>
      <c r="WWP35" s="178"/>
      <c r="WXE35" s="178"/>
      <c r="WXF35" s="178"/>
      <c r="WXU35" s="178"/>
      <c r="WXV35" s="178"/>
      <c r="WYK35" s="178"/>
      <c r="WYL35" s="178"/>
      <c r="WZA35" s="178"/>
      <c r="WZB35" s="178"/>
      <c r="WZQ35" s="178"/>
      <c r="WZR35" s="178"/>
      <c r="XAG35" s="178"/>
      <c r="XAH35" s="178"/>
      <c r="XAW35" s="178"/>
      <c r="XAX35" s="178"/>
      <c r="XBM35" s="178"/>
      <c r="XBN35" s="178"/>
    </row>
    <row r="36" spans="1:1010 1025:2034 2049:3058 3073:4082 4097:5106 5121:6130 6145:7154 7169:8178 8193:9202 9217:10226 10241:11250 11265:12274 12289:13298 13313:14322 14337:15346 15361:16290" s="240" customFormat="1" ht="13.8" x14ac:dyDescent="0.3">
      <c r="A36" s="180" t="s">
        <v>531</v>
      </c>
      <c r="B36" s="180" t="s">
        <v>539</v>
      </c>
      <c r="C36" s="181">
        <f>SUM(tb_Distr[[#This Row],[PLAN]:[ENTR.]])</f>
        <v>1</v>
      </c>
      <c r="D36" s="179">
        <v>0.1</v>
      </c>
      <c r="E36" s="179">
        <v>0.2</v>
      </c>
      <c r="F36" s="179">
        <v>0.1</v>
      </c>
      <c r="G36" s="179">
        <v>0.15</v>
      </c>
      <c r="H36" s="179">
        <v>0.2</v>
      </c>
      <c r="I36" s="179">
        <v>0.15</v>
      </c>
      <c r="J36" s="179"/>
      <c r="K36" s="179"/>
      <c r="L36" s="179"/>
      <c r="M36" s="179"/>
      <c r="N36" s="179"/>
      <c r="O36" s="179"/>
      <c r="P36" s="179"/>
      <c r="Q36" s="179">
        <v>0.1</v>
      </c>
      <c r="R36" s="178"/>
      <c r="AG36" s="178"/>
      <c r="AH36" s="178"/>
      <c r="AW36" s="178"/>
      <c r="AX36" s="178"/>
      <c r="BM36" s="178"/>
      <c r="BN36" s="178"/>
      <c r="CC36" s="178"/>
      <c r="CD36" s="178"/>
      <c r="CS36" s="178"/>
      <c r="CT36" s="178"/>
      <c r="DI36" s="178"/>
      <c r="DJ36" s="178"/>
      <c r="DY36" s="178"/>
      <c r="DZ36" s="178"/>
      <c r="EO36" s="178"/>
      <c r="EP36" s="178"/>
      <c r="FE36" s="178"/>
      <c r="FF36" s="178"/>
      <c r="FU36" s="178"/>
      <c r="FV36" s="178"/>
      <c r="GK36" s="178"/>
      <c r="GL36" s="178"/>
      <c r="HA36" s="178"/>
      <c r="HB36" s="178"/>
      <c r="HQ36" s="178"/>
      <c r="HR36" s="178"/>
      <c r="IG36" s="178"/>
      <c r="IH36" s="178"/>
      <c r="IW36" s="178"/>
      <c r="IX36" s="178"/>
      <c r="JM36" s="178"/>
      <c r="JN36" s="178"/>
      <c r="KC36" s="178"/>
      <c r="KD36" s="178"/>
      <c r="KS36" s="178"/>
      <c r="KT36" s="178"/>
      <c r="LI36" s="178"/>
      <c r="LJ36" s="178"/>
      <c r="LY36" s="178"/>
      <c r="LZ36" s="178"/>
      <c r="MO36" s="178"/>
      <c r="MP36" s="178"/>
      <c r="NE36" s="178"/>
      <c r="NF36" s="178"/>
      <c r="NU36" s="178"/>
      <c r="NV36" s="178"/>
      <c r="OK36" s="178"/>
      <c r="OL36" s="178"/>
      <c r="PA36" s="178"/>
      <c r="PB36" s="178"/>
      <c r="PQ36" s="178"/>
      <c r="PR36" s="178"/>
      <c r="QG36" s="178"/>
      <c r="QH36" s="178"/>
      <c r="QW36" s="178"/>
      <c r="QX36" s="178"/>
      <c r="RM36" s="178"/>
      <c r="RN36" s="178"/>
      <c r="SC36" s="178"/>
      <c r="SD36" s="178"/>
      <c r="SS36" s="178"/>
      <c r="ST36" s="178"/>
      <c r="TI36" s="178"/>
      <c r="TJ36" s="178"/>
      <c r="TY36" s="178"/>
      <c r="TZ36" s="178"/>
      <c r="UO36" s="178"/>
      <c r="UP36" s="178"/>
      <c r="VE36" s="178"/>
      <c r="VF36" s="178"/>
      <c r="VU36" s="178"/>
      <c r="VV36" s="178"/>
      <c r="WK36" s="178"/>
      <c r="WL36" s="178"/>
      <c r="XA36" s="178"/>
      <c r="XB36" s="178"/>
      <c r="XQ36" s="178"/>
      <c r="XR36" s="178"/>
      <c r="YG36" s="178"/>
      <c r="YH36" s="178"/>
      <c r="YW36" s="178"/>
      <c r="YX36" s="178"/>
      <c r="ZM36" s="178"/>
      <c r="ZN36" s="178"/>
      <c r="AAC36" s="178"/>
      <c r="AAD36" s="178"/>
      <c r="AAS36" s="178"/>
      <c r="AAT36" s="178"/>
      <c r="ABI36" s="178"/>
      <c r="ABJ36" s="178"/>
      <c r="ABY36" s="178"/>
      <c r="ABZ36" s="178"/>
      <c r="ACO36" s="178"/>
      <c r="ACP36" s="178"/>
      <c r="ADE36" s="178"/>
      <c r="ADF36" s="178"/>
      <c r="ADU36" s="178"/>
      <c r="ADV36" s="178"/>
      <c r="AEK36" s="178"/>
      <c r="AEL36" s="178"/>
      <c r="AFA36" s="178"/>
      <c r="AFB36" s="178"/>
      <c r="AFQ36" s="178"/>
      <c r="AFR36" s="178"/>
      <c r="AGG36" s="178"/>
      <c r="AGH36" s="178"/>
      <c r="AGW36" s="178"/>
      <c r="AGX36" s="178"/>
      <c r="AHM36" s="178"/>
      <c r="AHN36" s="178"/>
      <c r="AIC36" s="178"/>
      <c r="AID36" s="178"/>
      <c r="AIS36" s="178"/>
      <c r="AIT36" s="178"/>
      <c r="AJI36" s="178"/>
      <c r="AJJ36" s="178"/>
      <c r="AJY36" s="178"/>
      <c r="AJZ36" s="178"/>
      <c r="AKO36" s="178"/>
      <c r="AKP36" s="178"/>
      <c r="ALE36" s="178"/>
      <c r="ALF36" s="178"/>
      <c r="ALU36" s="178"/>
      <c r="ALV36" s="178"/>
      <c r="AMK36" s="178"/>
      <c r="AML36" s="178"/>
      <c r="ANA36" s="178"/>
      <c r="ANB36" s="178"/>
      <c r="ANQ36" s="178"/>
      <c r="ANR36" s="178"/>
      <c r="AOG36" s="178"/>
      <c r="AOH36" s="178"/>
      <c r="AOW36" s="178"/>
      <c r="AOX36" s="178"/>
      <c r="APM36" s="178"/>
      <c r="APN36" s="178"/>
      <c r="AQC36" s="178"/>
      <c r="AQD36" s="178"/>
      <c r="AQS36" s="178"/>
      <c r="AQT36" s="178"/>
      <c r="ARI36" s="178"/>
      <c r="ARJ36" s="178"/>
      <c r="ARY36" s="178"/>
      <c r="ARZ36" s="178"/>
      <c r="ASO36" s="178"/>
      <c r="ASP36" s="178"/>
      <c r="ATE36" s="178"/>
      <c r="ATF36" s="178"/>
      <c r="ATU36" s="178"/>
      <c r="ATV36" s="178"/>
      <c r="AUK36" s="178"/>
      <c r="AUL36" s="178"/>
      <c r="AVA36" s="178"/>
      <c r="AVB36" s="178"/>
      <c r="AVQ36" s="178"/>
      <c r="AVR36" s="178"/>
      <c r="AWG36" s="178"/>
      <c r="AWH36" s="178"/>
      <c r="AWW36" s="178"/>
      <c r="AWX36" s="178"/>
      <c r="AXM36" s="178"/>
      <c r="AXN36" s="178"/>
      <c r="AYC36" s="178"/>
      <c r="AYD36" s="178"/>
      <c r="AYS36" s="178"/>
      <c r="AYT36" s="178"/>
      <c r="AZI36" s="178"/>
      <c r="AZJ36" s="178"/>
      <c r="AZY36" s="178"/>
      <c r="AZZ36" s="178"/>
      <c r="BAO36" s="178"/>
      <c r="BAP36" s="178"/>
      <c r="BBE36" s="178"/>
      <c r="BBF36" s="178"/>
      <c r="BBU36" s="178"/>
      <c r="BBV36" s="178"/>
      <c r="BCK36" s="178"/>
      <c r="BCL36" s="178"/>
      <c r="BDA36" s="178"/>
      <c r="BDB36" s="178"/>
      <c r="BDQ36" s="178"/>
      <c r="BDR36" s="178"/>
      <c r="BEG36" s="178"/>
      <c r="BEH36" s="178"/>
      <c r="BEW36" s="178"/>
      <c r="BEX36" s="178"/>
      <c r="BFM36" s="178"/>
      <c r="BFN36" s="178"/>
      <c r="BGC36" s="178"/>
      <c r="BGD36" s="178"/>
      <c r="BGS36" s="178"/>
      <c r="BGT36" s="178"/>
      <c r="BHI36" s="178"/>
      <c r="BHJ36" s="178"/>
      <c r="BHY36" s="178"/>
      <c r="BHZ36" s="178"/>
      <c r="BIO36" s="178"/>
      <c r="BIP36" s="178"/>
      <c r="BJE36" s="178"/>
      <c r="BJF36" s="178"/>
      <c r="BJU36" s="178"/>
      <c r="BJV36" s="178"/>
      <c r="BKK36" s="178"/>
      <c r="BKL36" s="178"/>
      <c r="BLA36" s="178"/>
      <c r="BLB36" s="178"/>
      <c r="BLQ36" s="178"/>
      <c r="BLR36" s="178"/>
      <c r="BMG36" s="178"/>
      <c r="BMH36" s="178"/>
      <c r="BMW36" s="178"/>
      <c r="BMX36" s="178"/>
      <c r="BNM36" s="178"/>
      <c r="BNN36" s="178"/>
      <c r="BOC36" s="178"/>
      <c r="BOD36" s="178"/>
      <c r="BOS36" s="178"/>
      <c r="BOT36" s="178"/>
      <c r="BPI36" s="178"/>
      <c r="BPJ36" s="178"/>
      <c r="BPY36" s="178"/>
      <c r="BPZ36" s="178"/>
      <c r="BQO36" s="178"/>
      <c r="BQP36" s="178"/>
      <c r="BRE36" s="178"/>
      <c r="BRF36" s="178"/>
      <c r="BRU36" s="178"/>
      <c r="BRV36" s="178"/>
      <c r="BSK36" s="178"/>
      <c r="BSL36" s="178"/>
      <c r="BTA36" s="178"/>
      <c r="BTB36" s="178"/>
      <c r="BTQ36" s="178"/>
      <c r="BTR36" s="178"/>
      <c r="BUG36" s="178"/>
      <c r="BUH36" s="178"/>
      <c r="BUW36" s="178"/>
      <c r="BUX36" s="178"/>
      <c r="BVM36" s="178"/>
      <c r="BVN36" s="178"/>
      <c r="BWC36" s="178"/>
      <c r="BWD36" s="178"/>
      <c r="BWS36" s="178"/>
      <c r="BWT36" s="178"/>
      <c r="BXI36" s="178"/>
      <c r="BXJ36" s="178"/>
      <c r="BXY36" s="178"/>
      <c r="BXZ36" s="178"/>
      <c r="BYO36" s="178"/>
      <c r="BYP36" s="178"/>
      <c r="BZE36" s="178"/>
      <c r="BZF36" s="178"/>
      <c r="BZU36" s="178"/>
      <c r="BZV36" s="178"/>
      <c r="CAK36" s="178"/>
      <c r="CAL36" s="178"/>
      <c r="CBA36" s="178"/>
      <c r="CBB36" s="178"/>
      <c r="CBQ36" s="178"/>
      <c r="CBR36" s="178"/>
      <c r="CCG36" s="178"/>
      <c r="CCH36" s="178"/>
      <c r="CCW36" s="178"/>
      <c r="CCX36" s="178"/>
      <c r="CDM36" s="178"/>
      <c r="CDN36" s="178"/>
      <c r="CEC36" s="178"/>
      <c r="CED36" s="178"/>
      <c r="CES36" s="178"/>
      <c r="CET36" s="178"/>
      <c r="CFI36" s="178"/>
      <c r="CFJ36" s="178"/>
      <c r="CFY36" s="178"/>
      <c r="CFZ36" s="178"/>
      <c r="CGO36" s="178"/>
      <c r="CGP36" s="178"/>
      <c r="CHE36" s="178"/>
      <c r="CHF36" s="178"/>
      <c r="CHU36" s="178"/>
      <c r="CHV36" s="178"/>
      <c r="CIK36" s="178"/>
      <c r="CIL36" s="178"/>
      <c r="CJA36" s="178"/>
      <c r="CJB36" s="178"/>
      <c r="CJQ36" s="178"/>
      <c r="CJR36" s="178"/>
      <c r="CKG36" s="178"/>
      <c r="CKH36" s="178"/>
      <c r="CKW36" s="178"/>
      <c r="CKX36" s="178"/>
      <c r="CLM36" s="178"/>
      <c r="CLN36" s="178"/>
      <c r="CMC36" s="178"/>
      <c r="CMD36" s="178"/>
      <c r="CMS36" s="178"/>
      <c r="CMT36" s="178"/>
      <c r="CNI36" s="178"/>
      <c r="CNJ36" s="178"/>
      <c r="CNY36" s="178"/>
      <c r="CNZ36" s="178"/>
      <c r="COO36" s="178"/>
      <c r="COP36" s="178"/>
      <c r="CPE36" s="178"/>
      <c r="CPF36" s="178"/>
      <c r="CPU36" s="178"/>
      <c r="CPV36" s="178"/>
      <c r="CQK36" s="178"/>
      <c r="CQL36" s="178"/>
      <c r="CRA36" s="178"/>
      <c r="CRB36" s="178"/>
      <c r="CRQ36" s="178"/>
      <c r="CRR36" s="178"/>
      <c r="CSG36" s="178"/>
      <c r="CSH36" s="178"/>
      <c r="CSW36" s="178"/>
      <c r="CSX36" s="178"/>
      <c r="CTM36" s="178"/>
      <c r="CTN36" s="178"/>
      <c r="CUC36" s="178"/>
      <c r="CUD36" s="178"/>
      <c r="CUS36" s="178"/>
      <c r="CUT36" s="178"/>
      <c r="CVI36" s="178"/>
      <c r="CVJ36" s="178"/>
      <c r="CVY36" s="178"/>
      <c r="CVZ36" s="178"/>
      <c r="CWO36" s="178"/>
      <c r="CWP36" s="178"/>
      <c r="CXE36" s="178"/>
      <c r="CXF36" s="178"/>
      <c r="CXU36" s="178"/>
      <c r="CXV36" s="178"/>
      <c r="CYK36" s="178"/>
      <c r="CYL36" s="178"/>
      <c r="CZA36" s="178"/>
      <c r="CZB36" s="178"/>
      <c r="CZQ36" s="178"/>
      <c r="CZR36" s="178"/>
      <c r="DAG36" s="178"/>
      <c r="DAH36" s="178"/>
      <c r="DAW36" s="178"/>
      <c r="DAX36" s="178"/>
      <c r="DBM36" s="178"/>
      <c r="DBN36" s="178"/>
      <c r="DCC36" s="178"/>
      <c r="DCD36" s="178"/>
      <c r="DCS36" s="178"/>
      <c r="DCT36" s="178"/>
      <c r="DDI36" s="178"/>
      <c r="DDJ36" s="178"/>
      <c r="DDY36" s="178"/>
      <c r="DDZ36" s="178"/>
      <c r="DEO36" s="178"/>
      <c r="DEP36" s="178"/>
      <c r="DFE36" s="178"/>
      <c r="DFF36" s="178"/>
      <c r="DFU36" s="178"/>
      <c r="DFV36" s="178"/>
      <c r="DGK36" s="178"/>
      <c r="DGL36" s="178"/>
      <c r="DHA36" s="178"/>
      <c r="DHB36" s="178"/>
      <c r="DHQ36" s="178"/>
      <c r="DHR36" s="178"/>
      <c r="DIG36" s="178"/>
      <c r="DIH36" s="178"/>
      <c r="DIW36" s="178"/>
      <c r="DIX36" s="178"/>
      <c r="DJM36" s="178"/>
      <c r="DJN36" s="178"/>
      <c r="DKC36" s="178"/>
      <c r="DKD36" s="178"/>
      <c r="DKS36" s="178"/>
      <c r="DKT36" s="178"/>
      <c r="DLI36" s="178"/>
      <c r="DLJ36" s="178"/>
      <c r="DLY36" s="178"/>
      <c r="DLZ36" s="178"/>
      <c r="DMO36" s="178"/>
      <c r="DMP36" s="178"/>
      <c r="DNE36" s="178"/>
      <c r="DNF36" s="178"/>
      <c r="DNU36" s="178"/>
      <c r="DNV36" s="178"/>
      <c r="DOK36" s="178"/>
      <c r="DOL36" s="178"/>
      <c r="DPA36" s="178"/>
      <c r="DPB36" s="178"/>
      <c r="DPQ36" s="178"/>
      <c r="DPR36" s="178"/>
      <c r="DQG36" s="178"/>
      <c r="DQH36" s="178"/>
      <c r="DQW36" s="178"/>
      <c r="DQX36" s="178"/>
      <c r="DRM36" s="178"/>
      <c r="DRN36" s="178"/>
      <c r="DSC36" s="178"/>
      <c r="DSD36" s="178"/>
      <c r="DSS36" s="178"/>
      <c r="DST36" s="178"/>
      <c r="DTI36" s="178"/>
      <c r="DTJ36" s="178"/>
      <c r="DTY36" s="178"/>
      <c r="DTZ36" s="178"/>
      <c r="DUO36" s="178"/>
      <c r="DUP36" s="178"/>
      <c r="DVE36" s="178"/>
      <c r="DVF36" s="178"/>
      <c r="DVU36" s="178"/>
      <c r="DVV36" s="178"/>
      <c r="DWK36" s="178"/>
      <c r="DWL36" s="178"/>
      <c r="DXA36" s="178"/>
      <c r="DXB36" s="178"/>
      <c r="DXQ36" s="178"/>
      <c r="DXR36" s="178"/>
      <c r="DYG36" s="178"/>
      <c r="DYH36" s="178"/>
      <c r="DYW36" s="178"/>
      <c r="DYX36" s="178"/>
      <c r="DZM36" s="178"/>
      <c r="DZN36" s="178"/>
      <c r="EAC36" s="178"/>
      <c r="EAD36" s="178"/>
      <c r="EAS36" s="178"/>
      <c r="EAT36" s="178"/>
      <c r="EBI36" s="178"/>
      <c r="EBJ36" s="178"/>
      <c r="EBY36" s="178"/>
      <c r="EBZ36" s="178"/>
      <c r="ECO36" s="178"/>
      <c r="ECP36" s="178"/>
      <c r="EDE36" s="178"/>
      <c r="EDF36" s="178"/>
      <c r="EDU36" s="178"/>
      <c r="EDV36" s="178"/>
      <c r="EEK36" s="178"/>
      <c r="EEL36" s="178"/>
      <c r="EFA36" s="178"/>
      <c r="EFB36" s="178"/>
      <c r="EFQ36" s="178"/>
      <c r="EFR36" s="178"/>
      <c r="EGG36" s="178"/>
      <c r="EGH36" s="178"/>
      <c r="EGW36" s="178"/>
      <c r="EGX36" s="178"/>
      <c r="EHM36" s="178"/>
      <c r="EHN36" s="178"/>
      <c r="EIC36" s="178"/>
      <c r="EID36" s="178"/>
      <c r="EIS36" s="178"/>
      <c r="EIT36" s="178"/>
      <c r="EJI36" s="178"/>
      <c r="EJJ36" s="178"/>
      <c r="EJY36" s="178"/>
      <c r="EJZ36" s="178"/>
      <c r="EKO36" s="178"/>
      <c r="EKP36" s="178"/>
      <c r="ELE36" s="178"/>
      <c r="ELF36" s="178"/>
      <c r="ELU36" s="178"/>
      <c r="ELV36" s="178"/>
      <c r="EMK36" s="178"/>
      <c r="EML36" s="178"/>
      <c r="ENA36" s="178"/>
      <c r="ENB36" s="178"/>
      <c r="ENQ36" s="178"/>
      <c r="ENR36" s="178"/>
      <c r="EOG36" s="178"/>
      <c r="EOH36" s="178"/>
      <c r="EOW36" s="178"/>
      <c r="EOX36" s="178"/>
      <c r="EPM36" s="178"/>
      <c r="EPN36" s="178"/>
      <c r="EQC36" s="178"/>
      <c r="EQD36" s="178"/>
      <c r="EQS36" s="178"/>
      <c r="EQT36" s="178"/>
      <c r="ERI36" s="178"/>
      <c r="ERJ36" s="178"/>
      <c r="ERY36" s="178"/>
      <c r="ERZ36" s="178"/>
      <c r="ESO36" s="178"/>
      <c r="ESP36" s="178"/>
      <c r="ETE36" s="178"/>
      <c r="ETF36" s="178"/>
      <c r="ETU36" s="178"/>
      <c r="ETV36" s="178"/>
      <c r="EUK36" s="178"/>
      <c r="EUL36" s="178"/>
      <c r="EVA36" s="178"/>
      <c r="EVB36" s="178"/>
      <c r="EVQ36" s="178"/>
      <c r="EVR36" s="178"/>
      <c r="EWG36" s="178"/>
      <c r="EWH36" s="178"/>
      <c r="EWW36" s="178"/>
      <c r="EWX36" s="178"/>
      <c r="EXM36" s="178"/>
      <c r="EXN36" s="178"/>
      <c r="EYC36" s="178"/>
      <c r="EYD36" s="178"/>
      <c r="EYS36" s="178"/>
      <c r="EYT36" s="178"/>
      <c r="EZI36" s="178"/>
      <c r="EZJ36" s="178"/>
      <c r="EZY36" s="178"/>
      <c r="EZZ36" s="178"/>
      <c r="FAO36" s="178"/>
      <c r="FAP36" s="178"/>
      <c r="FBE36" s="178"/>
      <c r="FBF36" s="178"/>
      <c r="FBU36" s="178"/>
      <c r="FBV36" s="178"/>
      <c r="FCK36" s="178"/>
      <c r="FCL36" s="178"/>
      <c r="FDA36" s="178"/>
      <c r="FDB36" s="178"/>
      <c r="FDQ36" s="178"/>
      <c r="FDR36" s="178"/>
      <c r="FEG36" s="178"/>
      <c r="FEH36" s="178"/>
      <c r="FEW36" s="178"/>
      <c r="FEX36" s="178"/>
      <c r="FFM36" s="178"/>
      <c r="FFN36" s="178"/>
      <c r="FGC36" s="178"/>
      <c r="FGD36" s="178"/>
      <c r="FGS36" s="178"/>
      <c r="FGT36" s="178"/>
      <c r="FHI36" s="178"/>
      <c r="FHJ36" s="178"/>
      <c r="FHY36" s="178"/>
      <c r="FHZ36" s="178"/>
      <c r="FIO36" s="178"/>
      <c r="FIP36" s="178"/>
      <c r="FJE36" s="178"/>
      <c r="FJF36" s="178"/>
      <c r="FJU36" s="178"/>
      <c r="FJV36" s="178"/>
      <c r="FKK36" s="178"/>
      <c r="FKL36" s="178"/>
      <c r="FLA36" s="178"/>
      <c r="FLB36" s="178"/>
      <c r="FLQ36" s="178"/>
      <c r="FLR36" s="178"/>
      <c r="FMG36" s="178"/>
      <c r="FMH36" s="178"/>
      <c r="FMW36" s="178"/>
      <c r="FMX36" s="178"/>
      <c r="FNM36" s="178"/>
      <c r="FNN36" s="178"/>
      <c r="FOC36" s="178"/>
      <c r="FOD36" s="178"/>
      <c r="FOS36" s="178"/>
      <c r="FOT36" s="178"/>
      <c r="FPI36" s="178"/>
      <c r="FPJ36" s="178"/>
      <c r="FPY36" s="178"/>
      <c r="FPZ36" s="178"/>
      <c r="FQO36" s="178"/>
      <c r="FQP36" s="178"/>
      <c r="FRE36" s="178"/>
      <c r="FRF36" s="178"/>
      <c r="FRU36" s="178"/>
      <c r="FRV36" s="178"/>
      <c r="FSK36" s="178"/>
      <c r="FSL36" s="178"/>
      <c r="FTA36" s="178"/>
      <c r="FTB36" s="178"/>
      <c r="FTQ36" s="178"/>
      <c r="FTR36" s="178"/>
      <c r="FUG36" s="178"/>
      <c r="FUH36" s="178"/>
      <c r="FUW36" s="178"/>
      <c r="FUX36" s="178"/>
      <c r="FVM36" s="178"/>
      <c r="FVN36" s="178"/>
      <c r="FWC36" s="178"/>
      <c r="FWD36" s="178"/>
      <c r="FWS36" s="178"/>
      <c r="FWT36" s="178"/>
      <c r="FXI36" s="178"/>
      <c r="FXJ36" s="178"/>
      <c r="FXY36" s="178"/>
      <c r="FXZ36" s="178"/>
      <c r="FYO36" s="178"/>
      <c r="FYP36" s="178"/>
      <c r="FZE36" s="178"/>
      <c r="FZF36" s="178"/>
      <c r="FZU36" s="178"/>
      <c r="FZV36" s="178"/>
      <c r="GAK36" s="178"/>
      <c r="GAL36" s="178"/>
      <c r="GBA36" s="178"/>
      <c r="GBB36" s="178"/>
      <c r="GBQ36" s="178"/>
      <c r="GBR36" s="178"/>
      <c r="GCG36" s="178"/>
      <c r="GCH36" s="178"/>
      <c r="GCW36" s="178"/>
      <c r="GCX36" s="178"/>
      <c r="GDM36" s="178"/>
      <c r="GDN36" s="178"/>
      <c r="GEC36" s="178"/>
      <c r="GED36" s="178"/>
      <c r="GES36" s="178"/>
      <c r="GET36" s="178"/>
      <c r="GFI36" s="178"/>
      <c r="GFJ36" s="178"/>
      <c r="GFY36" s="178"/>
      <c r="GFZ36" s="178"/>
      <c r="GGO36" s="178"/>
      <c r="GGP36" s="178"/>
      <c r="GHE36" s="178"/>
      <c r="GHF36" s="178"/>
      <c r="GHU36" s="178"/>
      <c r="GHV36" s="178"/>
      <c r="GIK36" s="178"/>
      <c r="GIL36" s="178"/>
      <c r="GJA36" s="178"/>
      <c r="GJB36" s="178"/>
      <c r="GJQ36" s="178"/>
      <c r="GJR36" s="178"/>
      <c r="GKG36" s="178"/>
      <c r="GKH36" s="178"/>
      <c r="GKW36" s="178"/>
      <c r="GKX36" s="178"/>
      <c r="GLM36" s="178"/>
      <c r="GLN36" s="178"/>
      <c r="GMC36" s="178"/>
      <c r="GMD36" s="178"/>
      <c r="GMS36" s="178"/>
      <c r="GMT36" s="178"/>
      <c r="GNI36" s="178"/>
      <c r="GNJ36" s="178"/>
      <c r="GNY36" s="178"/>
      <c r="GNZ36" s="178"/>
      <c r="GOO36" s="178"/>
      <c r="GOP36" s="178"/>
      <c r="GPE36" s="178"/>
      <c r="GPF36" s="178"/>
      <c r="GPU36" s="178"/>
      <c r="GPV36" s="178"/>
      <c r="GQK36" s="178"/>
      <c r="GQL36" s="178"/>
      <c r="GRA36" s="178"/>
      <c r="GRB36" s="178"/>
      <c r="GRQ36" s="178"/>
      <c r="GRR36" s="178"/>
      <c r="GSG36" s="178"/>
      <c r="GSH36" s="178"/>
      <c r="GSW36" s="178"/>
      <c r="GSX36" s="178"/>
      <c r="GTM36" s="178"/>
      <c r="GTN36" s="178"/>
      <c r="GUC36" s="178"/>
      <c r="GUD36" s="178"/>
      <c r="GUS36" s="178"/>
      <c r="GUT36" s="178"/>
      <c r="GVI36" s="178"/>
      <c r="GVJ36" s="178"/>
      <c r="GVY36" s="178"/>
      <c r="GVZ36" s="178"/>
      <c r="GWO36" s="178"/>
      <c r="GWP36" s="178"/>
      <c r="GXE36" s="178"/>
      <c r="GXF36" s="178"/>
      <c r="GXU36" s="178"/>
      <c r="GXV36" s="178"/>
      <c r="GYK36" s="178"/>
      <c r="GYL36" s="178"/>
      <c r="GZA36" s="178"/>
      <c r="GZB36" s="178"/>
      <c r="GZQ36" s="178"/>
      <c r="GZR36" s="178"/>
      <c r="HAG36" s="178"/>
      <c r="HAH36" s="178"/>
      <c r="HAW36" s="178"/>
      <c r="HAX36" s="178"/>
      <c r="HBM36" s="178"/>
      <c r="HBN36" s="178"/>
      <c r="HCC36" s="178"/>
      <c r="HCD36" s="178"/>
      <c r="HCS36" s="178"/>
      <c r="HCT36" s="178"/>
      <c r="HDI36" s="178"/>
      <c r="HDJ36" s="178"/>
      <c r="HDY36" s="178"/>
      <c r="HDZ36" s="178"/>
      <c r="HEO36" s="178"/>
      <c r="HEP36" s="178"/>
      <c r="HFE36" s="178"/>
      <c r="HFF36" s="178"/>
      <c r="HFU36" s="178"/>
      <c r="HFV36" s="178"/>
      <c r="HGK36" s="178"/>
      <c r="HGL36" s="178"/>
      <c r="HHA36" s="178"/>
      <c r="HHB36" s="178"/>
      <c r="HHQ36" s="178"/>
      <c r="HHR36" s="178"/>
      <c r="HIG36" s="178"/>
      <c r="HIH36" s="178"/>
      <c r="HIW36" s="178"/>
      <c r="HIX36" s="178"/>
      <c r="HJM36" s="178"/>
      <c r="HJN36" s="178"/>
      <c r="HKC36" s="178"/>
      <c r="HKD36" s="178"/>
      <c r="HKS36" s="178"/>
      <c r="HKT36" s="178"/>
      <c r="HLI36" s="178"/>
      <c r="HLJ36" s="178"/>
      <c r="HLY36" s="178"/>
      <c r="HLZ36" s="178"/>
      <c r="HMO36" s="178"/>
      <c r="HMP36" s="178"/>
      <c r="HNE36" s="178"/>
      <c r="HNF36" s="178"/>
      <c r="HNU36" s="178"/>
      <c r="HNV36" s="178"/>
      <c r="HOK36" s="178"/>
      <c r="HOL36" s="178"/>
      <c r="HPA36" s="178"/>
      <c r="HPB36" s="178"/>
      <c r="HPQ36" s="178"/>
      <c r="HPR36" s="178"/>
      <c r="HQG36" s="178"/>
      <c r="HQH36" s="178"/>
      <c r="HQW36" s="178"/>
      <c r="HQX36" s="178"/>
      <c r="HRM36" s="178"/>
      <c r="HRN36" s="178"/>
      <c r="HSC36" s="178"/>
      <c r="HSD36" s="178"/>
      <c r="HSS36" s="178"/>
      <c r="HST36" s="178"/>
      <c r="HTI36" s="178"/>
      <c r="HTJ36" s="178"/>
      <c r="HTY36" s="178"/>
      <c r="HTZ36" s="178"/>
      <c r="HUO36" s="178"/>
      <c r="HUP36" s="178"/>
      <c r="HVE36" s="178"/>
      <c r="HVF36" s="178"/>
      <c r="HVU36" s="178"/>
      <c r="HVV36" s="178"/>
      <c r="HWK36" s="178"/>
      <c r="HWL36" s="178"/>
      <c r="HXA36" s="178"/>
      <c r="HXB36" s="178"/>
      <c r="HXQ36" s="178"/>
      <c r="HXR36" s="178"/>
      <c r="HYG36" s="178"/>
      <c r="HYH36" s="178"/>
      <c r="HYW36" s="178"/>
      <c r="HYX36" s="178"/>
      <c r="HZM36" s="178"/>
      <c r="HZN36" s="178"/>
      <c r="IAC36" s="178"/>
      <c r="IAD36" s="178"/>
      <c r="IAS36" s="178"/>
      <c r="IAT36" s="178"/>
      <c r="IBI36" s="178"/>
      <c r="IBJ36" s="178"/>
      <c r="IBY36" s="178"/>
      <c r="IBZ36" s="178"/>
      <c r="ICO36" s="178"/>
      <c r="ICP36" s="178"/>
      <c r="IDE36" s="178"/>
      <c r="IDF36" s="178"/>
      <c r="IDU36" s="178"/>
      <c r="IDV36" s="178"/>
      <c r="IEK36" s="178"/>
      <c r="IEL36" s="178"/>
      <c r="IFA36" s="178"/>
      <c r="IFB36" s="178"/>
      <c r="IFQ36" s="178"/>
      <c r="IFR36" s="178"/>
      <c r="IGG36" s="178"/>
      <c r="IGH36" s="178"/>
      <c r="IGW36" s="178"/>
      <c r="IGX36" s="178"/>
      <c r="IHM36" s="178"/>
      <c r="IHN36" s="178"/>
      <c r="IIC36" s="178"/>
      <c r="IID36" s="178"/>
      <c r="IIS36" s="178"/>
      <c r="IIT36" s="178"/>
      <c r="IJI36" s="178"/>
      <c r="IJJ36" s="178"/>
      <c r="IJY36" s="178"/>
      <c r="IJZ36" s="178"/>
      <c r="IKO36" s="178"/>
      <c r="IKP36" s="178"/>
      <c r="ILE36" s="178"/>
      <c r="ILF36" s="178"/>
      <c r="ILU36" s="178"/>
      <c r="ILV36" s="178"/>
      <c r="IMK36" s="178"/>
      <c r="IML36" s="178"/>
      <c r="INA36" s="178"/>
      <c r="INB36" s="178"/>
      <c r="INQ36" s="178"/>
      <c r="INR36" s="178"/>
      <c r="IOG36" s="178"/>
      <c r="IOH36" s="178"/>
      <c r="IOW36" s="178"/>
      <c r="IOX36" s="178"/>
      <c r="IPM36" s="178"/>
      <c r="IPN36" s="178"/>
      <c r="IQC36" s="178"/>
      <c r="IQD36" s="178"/>
      <c r="IQS36" s="178"/>
      <c r="IQT36" s="178"/>
      <c r="IRI36" s="178"/>
      <c r="IRJ36" s="178"/>
      <c r="IRY36" s="178"/>
      <c r="IRZ36" s="178"/>
      <c r="ISO36" s="178"/>
      <c r="ISP36" s="178"/>
      <c r="ITE36" s="178"/>
      <c r="ITF36" s="178"/>
      <c r="ITU36" s="178"/>
      <c r="ITV36" s="178"/>
      <c r="IUK36" s="178"/>
      <c r="IUL36" s="178"/>
      <c r="IVA36" s="178"/>
      <c r="IVB36" s="178"/>
      <c r="IVQ36" s="178"/>
      <c r="IVR36" s="178"/>
      <c r="IWG36" s="178"/>
      <c r="IWH36" s="178"/>
      <c r="IWW36" s="178"/>
      <c r="IWX36" s="178"/>
      <c r="IXM36" s="178"/>
      <c r="IXN36" s="178"/>
      <c r="IYC36" s="178"/>
      <c r="IYD36" s="178"/>
      <c r="IYS36" s="178"/>
      <c r="IYT36" s="178"/>
      <c r="IZI36" s="178"/>
      <c r="IZJ36" s="178"/>
      <c r="IZY36" s="178"/>
      <c r="IZZ36" s="178"/>
      <c r="JAO36" s="178"/>
      <c r="JAP36" s="178"/>
      <c r="JBE36" s="178"/>
      <c r="JBF36" s="178"/>
      <c r="JBU36" s="178"/>
      <c r="JBV36" s="178"/>
      <c r="JCK36" s="178"/>
      <c r="JCL36" s="178"/>
      <c r="JDA36" s="178"/>
      <c r="JDB36" s="178"/>
      <c r="JDQ36" s="178"/>
      <c r="JDR36" s="178"/>
      <c r="JEG36" s="178"/>
      <c r="JEH36" s="178"/>
      <c r="JEW36" s="178"/>
      <c r="JEX36" s="178"/>
      <c r="JFM36" s="178"/>
      <c r="JFN36" s="178"/>
      <c r="JGC36" s="178"/>
      <c r="JGD36" s="178"/>
      <c r="JGS36" s="178"/>
      <c r="JGT36" s="178"/>
      <c r="JHI36" s="178"/>
      <c r="JHJ36" s="178"/>
      <c r="JHY36" s="178"/>
      <c r="JHZ36" s="178"/>
      <c r="JIO36" s="178"/>
      <c r="JIP36" s="178"/>
      <c r="JJE36" s="178"/>
      <c r="JJF36" s="178"/>
      <c r="JJU36" s="178"/>
      <c r="JJV36" s="178"/>
      <c r="JKK36" s="178"/>
      <c r="JKL36" s="178"/>
      <c r="JLA36" s="178"/>
      <c r="JLB36" s="178"/>
      <c r="JLQ36" s="178"/>
      <c r="JLR36" s="178"/>
      <c r="JMG36" s="178"/>
      <c r="JMH36" s="178"/>
      <c r="JMW36" s="178"/>
      <c r="JMX36" s="178"/>
      <c r="JNM36" s="178"/>
      <c r="JNN36" s="178"/>
      <c r="JOC36" s="178"/>
      <c r="JOD36" s="178"/>
      <c r="JOS36" s="178"/>
      <c r="JOT36" s="178"/>
      <c r="JPI36" s="178"/>
      <c r="JPJ36" s="178"/>
      <c r="JPY36" s="178"/>
      <c r="JPZ36" s="178"/>
      <c r="JQO36" s="178"/>
      <c r="JQP36" s="178"/>
      <c r="JRE36" s="178"/>
      <c r="JRF36" s="178"/>
      <c r="JRU36" s="178"/>
      <c r="JRV36" s="178"/>
      <c r="JSK36" s="178"/>
      <c r="JSL36" s="178"/>
      <c r="JTA36" s="178"/>
      <c r="JTB36" s="178"/>
      <c r="JTQ36" s="178"/>
      <c r="JTR36" s="178"/>
      <c r="JUG36" s="178"/>
      <c r="JUH36" s="178"/>
      <c r="JUW36" s="178"/>
      <c r="JUX36" s="178"/>
      <c r="JVM36" s="178"/>
      <c r="JVN36" s="178"/>
      <c r="JWC36" s="178"/>
      <c r="JWD36" s="178"/>
      <c r="JWS36" s="178"/>
      <c r="JWT36" s="178"/>
      <c r="JXI36" s="178"/>
      <c r="JXJ36" s="178"/>
      <c r="JXY36" s="178"/>
      <c r="JXZ36" s="178"/>
      <c r="JYO36" s="178"/>
      <c r="JYP36" s="178"/>
      <c r="JZE36" s="178"/>
      <c r="JZF36" s="178"/>
      <c r="JZU36" s="178"/>
      <c r="JZV36" s="178"/>
      <c r="KAK36" s="178"/>
      <c r="KAL36" s="178"/>
      <c r="KBA36" s="178"/>
      <c r="KBB36" s="178"/>
      <c r="KBQ36" s="178"/>
      <c r="KBR36" s="178"/>
      <c r="KCG36" s="178"/>
      <c r="KCH36" s="178"/>
      <c r="KCW36" s="178"/>
      <c r="KCX36" s="178"/>
      <c r="KDM36" s="178"/>
      <c r="KDN36" s="178"/>
      <c r="KEC36" s="178"/>
      <c r="KED36" s="178"/>
      <c r="KES36" s="178"/>
      <c r="KET36" s="178"/>
      <c r="KFI36" s="178"/>
      <c r="KFJ36" s="178"/>
      <c r="KFY36" s="178"/>
      <c r="KFZ36" s="178"/>
      <c r="KGO36" s="178"/>
      <c r="KGP36" s="178"/>
      <c r="KHE36" s="178"/>
      <c r="KHF36" s="178"/>
      <c r="KHU36" s="178"/>
      <c r="KHV36" s="178"/>
      <c r="KIK36" s="178"/>
      <c r="KIL36" s="178"/>
      <c r="KJA36" s="178"/>
      <c r="KJB36" s="178"/>
      <c r="KJQ36" s="178"/>
      <c r="KJR36" s="178"/>
      <c r="KKG36" s="178"/>
      <c r="KKH36" s="178"/>
      <c r="KKW36" s="178"/>
      <c r="KKX36" s="178"/>
      <c r="KLM36" s="178"/>
      <c r="KLN36" s="178"/>
      <c r="KMC36" s="178"/>
      <c r="KMD36" s="178"/>
      <c r="KMS36" s="178"/>
      <c r="KMT36" s="178"/>
      <c r="KNI36" s="178"/>
      <c r="KNJ36" s="178"/>
      <c r="KNY36" s="178"/>
      <c r="KNZ36" s="178"/>
      <c r="KOO36" s="178"/>
      <c r="KOP36" s="178"/>
      <c r="KPE36" s="178"/>
      <c r="KPF36" s="178"/>
      <c r="KPU36" s="178"/>
      <c r="KPV36" s="178"/>
      <c r="KQK36" s="178"/>
      <c r="KQL36" s="178"/>
      <c r="KRA36" s="178"/>
      <c r="KRB36" s="178"/>
      <c r="KRQ36" s="178"/>
      <c r="KRR36" s="178"/>
      <c r="KSG36" s="178"/>
      <c r="KSH36" s="178"/>
      <c r="KSW36" s="178"/>
      <c r="KSX36" s="178"/>
      <c r="KTM36" s="178"/>
      <c r="KTN36" s="178"/>
      <c r="KUC36" s="178"/>
      <c r="KUD36" s="178"/>
      <c r="KUS36" s="178"/>
      <c r="KUT36" s="178"/>
      <c r="KVI36" s="178"/>
      <c r="KVJ36" s="178"/>
      <c r="KVY36" s="178"/>
      <c r="KVZ36" s="178"/>
      <c r="KWO36" s="178"/>
      <c r="KWP36" s="178"/>
      <c r="KXE36" s="178"/>
      <c r="KXF36" s="178"/>
      <c r="KXU36" s="178"/>
      <c r="KXV36" s="178"/>
      <c r="KYK36" s="178"/>
      <c r="KYL36" s="178"/>
      <c r="KZA36" s="178"/>
      <c r="KZB36" s="178"/>
      <c r="KZQ36" s="178"/>
      <c r="KZR36" s="178"/>
      <c r="LAG36" s="178"/>
      <c r="LAH36" s="178"/>
      <c r="LAW36" s="178"/>
      <c r="LAX36" s="178"/>
      <c r="LBM36" s="178"/>
      <c r="LBN36" s="178"/>
      <c r="LCC36" s="178"/>
      <c r="LCD36" s="178"/>
      <c r="LCS36" s="178"/>
      <c r="LCT36" s="178"/>
      <c r="LDI36" s="178"/>
      <c r="LDJ36" s="178"/>
      <c r="LDY36" s="178"/>
      <c r="LDZ36" s="178"/>
      <c r="LEO36" s="178"/>
      <c r="LEP36" s="178"/>
      <c r="LFE36" s="178"/>
      <c r="LFF36" s="178"/>
      <c r="LFU36" s="178"/>
      <c r="LFV36" s="178"/>
      <c r="LGK36" s="178"/>
      <c r="LGL36" s="178"/>
      <c r="LHA36" s="178"/>
      <c r="LHB36" s="178"/>
      <c r="LHQ36" s="178"/>
      <c r="LHR36" s="178"/>
      <c r="LIG36" s="178"/>
      <c r="LIH36" s="178"/>
      <c r="LIW36" s="178"/>
      <c r="LIX36" s="178"/>
      <c r="LJM36" s="178"/>
      <c r="LJN36" s="178"/>
      <c r="LKC36" s="178"/>
      <c r="LKD36" s="178"/>
      <c r="LKS36" s="178"/>
      <c r="LKT36" s="178"/>
      <c r="LLI36" s="178"/>
      <c r="LLJ36" s="178"/>
      <c r="LLY36" s="178"/>
      <c r="LLZ36" s="178"/>
      <c r="LMO36" s="178"/>
      <c r="LMP36" s="178"/>
      <c r="LNE36" s="178"/>
      <c r="LNF36" s="178"/>
      <c r="LNU36" s="178"/>
      <c r="LNV36" s="178"/>
      <c r="LOK36" s="178"/>
      <c r="LOL36" s="178"/>
      <c r="LPA36" s="178"/>
      <c r="LPB36" s="178"/>
      <c r="LPQ36" s="178"/>
      <c r="LPR36" s="178"/>
      <c r="LQG36" s="178"/>
      <c r="LQH36" s="178"/>
      <c r="LQW36" s="178"/>
      <c r="LQX36" s="178"/>
      <c r="LRM36" s="178"/>
      <c r="LRN36" s="178"/>
      <c r="LSC36" s="178"/>
      <c r="LSD36" s="178"/>
      <c r="LSS36" s="178"/>
      <c r="LST36" s="178"/>
      <c r="LTI36" s="178"/>
      <c r="LTJ36" s="178"/>
      <c r="LTY36" s="178"/>
      <c r="LTZ36" s="178"/>
      <c r="LUO36" s="178"/>
      <c r="LUP36" s="178"/>
      <c r="LVE36" s="178"/>
      <c r="LVF36" s="178"/>
      <c r="LVU36" s="178"/>
      <c r="LVV36" s="178"/>
      <c r="LWK36" s="178"/>
      <c r="LWL36" s="178"/>
      <c r="LXA36" s="178"/>
      <c r="LXB36" s="178"/>
      <c r="LXQ36" s="178"/>
      <c r="LXR36" s="178"/>
      <c r="LYG36" s="178"/>
      <c r="LYH36" s="178"/>
      <c r="LYW36" s="178"/>
      <c r="LYX36" s="178"/>
      <c r="LZM36" s="178"/>
      <c r="LZN36" s="178"/>
      <c r="MAC36" s="178"/>
      <c r="MAD36" s="178"/>
      <c r="MAS36" s="178"/>
      <c r="MAT36" s="178"/>
      <c r="MBI36" s="178"/>
      <c r="MBJ36" s="178"/>
      <c r="MBY36" s="178"/>
      <c r="MBZ36" s="178"/>
      <c r="MCO36" s="178"/>
      <c r="MCP36" s="178"/>
      <c r="MDE36" s="178"/>
      <c r="MDF36" s="178"/>
      <c r="MDU36" s="178"/>
      <c r="MDV36" s="178"/>
      <c r="MEK36" s="178"/>
      <c r="MEL36" s="178"/>
      <c r="MFA36" s="178"/>
      <c r="MFB36" s="178"/>
      <c r="MFQ36" s="178"/>
      <c r="MFR36" s="178"/>
      <c r="MGG36" s="178"/>
      <c r="MGH36" s="178"/>
      <c r="MGW36" s="178"/>
      <c r="MGX36" s="178"/>
      <c r="MHM36" s="178"/>
      <c r="MHN36" s="178"/>
      <c r="MIC36" s="178"/>
      <c r="MID36" s="178"/>
      <c r="MIS36" s="178"/>
      <c r="MIT36" s="178"/>
      <c r="MJI36" s="178"/>
      <c r="MJJ36" s="178"/>
      <c r="MJY36" s="178"/>
      <c r="MJZ36" s="178"/>
      <c r="MKO36" s="178"/>
      <c r="MKP36" s="178"/>
      <c r="MLE36" s="178"/>
      <c r="MLF36" s="178"/>
      <c r="MLU36" s="178"/>
      <c r="MLV36" s="178"/>
      <c r="MMK36" s="178"/>
      <c r="MML36" s="178"/>
      <c r="MNA36" s="178"/>
      <c r="MNB36" s="178"/>
      <c r="MNQ36" s="178"/>
      <c r="MNR36" s="178"/>
      <c r="MOG36" s="178"/>
      <c r="MOH36" s="178"/>
      <c r="MOW36" s="178"/>
      <c r="MOX36" s="178"/>
      <c r="MPM36" s="178"/>
      <c r="MPN36" s="178"/>
      <c r="MQC36" s="178"/>
      <c r="MQD36" s="178"/>
      <c r="MQS36" s="178"/>
      <c r="MQT36" s="178"/>
      <c r="MRI36" s="178"/>
      <c r="MRJ36" s="178"/>
      <c r="MRY36" s="178"/>
      <c r="MRZ36" s="178"/>
      <c r="MSO36" s="178"/>
      <c r="MSP36" s="178"/>
      <c r="MTE36" s="178"/>
      <c r="MTF36" s="178"/>
      <c r="MTU36" s="178"/>
      <c r="MTV36" s="178"/>
      <c r="MUK36" s="178"/>
      <c r="MUL36" s="178"/>
      <c r="MVA36" s="178"/>
      <c r="MVB36" s="178"/>
      <c r="MVQ36" s="178"/>
      <c r="MVR36" s="178"/>
      <c r="MWG36" s="178"/>
      <c r="MWH36" s="178"/>
      <c r="MWW36" s="178"/>
      <c r="MWX36" s="178"/>
      <c r="MXM36" s="178"/>
      <c r="MXN36" s="178"/>
      <c r="MYC36" s="178"/>
      <c r="MYD36" s="178"/>
      <c r="MYS36" s="178"/>
      <c r="MYT36" s="178"/>
      <c r="MZI36" s="178"/>
      <c r="MZJ36" s="178"/>
      <c r="MZY36" s="178"/>
      <c r="MZZ36" s="178"/>
      <c r="NAO36" s="178"/>
      <c r="NAP36" s="178"/>
      <c r="NBE36" s="178"/>
      <c r="NBF36" s="178"/>
      <c r="NBU36" s="178"/>
      <c r="NBV36" s="178"/>
      <c r="NCK36" s="178"/>
      <c r="NCL36" s="178"/>
      <c r="NDA36" s="178"/>
      <c r="NDB36" s="178"/>
      <c r="NDQ36" s="178"/>
      <c r="NDR36" s="178"/>
      <c r="NEG36" s="178"/>
      <c r="NEH36" s="178"/>
      <c r="NEW36" s="178"/>
      <c r="NEX36" s="178"/>
      <c r="NFM36" s="178"/>
      <c r="NFN36" s="178"/>
      <c r="NGC36" s="178"/>
      <c r="NGD36" s="178"/>
      <c r="NGS36" s="178"/>
      <c r="NGT36" s="178"/>
      <c r="NHI36" s="178"/>
      <c r="NHJ36" s="178"/>
      <c r="NHY36" s="178"/>
      <c r="NHZ36" s="178"/>
      <c r="NIO36" s="178"/>
      <c r="NIP36" s="178"/>
      <c r="NJE36" s="178"/>
      <c r="NJF36" s="178"/>
      <c r="NJU36" s="178"/>
      <c r="NJV36" s="178"/>
      <c r="NKK36" s="178"/>
      <c r="NKL36" s="178"/>
      <c r="NLA36" s="178"/>
      <c r="NLB36" s="178"/>
      <c r="NLQ36" s="178"/>
      <c r="NLR36" s="178"/>
      <c r="NMG36" s="178"/>
      <c r="NMH36" s="178"/>
      <c r="NMW36" s="178"/>
      <c r="NMX36" s="178"/>
      <c r="NNM36" s="178"/>
      <c r="NNN36" s="178"/>
      <c r="NOC36" s="178"/>
      <c r="NOD36" s="178"/>
      <c r="NOS36" s="178"/>
      <c r="NOT36" s="178"/>
      <c r="NPI36" s="178"/>
      <c r="NPJ36" s="178"/>
      <c r="NPY36" s="178"/>
      <c r="NPZ36" s="178"/>
      <c r="NQO36" s="178"/>
      <c r="NQP36" s="178"/>
      <c r="NRE36" s="178"/>
      <c r="NRF36" s="178"/>
      <c r="NRU36" s="178"/>
      <c r="NRV36" s="178"/>
      <c r="NSK36" s="178"/>
      <c r="NSL36" s="178"/>
      <c r="NTA36" s="178"/>
      <c r="NTB36" s="178"/>
      <c r="NTQ36" s="178"/>
      <c r="NTR36" s="178"/>
      <c r="NUG36" s="178"/>
      <c r="NUH36" s="178"/>
      <c r="NUW36" s="178"/>
      <c r="NUX36" s="178"/>
      <c r="NVM36" s="178"/>
      <c r="NVN36" s="178"/>
      <c r="NWC36" s="178"/>
      <c r="NWD36" s="178"/>
      <c r="NWS36" s="178"/>
      <c r="NWT36" s="178"/>
      <c r="NXI36" s="178"/>
      <c r="NXJ36" s="178"/>
      <c r="NXY36" s="178"/>
      <c r="NXZ36" s="178"/>
      <c r="NYO36" s="178"/>
      <c r="NYP36" s="178"/>
      <c r="NZE36" s="178"/>
      <c r="NZF36" s="178"/>
      <c r="NZU36" s="178"/>
      <c r="NZV36" s="178"/>
      <c r="OAK36" s="178"/>
      <c r="OAL36" s="178"/>
      <c r="OBA36" s="178"/>
      <c r="OBB36" s="178"/>
      <c r="OBQ36" s="178"/>
      <c r="OBR36" s="178"/>
      <c r="OCG36" s="178"/>
      <c r="OCH36" s="178"/>
      <c r="OCW36" s="178"/>
      <c r="OCX36" s="178"/>
      <c r="ODM36" s="178"/>
      <c r="ODN36" s="178"/>
      <c r="OEC36" s="178"/>
      <c r="OED36" s="178"/>
      <c r="OES36" s="178"/>
      <c r="OET36" s="178"/>
      <c r="OFI36" s="178"/>
      <c r="OFJ36" s="178"/>
      <c r="OFY36" s="178"/>
      <c r="OFZ36" s="178"/>
      <c r="OGO36" s="178"/>
      <c r="OGP36" s="178"/>
      <c r="OHE36" s="178"/>
      <c r="OHF36" s="178"/>
      <c r="OHU36" s="178"/>
      <c r="OHV36" s="178"/>
      <c r="OIK36" s="178"/>
      <c r="OIL36" s="178"/>
      <c r="OJA36" s="178"/>
      <c r="OJB36" s="178"/>
      <c r="OJQ36" s="178"/>
      <c r="OJR36" s="178"/>
      <c r="OKG36" s="178"/>
      <c r="OKH36" s="178"/>
      <c r="OKW36" s="178"/>
      <c r="OKX36" s="178"/>
      <c r="OLM36" s="178"/>
      <c r="OLN36" s="178"/>
      <c r="OMC36" s="178"/>
      <c r="OMD36" s="178"/>
      <c r="OMS36" s="178"/>
      <c r="OMT36" s="178"/>
      <c r="ONI36" s="178"/>
      <c r="ONJ36" s="178"/>
      <c r="ONY36" s="178"/>
      <c r="ONZ36" s="178"/>
      <c r="OOO36" s="178"/>
      <c r="OOP36" s="178"/>
      <c r="OPE36" s="178"/>
      <c r="OPF36" s="178"/>
      <c r="OPU36" s="178"/>
      <c r="OPV36" s="178"/>
      <c r="OQK36" s="178"/>
      <c r="OQL36" s="178"/>
      <c r="ORA36" s="178"/>
      <c r="ORB36" s="178"/>
      <c r="ORQ36" s="178"/>
      <c r="ORR36" s="178"/>
      <c r="OSG36" s="178"/>
      <c r="OSH36" s="178"/>
      <c r="OSW36" s="178"/>
      <c r="OSX36" s="178"/>
      <c r="OTM36" s="178"/>
      <c r="OTN36" s="178"/>
      <c r="OUC36" s="178"/>
      <c r="OUD36" s="178"/>
      <c r="OUS36" s="178"/>
      <c r="OUT36" s="178"/>
      <c r="OVI36" s="178"/>
      <c r="OVJ36" s="178"/>
      <c r="OVY36" s="178"/>
      <c r="OVZ36" s="178"/>
      <c r="OWO36" s="178"/>
      <c r="OWP36" s="178"/>
      <c r="OXE36" s="178"/>
      <c r="OXF36" s="178"/>
      <c r="OXU36" s="178"/>
      <c r="OXV36" s="178"/>
      <c r="OYK36" s="178"/>
      <c r="OYL36" s="178"/>
      <c r="OZA36" s="178"/>
      <c r="OZB36" s="178"/>
      <c r="OZQ36" s="178"/>
      <c r="OZR36" s="178"/>
      <c r="PAG36" s="178"/>
      <c r="PAH36" s="178"/>
      <c r="PAW36" s="178"/>
      <c r="PAX36" s="178"/>
      <c r="PBM36" s="178"/>
      <c r="PBN36" s="178"/>
      <c r="PCC36" s="178"/>
      <c r="PCD36" s="178"/>
      <c r="PCS36" s="178"/>
      <c r="PCT36" s="178"/>
      <c r="PDI36" s="178"/>
      <c r="PDJ36" s="178"/>
      <c r="PDY36" s="178"/>
      <c r="PDZ36" s="178"/>
      <c r="PEO36" s="178"/>
      <c r="PEP36" s="178"/>
      <c r="PFE36" s="178"/>
      <c r="PFF36" s="178"/>
      <c r="PFU36" s="178"/>
      <c r="PFV36" s="178"/>
      <c r="PGK36" s="178"/>
      <c r="PGL36" s="178"/>
      <c r="PHA36" s="178"/>
      <c r="PHB36" s="178"/>
      <c r="PHQ36" s="178"/>
      <c r="PHR36" s="178"/>
      <c r="PIG36" s="178"/>
      <c r="PIH36" s="178"/>
      <c r="PIW36" s="178"/>
      <c r="PIX36" s="178"/>
      <c r="PJM36" s="178"/>
      <c r="PJN36" s="178"/>
      <c r="PKC36" s="178"/>
      <c r="PKD36" s="178"/>
      <c r="PKS36" s="178"/>
      <c r="PKT36" s="178"/>
      <c r="PLI36" s="178"/>
      <c r="PLJ36" s="178"/>
      <c r="PLY36" s="178"/>
      <c r="PLZ36" s="178"/>
      <c r="PMO36" s="178"/>
      <c r="PMP36" s="178"/>
      <c r="PNE36" s="178"/>
      <c r="PNF36" s="178"/>
      <c r="PNU36" s="178"/>
      <c r="PNV36" s="178"/>
      <c r="POK36" s="178"/>
      <c r="POL36" s="178"/>
      <c r="PPA36" s="178"/>
      <c r="PPB36" s="178"/>
      <c r="PPQ36" s="178"/>
      <c r="PPR36" s="178"/>
      <c r="PQG36" s="178"/>
      <c r="PQH36" s="178"/>
      <c r="PQW36" s="178"/>
      <c r="PQX36" s="178"/>
      <c r="PRM36" s="178"/>
      <c r="PRN36" s="178"/>
      <c r="PSC36" s="178"/>
      <c r="PSD36" s="178"/>
      <c r="PSS36" s="178"/>
      <c r="PST36" s="178"/>
      <c r="PTI36" s="178"/>
      <c r="PTJ36" s="178"/>
      <c r="PTY36" s="178"/>
      <c r="PTZ36" s="178"/>
      <c r="PUO36" s="178"/>
      <c r="PUP36" s="178"/>
      <c r="PVE36" s="178"/>
      <c r="PVF36" s="178"/>
      <c r="PVU36" s="178"/>
      <c r="PVV36" s="178"/>
      <c r="PWK36" s="178"/>
      <c r="PWL36" s="178"/>
      <c r="PXA36" s="178"/>
      <c r="PXB36" s="178"/>
      <c r="PXQ36" s="178"/>
      <c r="PXR36" s="178"/>
      <c r="PYG36" s="178"/>
      <c r="PYH36" s="178"/>
      <c r="PYW36" s="178"/>
      <c r="PYX36" s="178"/>
      <c r="PZM36" s="178"/>
      <c r="PZN36" s="178"/>
      <c r="QAC36" s="178"/>
      <c r="QAD36" s="178"/>
      <c r="QAS36" s="178"/>
      <c r="QAT36" s="178"/>
      <c r="QBI36" s="178"/>
      <c r="QBJ36" s="178"/>
      <c r="QBY36" s="178"/>
      <c r="QBZ36" s="178"/>
      <c r="QCO36" s="178"/>
      <c r="QCP36" s="178"/>
      <c r="QDE36" s="178"/>
      <c r="QDF36" s="178"/>
      <c r="QDU36" s="178"/>
      <c r="QDV36" s="178"/>
      <c r="QEK36" s="178"/>
      <c r="QEL36" s="178"/>
      <c r="QFA36" s="178"/>
      <c r="QFB36" s="178"/>
      <c r="QFQ36" s="178"/>
      <c r="QFR36" s="178"/>
      <c r="QGG36" s="178"/>
      <c r="QGH36" s="178"/>
      <c r="QGW36" s="178"/>
      <c r="QGX36" s="178"/>
      <c r="QHM36" s="178"/>
      <c r="QHN36" s="178"/>
      <c r="QIC36" s="178"/>
      <c r="QID36" s="178"/>
      <c r="QIS36" s="178"/>
      <c r="QIT36" s="178"/>
      <c r="QJI36" s="178"/>
      <c r="QJJ36" s="178"/>
      <c r="QJY36" s="178"/>
      <c r="QJZ36" s="178"/>
      <c r="QKO36" s="178"/>
      <c r="QKP36" s="178"/>
      <c r="QLE36" s="178"/>
      <c r="QLF36" s="178"/>
      <c r="QLU36" s="178"/>
      <c r="QLV36" s="178"/>
      <c r="QMK36" s="178"/>
      <c r="QML36" s="178"/>
      <c r="QNA36" s="178"/>
      <c r="QNB36" s="178"/>
      <c r="QNQ36" s="178"/>
      <c r="QNR36" s="178"/>
      <c r="QOG36" s="178"/>
      <c r="QOH36" s="178"/>
      <c r="QOW36" s="178"/>
      <c r="QOX36" s="178"/>
      <c r="QPM36" s="178"/>
      <c r="QPN36" s="178"/>
      <c r="QQC36" s="178"/>
      <c r="QQD36" s="178"/>
      <c r="QQS36" s="178"/>
      <c r="QQT36" s="178"/>
      <c r="QRI36" s="178"/>
      <c r="QRJ36" s="178"/>
      <c r="QRY36" s="178"/>
      <c r="QRZ36" s="178"/>
      <c r="QSO36" s="178"/>
      <c r="QSP36" s="178"/>
      <c r="QTE36" s="178"/>
      <c r="QTF36" s="178"/>
      <c r="QTU36" s="178"/>
      <c r="QTV36" s="178"/>
      <c r="QUK36" s="178"/>
      <c r="QUL36" s="178"/>
      <c r="QVA36" s="178"/>
      <c r="QVB36" s="178"/>
      <c r="QVQ36" s="178"/>
      <c r="QVR36" s="178"/>
      <c r="QWG36" s="178"/>
      <c r="QWH36" s="178"/>
      <c r="QWW36" s="178"/>
      <c r="QWX36" s="178"/>
      <c r="QXM36" s="178"/>
      <c r="QXN36" s="178"/>
      <c r="QYC36" s="178"/>
      <c r="QYD36" s="178"/>
      <c r="QYS36" s="178"/>
      <c r="QYT36" s="178"/>
      <c r="QZI36" s="178"/>
      <c r="QZJ36" s="178"/>
      <c r="QZY36" s="178"/>
      <c r="QZZ36" s="178"/>
      <c r="RAO36" s="178"/>
      <c r="RAP36" s="178"/>
      <c r="RBE36" s="178"/>
      <c r="RBF36" s="178"/>
      <c r="RBU36" s="178"/>
      <c r="RBV36" s="178"/>
      <c r="RCK36" s="178"/>
      <c r="RCL36" s="178"/>
      <c r="RDA36" s="178"/>
      <c r="RDB36" s="178"/>
      <c r="RDQ36" s="178"/>
      <c r="RDR36" s="178"/>
      <c r="REG36" s="178"/>
      <c r="REH36" s="178"/>
      <c r="REW36" s="178"/>
      <c r="REX36" s="178"/>
      <c r="RFM36" s="178"/>
      <c r="RFN36" s="178"/>
      <c r="RGC36" s="178"/>
      <c r="RGD36" s="178"/>
      <c r="RGS36" s="178"/>
      <c r="RGT36" s="178"/>
      <c r="RHI36" s="178"/>
      <c r="RHJ36" s="178"/>
      <c r="RHY36" s="178"/>
      <c r="RHZ36" s="178"/>
      <c r="RIO36" s="178"/>
      <c r="RIP36" s="178"/>
      <c r="RJE36" s="178"/>
      <c r="RJF36" s="178"/>
      <c r="RJU36" s="178"/>
      <c r="RJV36" s="178"/>
      <c r="RKK36" s="178"/>
      <c r="RKL36" s="178"/>
      <c r="RLA36" s="178"/>
      <c r="RLB36" s="178"/>
      <c r="RLQ36" s="178"/>
      <c r="RLR36" s="178"/>
      <c r="RMG36" s="178"/>
      <c r="RMH36" s="178"/>
      <c r="RMW36" s="178"/>
      <c r="RMX36" s="178"/>
      <c r="RNM36" s="178"/>
      <c r="RNN36" s="178"/>
      <c r="ROC36" s="178"/>
      <c r="ROD36" s="178"/>
      <c r="ROS36" s="178"/>
      <c r="ROT36" s="178"/>
      <c r="RPI36" s="178"/>
      <c r="RPJ36" s="178"/>
      <c r="RPY36" s="178"/>
      <c r="RPZ36" s="178"/>
      <c r="RQO36" s="178"/>
      <c r="RQP36" s="178"/>
      <c r="RRE36" s="178"/>
      <c r="RRF36" s="178"/>
      <c r="RRU36" s="178"/>
      <c r="RRV36" s="178"/>
      <c r="RSK36" s="178"/>
      <c r="RSL36" s="178"/>
      <c r="RTA36" s="178"/>
      <c r="RTB36" s="178"/>
      <c r="RTQ36" s="178"/>
      <c r="RTR36" s="178"/>
      <c r="RUG36" s="178"/>
      <c r="RUH36" s="178"/>
      <c r="RUW36" s="178"/>
      <c r="RUX36" s="178"/>
      <c r="RVM36" s="178"/>
      <c r="RVN36" s="178"/>
      <c r="RWC36" s="178"/>
      <c r="RWD36" s="178"/>
      <c r="RWS36" s="178"/>
      <c r="RWT36" s="178"/>
      <c r="RXI36" s="178"/>
      <c r="RXJ36" s="178"/>
      <c r="RXY36" s="178"/>
      <c r="RXZ36" s="178"/>
      <c r="RYO36" s="178"/>
      <c r="RYP36" s="178"/>
      <c r="RZE36" s="178"/>
      <c r="RZF36" s="178"/>
      <c r="RZU36" s="178"/>
      <c r="RZV36" s="178"/>
      <c r="SAK36" s="178"/>
      <c r="SAL36" s="178"/>
      <c r="SBA36" s="178"/>
      <c r="SBB36" s="178"/>
      <c r="SBQ36" s="178"/>
      <c r="SBR36" s="178"/>
      <c r="SCG36" s="178"/>
      <c r="SCH36" s="178"/>
      <c r="SCW36" s="178"/>
      <c r="SCX36" s="178"/>
      <c r="SDM36" s="178"/>
      <c r="SDN36" s="178"/>
      <c r="SEC36" s="178"/>
      <c r="SED36" s="178"/>
      <c r="SES36" s="178"/>
      <c r="SET36" s="178"/>
      <c r="SFI36" s="178"/>
      <c r="SFJ36" s="178"/>
      <c r="SFY36" s="178"/>
      <c r="SFZ36" s="178"/>
      <c r="SGO36" s="178"/>
      <c r="SGP36" s="178"/>
      <c r="SHE36" s="178"/>
      <c r="SHF36" s="178"/>
      <c r="SHU36" s="178"/>
      <c r="SHV36" s="178"/>
      <c r="SIK36" s="178"/>
      <c r="SIL36" s="178"/>
      <c r="SJA36" s="178"/>
      <c r="SJB36" s="178"/>
      <c r="SJQ36" s="178"/>
      <c r="SJR36" s="178"/>
      <c r="SKG36" s="178"/>
      <c r="SKH36" s="178"/>
      <c r="SKW36" s="178"/>
      <c r="SKX36" s="178"/>
      <c r="SLM36" s="178"/>
      <c r="SLN36" s="178"/>
      <c r="SMC36" s="178"/>
      <c r="SMD36" s="178"/>
      <c r="SMS36" s="178"/>
      <c r="SMT36" s="178"/>
      <c r="SNI36" s="178"/>
      <c r="SNJ36" s="178"/>
      <c r="SNY36" s="178"/>
      <c r="SNZ36" s="178"/>
      <c r="SOO36" s="178"/>
      <c r="SOP36" s="178"/>
      <c r="SPE36" s="178"/>
      <c r="SPF36" s="178"/>
      <c r="SPU36" s="178"/>
      <c r="SPV36" s="178"/>
      <c r="SQK36" s="178"/>
      <c r="SQL36" s="178"/>
      <c r="SRA36" s="178"/>
      <c r="SRB36" s="178"/>
      <c r="SRQ36" s="178"/>
      <c r="SRR36" s="178"/>
      <c r="SSG36" s="178"/>
      <c r="SSH36" s="178"/>
      <c r="SSW36" s="178"/>
      <c r="SSX36" s="178"/>
      <c r="STM36" s="178"/>
      <c r="STN36" s="178"/>
      <c r="SUC36" s="178"/>
      <c r="SUD36" s="178"/>
      <c r="SUS36" s="178"/>
      <c r="SUT36" s="178"/>
      <c r="SVI36" s="178"/>
      <c r="SVJ36" s="178"/>
      <c r="SVY36" s="178"/>
      <c r="SVZ36" s="178"/>
      <c r="SWO36" s="178"/>
      <c r="SWP36" s="178"/>
      <c r="SXE36" s="178"/>
      <c r="SXF36" s="178"/>
      <c r="SXU36" s="178"/>
      <c r="SXV36" s="178"/>
      <c r="SYK36" s="178"/>
      <c r="SYL36" s="178"/>
      <c r="SZA36" s="178"/>
      <c r="SZB36" s="178"/>
      <c r="SZQ36" s="178"/>
      <c r="SZR36" s="178"/>
      <c r="TAG36" s="178"/>
      <c r="TAH36" s="178"/>
      <c r="TAW36" s="178"/>
      <c r="TAX36" s="178"/>
      <c r="TBM36" s="178"/>
      <c r="TBN36" s="178"/>
      <c r="TCC36" s="178"/>
      <c r="TCD36" s="178"/>
      <c r="TCS36" s="178"/>
      <c r="TCT36" s="178"/>
      <c r="TDI36" s="178"/>
      <c r="TDJ36" s="178"/>
      <c r="TDY36" s="178"/>
      <c r="TDZ36" s="178"/>
      <c r="TEO36" s="178"/>
      <c r="TEP36" s="178"/>
      <c r="TFE36" s="178"/>
      <c r="TFF36" s="178"/>
      <c r="TFU36" s="178"/>
      <c r="TFV36" s="178"/>
      <c r="TGK36" s="178"/>
      <c r="TGL36" s="178"/>
      <c r="THA36" s="178"/>
      <c r="THB36" s="178"/>
      <c r="THQ36" s="178"/>
      <c r="THR36" s="178"/>
      <c r="TIG36" s="178"/>
      <c r="TIH36" s="178"/>
      <c r="TIW36" s="178"/>
      <c r="TIX36" s="178"/>
      <c r="TJM36" s="178"/>
      <c r="TJN36" s="178"/>
      <c r="TKC36" s="178"/>
      <c r="TKD36" s="178"/>
      <c r="TKS36" s="178"/>
      <c r="TKT36" s="178"/>
      <c r="TLI36" s="178"/>
      <c r="TLJ36" s="178"/>
      <c r="TLY36" s="178"/>
      <c r="TLZ36" s="178"/>
      <c r="TMO36" s="178"/>
      <c r="TMP36" s="178"/>
      <c r="TNE36" s="178"/>
      <c r="TNF36" s="178"/>
      <c r="TNU36" s="178"/>
      <c r="TNV36" s="178"/>
      <c r="TOK36" s="178"/>
      <c r="TOL36" s="178"/>
      <c r="TPA36" s="178"/>
      <c r="TPB36" s="178"/>
      <c r="TPQ36" s="178"/>
      <c r="TPR36" s="178"/>
      <c r="TQG36" s="178"/>
      <c r="TQH36" s="178"/>
      <c r="TQW36" s="178"/>
      <c r="TQX36" s="178"/>
      <c r="TRM36" s="178"/>
      <c r="TRN36" s="178"/>
      <c r="TSC36" s="178"/>
      <c r="TSD36" s="178"/>
      <c r="TSS36" s="178"/>
      <c r="TST36" s="178"/>
      <c r="TTI36" s="178"/>
      <c r="TTJ36" s="178"/>
      <c r="TTY36" s="178"/>
      <c r="TTZ36" s="178"/>
      <c r="TUO36" s="178"/>
      <c r="TUP36" s="178"/>
      <c r="TVE36" s="178"/>
      <c r="TVF36" s="178"/>
      <c r="TVU36" s="178"/>
      <c r="TVV36" s="178"/>
      <c r="TWK36" s="178"/>
      <c r="TWL36" s="178"/>
      <c r="TXA36" s="178"/>
      <c r="TXB36" s="178"/>
      <c r="TXQ36" s="178"/>
      <c r="TXR36" s="178"/>
      <c r="TYG36" s="178"/>
      <c r="TYH36" s="178"/>
      <c r="TYW36" s="178"/>
      <c r="TYX36" s="178"/>
      <c r="TZM36" s="178"/>
      <c r="TZN36" s="178"/>
      <c r="UAC36" s="178"/>
      <c r="UAD36" s="178"/>
      <c r="UAS36" s="178"/>
      <c r="UAT36" s="178"/>
      <c r="UBI36" s="178"/>
      <c r="UBJ36" s="178"/>
      <c r="UBY36" s="178"/>
      <c r="UBZ36" s="178"/>
      <c r="UCO36" s="178"/>
      <c r="UCP36" s="178"/>
      <c r="UDE36" s="178"/>
      <c r="UDF36" s="178"/>
      <c r="UDU36" s="178"/>
      <c r="UDV36" s="178"/>
      <c r="UEK36" s="178"/>
      <c r="UEL36" s="178"/>
      <c r="UFA36" s="178"/>
      <c r="UFB36" s="178"/>
      <c r="UFQ36" s="178"/>
      <c r="UFR36" s="178"/>
      <c r="UGG36" s="178"/>
      <c r="UGH36" s="178"/>
      <c r="UGW36" s="178"/>
      <c r="UGX36" s="178"/>
      <c r="UHM36" s="178"/>
      <c r="UHN36" s="178"/>
      <c r="UIC36" s="178"/>
      <c r="UID36" s="178"/>
      <c r="UIS36" s="178"/>
      <c r="UIT36" s="178"/>
      <c r="UJI36" s="178"/>
      <c r="UJJ36" s="178"/>
      <c r="UJY36" s="178"/>
      <c r="UJZ36" s="178"/>
      <c r="UKO36" s="178"/>
      <c r="UKP36" s="178"/>
      <c r="ULE36" s="178"/>
      <c r="ULF36" s="178"/>
      <c r="ULU36" s="178"/>
      <c r="ULV36" s="178"/>
      <c r="UMK36" s="178"/>
      <c r="UML36" s="178"/>
      <c r="UNA36" s="178"/>
      <c r="UNB36" s="178"/>
      <c r="UNQ36" s="178"/>
      <c r="UNR36" s="178"/>
      <c r="UOG36" s="178"/>
      <c r="UOH36" s="178"/>
      <c r="UOW36" s="178"/>
      <c r="UOX36" s="178"/>
      <c r="UPM36" s="178"/>
      <c r="UPN36" s="178"/>
      <c r="UQC36" s="178"/>
      <c r="UQD36" s="178"/>
      <c r="UQS36" s="178"/>
      <c r="UQT36" s="178"/>
      <c r="URI36" s="178"/>
      <c r="URJ36" s="178"/>
      <c r="URY36" s="178"/>
      <c r="URZ36" s="178"/>
      <c r="USO36" s="178"/>
      <c r="USP36" s="178"/>
      <c r="UTE36" s="178"/>
      <c r="UTF36" s="178"/>
      <c r="UTU36" s="178"/>
      <c r="UTV36" s="178"/>
      <c r="UUK36" s="178"/>
      <c r="UUL36" s="178"/>
      <c r="UVA36" s="178"/>
      <c r="UVB36" s="178"/>
      <c r="UVQ36" s="178"/>
      <c r="UVR36" s="178"/>
      <c r="UWG36" s="178"/>
      <c r="UWH36" s="178"/>
      <c r="UWW36" s="178"/>
      <c r="UWX36" s="178"/>
      <c r="UXM36" s="178"/>
      <c r="UXN36" s="178"/>
      <c r="UYC36" s="178"/>
      <c r="UYD36" s="178"/>
      <c r="UYS36" s="178"/>
      <c r="UYT36" s="178"/>
      <c r="UZI36" s="178"/>
      <c r="UZJ36" s="178"/>
      <c r="UZY36" s="178"/>
      <c r="UZZ36" s="178"/>
      <c r="VAO36" s="178"/>
      <c r="VAP36" s="178"/>
      <c r="VBE36" s="178"/>
      <c r="VBF36" s="178"/>
      <c r="VBU36" s="178"/>
      <c r="VBV36" s="178"/>
      <c r="VCK36" s="178"/>
      <c r="VCL36" s="178"/>
      <c r="VDA36" s="178"/>
      <c r="VDB36" s="178"/>
      <c r="VDQ36" s="178"/>
      <c r="VDR36" s="178"/>
      <c r="VEG36" s="178"/>
      <c r="VEH36" s="178"/>
      <c r="VEW36" s="178"/>
      <c r="VEX36" s="178"/>
      <c r="VFM36" s="178"/>
      <c r="VFN36" s="178"/>
      <c r="VGC36" s="178"/>
      <c r="VGD36" s="178"/>
      <c r="VGS36" s="178"/>
      <c r="VGT36" s="178"/>
      <c r="VHI36" s="178"/>
      <c r="VHJ36" s="178"/>
      <c r="VHY36" s="178"/>
      <c r="VHZ36" s="178"/>
      <c r="VIO36" s="178"/>
      <c r="VIP36" s="178"/>
      <c r="VJE36" s="178"/>
      <c r="VJF36" s="178"/>
      <c r="VJU36" s="178"/>
      <c r="VJV36" s="178"/>
      <c r="VKK36" s="178"/>
      <c r="VKL36" s="178"/>
      <c r="VLA36" s="178"/>
      <c r="VLB36" s="178"/>
      <c r="VLQ36" s="178"/>
      <c r="VLR36" s="178"/>
      <c r="VMG36" s="178"/>
      <c r="VMH36" s="178"/>
      <c r="VMW36" s="178"/>
      <c r="VMX36" s="178"/>
      <c r="VNM36" s="178"/>
      <c r="VNN36" s="178"/>
      <c r="VOC36" s="178"/>
      <c r="VOD36" s="178"/>
      <c r="VOS36" s="178"/>
      <c r="VOT36" s="178"/>
      <c r="VPI36" s="178"/>
      <c r="VPJ36" s="178"/>
      <c r="VPY36" s="178"/>
      <c r="VPZ36" s="178"/>
      <c r="VQO36" s="178"/>
      <c r="VQP36" s="178"/>
      <c r="VRE36" s="178"/>
      <c r="VRF36" s="178"/>
      <c r="VRU36" s="178"/>
      <c r="VRV36" s="178"/>
      <c r="VSK36" s="178"/>
      <c r="VSL36" s="178"/>
      <c r="VTA36" s="178"/>
      <c r="VTB36" s="178"/>
      <c r="VTQ36" s="178"/>
      <c r="VTR36" s="178"/>
      <c r="VUG36" s="178"/>
      <c r="VUH36" s="178"/>
      <c r="VUW36" s="178"/>
      <c r="VUX36" s="178"/>
      <c r="VVM36" s="178"/>
      <c r="VVN36" s="178"/>
      <c r="VWC36" s="178"/>
      <c r="VWD36" s="178"/>
      <c r="VWS36" s="178"/>
      <c r="VWT36" s="178"/>
      <c r="VXI36" s="178"/>
      <c r="VXJ36" s="178"/>
      <c r="VXY36" s="178"/>
      <c r="VXZ36" s="178"/>
      <c r="VYO36" s="178"/>
      <c r="VYP36" s="178"/>
      <c r="VZE36" s="178"/>
      <c r="VZF36" s="178"/>
      <c r="VZU36" s="178"/>
      <c r="VZV36" s="178"/>
      <c r="WAK36" s="178"/>
      <c r="WAL36" s="178"/>
      <c r="WBA36" s="178"/>
      <c r="WBB36" s="178"/>
      <c r="WBQ36" s="178"/>
      <c r="WBR36" s="178"/>
      <c r="WCG36" s="178"/>
      <c r="WCH36" s="178"/>
      <c r="WCW36" s="178"/>
      <c r="WCX36" s="178"/>
      <c r="WDM36" s="178"/>
      <c r="WDN36" s="178"/>
      <c r="WEC36" s="178"/>
      <c r="WED36" s="178"/>
      <c r="WES36" s="178"/>
      <c r="WET36" s="178"/>
      <c r="WFI36" s="178"/>
      <c r="WFJ36" s="178"/>
      <c r="WFY36" s="178"/>
      <c r="WFZ36" s="178"/>
      <c r="WGO36" s="178"/>
      <c r="WGP36" s="178"/>
      <c r="WHE36" s="178"/>
      <c r="WHF36" s="178"/>
      <c r="WHU36" s="178"/>
      <c r="WHV36" s="178"/>
      <c r="WIK36" s="178"/>
      <c r="WIL36" s="178"/>
      <c r="WJA36" s="178"/>
      <c r="WJB36" s="178"/>
      <c r="WJQ36" s="178"/>
      <c r="WJR36" s="178"/>
      <c r="WKG36" s="178"/>
      <c r="WKH36" s="178"/>
      <c r="WKW36" s="178"/>
      <c r="WKX36" s="178"/>
      <c r="WLM36" s="178"/>
      <c r="WLN36" s="178"/>
      <c r="WMC36" s="178"/>
      <c r="WMD36" s="178"/>
      <c r="WMS36" s="178"/>
      <c r="WMT36" s="178"/>
      <c r="WNI36" s="178"/>
      <c r="WNJ36" s="178"/>
      <c r="WNY36" s="178"/>
      <c r="WNZ36" s="178"/>
      <c r="WOO36" s="178"/>
      <c r="WOP36" s="178"/>
      <c r="WPE36" s="178"/>
      <c r="WPF36" s="178"/>
      <c r="WPU36" s="178"/>
      <c r="WPV36" s="178"/>
      <c r="WQK36" s="178"/>
      <c r="WQL36" s="178"/>
      <c r="WRA36" s="178"/>
      <c r="WRB36" s="178"/>
      <c r="WRQ36" s="178"/>
      <c r="WRR36" s="178"/>
      <c r="WSG36" s="178"/>
      <c r="WSH36" s="178"/>
      <c r="WSW36" s="178"/>
      <c r="WSX36" s="178"/>
      <c r="WTM36" s="178"/>
      <c r="WTN36" s="178"/>
      <c r="WUC36" s="178"/>
      <c r="WUD36" s="178"/>
      <c r="WUS36" s="178"/>
      <c r="WUT36" s="178"/>
      <c r="WVI36" s="178"/>
      <c r="WVJ36" s="178"/>
      <c r="WVY36" s="178"/>
      <c r="WVZ36" s="178"/>
      <c r="WWO36" s="178"/>
      <c r="WWP36" s="178"/>
      <c r="WXE36" s="178"/>
      <c r="WXF36" s="178"/>
      <c r="WXU36" s="178"/>
      <c r="WXV36" s="178"/>
      <c r="WYK36" s="178"/>
      <c r="WYL36" s="178"/>
      <c r="WZA36" s="178"/>
      <c r="WZB36" s="178"/>
      <c r="WZQ36" s="178"/>
      <c r="WZR36" s="178"/>
      <c r="XAG36" s="178"/>
      <c r="XAH36" s="178"/>
      <c r="XAW36" s="178"/>
      <c r="XAX36" s="178"/>
      <c r="XBM36" s="178"/>
      <c r="XBN36" s="178"/>
    </row>
    <row r="37" spans="1:1010 1025:2034 2049:3058 3073:4082 4097:5106 5121:6130 6145:7154 7169:8178 8193:9202 9217:10226 10241:11250 11265:12274 12289:13298 13313:14322 14337:15346 15361:16290" s="240" customFormat="1" ht="13.8" x14ac:dyDescent="0.3">
      <c r="A37" s="180" t="s">
        <v>532</v>
      </c>
      <c r="B37" s="180" t="s">
        <v>540</v>
      </c>
      <c r="C37" s="181">
        <f>SUM(tb_Distr[[#This Row],[PLAN]:[ENTR.]])</f>
        <v>0.99999999999999989</v>
      </c>
      <c r="D37" s="179">
        <v>0.1</v>
      </c>
      <c r="E37" s="179">
        <v>0.2</v>
      </c>
      <c r="F37" s="179">
        <v>0.09</v>
      </c>
      <c r="G37" s="179">
        <v>0.09</v>
      </c>
      <c r="H37" s="179">
        <v>0.09</v>
      </c>
      <c r="I37" s="179">
        <v>0.09</v>
      </c>
      <c r="J37" s="179">
        <v>0.09</v>
      </c>
      <c r="K37" s="179">
        <v>0.08</v>
      </c>
      <c r="L37" s="179">
        <v>7.0000000000000007E-2</v>
      </c>
      <c r="M37" s="179"/>
      <c r="N37" s="179"/>
      <c r="O37" s="179"/>
      <c r="P37" s="179"/>
      <c r="Q37" s="179">
        <v>0.1</v>
      </c>
      <c r="R37" s="178"/>
      <c r="AG37" s="178"/>
      <c r="AH37" s="178"/>
      <c r="AW37" s="178"/>
      <c r="AX37" s="178"/>
      <c r="BM37" s="178"/>
      <c r="BN37" s="178"/>
      <c r="CC37" s="178"/>
      <c r="CD37" s="178"/>
      <c r="CS37" s="178"/>
      <c r="CT37" s="178"/>
      <c r="DI37" s="178"/>
      <c r="DJ37" s="178"/>
      <c r="DY37" s="178"/>
      <c r="DZ37" s="178"/>
      <c r="EO37" s="178"/>
      <c r="EP37" s="178"/>
      <c r="FE37" s="178"/>
      <c r="FF37" s="178"/>
      <c r="FU37" s="178"/>
      <c r="FV37" s="178"/>
      <c r="GK37" s="178"/>
      <c r="GL37" s="178"/>
      <c r="HA37" s="178"/>
      <c r="HB37" s="178"/>
      <c r="HQ37" s="178"/>
      <c r="HR37" s="178"/>
      <c r="IG37" s="178"/>
      <c r="IH37" s="178"/>
      <c r="IW37" s="178"/>
      <c r="IX37" s="178"/>
      <c r="JM37" s="178"/>
      <c r="JN37" s="178"/>
      <c r="KC37" s="178"/>
      <c r="KD37" s="178"/>
      <c r="KS37" s="178"/>
      <c r="KT37" s="178"/>
      <c r="LI37" s="178"/>
      <c r="LJ37" s="178"/>
      <c r="LY37" s="178"/>
      <c r="LZ37" s="178"/>
      <c r="MO37" s="178"/>
      <c r="MP37" s="178"/>
      <c r="NE37" s="178"/>
      <c r="NF37" s="178"/>
      <c r="NU37" s="178"/>
      <c r="NV37" s="178"/>
      <c r="OK37" s="178"/>
      <c r="OL37" s="178"/>
      <c r="PA37" s="178"/>
      <c r="PB37" s="178"/>
      <c r="PQ37" s="178"/>
      <c r="PR37" s="178"/>
      <c r="QG37" s="178"/>
      <c r="QH37" s="178"/>
      <c r="QW37" s="178"/>
      <c r="QX37" s="178"/>
      <c r="RM37" s="178"/>
      <c r="RN37" s="178"/>
      <c r="SC37" s="178"/>
      <c r="SD37" s="178"/>
      <c r="SS37" s="178"/>
      <c r="ST37" s="178"/>
      <c r="TI37" s="178"/>
      <c r="TJ37" s="178"/>
      <c r="TY37" s="178"/>
      <c r="TZ37" s="178"/>
      <c r="UO37" s="178"/>
      <c r="UP37" s="178"/>
      <c r="VE37" s="178"/>
      <c r="VF37" s="178"/>
      <c r="VU37" s="178"/>
      <c r="VV37" s="178"/>
      <c r="WK37" s="178"/>
      <c r="WL37" s="178"/>
      <c r="XA37" s="178"/>
      <c r="XB37" s="178"/>
      <c r="XQ37" s="178"/>
      <c r="XR37" s="178"/>
      <c r="YG37" s="178"/>
      <c r="YH37" s="178"/>
      <c r="YW37" s="178"/>
      <c r="YX37" s="178"/>
      <c r="ZM37" s="178"/>
      <c r="ZN37" s="178"/>
      <c r="AAC37" s="178"/>
      <c r="AAD37" s="178"/>
      <c r="AAS37" s="178"/>
      <c r="AAT37" s="178"/>
      <c r="ABI37" s="178"/>
      <c r="ABJ37" s="178"/>
      <c r="ABY37" s="178"/>
      <c r="ABZ37" s="178"/>
      <c r="ACO37" s="178"/>
      <c r="ACP37" s="178"/>
      <c r="ADE37" s="178"/>
      <c r="ADF37" s="178"/>
      <c r="ADU37" s="178"/>
      <c r="ADV37" s="178"/>
      <c r="AEK37" s="178"/>
      <c r="AEL37" s="178"/>
      <c r="AFA37" s="178"/>
      <c r="AFB37" s="178"/>
      <c r="AFQ37" s="178"/>
      <c r="AFR37" s="178"/>
      <c r="AGG37" s="178"/>
      <c r="AGH37" s="178"/>
      <c r="AGW37" s="178"/>
      <c r="AGX37" s="178"/>
      <c r="AHM37" s="178"/>
      <c r="AHN37" s="178"/>
      <c r="AIC37" s="178"/>
      <c r="AID37" s="178"/>
      <c r="AIS37" s="178"/>
      <c r="AIT37" s="178"/>
      <c r="AJI37" s="178"/>
      <c r="AJJ37" s="178"/>
      <c r="AJY37" s="178"/>
      <c r="AJZ37" s="178"/>
      <c r="AKO37" s="178"/>
      <c r="AKP37" s="178"/>
      <c r="ALE37" s="178"/>
      <c r="ALF37" s="178"/>
      <c r="ALU37" s="178"/>
      <c r="ALV37" s="178"/>
      <c r="AMK37" s="178"/>
      <c r="AML37" s="178"/>
      <c r="ANA37" s="178"/>
      <c r="ANB37" s="178"/>
      <c r="ANQ37" s="178"/>
      <c r="ANR37" s="178"/>
      <c r="AOG37" s="178"/>
      <c r="AOH37" s="178"/>
      <c r="AOW37" s="178"/>
      <c r="AOX37" s="178"/>
      <c r="APM37" s="178"/>
      <c r="APN37" s="178"/>
      <c r="AQC37" s="178"/>
      <c r="AQD37" s="178"/>
      <c r="AQS37" s="178"/>
      <c r="AQT37" s="178"/>
      <c r="ARI37" s="178"/>
      <c r="ARJ37" s="178"/>
      <c r="ARY37" s="178"/>
      <c r="ARZ37" s="178"/>
      <c r="ASO37" s="178"/>
      <c r="ASP37" s="178"/>
      <c r="ATE37" s="178"/>
      <c r="ATF37" s="178"/>
      <c r="ATU37" s="178"/>
      <c r="ATV37" s="178"/>
      <c r="AUK37" s="178"/>
      <c r="AUL37" s="178"/>
      <c r="AVA37" s="178"/>
      <c r="AVB37" s="178"/>
      <c r="AVQ37" s="178"/>
      <c r="AVR37" s="178"/>
      <c r="AWG37" s="178"/>
      <c r="AWH37" s="178"/>
      <c r="AWW37" s="178"/>
      <c r="AWX37" s="178"/>
      <c r="AXM37" s="178"/>
      <c r="AXN37" s="178"/>
      <c r="AYC37" s="178"/>
      <c r="AYD37" s="178"/>
      <c r="AYS37" s="178"/>
      <c r="AYT37" s="178"/>
      <c r="AZI37" s="178"/>
      <c r="AZJ37" s="178"/>
      <c r="AZY37" s="178"/>
      <c r="AZZ37" s="178"/>
      <c r="BAO37" s="178"/>
      <c r="BAP37" s="178"/>
      <c r="BBE37" s="178"/>
      <c r="BBF37" s="178"/>
      <c r="BBU37" s="178"/>
      <c r="BBV37" s="178"/>
      <c r="BCK37" s="178"/>
      <c r="BCL37" s="178"/>
      <c r="BDA37" s="178"/>
      <c r="BDB37" s="178"/>
      <c r="BDQ37" s="178"/>
      <c r="BDR37" s="178"/>
      <c r="BEG37" s="178"/>
      <c r="BEH37" s="178"/>
      <c r="BEW37" s="178"/>
      <c r="BEX37" s="178"/>
      <c r="BFM37" s="178"/>
      <c r="BFN37" s="178"/>
      <c r="BGC37" s="178"/>
      <c r="BGD37" s="178"/>
      <c r="BGS37" s="178"/>
      <c r="BGT37" s="178"/>
      <c r="BHI37" s="178"/>
      <c r="BHJ37" s="178"/>
      <c r="BHY37" s="178"/>
      <c r="BHZ37" s="178"/>
      <c r="BIO37" s="178"/>
      <c r="BIP37" s="178"/>
      <c r="BJE37" s="178"/>
      <c r="BJF37" s="178"/>
      <c r="BJU37" s="178"/>
      <c r="BJV37" s="178"/>
      <c r="BKK37" s="178"/>
      <c r="BKL37" s="178"/>
      <c r="BLA37" s="178"/>
      <c r="BLB37" s="178"/>
      <c r="BLQ37" s="178"/>
      <c r="BLR37" s="178"/>
      <c r="BMG37" s="178"/>
      <c r="BMH37" s="178"/>
      <c r="BMW37" s="178"/>
      <c r="BMX37" s="178"/>
      <c r="BNM37" s="178"/>
      <c r="BNN37" s="178"/>
      <c r="BOC37" s="178"/>
      <c r="BOD37" s="178"/>
      <c r="BOS37" s="178"/>
      <c r="BOT37" s="178"/>
      <c r="BPI37" s="178"/>
      <c r="BPJ37" s="178"/>
      <c r="BPY37" s="178"/>
      <c r="BPZ37" s="178"/>
      <c r="BQO37" s="178"/>
      <c r="BQP37" s="178"/>
      <c r="BRE37" s="178"/>
      <c r="BRF37" s="178"/>
      <c r="BRU37" s="178"/>
      <c r="BRV37" s="178"/>
      <c r="BSK37" s="178"/>
      <c r="BSL37" s="178"/>
      <c r="BTA37" s="178"/>
      <c r="BTB37" s="178"/>
      <c r="BTQ37" s="178"/>
      <c r="BTR37" s="178"/>
      <c r="BUG37" s="178"/>
      <c r="BUH37" s="178"/>
      <c r="BUW37" s="178"/>
      <c r="BUX37" s="178"/>
      <c r="BVM37" s="178"/>
      <c r="BVN37" s="178"/>
      <c r="BWC37" s="178"/>
      <c r="BWD37" s="178"/>
      <c r="BWS37" s="178"/>
      <c r="BWT37" s="178"/>
      <c r="BXI37" s="178"/>
      <c r="BXJ37" s="178"/>
      <c r="BXY37" s="178"/>
      <c r="BXZ37" s="178"/>
      <c r="BYO37" s="178"/>
      <c r="BYP37" s="178"/>
      <c r="BZE37" s="178"/>
      <c r="BZF37" s="178"/>
      <c r="BZU37" s="178"/>
      <c r="BZV37" s="178"/>
      <c r="CAK37" s="178"/>
      <c r="CAL37" s="178"/>
      <c r="CBA37" s="178"/>
      <c r="CBB37" s="178"/>
      <c r="CBQ37" s="178"/>
      <c r="CBR37" s="178"/>
      <c r="CCG37" s="178"/>
      <c r="CCH37" s="178"/>
      <c r="CCW37" s="178"/>
      <c r="CCX37" s="178"/>
      <c r="CDM37" s="178"/>
      <c r="CDN37" s="178"/>
      <c r="CEC37" s="178"/>
      <c r="CED37" s="178"/>
      <c r="CES37" s="178"/>
      <c r="CET37" s="178"/>
      <c r="CFI37" s="178"/>
      <c r="CFJ37" s="178"/>
      <c r="CFY37" s="178"/>
      <c r="CFZ37" s="178"/>
      <c r="CGO37" s="178"/>
      <c r="CGP37" s="178"/>
      <c r="CHE37" s="178"/>
      <c r="CHF37" s="178"/>
      <c r="CHU37" s="178"/>
      <c r="CHV37" s="178"/>
      <c r="CIK37" s="178"/>
      <c r="CIL37" s="178"/>
      <c r="CJA37" s="178"/>
      <c r="CJB37" s="178"/>
      <c r="CJQ37" s="178"/>
      <c r="CJR37" s="178"/>
      <c r="CKG37" s="178"/>
      <c r="CKH37" s="178"/>
      <c r="CKW37" s="178"/>
      <c r="CKX37" s="178"/>
      <c r="CLM37" s="178"/>
      <c r="CLN37" s="178"/>
      <c r="CMC37" s="178"/>
      <c r="CMD37" s="178"/>
      <c r="CMS37" s="178"/>
      <c r="CMT37" s="178"/>
      <c r="CNI37" s="178"/>
      <c r="CNJ37" s="178"/>
      <c r="CNY37" s="178"/>
      <c r="CNZ37" s="178"/>
      <c r="COO37" s="178"/>
      <c r="COP37" s="178"/>
      <c r="CPE37" s="178"/>
      <c r="CPF37" s="178"/>
      <c r="CPU37" s="178"/>
      <c r="CPV37" s="178"/>
      <c r="CQK37" s="178"/>
      <c r="CQL37" s="178"/>
      <c r="CRA37" s="178"/>
      <c r="CRB37" s="178"/>
      <c r="CRQ37" s="178"/>
      <c r="CRR37" s="178"/>
      <c r="CSG37" s="178"/>
      <c r="CSH37" s="178"/>
      <c r="CSW37" s="178"/>
      <c r="CSX37" s="178"/>
      <c r="CTM37" s="178"/>
      <c r="CTN37" s="178"/>
      <c r="CUC37" s="178"/>
      <c r="CUD37" s="178"/>
      <c r="CUS37" s="178"/>
      <c r="CUT37" s="178"/>
      <c r="CVI37" s="178"/>
      <c r="CVJ37" s="178"/>
      <c r="CVY37" s="178"/>
      <c r="CVZ37" s="178"/>
      <c r="CWO37" s="178"/>
      <c r="CWP37" s="178"/>
      <c r="CXE37" s="178"/>
      <c r="CXF37" s="178"/>
      <c r="CXU37" s="178"/>
      <c r="CXV37" s="178"/>
      <c r="CYK37" s="178"/>
      <c r="CYL37" s="178"/>
      <c r="CZA37" s="178"/>
      <c r="CZB37" s="178"/>
      <c r="CZQ37" s="178"/>
      <c r="CZR37" s="178"/>
      <c r="DAG37" s="178"/>
      <c r="DAH37" s="178"/>
      <c r="DAW37" s="178"/>
      <c r="DAX37" s="178"/>
      <c r="DBM37" s="178"/>
      <c r="DBN37" s="178"/>
      <c r="DCC37" s="178"/>
      <c r="DCD37" s="178"/>
      <c r="DCS37" s="178"/>
      <c r="DCT37" s="178"/>
      <c r="DDI37" s="178"/>
      <c r="DDJ37" s="178"/>
      <c r="DDY37" s="178"/>
      <c r="DDZ37" s="178"/>
      <c r="DEO37" s="178"/>
      <c r="DEP37" s="178"/>
      <c r="DFE37" s="178"/>
      <c r="DFF37" s="178"/>
      <c r="DFU37" s="178"/>
      <c r="DFV37" s="178"/>
      <c r="DGK37" s="178"/>
      <c r="DGL37" s="178"/>
      <c r="DHA37" s="178"/>
      <c r="DHB37" s="178"/>
      <c r="DHQ37" s="178"/>
      <c r="DHR37" s="178"/>
      <c r="DIG37" s="178"/>
      <c r="DIH37" s="178"/>
      <c r="DIW37" s="178"/>
      <c r="DIX37" s="178"/>
      <c r="DJM37" s="178"/>
      <c r="DJN37" s="178"/>
      <c r="DKC37" s="178"/>
      <c r="DKD37" s="178"/>
      <c r="DKS37" s="178"/>
      <c r="DKT37" s="178"/>
      <c r="DLI37" s="178"/>
      <c r="DLJ37" s="178"/>
      <c r="DLY37" s="178"/>
      <c r="DLZ37" s="178"/>
      <c r="DMO37" s="178"/>
      <c r="DMP37" s="178"/>
      <c r="DNE37" s="178"/>
      <c r="DNF37" s="178"/>
      <c r="DNU37" s="178"/>
      <c r="DNV37" s="178"/>
      <c r="DOK37" s="178"/>
      <c r="DOL37" s="178"/>
      <c r="DPA37" s="178"/>
      <c r="DPB37" s="178"/>
      <c r="DPQ37" s="178"/>
      <c r="DPR37" s="178"/>
      <c r="DQG37" s="178"/>
      <c r="DQH37" s="178"/>
      <c r="DQW37" s="178"/>
      <c r="DQX37" s="178"/>
      <c r="DRM37" s="178"/>
      <c r="DRN37" s="178"/>
      <c r="DSC37" s="178"/>
      <c r="DSD37" s="178"/>
      <c r="DSS37" s="178"/>
      <c r="DST37" s="178"/>
      <c r="DTI37" s="178"/>
      <c r="DTJ37" s="178"/>
      <c r="DTY37" s="178"/>
      <c r="DTZ37" s="178"/>
      <c r="DUO37" s="178"/>
      <c r="DUP37" s="178"/>
      <c r="DVE37" s="178"/>
      <c r="DVF37" s="178"/>
      <c r="DVU37" s="178"/>
      <c r="DVV37" s="178"/>
      <c r="DWK37" s="178"/>
      <c r="DWL37" s="178"/>
      <c r="DXA37" s="178"/>
      <c r="DXB37" s="178"/>
      <c r="DXQ37" s="178"/>
      <c r="DXR37" s="178"/>
      <c r="DYG37" s="178"/>
      <c r="DYH37" s="178"/>
      <c r="DYW37" s="178"/>
      <c r="DYX37" s="178"/>
      <c r="DZM37" s="178"/>
      <c r="DZN37" s="178"/>
      <c r="EAC37" s="178"/>
      <c r="EAD37" s="178"/>
      <c r="EAS37" s="178"/>
      <c r="EAT37" s="178"/>
      <c r="EBI37" s="178"/>
      <c r="EBJ37" s="178"/>
      <c r="EBY37" s="178"/>
      <c r="EBZ37" s="178"/>
      <c r="ECO37" s="178"/>
      <c r="ECP37" s="178"/>
      <c r="EDE37" s="178"/>
      <c r="EDF37" s="178"/>
      <c r="EDU37" s="178"/>
      <c r="EDV37" s="178"/>
      <c r="EEK37" s="178"/>
      <c r="EEL37" s="178"/>
      <c r="EFA37" s="178"/>
      <c r="EFB37" s="178"/>
      <c r="EFQ37" s="178"/>
      <c r="EFR37" s="178"/>
      <c r="EGG37" s="178"/>
      <c r="EGH37" s="178"/>
      <c r="EGW37" s="178"/>
      <c r="EGX37" s="178"/>
      <c r="EHM37" s="178"/>
      <c r="EHN37" s="178"/>
      <c r="EIC37" s="178"/>
      <c r="EID37" s="178"/>
      <c r="EIS37" s="178"/>
      <c r="EIT37" s="178"/>
      <c r="EJI37" s="178"/>
      <c r="EJJ37" s="178"/>
      <c r="EJY37" s="178"/>
      <c r="EJZ37" s="178"/>
      <c r="EKO37" s="178"/>
      <c r="EKP37" s="178"/>
      <c r="ELE37" s="178"/>
      <c r="ELF37" s="178"/>
      <c r="ELU37" s="178"/>
      <c r="ELV37" s="178"/>
      <c r="EMK37" s="178"/>
      <c r="EML37" s="178"/>
      <c r="ENA37" s="178"/>
      <c r="ENB37" s="178"/>
      <c r="ENQ37" s="178"/>
      <c r="ENR37" s="178"/>
      <c r="EOG37" s="178"/>
      <c r="EOH37" s="178"/>
      <c r="EOW37" s="178"/>
      <c r="EOX37" s="178"/>
      <c r="EPM37" s="178"/>
      <c r="EPN37" s="178"/>
      <c r="EQC37" s="178"/>
      <c r="EQD37" s="178"/>
      <c r="EQS37" s="178"/>
      <c r="EQT37" s="178"/>
      <c r="ERI37" s="178"/>
      <c r="ERJ37" s="178"/>
      <c r="ERY37" s="178"/>
      <c r="ERZ37" s="178"/>
      <c r="ESO37" s="178"/>
      <c r="ESP37" s="178"/>
      <c r="ETE37" s="178"/>
      <c r="ETF37" s="178"/>
      <c r="ETU37" s="178"/>
      <c r="ETV37" s="178"/>
      <c r="EUK37" s="178"/>
      <c r="EUL37" s="178"/>
      <c r="EVA37" s="178"/>
      <c r="EVB37" s="178"/>
      <c r="EVQ37" s="178"/>
      <c r="EVR37" s="178"/>
      <c r="EWG37" s="178"/>
      <c r="EWH37" s="178"/>
      <c r="EWW37" s="178"/>
      <c r="EWX37" s="178"/>
      <c r="EXM37" s="178"/>
      <c r="EXN37" s="178"/>
      <c r="EYC37" s="178"/>
      <c r="EYD37" s="178"/>
      <c r="EYS37" s="178"/>
      <c r="EYT37" s="178"/>
      <c r="EZI37" s="178"/>
      <c r="EZJ37" s="178"/>
      <c r="EZY37" s="178"/>
      <c r="EZZ37" s="178"/>
      <c r="FAO37" s="178"/>
      <c r="FAP37" s="178"/>
      <c r="FBE37" s="178"/>
      <c r="FBF37" s="178"/>
      <c r="FBU37" s="178"/>
      <c r="FBV37" s="178"/>
      <c r="FCK37" s="178"/>
      <c r="FCL37" s="178"/>
      <c r="FDA37" s="178"/>
      <c r="FDB37" s="178"/>
      <c r="FDQ37" s="178"/>
      <c r="FDR37" s="178"/>
      <c r="FEG37" s="178"/>
      <c r="FEH37" s="178"/>
      <c r="FEW37" s="178"/>
      <c r="FEX37" s="178"/>
      <c r="FFM37" s="178"/>
      <c r="FFN37" s="178"/>
      <c r="FGC37" s="178"/>
      <c r="FGD37" s="178"/>
      <c r="FGS37" s="178"/>
      <c r="FGT37" s="178"/>
      <c r="FHI37" s="178"/>
      <c r="FHJ37" s="178"/>
      <c r="FHY37" s="178"/>
      <c r="FHZ37" s="178"/>
      <c r="FIO37" s="178"/>
      <c r="FIP37" s="178"/>
      <c r="FJE37" s="178"/>
      <c r="FJF37" s="178"/>
      <c r="FJU37" s="178"/>
      <c r="FJV37" s="178"/>
      <c r="FKK37" s="178"/>
      <c r="FKL37" s="178"/>
      <c r="FLA37" s="178"/>
      <c r="FLB37" s="178"/>
      <c r="FLQ37" s="178"/>
      <c r="FLR37" s="178"/>
      <c r="FMG37" s="178"/>
      <c r="FMH37" s="178"/>
      <c r="FMW37" s="178"/>
      <c r="FMX37" s="178"/>
      <c r="FNM37" s="178"/>
      <c r="FNN37" s="178"/>
      <c r="FOC37" s="178"/>
      <c r="FOD37" s="178"/>
      <c r="FOS37" s="178"/>
      <c r="FOT37" s="178"/>
      <c r="FPI37" s="178"/>
      <c r="FPJ37" s="178"/>
      <c r="FPY37" s="178"/>
      <c r="FPZ37" s="178"/>
      <c r="FQO37" s="178"/>
      <c r="FQP37" s="178"/>
      <c r="FRE37" s="178"/>
      <c r="FRF37" s="178"/>
      <c r="FRU37" s="178"/>
      <c r="FRV37" s="178"/>
      <c r="FSK37" s="178"/>
      <c r="FSL37" s="178"/>
      <c r="FTA37" s="178"/>
      <c r="FTB37" s="178"/>
      <c r="FTQ37" s="178"/>
      <c r="FTR37" s="178"/>
      <c r="FUG37" s="178"/>
      <c r="FUH37" s="178"/>
      <c r="FUW37" s="178"/>
      <c r="FUX37" s="178"/>
      <c r="FVM37" s="178"/>
      <c r="FVN37" s="178"/>
      <c r="FWC37" s="178"/>
      <c r="FWD37" s="178"/>
      <c r="FWS37" s="178"/>
      <c r="FWT37" s="178"/>
      <c r="FXI37" s="178"/>
      <c r="FXJ37" s="178"/>
      <c r="FXY37" s="178"/>
      <c r="FXZ37" s="178"/>
      <c r="FYO37" s="178"/>
      <c r="FYP37" s="178"/>
      <c r="FZE37" s="178"/>
      <c r="FZF37" s="178"/>
      <c r="FZU37" s="178"/>
      <c r="FZV37" s="178"/>
      <c r="GAK37" s="178"/>
      <c r="GAL37" s="178"/>
      <c r="GBA37" s="178"/>
      <c r="GBB37" s="178"/>
      <c r="GBQ37" s="178"/>
      <c r="GBR37" s="178"/>
      <c r="GCG37" s="178"/>
      <c r="GCH37" s="178"/>
      <c r="GCW37" s="178"/>
      <c r="GCX37" s="178"/>
      <c r="GDM37" s="178"/>
      <c r="GDN37" s="178"/>
      <c r="GEC37" s="178"/>
      <c r="GED37" s="178"/>
      <c r="GES37" s="178"/>
      <c r="GET37" s="178"/>
      <c r="GFI37" s="178"/>
      <c r="GFJ37" s="178"/>
      <c r="GFY37" s="178"/>
      <c r="GFZ37" s="178"/>
      <c r="GGO37" s="178"/>
      <c r="GGP37" s="178"/>
      <c r="GHE37" s="178"/>
      <c r="GHF37" s="178"/>
      <c r="GHU37" s="178"/>
      <c r="GHV37" s="178"/>
      <c r="GIK37" s="178"/>
      <c r="GIL37" s="178"/>
      <c r="GJA37" s="178"/>
      <c r="GJB37" s="178"/>
      <c r="GJQ37" s="178"/>
      <c r="GJR37" s="178"/>
      <c r="GKG37" s="178"/>
      <c r="GKH37" s="178"/>
      <c r="GKW37" s="178"/>
      <c r="GKX37" s="178"/>
      <c r="GLM37" s="178"/>
      <c r="GLN37" s="178"/>
      <c r="GMC37" s="178"/>
      <c r="GMD37" s="178"/>
      <c r="GMS37" s="178"/>
      <c r="GMT37" s="178"/>
      <c r="GNI37" s="178"/>
      <c r="GNJ37" s="178"/>
      <c r="GNY37" s="178"/>
      <c r="GNZ37" s="178"/>
      <c r="GOO37" s="178"/>
      <c r="GOP37" s="178"/>
      <c r="GPE37" s="178"/>
      <c r="GPF37" s="178"/>
      <c r="GPU37" s="178"/>
      <c r="GPV37" s="178"/>
      <c r="GQK37" s="178"/>
      <c r="GQL37" s="178"/>
      <c r="GRA37" s="178"/>
      <c r="GRB37" s="178"/>
      <c r="GRQ37" s="178"/>
      <c r="GRR37" s="178"/>
      <c r="GSG37" s="178"/>
      <c r="GSH37" s="178"/>
      <c r="GSW37" s="178"/>
      <c r="GSX37" s="178"/>
      <c r="GTM37" s="178"/>
      <c r="GTN37" s="178"/>
      <c r="GUC37" s="178"/>
      <c r="GUD37" s="178"/>
      <c r="GUS37" s="178"/>
      <c r="GUT37" s="178"/>
      <c r="GVI37" s="178"/>
      <c r="GVJ37" s="178"/>
      <c r="GVY37" s="178"/>
      <c r="GVZ37" s="178"/>
      <c r="GWO37" s="178"/>
      <c r="GWP37" s="178"/>
      <c r="GXE37" s="178"/>
      <c r="GXF37" s="178"/>
      <c r="GXU37" s="178"/>
      <c r="GXV37" s="178"/>
      <c r="GYK37" s="178"/>
      <c r="GYL37" s="178"/>
      <c r="GZA37" s="178"/>
      <c r="GZB37" s="178"/>
      <c r="GZQ37" s="178"/>
      <c r="GZR37" s="178"/>
      <c r="HAG37" s="178"/>
      <c r="HAH37" s="178"/>
      <c r="HAW37" s="178"/>
      <c r="HAX37" s="178"/>
      <c r="HBM37" s="178"/>
      <c r="HBN37" s="178"/>
      <c r="HCC37" s="178"/>
      <c r="HCD37" s="178"/>
      <c r="HCS37" s="178"/>
      <c r="HCT37" s="178"/>
      <c r="HDI37" s="178"/>
      <c r="HDJ37" s="178"/>
      <c r="HDY37" s="178"/>
      <c r="HDZ37" s="178"/>
      <c r="HEO37" s="178"/>
      <c r="HEP37" s="178"/>
      <c r="HFE37" s="178"/>
      <c r="HFF37" s="178"/>
      <c r="HFU37" s="178"/>
      <c r="HFV37" s="178"/>
      <c r="HGK37" s="178"/>
      <c r="HGL37" s="178"/>
      <c r="HHA37" s="178"/>
      <c r="HHB37" s="178"/>
      <c r="HHQ37" s="178"/>
      <c r="HHR37" s="178"/>
      <c r="HIG37" s="178"/>
      <c r="HIH37" s="178"/>
      <c r="HIW37" s="178"/>
      <c r="HIX37" s="178"/>
      <c r="HJM37" s="178"/>
      <c r="HJN37" s="178"/>
      <c r="HKC37" s="178"/>
      <c r="HKD37" s="178"/>
      <c r="HKS37" s="178"/>
      <c r="HKT37" s="178"/>
      <c r="HLI37" s="178"/>
      <c r="HLJ37" s="178"/>
      <c r="HLY37" s="178"/>
      <c r="HLZ37" s="178"/>
      <c r="HMO37" s="178"/>
      <c r="HMP37" s="178"/>
      <c r="HNE37" s="178"/>
      <c r="HNF37" s="178"/>
      <c r="HNU37" s="178"/>
      <c r="HNV37" s="178"/>
      <c r="HOK37" s="178"/>
      <c r="HOL37" s="178"/>
      <c r="HPA37" s="178"/>
      <c r="HPB37" s="178"/>
      <c r="HPQ37" s="178"/>
      <c r="HPR37" s="178"/>
      <c r="HQG37" s="178"/>
      <c r="HQH37" s="178"/>
      <c r="HQW37" s="178"/>
      <c r="HQX37" s="178"/>
      <c r="HRM37" s="178"/>
      <c r="HRN37" s="178"/>
      <c r="HSC37" s="178"/>
      <c r="HSD37" s="178"/>
      <c r="HSS37" s="178"/>
      <c r="HST37" s="178"/>
      <c r="HTI37" s="178"/>
      <c r="HTJ37" s="178"/>
      <c r="HTY37" s="178"/>
      <c r="HTZ37" s="178"/>
      <c r="HUO37" s="178"/>
      <c r="HUP37" s="178"/>
      <c r="HVE37" s="178"/>
      <c r="HVF37" s="178"/>
      <c r="HVU37" s="178"/>
      <c r="HVV37" s="178"/>
      <c r="HWK37" s="178"/>
      <c r="HWL37" s="178"/>
      <c r="HXA37" s="178"/>
      <c r="HXB37" s="178"/>
      <c r="HXQ37" s="178"/>
      <c r="HXR37" s="178"/>
      <c r="HYG37" s="178"/>
      <c r="HYH37" s="178"/>
      <c r="HYW37" s="178"/>
      <c r="HYX37" s="178"/>
      <c r="HZM37" s="178"/>
      <c r="HZN37" s="178"/>
      <c r="IAC37" s="178"/>
      <c r="IAD37" s="178"/>
      <c r="IAS37" s="178"/>
      <c r="IAT37" s="178"/>
      <c r="IBI37" s="178"/>
      <c r="IBJ37" s="178"/>
      <c r="IBY37" s="178"/>
      <c r="IBZ37" s="178"/>
      <c r="ICO37" s="178"/>
      <c r="ICP37" s="178"/>
      <c r="IDE37" s="178"/>
      <c r="IDF37" s="178"/>
      <c r="IDU37" s="178"/>
      <c r="IDV37" s="178"/>
      <c r="IEK37" s="178"/>
      <c r="IEL37" s="178"/>
      <c r="IFA37" s="178"/>
      <c r="IFB37" s="178"/>
      <c r="IFQ37" s="178"/>
      <c r="IFR37" s="178"/>
      <c r="IGG37" s="178"/>
      <c r="IGH37" s="178"/>
      <c r="IGW37" s="178"/>
      <c r="IGX37" s="178"/>
      <c r="IHM37" s="178"/>
      <c r="IHN37" s="178"/>
      <c r="IIC37" s="178"/>
      <c r="IID37" s="178"/>
      <c r="IIS37" s="178"/>
      <c r="IIT37" s="178"/>
      <c r="IJI37" s="178"/>
      <c r="IJJ37" s="178"/>
      <c r="IJY37" s="178"/>
      <c r="IJZ37" s="178"/>
      <c r="IKO37" s="178"/>
      <c r="IKP37" s="178"/>
      <c r="ILE37" s="178"/>
      <c r="ILF37" s="178"/>
      <c r="ILU37" s="178"/>
      <c r="ILV37" s="178"/>
      <c r="IMK37" s="178"/>
      <c r="IML37" s="178"/>
      <c r="INA37" s="178"/>
      <c r="INB37" s="178"/>
      <c r="INQ37" s="178"/>
      <c r="INR37" s="178"/>
      <c r="IOG37" s="178"/>
      <c r="IOH37" s="178"/>
      <c r="IOW37" s="178"/>
      <c r="IOX37" s="178"/>
      <c r="IPM37" s="178"/>
      <c r="IPN37" s="178"/>
      <c r="IQC37" s="178"/>
      <c r="IQD37" s="178"/>
      <c r="IQS37" s="178"/>
      <c r="IQT37" s="178"/>
      <c r="IRI37" s="178"/>
      <c r="IRJ37" s="178"/>
      <c r="IRY37" s="178"/>
      <c r="IRZ37" s="178"/>
      <c r="ISO37" s="178"/>
      <c r="ISP37" s="178"/>
      <c r="ITE37" s="178"/>
      <c r="ITF37" s="178"/>
      <c r="ITU37" s="178"/>
      <c r="ITV37" s="178"/>
      <c r="IUK37" s="178"/>
      <c r="IUL37" s="178"/>
      <c r="IVA37" s="178"/>
      <c r="IVB37" s="178"/>
      <c r="IVQ37" s="178"/>
      <c r="IVR37" s="178"/>
      <c r="IWG37" s="178"/>
      <c r="IWH37" s="178"/>
      <c r="IWW37" s="178"/>
      <c r="IWX37" s="178"/>
      <c r="IXM37" s="178"/>
      <c r="IXN37" s="178"/>
      <c r="IYC37" s="178"/>
      <c r="IYD37" s="178"/>
      <c r="IYS37" s="178"/>
      <c r="IYT37" s="178"/>
      <c r="IZI37" s="178"/>
      <c r="IZJ37" s="178"/>
      <c r="IZY37" s="178"/>
      <c r="IZZ37" s="178"/>
      <c r="JAO37" s="178"/>
      <c r="JAP37" s="178"/>
      <c r="JBE37" s="178"/>
      <c r="JBF37" s="178"/>
      <c r="JBU37" s="178"/>
      <c r="JBV37" s="178"/>
      <c r="JCK37" s="178"/>
      <c r="JCL37" s="178"/>
      <c r="JDA37" s="178"/>
      <c r="JDB37" s="178"/>
      <c r="JDQ37" s="178"/>
      <c r="JDR37" s="178"/>
      <c r="JEG37" s="178"/>
      <c r="JEH37" s="178"/>
      <c r="JEW37" s="178"/>
      <c r="JEX37" s="178"/>
      <c r="JFM37" s="178"/>
      <c r="JFN37" s="178"/>
      <c r="JGC37" s="178"/>
      <c r="JGD37" s="178"/>
      <c r="JGS37" s="178"/>
      <c r="JGT37" s="178"/>
      <c r="JHI37" s="178"/>
      <c r="JHJ37" s="178"/>
      <c r="JHY37" s="178"/>
      <c r="JHZ37" s="178"/>
      <c r="JIO37" s="178"/>
      <c r="JIP37" s="178"/>
      <c r="JJE37" s="178"/>
      <c r="JJF37" s="178"/>
      <c r="JJU37" s="178"/>
      <c r="JJV37" s="178"/>
      <c r="JKK37" s="178"/>
      <c r="JKL37" s="178"/>
      <c r="JLA37" s="178"/>
      <c r="JLB37" s="178"/>
      <c r="JLQ37" s="178"/>
      <c r="JLR37" s="178"/>
      <c r="JMG37" s="178"/>
      <c r="JMH37" s="178"/>
      <c r="JMW37" s="178"/>
      <c r="JMX37" s="178"/>
      <c r="JNM37" s="178"/>
      <c r="JNN37" s="178"/>
      <c r="JOC37" s="178"/>
      <c r="JOD37" s="178"/>
      <c r="JOS37" s="178"/>
      <c r="JOT37" s="178"/>
      <c r="JPI37" s="178"/>
      <c r="JPJ37" s="178"/>
      <c r="JPY37" s="178"/>
      <c r="JPZ37" s="178"/>
      <c r="JQO37" s="178"/>
      <c r="JQP37" s="178"/>
      <c r="JRE37" s="178"/>
      <c r="JRF37" s="178"/>
      <c r="JRU37" s="178"/>
      <c r="JRV37" s="178"/>
      <c r="JSK37" s="178"/>
      <c r="JSL37" s="178"/>
      <c r="JTA37" s="178"/>
      <c r="JTB37" s="178"/>
      <c r="JTQ37" s="178"/>
      <c r="JTR37" s="178"/>
      <c r="JUG37" s="178"/>
      <c r="JUH37" s="178"/>
      <c r="JUW37" s="178"/>
      <c r="JUX37" s="178"/>
      <c r="JVM37" s="178"/>
      <c r="JVN37" s="178"/>
      <c r="JWC37" s="178"/>
      <c r="JWD37" s="178"/>
      <c r="JWS37" s="178"/>
      <c r="JWT37" s="178"/>
      <c r="JXI37" s="178"/>
      <c r="JXJ37" s="178"/>
      <c r="JXY37" s="178"/>
      <c r="JXZ37" s="178"/>
      <c r="JYO37" s="178"/>
      <c r="JYP37" s="178"/>
      <c r="JZE37" s="178"/>
      <c r="JZF37" s="178"/>
      <c r="JZU37" s="178"/>
      <c r="JZV37" s="178"/>
      <c r="KAK37" s="178"/>
      <c r="KAL37" s="178"/>
      <c r="KBA37" s="178"/>
      <c r="KBB37" s="178"/>
      <c r="KBQ37" s="178"/>
      <c r="KBR37" s="178"/>
      <c r="KCG37" s="178"/>
      <c r="KCH37" s="178"/>
      <c r="KCW37" s="178"/>
      <c r="KCX37" s="178"/>
      <c r="KDM37" s="178"/>
      <c r="KDN37" s="178"/>
      <c r="KEC37" s="178"/>
      <c r="KED37" s="178"/>
      <c r="KES37" s="178"/>
      <c r="KET37" s="178"/>
      <c r="KFI37" s="178"/>
      <c r="KFJ37" s="178"/>
      <c r="KFY37" s="178"/>
      <c r="KFZ37" s="178"/>
      <c r="KGO37" s="178"/>
      <c r="KGP37" s="178"/>
      <c r="KHE37" s="178"/>
      <c r="KHF37" s="178"/>
      <c r="KHU37" s="178"/>
      <c r="KHV37" s="178"/>
      <c r="KIK37" s="178"/>
      <c r="KIL37" s="178"/>
      <c r="KJA37" s="178"/>
      <c r="KJB37" s="178"/>
      <c r="KJQ37" s="178"/>
      <c r="KJR37" s="178"/>
      <c r="KKG37" s="178"/>
      <c r="KKH37" s="178"/>
      <c r="KKW37" s="178"/>
      <c r="KKX37" s="178"/>
      <c r="KLM37" s="178"/>
      <c r="KLN37" s="178"/>
      <c r="KMC37" s="178"/>
      <c r="KMD37" s="178"/>
      <c r="KMS37" s="178"/>
      <c r="KMT37" s="178"/>
      <c r="KNI37" s="178"/>
      <c r="KNJ37" s="178"/>
      <c r="KNY37" s="178"/>
      <c r="KNZ37" s="178"/>
      <c r="KOO37" s="178"/>
      <c r="KOP37" s="178"/>
      <c r="KPE37" s="178"/>
      <c r="KPF37" s="178"/>
      <c r="KPU37" s="178"/>
      <c r="KPV37" s="178"/>
      <c r="KQK37" s="178"/>
      <c r="KQL37" s="178"/>
      <c r="KRA37" s="178"/>
      <c r="KRB37" s="178"/>
      <c r="KRQ37" s="178"/>
      <c r="KRR37" s="178"/>
      <c r="KSG37" s="178"/>
      <c r="KSH37" s="178"/>
      <c r="KSW37" s="178"/>
      <c r="KSX37" s="178"/>
      <c r="KTM37" s="178"/>
      <c r="KTN37" s="178"/>
      <c r="KUC37" s="178"/>
      <c r="KUD37" s="178"/>
      <c r="KUS37" s="178"/>
      <c r="KUT37" s="178"/>
      <c r="KVI37" s="178"/>
      <c r="KVJ37" s="178"/>
      <c r="KVY37" s="178"/>
      <c r="KVZ37" s="178"/>
      <c r="KWO37" s="178"/>
      <c r="KWP37" s="178"/>
      <c r="KXE37" s="178"/>
      <c r="KXF37" s="178"/>
      <c r="KXU37" s="178"/>
      <c r="KXV37" s="178"/>
      <c r="KYK37" s="178"/>
      <c r="KYL37" s="178"/>
      <c r="KZA37" s="178"/>
      <c r="KZB37" s="178"/>
      <c r="KZQ37" s="178"/>
      <c r="KZR37" s="178"/>
      <c r="LAG37" s="178"/>
      <c r="LAH37" s="178"/>
      <c r="LAW37" s="178"/>
      <c r="LAX37" s="178"/>
      <c r="LBM37" s="178"/>
      <c r="LBN37" s="178"/>
      <c r="LCC37" s="178"/>
      <c r="LCD37" s="178"/>
      <c r="LCS37" s="178"/>
      <c r="LCT37" s="178"/>
      <c r="LDI37" s="178"/>
      <c r="LDJ37" s="178"/>
      <c r="LDY37" s="178"/>
      <c r="LDZ37" s="178"/>
      <c r="LEO37" s="178"/>
      <c r="LEP37" s="178"/>
      <c r="LFE37" s="178"/>
      <c r="LFF37" s="178"/>
      <c r="LFU37" s="178"/>
      <c r="LFV37" s="178"/>
      <c r="LGK37" s="178"/>
      <c r="LGL37" s="178"/>
      <c r="LHA37" s="178"/>
      <c r="LHB37" s="178"/>
      <c r="LHQ37" s="178"/>
      <c r="LHR37" s="178"/>
      <c r="LIG37" s="178"/>
      <c r="LIH37" s="178"/>
      <c r="LIW37" s="178"/>
      <c r="LIX37" s="178"/>
      <c r="LJM37" s="178"/>
      <c r="LJN37" s="178"/>
      <c r="LKC37" s="178"/>
      <c r="LKD37" s="178"/>
      <c r="LKS37" s="178"/>
      <c r="LKT37" s="178"/>
      <c r="LLI37" s="178"/>
      <c r="LLJ37" s="178"/>
      <c r="LLY37" s="178"/>
      <c r="LLZ37" s="178"/>
      <c r="LMO37" s="178"/>
      <c r="LMP37" s="178"/>
      <c r="LNE37" s="178"/>
      <c r="LNF37" s="178"/>
      <c r="LNU37" s="178"/>
      <c r="LNV37" s="178"/>
      <c r="LOK37" s="178"/>
      <c r="LOL37" s="178"/>
      <c r="LPA37" s="178"/>
      <c r="LPB37" s="178"/>
      <c r="LPQ37" s="178"/>
      <c r="LPR37" s="178"/>
      <c r="LQG37" s="178"/>
      <c r="LQH37" s="178"/>
      <c r="LQW37" s="178"/>
      <c r="LQX37" s="178"/>
      <c r="LRM37" s="178"/>
      <c r="LRN37" s="178"/>
      <c r="LSC37" s="178"/>
      <c r="LSD37" s="178"/>
      <c r="LSS37" s="178"/>
      <c r="LST37" s="178"/>
      <c r="LTI37" s="178"/>
      <c r="LTJ37" s="178"/>
      <c r="LTY37" s="178"/>
      <c r="LTZ37" s="178"/>
      <c r="LUO37" s="178"/>
      <c r="LUP37" s="178"/>
      <c r="LVE37" s="178"/>
      <c r="LVF37" s="178"/>
      <c r="LVU37" s="178"/>
      <c r="LVV37" s="178"/>
      <c r="LWK37" s="178"/>
      <c r="LWL37" s="178"/>
      <c r="LXA37" s="178"/>
      <c r="LXB37" s="178"/>
      <c r="LXQ37" s="178"/>
      <c r="LXR37" s="178"/>
      <c r="LYG37" s="178"/>
      <c r="LYH37" s="178"/>
      <c r="LYW37" s="178"/>
      <c r="LYX37" s="178"/>
      <c r="LZM37" s="178"/>
      <c r="LZN37" s="178"/>
      <c r="MAC37" s="178"/>
      <c r="MAD37" s="178"/>
      <c r="MAS37" s="178"/>
      <c r="MAT37" s="178"/>
      <c r="MBI37" s="178"/>
      <c r="MBJ37" s="178"/>
      <c r="MBY37" s="178"/>
      <c r="MBZ37" s="178"/>
      <c r="MCO37" s="178"/>
      <c r="MCP37" s="178"/>
      <c r="MDE37" s="178"/>
      <c r="MDF37" s="178"/>
      <c r="MDU37" s="178"/>
      <c r="MDV37" s="178"/>
      <c r="MEK37" s="178"/>
      <c r="MEL37" s="178"/>
      <c r="MFA37" s="178"/>
      <c r="MFB37" s="178"/>
      <c r="MFQ37" s="178"/>
      <c r="MFR37" s="178"/>
      <c r="MGG37" s="178"/>
      <c r="MGH37" s="178"/>
      <c r="MGW37" s="178"/>
      <c r="MGX37" s="178"/>
      <c r="MHM37" s="178"/>
      <c r="MHN37" s="178"/>
      <c r="MIC37" s="178"/>
      <c r="MID37" s="178"/>
      <c r="MIS37" s="178"/>
      <c r="MIT37" s="178"/>
      <c r="MJI37" s="178"/>
      <c r="MJJ37" s="178"/>
      <c r="MJY37" s="178"/>
      <c r="MJZ37" s="178"/>
      <c r="MKO37" s="178"/>
      <c r="MKP37" s="178"/>
      <c r="MLE37" s="178"/>
      <c r="MLF37" s="178"/>
      <c r="MLU37" s="178"/>
      <c r="MLV37" s="178"/>
      <c r="MMK37" s="178"/>
      <c r="MML37" s="178"/>
      <c r="MNA37" s="178"/>
      <c r="MNB37" s="178"/>
      <c r="MNQ37" s="178"/>
      <c r="MNR37" s="178"/>
      <c r="MOG37" s="178"/>
      <c r="MOH37" s="178"/>
      <c r="MOW37" s="178"/>
      <c r="MOX37" s="178"/>
      <c r="MPM37" s="178"/>
      <c r="MPN37" s="178"/>
      <c r="MQC37" s="178"/>
      <c r="MQD37" s="178"/>
      <c r="MQS37" s="178"/>
      <c r="MQT37" s="178"/>
      <c r="MRI37" s="178"/>
      <c r="MRJ37" s="178"/>
      <c r="MRY37" s="178"/>
      <c r="MRZ37" s="178"/>
      <c r="MSO37" s="178"/>
      <c r="MSP37" s="178"/>
      <c r="MTE37" s="178"/>
      <c r="MTF37" s="178"/>
      <c r="MTU37" s="178"/>
      <c r="MTV37" s="178"/>
      <c r="MUK37" s="178"/>
      <c r="MUL37" s="178"/>
      <c r="MVA37" s="178"/>
      <c r="MVB37" s="178"/>
      <c r="MVQ37" s="178"/>
      <c r="MVR37" s="178"/>
      <c r="MWG37" s="178"/>
      <c r="MWH37" s="178"/>
      <c r="MWW37" s="178"/>
      <c r="MWX37" s="178"/>
      <c r="MXM37" s="178"/>
      <c r="MXN37" s="178"/>
      <c r="MYC37" s="178"/>
      <c r="MYD37" s="178"/>
      <c r="MYS37" s="178"/>
      <c r="MYT37" s="178"/>
      <c r="MZI37" s="178"/>
      <c r="MZJ37" s="178"/>
      <c r="MZY37" s="178"/>
      <c r="MZZ37" s="178"/>
      <c r="NAO37" s="178"/>
      <c r="NAP37" s="178"/>
      <c r="NBE37" s="178"/>
      <c r="NBF37" s="178"/>
      <c r="NBU37" s="178"/>
      <c r="NBV37" s="178"/>
      <c r="NCK37" s="178"/>
      <c r="NCL37" s="178"/>
      <c r="NDA37" s="178"/>
      <c r="NDB37" s="178"/>
      <c r="NDQ37" s="178"/>
      <c r="NDR37" s="178"/>
      <c r="NEG37" s="178"/>
      <c r="NEH37" s="178"/>
      <c r="NEW37" s="178"/>
      <c r="NEX37" s="178"/>
      <c r="NFM37" s="178"/>
      <c r="NFN37" s="178"/>
      <c r="NGC37" s="178"/>
      <c r="NGD37" s="178"/>
      <c r="NGS37" s="178"/>
      <c r="NGT37" s="178"/>
      <c r="NHI37" s="178"/>
      <c r="NHJ37" s="178"/>
      <c r="NHY37" s="178"/>
      <c r="NHZ37" s="178"/>
      <c r="NIO37" s="178"/>
      <c r="NIP37" s="178"/>
      <c r="NJE37" s="178"/>
      <c r="NJF37" s="178"/>
      <c r="NJU37" s="178"/>
      <c r="NJV37" s="178"/>
      <c r="NKK37" s="178"/>
      <c r="NKL37" s="178"/>
      <c r="NLA37" s="178"/>
      <c r="NLB37" s="178"/>
      <c r="NLQ37" s="178"/>
      <c r="NLR37" s="178"/>
      <c r="NMG37" s="178"/>
      <c r="NMH37" s="178"/>
      <c r="NMW37" s="178"/>
      <c r="NMX37" s="178"/>
      <c r="NNM37" s="178"/>
      <c r="NNN37" s="178"/>
      <c r="NOC37" s="178"/>
      <c r="NOD37" s="178"/>
      <c r="NOS37" s="178"/>
      <c r="NOT37" s="178"/>
      <c r="NPI37" s="178"/>
      <c r="NPJ37" s="178"/>
      <c r="NPY37" s="178"/>
      <c r="NPZ37" s="178"/>
      <c r="NQO37" s="178"/>
      <c r="NQP37" s="178"/>
      <c r="NRE37" s="178"/>
      <c r="NRF37" s="178"/>
      <c r="NRU37" s="178"/>
      <c r="NRV37" s="178"/>
      <c r="NSK37" s="178"/>
      <c r="NSL37" s="178"/>
      <c r="NTA37" s="178"/>
      <c r="NTB37" s="178"/>
      <c r="NTQ37" s="178"/>
      <c r="NTR37" s="178"/>
      <c r="NUG37" s="178"/>
      <c r="NUH37" s="178"/>
      <c r="NUW37" s="178"/>
      <c r="NUX37" s="178"/>
      <c r="NVM37" s="178"/>
      <c r="NVN37" s="178"/>
      <c r="NWC37" s="178"/>
      <c r="NWD37" s="178"/>
      <c r="NWS37" s="178"/>
      <c r="NWT37" s="178"/>
      <c r="NXI37" s="178"/>
      <c r="NXJ37" s="178"/>
      <c r="NXY37" s="178"/>
      <c r="NXZ37" s="178"/>
      <c r="NYO37" s="178"/>
      <c r="NYP37" s="178"/>
      <c r="NZE37" s="178"/>
      <c r="NZF37" s="178"/>
      <c r="NZU37" s="178"/>
      <c r="NZV37" s="178"/>
      <c r="OAK37" s="178"/>
      <c r="OAL37" s="178"/>
      <c r="OBA37" s="178"/>
      <c r="OBB37" s="178"/>
      <c r="OBQ37" s="178"/>
      <c r="OBR37" s="178"/>
      <c r="OCG37" s="178"/>
      <c r="OCH37" s="178"/>
      <c r="OCW37" s="178"/>
      <c r="OCX37" s="178"/>
      <c r="ODM37" s="178"/>
      <c r="ODN37" s="178"/>
      <c r="OEC37" s="178"/>
      <c r="OED37" s="178"/>
      <c r="OES37" s="178"/>
      <c r="OET37" s="178"/>
      <c r="OFI37" s="178"/>
      <c r="OFJ37" s="178"/>
      <c r="OFY37" s="178"/>
      <c r="OFZ37" s="178"/>
      <c r="OGO37" s="178"/>
      <c r="OGP37" s="178"/>
      <c r="OHE37" s="178"/>
      <c r="OHF37" s="178"/>
      <c r="OHU37" s="178"/>
      <c r="OHV37" s="178"/>
      <c r="OIK37" s="178"/>
      <c r="OIL37" s="178"/>
      <c r="OJA37" s="178"/>
      <c r="OJB37" s="178"/>
      <c r="OJQ37" s="178"/>
      <c r="OJR37" s="178"/>
      <c r="OKG37" s="178"/>
      <c r="OKH37" s="178"/>
      <c r="OKW37" s="178"/>
      <c r="OKX37" s="178"/>
      <c r="OLM37" s="178"/>
      <c r="OLN37" s="178"/>
      <c r="OMC37" s="178"/>
      <c r="OMD37" s="178"/>
      <c r="OMS37" s="178"/>
      <c r="OMT37" s="178"/>
      <c r="ONI37" s="178"/>
      <c r="ONJ37" s="178"/>
      <c r="ONY37" s="178"/>
      <c r="ONZ37" s="178"/>
      <c r="OOO37" s="178"/>
      <c r="OOP37" s="178"/>
      <c r="OPE37" s="178"/>
      <c r="OPF37" s="178"/>
      <c r="OPU37" s="178"/>
      <c r="OPV37" s="178"/>
      <c r="OQK37" s="178"/>
      <c r="OQL37" s="178"/>
      <c r="ORA37" s="178"/>
      <c r="ORB37" s="178"/>
      <c r="ORQ37" s="178"/>
      <c r="ORR37" s="178"/>
      <c r="OSG37" s="178"/>
      <c r="OSH37" s="178"/>
      <c r="OSW37" s="178"/>
      <c r="OSX37" s="178"/>
      <c r="OTM37" s="178"/>
      <c r="OTN37" s="178"/>
      <c r="OUC37" s="178"/>
      <c r="OUD37" s="178"/>
      <c r="OUS37" s="178"/>
      <c r="OUT37" s="178"/>
      <c r="OVI37" s="178"/>
      <c r="OVJ37" s="178"/>
      <c r="OVY37" s="178"/>
      <c r="OVZ37" s="178"/>
      <c r="OWO37" s="178"/>
      <c r="OWP37" s="178"/>
      <c r="OXE37" s="178"/>
      <c r="OXF37" s="178"/>
      <c r="OXU37" s="178"/>
      <c r="OXV37" s="178"/>
      <c r="OYK37" s="178"/>
      <c r="OYL37" s="178"/>
      <c r="OZA37" s="178"/>
      <c r="OZB37" s="178"/>
      <c r="OZQ37" s="178"/>
      <c r="OZR37" s="178"/>
      <c r="PAG37" s="178"/>
      <c r="PAH37" s="178"/>
      <c r="PAW37" s="178"/>
      <c r="PAX37" s="178"/>
      <c r="PBM37" s="178"/>
      <c r="PBN37" s="178"/>
      <c r="PCC37" s="178"/>
      <c r="PCD37" s="178"/>
      <c r="PCS37" s="178"/>
      <c r="PCT37" s="178"/>
      <c r="PDI37" s="178"/>
      <c r="PDJ37" s="178"/>
      <c r="PDY37" s="178"/>
      <c r="PDZ37" s="178"/>
      <c r="PEO37" s="178"/>
      <c r="PEP37" s="178"/>
      <c r="PFE37" s="178"/>
      <c r="PFF37" s="178"/>
      <c r="PFU37" s="178"/>
      <c r="PFV37" s="178"/>
      <c r="PGK37" s="178"/>
      <c r="PGL37" s="178"/>
      <c r="PHA37" s="178"/>
      <c r="PHB37" s="178"/>
      <c r="PHQ37" s="178"/>
      <c r="PHR37" s="178"/>
      <c r="PIG37" s="178"/>
      <c r="PIH37" s="178"/>
      <c r="PIW37" s="178"/>
      <c r="PIX37" s="178"/>
      <c r="PJM37" s="178"/>
      <c r="PJN37" s="178"/>
      <c r="PKC37" s="178"/>
      <c r="PKD37" s="178"/>
      <c r="PKS37" s="178"/>
      <c r="PKT37" s="178"/>
      <c r="PLI37" s="178"/>
      <c r="PLJ37" s="178"/>
      <c r="PLY37" s="178"/>
      <c r="PLZ37" s="178"/>
      <c r="PMO37" s="178"/>
      <c r="PMP37" s="178"/>
      <c r="PNE37" s="178"/>
      <c r="PNF37" s="178"/>
      <c r="PNU37" s="178"/>
      <c r="PNV37" s="178"/>
      <c r="POK37" s="178"/>
      <c r="POL37" s="178"/>
      <c r="PPA37" s="178"/>
      <c r="PPB37" s="178"/>
      <c r="PPQ37" s="178"/>
      <c r="PPR37" s="178"/>
      <c r="PQG37" s="178"/>
      <c r="PQH37" s="178"/>
      <c r="PQW37" s="178"/>
      <c r="PQX37" s="178"/>
      <c r="PRM37" s="178"/>
      <c r="PRN37" s="178"/>
      <c r="PSC37" s="178"/>
      <c r="PSD37" s="178"/>
      <c r="PSS37" s="178"/>
      <c r="PST37" s="178"/>
      <c r="PTI37" s="178"/>
      <c r="PTJ37" s="178"/>
      <c r="PTY37" s="178"/>
      <c r="PTZ37" s="178"/>
      <c r="PUO37" s="178"/>
      <c r="PUP37" s="178"/>
      <c r="PVE37" s="178"/>
      <c r="PVF37" s="178"/>
      <c r="PVU37" s="178"/>
      <c r="PVV37" s="178"/>
      <c r="PWK37" s="178"/>
      <c r="PWL37" s="178"/>
      <c r="PXA37" s="178"/>
      <c r="PXB37" s="178"/>
      <c r="PXQ37" s="178"/>
      <c r="PXR37" s="178"/>
      <c r="PYG37" s="178"/>
      <c r="PYH37" s="178"/>
      <c r="PYW37" s="178"/>
      <c r="PYX37" s="178"/>
      <c r="PZM37" s="178"/>
      <c r="PZN37" s="178"/>
      <c r="QAC37" s="178"/>
      <c r="QAD37" s="178"/>
      <c r="QAS37" s="178"/>
      <c r="QAT37" s="178"/>
      <c r="QBI37" s="178"/>
      <c r="QBJ37" s="178"/>
      <c r="QBY37" s="178"/>
      <c r="QBZ37" s="178"/>
      <c r="QCO37" s="178"/>
      <c r="QCP37" s="178"/>
      <c r="QDE37" s="178"/>
      <c r="QDF37" s="178"/>
      <c r="QDU37" s="178"/>
      <c r="QDV37" s="178"/>
      <c r="QEK37" s="178"/>
      <c r="QEL37" s="178"/>
      <c r="QFA37" s="178"/>
      <c r="QFB37" s="178"/>
      <c r="QFQ37" s="178"/>
      <c r="QFR37" s="178"/>
      <c r="QGG37" s="178"/>
      <c r="QGH37" s="178"/>
      <c r="QGW37" s="178"/>
      <c r="QGX37" s="178"/>
      <c r="QHM37" s="178"/>
      <c r="QHN37" s="178"/>
      <c r="QIC37" s="178"/>
      <c r="QID37" s="178"/>
      <c r="QIS37" s="178"/>
      <c r="QIT37" s="178"/>
      <c r="QJI37" s="178"/>
      <c r="QJJ37" s="178"/>
      <c r="QJY37" s="178"/>
      <c r="QJZ37" s="178"/>
      <c r="QKO37" s="178"/>
      <c r="QKP37" s="178"/>
      <c r="QLE37" s="178"/>
      <c r="QLF37" s="178"/>
      <c r="QLU37" s="178"/>
      <c r="QLV37" s="178"/>
      <c r="QMK37" s="178"/>
      <c r="QML37" s="178"/>
      <c r="QNA37" s="178"/>
      <c r="QNB37" s="178"/>
      <c r="QNQ37" s="178"/>
      <c r="QNR37" s="178"/>
      <c r="QOG37" s="178"/>
      <c r="QOH37" s="178"/>
      <c r="QOW37" s="178"/>
      <c r="QOX37" s="178"/>
      <c r="QPM37" s="178"/>
      <c r="QPN37" s="178"/>
      <c r="QQC37" s="178"/>
      <c r="QQD37" s="178"/>
      <c r="QQS37" s="178"/>
      <c r="QQT37" s="178"/>
      <c r="QRI37" s="178"/>
      <c r="QRJ37" s="178"/>
      <c r="QRY37" s="178"/>
      <c r="QRZ37" s="178"/>
      <c r="QSO37" s="178"/>
      <c r="QSP37" s="178"/>
      <c r="QTE37" s="178"/>
      <c r="QTF37" s="178"/>
      <c r="QTU37" s="178"/>
      <c r="QTV37" s="178"/>
      <c r="QUK37" s="178"/>
      <c r="QUL37" s="178"/>
      <c r="QVA37" s="178"/>
      <c r="QVB37" s="178"/>
      <c r="QVQ37" s="178"/>
      <c r="QVR37" s="178"/>
      <c r="QWG37" s="178"/>
      <c r="QWH37" s="178"/>
      <c r="QWW37" s="178"/>
      <c r="QWX37" s="178"/>
      <c r="QXM37" s="178"/>
      <c r="QXN37" s="178"/>
      <c r="QYC37" s="178"/>
      <c r="QYD37" s="178"/>
      <c r="QYS37" s="178"/>
      <c r="QYT37" s="178"/>
      <c r="QZI37" s="178"/>
      <c r="QZJ37" s="178"/>
      <c r="QZY37" s="178"/>
      <c r="QZZ37" s="178"/>
      <c r="RAO37" s="178"/>
      <c r="RAP37" s="178"/>
      <c r="RBE37" s="178"/>
      <c r="RBF37" s="178"/>
      <c r="RBU37" s="178"/>
      <c r="RBV37" s="178"/>
      <c r="RCK37" s="178"/>
      <c r="RCL37" s="178"/>
      <c r="RDA37" s="178"/>
      <c r="RDB37" s="178"/>
      <c r="RDQ37" s="178"/>
      <c r="RDR37" s="178"/>
      <c r="REG37" s="178"/>
      <c r="REH37" s="178"/>
      <c r="REW37" s="178"/>
      <c r="REX37" s="178"/>
      <c r="RFM37" s="178"/>
      <c r="RFN37" s="178"/>
      <c r="RGC37" s="178"/>
      <c r="RGD37" s="178"/>
      <c r="RGS37" s="178"/>
      <c r="RGT37" s="178"/>
      <c r="RHI37" s="178"/>
      <c r="RHJ37" s="178"/>
      <c r="RHY37" s="178"/>
      <c r="RHZ37" s="178"/>
      <c r="RIO37" s="178"/>
      <c r="RIP37" s="178"/>
      <c r="RJE37" s="178"/>
      <c r="RJF37" s="178"/>
      <c r="RJU37" s="178"/>
      <c r="RJV37" s="178"/>
      <c r="RKK37" s="178"/>
      <c r="RKL37" s="178"/>
      <c r="RLA37" s="178"/>
      <c r="RLB37" s="178"/>
      <c r="RLQ37" s="178"/>
      <c r="RLR37" s="178"/>
      <c r="RMG37" s="178"/>
      <c r="RMH37" s="178"/>
      <c r="RMW37" s="178"/>
      <c r="RMX37" s="178"/>
      <c r="RNM37" s="178"/>
      <c r="RNN37" s="178"/>
      <c r="ROC37" s="178"/>
      <c r="ROD37" s="178"/>
      <c r="ROS37" s="178"/>
      <c r="ROT37" s="178"/>
      <c r="RPI37" s="178"/>
      <c r="RPJ37" s="178"/>
      <c r="RPY37" s="178"/>
      <c r="RPZ37" s="178"/>
      <c r="RQO37" s="178"/>
      <c r="RQP37" s="178"/>
      <c r="RRE37" s="178"/>
      <c r="RRF37" s="178"/>
      <c r="RRU37" s="178"/>
      <c r="RRV37" s="178"/>
      <c r="RSK37" s="178"/>
      <c r="RSL37" s="178"/>
      <c r="RTA37" s="178"/>
      <c r="RTB37" s="178"/>
      <c r="RTQ37" s="178"/>
      <c r="RTR37" s="178"/>
      <c r="RUG37" s="178"/>
      <c r="RUH37" s="178"/>
      <c r="RUW37" s="178"/>
      <c r="RUX37" s="178"/>
      <c r="RVM37" s="178"/>
      <c r="RVN37" s="178"/>
      <c r="RWC37" s="178"/>
      <c r="RWD37" s="178"/>
      <c r="RWS37" s="178"/>
      <c r="RWT37" s="178"/>
      <c r="RXI37" s="178"/>
      <c r="RXJ37" s="178"/>
      <c r="RXY37" s="178"/>
      <c r="RXZ37" s="178"/>
      <c r="RYO37" s="178"/>
      <c r="RYP37" s="178"/>
      <c r="RZE37" s="178"/>
      <c r="RZF37" s="178"/>
      <c r="RZU37" s="178"/>
      <c r="RZV37" s="178"/>
      <c r="SAK37" s="178"/>
      <c r="SAL37" s="178"/>
      <c r="SBA37" s="178"/>
      <c r="SBB37" s="178"/>
      <c r="SBQ37" s="178"/>
      <c r="SBR37" s="178"/>
      <c r="SCG37" s="178"/>
      <c r="SCH37" s="178"/>
      <c r="SCW37" s="178"/>
      <c r="SCX37" s="178"/>
      <c r="SDM37" s="178"/>
      <c r="SDN37" s="178"/>
      <c r="SEC37" s="178"/>
      <c r="SED37" s="178"/>
      <c r="SES37" s="178"/>
      <c r="SET37" s="178"/>
      <c r="SFI37" s="178"/>
      <c r="SFJ37" s="178"/>
      <c r="SFY37" s="178"/>
      <c r="SFZ37" s="178"/>
      <c r="SGO37" s="178"/>
      <c r="SGP37" s="178"/>
      <c r="SHE37" s="178"/>
      <c r="SHF37" s="178"/>
      <c r="SHU37" s="178"/>
      <c r="SHV37" s="178"/>
      <c r="SIK37" s="178"/>
      <c r="SIL37" s="178"/>
      <c r="SJA37" s="178"/>
      <c r="SJB37" s="178"/>
      <c r="SJQ37" s="178"/>
      <c r="SJR37" s="178"/>
      <c r="SKG37" s="178"/>
      <c r="SKH37" s="178"/>
      <c r="SKW37" s="178"/>
      <c r="SKX37" s="178"/>
      <c r="SLM37" s="178"/>
      <c r="SLN37" s="178"/>
      <c r="SMC37" s="178"/>
      <c r="SMD37" s="178"/>
      <c r="SMS37" s="178"/>
      <c r="SMT37" s="178"/>
      <c r="SNI37" s="178"/>
      <c r="SNJ37" s="178"/>
      <c r="SNY37" s="178"/>
      <c r="SNZ37" s="178"/>
      <c r="SOO37" s="178"/>
      <c r="SOP37" s="178"/>
      <c r="SPE37" s="178"/>
      <c r="SPF37" s="178"/>
      <c r="SPU37" s="178"/>
      <c r="SPV37" s="178"/>
      <c r="SQK37" s="178"/>
      <c r="SQL37" s="178"/>
      <c r="SRA37" s="178"/>
      <c r="SRB37" s="178"/>
      <c r="SRQ37" s="178"/>
      <c r="SRR37" s="178"/>
      <c r="SSG37" s="178"/>
      <c r="SSH37" s="178"/>
      <c r="SSW37" s="178"/>
      <c r="SSX37" s="178"/>
      <c r="STM37" s="178"/>
      <c r="STN37" s="178"/>
      <c r="SUC37" s="178"/>
      <c r="SUD37" s="178"/>
      <c r="SUS37" s="178"/>
      <c r="SUT37" s="178"/>
      <c r="SVI37" s="178"/>
      <c r="SVJ37" s="178"/>
      <c r="SVY37" s="178"/>
      <c r="SVZ37" s="178"/>
      <c r="SWO37" s="178"/>
      <c r="SWP37" s="178"/>
      <c r="SXE37" s="178"/>
      <c r="SXF37" s="178"/>
      <c r="SXU37" s="178"/>
      <c r="SXV37" s="178"/>
      <c r="SYK37" s="178"/>
      <c r="SYL37" s="178"/>
      <c r="SZA37" s="178"/>
      <c r="SZB37" s="178"/>
      <c r="SZQ37" s="178"/>
      <c r="SZR37" s="178"/>
      <c r="TAG37" s="178"/>
      <c r="TAH37" s="178"/>
      <c r="TAW37" s="178"/>
      <c r="TAX37" s="178"/>
      <c r="TBM37" s="178"/>
      <c r="TBN37" s="178"/>
      <c r="TCC37" s="178"/>
      <c r="TCD37" s="178"/>
      <c r="TCS37" s="178"/>
      <c r="TCT37" s="178"/>
      <c r="TDI37" s="178"/>
      <c r="TDJ37" s="178"/>
      <c r="TDY37" s="178"/>
      <c r="TDZ37" s="178"/>
      <c r="TEO37" s="178"/>
      <c r="TEP37" s="178"/>
      <c r="TFE37" s="178"/>
      <c r="TFF37" s="178"/>
      <c r="TFU37" s="178"/>
      <c r="TFV37" s="178"/>
      <c r="TGK37" s="178"/>
      <c r="TGL37" s="178"/>
      <c r="THA37" s="178"/>
      <c r="THB37" s="178"/>
      <c r="THQ37" s="178"/>
      <c r="THR37" s="178"/>
      <c r="TIG37" s="178"/>
      <c r="TIH37" s="178"/>
      <c r="TIW37" s="178"/>
      <c r="TIX37" s="178"/>
      <c r="TJM37" s="178"/>
      <c r="TJN37" s="178"/>
      <c r="TKC37" s="178"/>
      <c r="TKD37" s="178"/>
      <c r="TKS37" s="178"/>
      <c r="TKT37" s="178"/>
      <c r="TLI37" s="178"/>
      <c r="TLJ37" s="178"/>
      <c r="TLY37" s="178"/>
      <c r="TLZ37" s="178"/>
      <c r="TMO37" s="178"/>
      <c r="TMP37" s="178"/>
      <c r="TNE37" s="178"/>
      <c r="TNF37" s="178"/>
      <c r="TNU37" s="178"/>
      <c r="TNV37" s="178"/>
      <c r="TOK37" s="178"/>
      <c r="TOL37" s="178"/>
      <c r="TPA37" s="178"/>
      <c r="TPB37" s="178"/>
      <c r="TPQ37" s="178"/>
      <c r="TPR37" s="178"/>
      <c r="TQG37" s="178"/>
      <c r="TQH37" s="178"/>
      <c r="TQW37" s="178"/>
      <c r="TQX37" s="178"/>
      <c r="TRM37" s="178"/>
      <c r="TRN37" s="178"/>
      <c r="TSC37" s="178"/>
      <c r="TSD37" s="178"/>
      <c r="TSS37" s="178"/>
      <c r="TST37" s="178"/>
      <c r="TTI37" s="178"/>
      <c r="TTJ37" s="178"/>
      <c r="TTY37" s="178"/>
      <c r="TTZ37" s="178"/>
      <c r="TUO37" s="178"/>
      <c r="TUP37" s="178"/>
      <c r="TVE37" s="178"/>
      <c r="TVF37" s="178"/>
      <c r="TVU37" s="178"/>
      <c r="TVV37" s="178"/>
      <c r="TWK37" s="178"/>
      <c r="TWL37" s="178"/>
      <c r="TXA37" s="178"/>
      <c r="TXB37" s="178"/>
      <c r="TXQ37" s="178"/>
      <c r="TXR37" s="178"/>
      <c r="TYG37" s="178"/>
      <c r="TYH37" s="178"/>
      <c r="TYW37" s="178"/>
      <c r="TYX37" s="178"/>
      <c r="TZM37" s="178"/>
      <c r="TZN37" s="178"/>
      <c r="UAC37" s="178"/>
      <c r="UAD37" s="178"/>
      <c r="UAS37" s="178"/>
      <c r="UAT37" s="178"/>
      <c r="UBI37" s="178"/>
      <c r="UBJ37" s="178"/>
      <c r="UBY37" s="178"/>
      <c r="UBZ37" s="178"/>
      <c r="UCO37" s="178"/>
      <c r="UCP37" s="178"/>
      <c r="UDE37" s="178"/>
      <c r="UDF37" s="178"/>
      <c r="UDU37" s="178"/>
      <c r="UDV37" s="178"/>
      <c r="UEK37" s="178"/>
      <c r="UEL37" s="178"/>
      <c r="UFA37" s="178"/>
      <c r="UFB37" s="178"/>
      <c r="UFQ37" s="178"/>
      <c r="UFR37" s="178"/>
      <c r="UGG37" s="178"/>
      <c r="UGH37" s="178"/>
      <c r="UGW37" s="178"/>
      <c r="UGX37" s="178"/>
      <c r="UHM37" s="178"/>
      <c r="UHN37" s="178"/>
      <c r="UIC37" s="178"/>
      <c r="UID37" s="178"/>
      <c r="UIS37" s="178"/>
      <c r="UIT37" s="178"/>
      <c r="UJI37" s="178"/>
      <c r="UJJ37" s="178"/>
      <c r="UJY37" s="178"/>
      <c r="UJZ37" s="178"/>
      <c r="UKO37" s="178"/>
      <c r="UKP37" s="178"/>
      <c r="ULE37" s="178"/>
      <c r="ULF37" s="178"/>
      <c r="ULU37" s="178"/>
      <c r="ULV37" s="178"/>
      <c r="UMK37" s="178"/>
      <c r="UML37" s="178"/>
      <c r="UNA37" s="178"/>
      <c r="UNB37" s="178"/>
      <c r="UNQ37" s="178"/>
      <c r="UNR37" s="178"/>
      <c r="UOG37" s="178"/>
      <c r="UOH37" s="178"/>
      <c r="UOW37" s="178"/>
      <c r="UOX37" s="178"/>
      <c r="UPM37" s="178"/>
      <c r="UPN37" s="178"/>
      <c r="UQC37" s="178"/>
      <c r="UQD37" s="178"/>
      <c r="UQS37" s="178"/>
      <c r="UQT37" s="178"/>
      <c r="URI37" s="178"/>
      <c r="URJ37" s="178"/>
      <c r="URY37" s="178"/>
      <c r="URZ37" s="178"/>
      <c r="USO37" s="178"/>
      <c r="USP37" s="178"/>
      <c r="UTE37" s="178"/>
      <c r="UTF37" s="178"/>
      <c r="UTU37" s="178"/>
      <c r="UTV37" s="178"/>
      <c r="UUK37" s="178"/>
      <c r="UUL37" s="178"/>
      <c r="UVA37" s="178"/>
      <c r="UVB37" s="178"/>
      <c r="UVQ37" s="178"/>
      <c r="UVR37" s="178"/>
      <c r="UWG37" s="178"/>
      <c r="UWH37" s="178"/>
      <c r="UWW37" s="178"/>
      <c r="UWX37" s="178"/>
      <c r="UXM37" s="178"/>
      <c r="UXN37" s="178"/>
      <c r="UYC37" s="178"/>
      <c r="UYD37" s="178"/>
      <c r="UYS37" s="178"/>
      <c r="UYT37" s="178"/>
      <c r="UZI37" s="178"/>
      <c r="UZJ37" s="178"/>
      <c r="UZY37" s="178"/>
      <c r="UZZ37" s="178"/>
      <c r="VAO37" s="178"/>
      <c r="VAP37" s="178"/>
      <c r="VBE37" s="178"/>
      <c r="VBF37" s="178"/>
      <c r="VBU37" s="178"/>
      <c r="VBV37" s="178"/>
      <c r="VCK37" s="178"/>
      <c r="VCL37" s="178"/>
      <c r="VDA37" s="178"/>
      <c r="VDB37" s="178"/>
      <c r="VDQ37" s="178"/>
      <c r="VDR37" s="178"/>
      <c r="VEG37" s="178"/>
      <c r="VEH37" s="178"/>
      <c r="VEW37" s="178"/>
      <c r="VEX37" s="178"/>
      <c r="VFM37" s="178"/>
      <c r="VFN37" s="178"/>
      <c r="VGC37" s="178"/>
      <c r="VGD37" s="178"/>
      <c r="VGS37" s="178"/>
      <c r="VGT37" s="178"/>
      <c r="VHI37" s="178"/>
      <c r="VHJ37" s="178"/>
      <c r="VHY37" s="178"/>
      <c r="VHZ37" s="178"/>
      <c r="VIO37" s="178"/>
      <c r="VIP37" s="178"/>
      <c r="VJE37" s="178"/>
      <c r="VJF37" s="178"/>
      <c r="VJU37" s="178"/>
      <c r="VJV37" s="178"/>
      <c r="VKK37" s="178"/>
      <c r="VKL37" s="178"/>
      <c r="VLA37" s="178"/>
      <c r="VLB37" s="178"/>
      <c r="VLQ37" s="178"/>
      <c r="VLR37" s="178"/>
      <c r="VMG37" s="178"/>
      <c r="VMH37" s="178"/>
      <c r="VMW37" s="178"/>
      <c r="VMX37" s="178"/>
      <c r="VNM37" s="178"/>
      <c r="VNN37" s="178"/>
      <c r="VOC37" s="178"/>
      <c r="VOD37" s="178"/>
      <c r="VOS37" s="178"/>
      <c r="VOT37" s="178"/>
      <c r="VPI37" s="178"/>
      <c r="VPJ37" s="178"/>
      <c r="VPY37" s="178"/>
      <c r="VPZ37" s="178"/>
      <c r="VQO37" s="178"/>
      <c r="VQP37" s="178"/>
      <c r="VRE37" s="178"/>
      <c r="VRF37" s="178"/>
      <c r="VRU37" s="178"/>
      <c r="VRV37" s="178"/>
      <c r="VSK37" s="178"/>
      <c r="VSL37" s="178"/>
      <c r="VTA37" s="178"/>
      <c r="VTB37" s="178"/>
      <c r="VTQ37" s="178"/>
      <c r="VTR37" s="178"/>
      <c r="VUG37" s="178"/>
      <c r="VUH37" s="178"/>
      <c r="VUW37" s="178"/>
      <c r="VUX37" s="178"/>
      <c r="VVM37" s="178"/>
      <c r="VVN37" s="178"/>
      <c r="VWC37" s="178"/>
      <c r="VWD37" s="178"/>
      <c r="VWS37" s="178"/>
      <c r="VWT37" s="178"/>
      <c r="VXI37" s="178"/>
      <c r="VXJ37" s="178"/>
      <c r="VXY37" s="178"/>
      <c r="VXZ37" s="178"/>
      <c r="VYO37" s="178"/>
      <c r="VYP37" s="178"/>
      <c r="VZE37" s="178"/>
      <c r="VZF37" s="178"/>
      <c r="VZU37" s="178"/>
      <c r="VZV37" s="178"/>
      <c r="WAK37" s="178"/>
      <c r="WAL37" s="178"/>
      <c r="WBA37" s="178"/>
      <c r="WBB37" s="178"/>
      <c r="WBQ37" s="178"/>
      <c r="WBR37" s="178"/>
      <c r="WCG37" s="178"/>
      <c r="WCH37" s="178"/>
      <c r="WCW37" s="178"/>
      <c r="WCX37" s="178"/>
      <c r="WDM37" s="178"/>
      <c r="WDN37" s="178"/>
      <c r="WEC37" s="178"/>
      <c r="WED37" s="178"/>
      <c r="WES37" s="178"/>
      <c r="WET37" s="178"/>
      <c r="WFI37" s="178"/>
      <c r="WFJ37" s="178"/>
      <c r="WFY37" s="178"/>
      <c r="WFZ37" s="178"/>
      <c r="WGO37" s="178"/>
      <c r="WGP37" s="178"/>
      <c r="WHE37" s="178"/>
      <c r="WHF37" s="178"/>
      <c r="WHU37" s="178"/>
      <c r="WHV37" s="178"/>
      <c r="WIK37" s="178"/>
      <c r="WIL37" s="178"/>
      <c r="WJA37" s="178"/>
      <c r="WJB37" s="178"/>
      <c r="WJQ37" s="178"/>
      <c r="WJR37" s="178"/>
      <c r="WKG37" s="178"/>
      <c r="WKH37" s="178"/>
      <c r="WKW37" s="178"/>
      <c r="WKX37" s="178"/>
      <c r="WLM37" s="178"/>
      <c r="WLN37" s="178"/>
      <c r="WMC37" s="178"/>
      <c r="WMD37" s="178"/>
      <c r="WMS37" s="178"/>
      <c r="WMT37" s="178"/>
      <c r="WNI37" s="178"/>
      <c r="WNJ37" s="178"/>
      <c r="WNY37" s="178"/>
      <c r="WNZ37" s="178"/>
      <c r="WOO37" s="178"/>
      <c r="WOP37" s="178"/>
      <c r="WPE37" s="178"/>
      <c r="WPF37" s="178"/>
      <c r="WPU37" s="178"/>
      <c r="WPV37" s="178"/>
      <c r="WQK37" s="178"/>
      <c r="WQL37" s="178"/>
      <c r="WRA37" s="178"/>
      <c r="WRB37" s="178"/>
      <c r="WRQ37" s="178"/>
      <c r="WRR37" s="178"/>
      <c r="WSG37" s="178"/>
      <c r="WSH37" s="178"/>
      <c r="WSW37" s="178"/>
      <c r="WSX37" s="178"/>
      <c r="WTM37" s="178"/>
      <c r="WTN37" s="178"/>
      <c r="WUC37" s="178"/>
      <c r="WUD37" s="178"/>
      <c r="WUS37" s="178"/>
      <c r="WUT37" s="178"/>
      <c r="WVI37" s="178"/>
      <c r="WVJ37" s="178"/>
      <c r="WVY37" s="178"/>
      <c r="WVZ37" s="178"/>
      <c r="WWO37" s="178"/>
      <c r="WWP37" s="178"/>
      <c r="WXE37" s="178"/>
      <c r="WXF37" s="178"/>
      <c r="WXU37" s="178"/>
      <c r="WXV37" s="178"/>
      <c r="WYK37" s="178"/>
      <c r="WYL37" s="178"/>
      <c r="WZA37" s="178"/>
      <c r="WZB37" s="178"/>
      <c r="WZQ37" s="178"/>
      <c r="WZR37" s="178"/>
      <c r="XAG37" s="178"/>
      <c r="XAH37" s="178"/>
      <c r="XAW37" s="178"/>
      <c r="XAX37" s="178"/>
      <c r="XBM37" s="178"/>
      <c r="XBN37" s="178"/>
    </row>
    <row r="38" spans="1:1010 1025:2034 2049:3058 3073:4082 4097:5106 5121:6130 6145:7154 7169:8178 8193:9202 9217:10226 10241:11250 11265:12274 12289:13298 13313:14322 14337:15346 15361:16290" x14ac:dyDescent="0.3">
      <c r="A38" s="180" t="s">
        <v>621</v>
      </c>
      <c r="B38" s="180" t="s">
        <v>3288</v>
      </c>
      <c r="C38" s="181">
        <f>SUM(tb_Distr[[#This Row],[PLAN]:[ENTR.]])</f>
        <v>0</v>
      </c>
      <c r="D38" s="179"/>
      <c r="E38" s="179"/>
      <c r="F38" s="179"/>
      <c r="G38" s="179"/>
      <c r="H38" s="179"/>
      <c r="I38" s="179"/>
      <c r="J38" s="179"/>
      <c r="K38" s="179"/>
      <c r="L38" s="179"/>
      <c r="M38" s="179"/>
      <c r="N38" s="179"/>
      <c r="O38" s="179"/>
      <c r="P38" s="179"/>
      <c r="Q38" s="179"/>
    </row>
    <row r="39" spans="1:1010 1025:2034 2049:3058 3073:4082 4097:5106 5121:6130 6145:7154 7169:8178 8193:9202 9217:10226 10241:11250 11265:12274 12289:13298 13313:14322 14337:15346 15361:16290" x14ac:dyDescent="0.3">
      <c r="A39" s="180" t="s">
        <v>642</v>
      </c>
      <c r="B39" s="180" t="s">
        <v>3289</v>
      </c>
      <c r="C39" s="181">
        <f>SUM(tb_Distr[[#This Row],[PLAN]:[ENTR.]])</f>
        <v>1.0000000000000002</v>
      </c>
      <c r="D39" s="179">
        <v>0.1</v>
      </c>
      <c r="E39" s="179">
        <v>0.2</v>
      </c>
      <c r="F39" s="179">
        <v>0.15</v>
      </c>
      <c r="G39" s="179">
        <v>0.15</v>
      </c>
      <c r="H39" s="179">
        <v>0.15</v>
      </c>
      <c r="I39" s="179">
        <v>0.15</v>
      </c>
      <c r="J39" s="179"/>
      <c r="K39" s="179"/>
      <c r="L39" s="179"/>
      <c r="M39" s="179"/>
      <c r="N39" s="179"/>
      <c r="O39" s="179"/>
      <c r="P39" s="179"/>
      <c r="Q39" s="179">
        <v>0.1</v>
      </c>
    </row>
    <row r="40" spans="1:1010 1025:2034 2049:3058 3073:4082 4097:5106 5121:6130 6145:7154 7169:8178 8193:9202 9217:10226 10241:11250 11265:12274 12289:13298 13313:14322 14337:15346 15361:16290" x14ac:dyDescent="0.3">
      <c r="A40" s="180" t="s">
        <v>624</v>
      </c>
      <c r="B40" s="180" t="s">
        <v>3290</v>
      </c>
      <c r="C40" s="181">
        <f>SUM(tb_Distr[[#This Row],[PLAN]:[ENTR.]])</f>
        <v>0</v>
      </c>
      <c r="D40" s="179"/>
      <c r="E40" s="179"/>
      <c r="F40" s="179"/>
      <c r="G40" s="179"/>
      <c r="H40" s="179"/>
      <c r="I40" s="179"/>
      <c r="J40" s="179"/>
      <c r="K40" s="179"/>
      <c r="L40" s="179"/>
      <c r="M40" s="179"/>
      <c r="N40" s="179"/>
      <c r="O40" s="179"/>
      <c r="P40" s="179"/>
      <c r="Q40" s="179"/>
    </row>
    <row r="41" spans="1:1010 1025:2034 2049:3058 3073:4082 4097:5106 5121:6130 6145:7154 7169:8178 8193:9202 9217:10226 10241:11250 11265:12274 12289:13298 13313:14322 14337:15346 15361:16290" x14ac:dyDescent="0.3">
      <c r="A41" s="180" t="s">
        <v>3281</v>
      </c>
      <c r="B41" s="180" t="s">
        <v>3291</v>
      </c>
      <c r="C41" s="181">
        <f>SUM(tb_Distr[[#This Row],[PLAN]:[ENTR.]])</f>
        <v>0</v>
      </c>
      <c r="D41" s="179"/>
      <c r="E41" s="179"/>
      <c r="F41" s="179"/>
      <c r="G41" s="179"/>
      <c r="H41" s="179"/>
      <c r="I41" s="179"/>
      <c r="J41" s="179"/>
      <c r="K41" s="179"/>
      <c r="L41" s="179"/>
      <c r="M41" s="179"/>
      <c r="N41" s="179"/>
      <c r="O41" s="179"/>
      <c r="P41" s="179"/>
      <c r="Q41" s="179"/>
    </row>
  </sheetData>
  <phoneticPr fontId="2" type="noConversion"/>
  <pageMargins left="0.511811024" right="0.511811024" top="0.78740157499999996" bottom="0.78740157499999996" header="0.31496062000000002" footer="0.31496062000000002"/>
  <pageSetup paperSize="9" orientation="portrait" horizontalDpi="1200" verticalDpi="1200" r:id="rId1"/>
  <drawing r:id="rId2"/>
  <tableParts count="1">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44DEB-26D2-4A8C-9DCC-02DE16C2CBFA}">
  <sheetPr codeName="Planilha14"/>
  <dimension ref="A1:R14"/>
  <sheetViews>
    <sheetView showGridLines="0" zoomScale="110" zoomScaleNormal="110" workbookViewId="0">
      <pane ySplit="6" topLeftCell="A7" activePane="bottomLeft" state="frozen"/>
      <selection activeCell="A4" sqref="A4"/>
      <selection pane="bottomLeft" activeCell="E5" sqref="E5"/>
    </sheetView>
  </sheetViews>
  <sheetFormatPr defaultColWidth="9.109375" defaultRowHeight="14.4" x14ac:dyDescent="0.3"/>
  <cols>
    <col min="1" max="1" width="25.33203125" style="3" bestFit="1" customWidth="1"/>
    <col min="2" max="2" width="7.5546875" style="3" bestFit="1" customWidth="1"/>
    <col min="3" max="18" width="14.6640625" style="3" customWidth="1"/>
    <col min="19" max="16384" width="9.109375" style="3"/>
  </cols>
  <sheetData>
    <row r="1" spans="1:18" hidden="1" x14ac:dyDescent="0.3">
      <c r="C1" s="247">
        <v>45901</v>
      </c>
      <c r="D1" s="247">
        <v>45931</v>
      </c>
      <c r="E1" s="247">
        <v>45962</v>
      </c>
      <c r="F1" s="247">
        <v>45992</v>
      </c>
      <c r="G1" s="247">
        <v>46023</v>
      </c>
      <c r="H1" s="247">
        <v>46054</v>
      </c>
      <c r="I1" s="247">
        <v>46082</v>
      </c>
      <c r="J1" s="247">
        <v>46113</v>
      </c>
      <c r="K1" s="247">
        <v>46143</v>
      </c>
      <c r="L1" s="247">
        <v>46174</v>
      </c>
      <c r="M1" s="247">
        <v>46204</v>
      </c>
      <c r="N1" s="247">
        <v>46235</v>
      </c>
      <c r="O1" s="247">
        <v>46266</v>
      </c>
      <c r="P1" s="247">
        <v>46296</v>
      </c>
      <c r="Q1" s="247">
        <v>46327</v>
      </c>
      <c r="R1" s="247">
        <v>46357</v>
      </c>
    </row>
    <row r="2" spans="1:18" hidden="1" x14ac:dyDescent="0.3">
      <c r="C2" s="248">
        <v>45925</v>
      </c>
      <c r="D2" s="248">
        <v>45955</v>
      </c>
      <c r="E2" s="248">
        <v>45986</v>
      </c>
      <c r="F2" s="248">
        <v>46016</v>
      </c>
      <c r="G2" s="248">
        <v>46047</v>
      </c>
      <c r="H2" s="248">
        <v>46078</v>
      </c>
      <c r="I2" s="248">
        <v>46106</v>
      </c>
      <c r="J2" s="248">
        <v>46137</v>
      </c>
      <c r="K2" s="248">
        <v>46167</v>
      </c>
      <c r="L2" s="248">
        <v>46198</v>
      </c>
      <c r="M2" s="248">
        <v>46228</v>
      </c>
      <c r="N2" s="248">
        <v>46259</v>
      </c>
      <c r="O2" s="248">
        <v>46290</v>
      </c>
      <c r="P2" s="248">
        <v>46320</v>
      </c>
      <c r="Q2" s="248">
        <v>46351</v>
      </c>
      <c r="R2" s="248">
        <v>46381</v>
      </c>
    </row>
    <row r="3" spans="1:18" hidden="1" x14ac:dyDescent="0.3">
      <c r="C3" s="247">
        <f t="shared" ref="C3:R3" ca="1" si="0">IF(TODAY()&gt;C2,C1,"")</f>
        <v>45901</v>
      </c>
      <c r="D3" s="247">
        <f t="shared" ca="1" si="0"/>
        <v>45931</v>
      </c>
      <c r="E3" s="247">
        <f t="shared" ca="1" si="0"/>
        <v>45962</v>
      </c>
      <c r="F3" s="247">
        <f t="shared" ca="1" si="0"/>
        <v>45992</v>
      </c>
      <c r="G3" s="247">
        <f t="shared" ca="1" si="0"/>
        <v>46023</v>
      </c>
      <c r="H3" s="247">
        <f t="shared" ca="1" si="0"/>
        <v>46054</v>
      </c>
      <c r="I3" s="247">
        <f t="shared" ca="1" si="0"/>
        <v>46082</v>
      </c>
      <c r="J3" s="247" t="str">
        <f t="shared" ca="1" si="0"/>
        <v/>
      </c>
      <c r="K3" s="247" t="str">
        <f t="shared" ca="1" si="0"/>
        <v/>
      </c>
      <c r="L3" s="247" t="str">
        <f t="shared" ca="1" si="0"/>
        <v/>
      </c>
      <c r="M3" s="247" t="str">
        <f t="shared" ca="1" si="0"/>
        <v/>
      </c>
      <c r="N3" s="247" t="str">
        <f t="shared" ca="1" si="0"/>
        <v/>
      </c>
      <c r="O3" s="247" t="str">
        <f t="shared" ca="1" si="0"/>
        <v/>
      </c>
      <c r="P3" s="247" t="str">
        <f t="shared" ca="1" si="0"/>
        <v/>
      </c>
      <c r="Q3" s="247" t="str">
        <f t="shared" ca="1" si="0"/>
        <v/>
      </c>
      <c r="R3" s="247" t="str">
        <f t="shared" ca="1" si="0"/>
        <v/>
      </c>
    </row>
    <row r="4" spans="1:18" ht="20.100000000000001" customHeight="1" x14ac:dyDescent="0.4">
      <c r="A4" s="359" t="s">
        <v>641</v>
      </c>
      <c r="B4" s="356" t="s">
        <v>640</v>
      </c>
      <c r="C4" s="356">
        <f ca="1">C5</f>
        <v>2682441.8640861488</v>
      </c>
      <c r="D4" s="356">
        <f ca="1">C4+D5</f>
        <v>6187271.9290159848</v>
      </c>
      <c r="E4" s="356">
        <f t="shared" ref="E4:H4" ca="1" si="1">D4+E5</f>
        <v>11007260.988966459</v>
      </c>
      <c r="F4" s="356">
        <f t="shared" ca="1" si="1"/>
        <v>14865261.172606152</v>
      </c>
      <c r="G4" s="356">
        <f t="shared" ca="1" si="1"/>
        <v>18038043.960767549</v>
      </c>
      <c r="H4" s="356">
        <f t="shared" ca="1" si="1"/>
        <v>20246476.125477947</v>
      </c>
      <c r="I4" s="356">
        <f ca="1">IF(I5=0,0,H4+I5)</f>
        <v>22908690.860988747</v>
      </c>
      <c r="J4" s="356">
        <f t="shared" ref="J4:R4" ca="1" si="2">IF(J5=0,0,I4+J5)</f>
        <v>0</v>
      </c>
      <c r="K4" s="356">
        <f t="shared" ca="1" si="2"/>
        <v>0</v>
      </c>
      <c r="L4" s="356">
        <f t="shared" ca="1" si="2"/>
        <v>0</v>
      </c>
      <c r="M4" s="356">
        <f t="shared" ca="1" si="2"/>
        <v>0</v>
      </c>
      <c r="N4" s="356">
        <f t="shared" ca="1" si="2"/>
        <v>0</v>
      </c>
      <c r="O4" s="356">
        <f t="shared" ca="1" si="2"/>
        <v>0</v>
      </c>
      <c r="P4" s="356">
        <f t="shared" ca="1" si="2"/>
        <v>0</v>
      </c>
      <c r="Q4" s="356">
        <f t="shared" ca="1" si="2"/>
        <v>0</v>
      </c>
      <c r="R4" s="356">
        <f t="shared" ca="1" si="2"/>
        <v>0</v>
      </c>
    </row>
    <row r="5" spans="1:18" ht="20.100000000000001" customHeight="1" thickBot="1" x14ac:dyDescent="0.35">
      <c r="A5" s="358">
        <f ca="1">SUM(C5:R5)</f>
        <v>22908690.860988747</v>
      </c>
      <c r="B5" s="357" t="s">
        <v>256</v>
      </c>
      <c r="C5" s="357">
        <f ca="1">SUM(Tb_ClassFIN[SET.25])</f>
        <v>2682441.8640861488</v>
      </c>
      <c r="D5" s="357">
        <f ca="1">SUM(Tb_ClassFIN[OUT.25])</f>
        <v>3504830.064929836</v>
      </c>
      <c r="E5" s="357">
        <f ca="1">SUM(Tb_ClassFIN[NOV.25])</f>
        <v>4819989.0599504746</v>
      </c>
      <c r="F5" s="357">
        <f ca="1">SUM(Tb_ClassFIN[DEZ.25])</f>
        <v>3858000.1836396921</v>
      </c>
      <c r="G5" s="357">
        <f ca="1">SUM(Tb_ClassFIN[JAN.26])</f>
        <v>3172782.788161397</v>
      </c>
      <c r="H5" s="357">
        <f ca="1">SUM(Tb_ClassFIN[FEV.26])</f>
        <v>2208432.1647104002</v>
      </c>
      <c r="I5" s="357">
        <f ca="1">SUM(Tb_ClassFIN[MAR.26])</f>
        <v>2662214.7355108</v>
      </c>
      <c r="J5" s="357">
        <f ca="1">SUM(Tb_ClassFIN[ABR.26])</f>
        <v>0</v>
      </c>
      <c r="K5" s="357">
        <f ca="1">SUM(Tb_ClassFIN[MAI.26])</f>
        <v>0</v>
      </c>
      <c r="L5" s="357">
        <f ca="1">SUM(Tb_ClassFIN[JUN.26])</f>
        <v>0</v>
      </c>
      <c r="M5" s="357">
        <f ca="1">SUM(Tb_ClassFIN[JUL.26])</f>
        <v>0</v>
      </c>
      <c r="N5" s="357">
        <f ca="1">SUM(Tb_ClassFIN[AGO.26])</f>
        <v>0</v>
      </c>
      <c r="O5" s="357">
        <f ca="1">SUM(Tb_ClassFIN[SET.26])</f>
        <v>0</v>
      </c>
      <c r="P5" s="357">
        <f ca="1">SUM(Tb_ClassFIN[OUT.26])</f>
        <v>0</v>
      </c>
      <c r="Q5" s="357">
        <f ca="1">SUM(Tb_ClassFIN[NOV.26])</f>
        <v>0</v>
      </c>
      <c r="R5" s="357">
        <f ca="1">SUM(Tb_ClassFIN[DEZ.26])</f>
        <v>0</v>
      </c>
    </row>
    <row r="6" spans="1:18" ht="30" customHeight="1" x14ac:dyDescent="0.3">
      <c r="A6" s="3" t="s">
        <v>208</v>
      </c>
      <c r="B6" s="3" t="s">
        <v>254</v>
      </c>
      <c r="C6" s="92" t="s">
        <v>147</v>
      </c>
      <c r="D6" s="92" t="s">
        <v>148</v>
      </c>
      <c r="E6" s="92" t="s">
        <v>149</v>
      </c>
      <c r="F6" s="92" t="s">
        <v>150</v>
      </c>
      <c r="G6" s="92" t="s">
        <v>151</v>
      </c>
      <c r="H6" s="92" t="s">
        <v>152</v>
      </c>
      <c r="I6" s="92" t="s">
        <v>153</v>
      </c>
      <c r="J6" s="92" t="s">
        <v>154</v>
      </c>
      <c r="K6" s="92" t="s">
        <v>155</v>
      </c>
      <c r="L6" s="92" t="s">
        <v>156</v>
      </c>
      <c r="M6" s="92" t="s">
        <v>157</v>
      </c>
      <c r="N6" s="92" t="s">
        <v>158</v>
      </c>
      <c r="O6" s="92" t="s">
        <v>159</v>
      </c>
      <c r="P6" s="92" t="s">
        <v>160</v>
      </c>
      <c r="Q6" s="92" t="s">
        <v>161</v>
      </c>
      <c r="R6" s="92" t="s">
        <v>162</v>
      </c>
    </row>
    <row r="7" spans="1:18" ht="20.100000000000001" customHeight="1" x14ac:dyDescent="0.3">
      <c r="A7" s="3" t="s">
        <v>425</v>
      </c>
      <c r="B7" s="3" t="s">
        <v>429</v>
      </c>
      <c r="C7" s="249">
        <f ca="1">IF(C3&lt;&gt;"",SUM('CONTROLE FIN'!AC6:AC8),0)</f>
        <v>2470509.4158861488</v>
      </c>
      <c r="D7" s="249">
        <f ca="1">IF(D3&lt;&gt;"",SUM('CONTROLE FIN'!AE6:AE8),0)</f>
        <v>877483.53</v>
      </c>
      <c r="E7" s="249">
        <f ca="1">IF(E3&lt;&gt;"",SUM('CONTROLE FIN'!AG6:AG8),0)</f>
        <v>516915.81000000006</v>
      </c>
      <c r="F7" s="249">
        <f ca="1">IF(F3&lt;&gt;"",SUM('CONTROLE FIN'!AI6:AI8),0)</f>
        <v>516915.81000000006</v>
      </c>
      <c r="G7" s="249">
        <f ca="1">IF(G3&lt;&gt;"",SUM('CONTROLE FIN'!AK6:AK8),0)</f>
        <v>502855.23</v>
      </c>
      <c r="H7" s="249">
        <f ca="1">IF(H3&lt;&gt;"",SUM('CONTROLE FIN'!AM6:AM8),0)</f>
        <v>516915.81000000006</v>
      </c>
      <c r="I7" s="249">
        <f ca="1">IF(I3&lt;&gt;"",SUM('CONTROLE FIN'!AO6:AO8),0)</f>
        <v>516915.81000000006</v>
      </c>
      <c r="J7" s="249">
        <f ca="1">IF(J3&lt;&gt;"",SUM('CONTROLE FIN'!AQ6:AQ8),0)</f>
        <v>0</v>
      </c>
      <c r="K7" s="249">
        <f ca="1">IF(K3&lt;&gt;"",SUM('CONTROLE FIN'!AS6:AS8),0)</f>
        <v>0</v>
      </c>
      <c r="L7" s="249">
        <f ca="1">IF(L3&lt;&gt;"",SUM('CONTROLE FIN'!AU6:AU8),0)</f>
        <v>0</v>
      </c>
      <c r="M7" s="249">
        <f ca="1">IF(M3&lt;&gt;"",SUM('CONTROLE FIN'!AW6:AW8),0)</f>
        <v>0</v>
      </c>
      <c r="N7" s="249">
        <f ca="1">IF(N3&lt;&gt;"",SUM('CONTROLE FIN'!AY6:AY8),0)</f>
        <v>0</v>
      </c>
      <c r="O7" s="249">
        <f ca="1">IF(O3&lt;&gt;"",SUM('CONTROLE FIN'!BA6:BA8),0)</f>
        <v>0</v>
      </c>
      <c r="P7" s="249">
        <f ca="1">IF(P3&lt;&gt;"",SUM('CONTROLE FIN'!BC6:BC8),0)</f>
        <v>0</v>
      </c>
      <c r="Q7" s="249">
        <f ca="1">IF(Q3&lt;&gt;"",SUM('CONTROLE FIN'!BE6:BE8),0)</f>
        <v>0</v>
      </c>
      <c r="R7" s="249">
        <f ca="1">IF(R3&lt;&gt;"",SUM('CONTROLE FIN'!BG6:BG8),0)</f>
        <v>0</v>
      </c>
    </row>
    <row r="8" spans="1:18" ht="20.100000000000001" customHeight="1" x14ac:dyDescent="0.3">
      <c r="A8" s="3" t="s">
        <v>427</v>
      </c>
      <c r="B8" s="3" t="s">
        <v>204</v>
      </c>
      <c r="C8" s="249">
        <f ca="1">SUMIFS(DISTR_FIN_0[VALOR],DISTR_FIN_0[MÊS],'CLASS-FIN'!C3,DISTR_FIN_0[FASE-FINAL],Tb_ClassFIN[[#This Row],[FASE]])</f>
        <v>211932.44820000001</v>
      </c>
      <c r="D8" s="249">
        <f ca="1">SUMIFS(DISTR_FIN_0[VALOR],DISTR_FIN_0[MÊS],'CLASS-FIN'!D3,DISTR_FIN_0[FASE-FINAL],Tb_ClassFIN[[#This Row],[FASE]])</f>
        <v>1514263.0866435755</v>
      </c>
      <c r="E8" s="249">
        <f ca="1">SUMIFS(DISTR_FIN_0[VALOR],DISTR_FIN_0[MÊS],'CLASS-FIN'!E3,DISTR_FIN_0[FASE-FINAL],Tb_ClassFIN[[#This Row],[FASE]])</f>
        <v>190246.48009345998</v>
      </c>
      <c r="F8" s="249">
        <f ca="1">SUMIFS(DISTR_FIN_0[VALOR],DISTR_FIN_0[MÊS],'CLASS-FIN'!F3,DISTR_FIN_0[FASE-FINAL],Tb_ClassFIN[[#This Row],[FASE]])</f>
        <v>298360.25834400003</v>
      </c>
      <c r="G8" s="249">
        <f ca="1">SUMIFS(DISTR_FIN_0[VALOR],DISTR_FIN_0[MÊS],'CLASS-FIN'!G3,DISTR_FIN_0[FASE-FINAL],Tb_ClassFIN[[#This Row],[FASE]])</f>
        <v>0</v>
      </c>
      <c r="H8" s="249">
        <f ca="1">SUMIFS(DISTR_FIN_0[VALOR],DISTR_FIN_0[MÊS],'CLASS-FIN'!H3,DISTR_FIN_0[FASE-FINAL],Tb_ClassFIN[[#This Row],[FASE]])</f>
        <v>219268.968662</v>
      </c>
      <c r="I8" s="249">
        <f ca="1">SUMIFS(DISTR_FIN_0[VALOR],DISTR_FIN_0[MÊS],'CLASS-FIN'!I3,DISTR_FIN_0[FASE-FINAL],Tb_ClassFIN[[#This Row],[FASE]])</f>
        <v>98186.334443999993</v>
      </c>
      <c r="J8" s="249">
        <f ca="1">SUMIFS(DISTR_FIN_0[VALOR],DISTR_FIN_0[MÊS],'CLASS-FIN'!J3,DISTR_FIN_0[FASE-FINAL],Tb_ClassFIN[[#This Row],[FASE]])</f>
        <v>0</v>
      </c>
      <c r="K8" s="249">
        <f ca="1">SUMIFS(DISTR_FIN_0[VALOR],DISTR_FIN_0[MÊS],'CLASS-FIN'!K3,DISTR_FIN_0[FASE-FINAL],Tb_ClassFIN[[#This Row],[FASE]])</f>
        <v>0</v>
      </c>
      <c r="L8" s="249">
        <f ca="1">SUMIFS(DISTR_FIN_0[VALOR],DISTR_FIN_0[MÊS],'CLASS-FIN'!L3,DISTR_FIN_0[FASE-FINAL],Tb_ClassFIN[[#This Row],[FASE]])</f>
        <v>0</v>
      </c>
      <c r="M8" s="249">
        <f ca="1">SUMIFS(DISTR_FIN_0[VALOR],DISTR_FIN_0[MÊS],'CLASS-FIN'!M3,DISTR_FIN_0[FASE-FINAL],Tb_ClassFIN[[#This Row],[FASE]])</f>
        <v>0</v>
      </c>
      <c r="N8" s="249">
        <f ca="1">SUMIFS(DISTR_FIN_0[VALOR],DISTR_FIN_0[MÊS],'CLASS-FIN'!N3,DISTR_FIN_0[FASE-FINAL],Tb_ClassFIN[[#This Row],[FASE]])</f>
        <v>0</v>
      </c>
      <c r="O8" s="249">
        <f ca="1">SUMIFS(DISTR_FIN_0[VALOR],DISTR_FIN_0[MÊS],'CLASS-FIN'!O3,DISTR_FIN_0[FASE-FINAL],Tb_ClassFIN[[#This Row],[FASE]])</f>
        <v>0</v>
      </c>
      <c r="P8" s="249">
        <f ca="1">SUMIFS(DISTR_FIN_0[VALOR],DISTR_FIN_0[MÊS],'CLASS-FIN'!P3,DISTR_FIN_0[FASE-FINAL],Tb_ClassFIN[[#This Row],[FASE]])</f>
        <v>0</v>
      </c>
      <c r="Q8" s="249">
        <f ca="1">SUMIFS(DISTR_FIN_0[VALOR],DISTR_FIN_0[MÊS],'CLASS-FIN'!Q3,DISTR_FIN_0[FASE-FINAL],Tb_ClassFIN[[#This Row],[FASE]])</f>
        <v>0</v>
      </c>
      <c r="R8" s="249">
        <f ca="1">SUMIFS(DISTR_FIN_0[VALOR],DISTR_FIN_0[MÊS],'CLASS-FIN'!R3,DISTR_FIN_0[FASE-FINAL],Tb_ClassFIN[[#This Row],[FASE]])</f>
        <v>0</v>
      </c>
    </row>
    <row r="9" spans="1:18" ht="20.100000000000001" customHeight="1" x14ac:dyDescent="0.3">
      <c r="A9" s="3" t="s">
        <v>428</v>
      </c>
      <c r="B9" s="3" t="s">
        <v>205</v>
      </c>
      <c r="C9" s="249">
        <f ca="1">SUMIFS(DISTR_FIN_0[VALOR],DISTR_FIN_0[MÊS],'CLASS-FIN'!C3,DISTR_FIN_0[FASE-FINAL],Tb_ClassFIN[[#This Row],[FASE]])</f>
        <v>0</v>
      </c>
      <c r="D9" s="249">
        <f ca="1">SUMIFS(DISTR_FIN_0[VALOR],DISTR_FIN_0[MÊS],'CLASS-FIN'!D3,DISTR_FIN_0[FASE-FINAL],Tb_ClassFIN[[#This Row],[FASE]])</f>
        <v>801675.46308606607</v>
      </c>
      <c r="E9" s="249">
        <f ca="1">SUMIFS(DISTR_FIN_0[VALOR],DISTR_FIN_0[MÊS],'CLASS-FIN'!E3,DISTR_FIN_0[FASE-FINAL],Tb_ClassFIN[[#This Row],[FASE]])</f>
        <v>2926533.7044443935</v>
      </c>
      <c r="F9" s="249">
        <f ca="1">SUMIFS(DISTR_FIN_0[VALOR],DISTR_FIN_0[MÊS],'CLASS-FIN'!F3,DISTR_FIN_0[FASE-FINAL],Tb_ClassFIN[[#This Row],[FASE]])</f>
        <v>91401.595356000005</v>
      </c>
      <c r="G9" s="249">
        <f ca="1">SUMIFS(DISTR_FIN_0[VALOR],DISTR_FIN_0[MÊS],'CLASS-FIN'!G3,DISTR_FIN_0[FASE-FINAL],Tb_ClassFIN[[#This Row],[FASE]])</f>
        <v>580265.88444000005</v>
      </c>
      <c r="H9" s="249">
        <f ca="1">SUMIFS(DISTR_FIN_0[VALOR],DISTR_FIN_0[MÊS],'CLASS-FIN'!H3,DISTR_FIN_0[FASE-FINAL],Tb_ClassFIN[[#This Row],[FASE]])</f>
        <v>44047.494359999997</v>
      </c>
      <c r="I9" s="249">
        <f ca="1">SUMIFS(DISTR_FIN_0[VALOR],DISTR_FIN_0[MÊS],'CLASS-FIN'!I3,DISTR_FIN_0[FASE-FINAL],Tb_ClassFIN[[#This Row],[FASE]])</f>
        <v>231203.17155999999</v>
      </c>
      <c r="J9" s="249">
        <f ca="1">SUMIFS(DISTR_FIN_0[VALOR],DISTR_FIN_0[MÊS],'CLASS-FIN'!J3,DISTR_FIN_0[FASE-FINAL],Tb_ClassFIN[[#This Row],[FASE]])</f>
        <v>0</v>
      </c>
      <c r="K9" s="249">
        <f ca="1">SUMIFS(DISTR_FIN_0[VALOR],DISTR_FIN_0[MÊS],'CLASS-FIN'!K3,DISTR_FIN_0[FASE-FINAL],Tb_ClassFIN[[#This Row],[FASE]])</f>
        <v>0</v>
      </c>
      <c r="L9" s="249">
        <f ca="1">SUMIFS(DISTR_FIN_0[VALOR],DISTR_FIN_0[MÊS],'CLASS-FIN'!L3,DISTR_FIN_0[FASE-FINAL],Tb_ClassFIN[[#This Row],[FASE]])</f>
        <v>0</v>
      </c>
      <c r="M9" s="249">
        <f ca="1">SUMIFS(DISTR_FIN_0[VALOR],DISTR_FIN_0[MÊS],'CLASS-FIN'!M3,DISTR_FIN_0[FASE-FINAL],Tb_ClassFIN[[#This Row],[FASE]])</f>
        <v>0</v>
      </c>
      <c r="N9" s="249">
        <f ca="1">SUMIFS(DISTR_FIN_0[VALOR],DISTR_FIN_0[MÊS],'CLASS-FIN'!N3,DISTR_FIN_0[FASE-FINAL],Tb_ClassFIN[[#This Row],[FASE]])</f>
        <v>0</v>
      </c>
      <c r="O9" s="249">
        <f ca="1">SUMIFS(DISTR_FIN_0[VALOR],DISTR_FIN_0[MÊS],'CLASS-FIN'!O3,DISTR_FIN_0[FASE-FINAL],Tb_ClassFIN[[#This Row],[FASE]])</f>
        <v>0</v>
      </c>
      <c r="P9" s="249">
        <f ca="1">SUMIFS(DISTR_FIN_0[VALOR],DISTR_FIN_0[MÊS],'CLASS-FIN'!P3,DISTR_FIN_0[FASE-FINAL],Tb_ClassFIN[[#This Row],[FASE]])</f>
        <v>0</v>
      </c>
      <c r="Q9" s="249">
        <f ca="1">SUMIFS(DISTR_FIN_0[VALOR],DISTR_FIN_0[MÊS],'CLASS-FIN'!Q3,DISTR_FIN_0[FASE-FINAL],Tb_ClassFIN[[#This Row],[FASE]])</f>
        <v>0</v>
      </c>
      <c r="R9" s="249">
        <f ca="1">SUMIFS(DISTR_FIN_0[VALOR],DISTR_FIN_0[MÊS],'CLASS-FIN'!R3,DISTR_FIN_0[FASE-FINAL],Tb_ClassFIN[[#This Row],[FASE]])</f>
        <v>0</v>
      </c>
    </row>
    <row r="10" spans="1:18" ht="20.100000000000001" customHeight="1" x14ac:dyDescent="0.3">
      <c r="A10" s="3" t="s">
        <v>426</v>
      </c>
      <c r="B10" s="3" t="s">
        <v>430</v>
      </c>
      <c r="C10" s="249">
        <f ca="1">SUMIFS(DISTR_FIN_0[VALOR],DISTR_FIN_0[MÊS],'CLASS-FIN'!C3,DISTR_FIN_0[FASE-FINAL],Tb_ClassFIN[[#This Row],[FASE]])</f>
        <v>0</v>
      </c>
      <c r="D10" s="249">
        <f ca="1">SUMIFS(DISTR_FIN_0[VALOR],DISTR_FIN_0[MÊS],'CLASS-FIN'!D3,DISTR_FIN_0[FASE-FINAL],Tb_ClassFIN[[#This Row],[FASE]])</f>
        <v>311407.985200194</v>
      </c>
      <c r="E10" s="249">
        <f ca="1">SUMIFS(DISTR_FIN_0[VALOR],DISTR_FIN_0[MÊS],'CLASS-FIN'!E3,DISTR_FIN_0[FASE-FINAL],Tb_ClassFIN[[#This Row],[FASE]])</f>
        <v>1186293.0654126215</v>
      </c>
      <c r="F10" s="249">
        <f ca="1">SUMIFS(DISTR_FIN_0[VALOR],DISTR_FIN_0[MÊS],'CLASS-FIN'!F3,DISTR_FIN_0[FASE-FINAL],Tb_ClassFIN[[#This Row],[FASE]])</f>
        <v>2951322.5199396922</v>
      </c>
      <c r="G10" s="249">
        <f ca="1">SUMIFS(DISTR_FIN_0[VALOR],DISTR_FIN_0[MÊS],'CLASS-FIN'!G3,DISTR_FIN_0[FASE-FINAL],Tb_ClassFIN[[#This Row],[FASE]])</f>
        <v>2089661.6737213971</v>
      </c>
      <c r="H10" s="249">
        <f ca="1">SUMIFS(DISTR_FIN_0[VALOR],DISTR_FIN_0[MÊS],'CLASS-FIN'!H3,DISTR_FIN_0[FASE-FINAL],Tb_ClassFIN[[#This Row],[FASE]])</f>
        <v>1428199.8916884002</v>
      </c>
      <c r="I10" s="249">
        <f ca="1">SUMIFS(DISTR_FIN_0[VALOR],DISTR_FIN_0[MÊS],'CLASS-FIN'!I3,DISTR_FIN_0[FASE-FINAL],Tb_ClassFIN[[#This Row],[FASE]])</f>
        <v>1815909.4195067999</v>
      </c>
      <c r="J10" s="249">
        <f ca="1">SUMIFS(DISTR_FIN_0[VALOR],DISTR_FIN_0[MÊS],'CLASS-FIN'!J3,DISTR_FIN_0[FASE-FINAL],Tb_ClassFIN[[#This Row],[FASE]])</f>
        <v>0</v>
      </c>
      <c r="K10" s="249">
        <f ca="1">SUMIFS(DISTR_FIN_0[VALOR],DISTR_FIN_0[MÊS],'CLASS-FIN'!K3,DISTR_FIN_0[FASE-FINAL],Tb_ClassFIN[[#This Row],[FASE]])</f>
        <v>0</v>
      </c>
      <c r="L10" s="249">
        <f ca="1">SUMIFS(DISTR_FIN_0[VALOR],DISTR_FIN_0[MÊS],'CLASS-FIN'!L3,DISTR_FIN_0[FASE-FINAL],Tb_ClassFIN[[#This Row],[FASE]])</f>
        <v>0</v>
      </c>
      <c r="M10" s="249">
        <f ca="1">SUMIFS(DISTR_FIN_0[VALOR],DISTR_FIN_0[MÊS],'CLASS-FIN'!M3,DISTR_FIN_0[FASE-FINAL],Tb_ClassFIN[[#This Row],[FASE]])</f>
        <v>0</v>
      </c>
      <c r="N10" s="249">
        <f ca="1">SUMIFS(DISTR_FIN_0[VALOR],DISTR_FIN_0[MÊS],'CLASS-FIN'!N3,DISTR_FIN_0[FASE-FINAL],Tb_ClassFIN[[#This Row],[FASE]])</f>
        <v>0</v>
      </c>
      <c r="O10" s="249">
        <f ca="1">SUMIFS(DISTR_FIN_0[VALOR],DISTR_FIN_0[MÊS],'CLASS-FIN'!O3,DISTR_FIN_0[FASE-FINAL],Tb_ClassFIN[[#This Row],[FASE]])</f>
        <v>0</v>
      </c>
      <c r="P10" s="249">
        <f ca="1">SUMIFS(DISTR_FIN_0[VALOR],DISTR_FIN_0[MÊS],'CLASS-FIN'!P3,DISTR_FIN_0[FASE-FINAL],Tb_ClassFIN[[#This Row],[FASE]])</f>
        <v>0</v>
      </c>
      <c r="Q10" s="249">
        <f ca="1">SUMIFS(DISTR_FIN_0[VALOR],DISTR_FIN_0[MÊS],'CLASS-FIN'!Q3,DISTR_FIN_0[FASE-FINAL],Tb_ClassFIN[[#This Row],[FASE]])</f>
        <v>0</v>
      </c>
      <c r="R10" s="249">
        <f ca="1">SUMIFS(DISTR_FIN_0[VALOR],DISTR_FIN_0[MÊS],'CLASS-FIN'!R3,DISTR_FIN_0[FASE-FINAL],Tb_ClassFIN[[#This Row],[FASE]])</f>
        <v>0</v>
      </c>
    </row>
    <row r="14" spans="1:18" x14ac:dyDescent="0.3">
      <c r="H14" s="248"/>
    </row>
  </sheetData>
  <pageMargins left="0.511811024" right="0.511811024" top="0.78740157499999996" bottom="0.78740157499999996" header="0.31496062000000002" footer="0.31496062000000002"/>
  <ignoredErrors>
    <ignoredError sqref="E8:R8 E9:R10 E7:R7" calculatedColumn="1"/>
  </ignoredErrors>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
</file>

<file path=customXml/item5.xml><?xml version="1.0" encoding="utf-8"?>
<ct:contentTypeSchema xmlns:ct="http://schemas.microsoft.com/office/2006/metadata/contentType" xmlns:ma="http://schemas.microsoft.com/office/2006/metadata/properties/metaAttributes" ct:_="" ma:_="" ma:contentTypeName="Documento" ma:contentTypeID="0x0101005C9509E3CC717C4F8644E030A78ACA5E" ma:contentTypeVersion="11" ma:contentTypeDescription="Crie um novo documento." ma:contentTypeScope="" ma:versionID="6ca18dd5bb1f7d760f48db3b55d5c87c">
  <xsd:schema xmlns:xsd="http://www.w3.org/2001/XMLSchema" xmlns:xs="http://www.w3.org/2001/XMLSchema" xmlns:p="http://schemas.microsoft.com/office/2006/metadata/properties" xmlns:ns2="62de3fe2-ae67-45d5-ad7c-c52bec671666" xmlns:ns3="5d69cad7-c4e0-4783-a591-557a2e072b2b" targetNamespace="http://schemas.microsoft.com/office/2006/metadata/properties" ma:root="true" ma:fieldsID="609d7d65f0056fc0daeed78af9386002" ns2:_="" ns3:_="">
    <xsd:import namespace="62de3fe2-ae67-45d5-ad7c-c52bec671666"/>
    <xsd:import namespace="5d69cad7-c4e0-4783-a591-557a2e072b2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de3fe2-ae67-45d5-ad7c-c52bec6716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Marcações de imagem" ma:readOnly="false" ma:fieldId="{5cf76f15-5ced-4ddc-b409-7134ff3c332f}" ma:taxonomyMulti="true" ma:sspId="6ab6c435-c269-49a1-8c1d-5fd03679d7fd"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d69cad7-c4e0-4783-a591-557a2e072b2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3fe5171-3c9a-4d5b-a82f-53232c587c80}" ma:internalName="TaxCatchAll" ma:showField="CatchAllData" ma:web="5d69cad7-c4e0-4783-a591-557a2e072b2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xml version="1.0" encoding="utf-8"?>
<p:properties xmlns:p="http://schemas.microsoft.com/office/2006/metadata/properties" xmlns:xsi="http://www.w3.org/2001/XMLSchema-instance" xmlns:pc="http://schemas.microsoft.com/office/infopath/2007/PartnerControls">
  <documentManagement>
    <TaxCatchAll xmlns="5d69cad7-c4e0-4783-a591-557a2e072b2b" xsi:nil="true"/>
    <lcf76f155ced4ddcb4097134ff3c332f xmlns="62de3fe2-ae67-45d5-ad7c-c52bec671666">
      <Terms xmlns="http://schemas.microsoft.com/office/infopath/2007/PartnerControls"/>
    </lcf76f155ced4ddcb4097134ff3c332f>
  </documentManagement>
</p:properties>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EBFFF5B-F28E-4B80-8F1D-176947082C44}">
  <ds:schemaRefs/>
</ds:datastoreItem>
</file>

<file path=customXml/itemProps2.xml><?xml version="1.0" encoding="utf-8"?>
<ds:datastoreItem xmlns:ds="http://schemas.openxmlformats.org/officeDocument/2006/customXml" ds:itemID="{5B927B9A-1754-46D9-9DB2-B1513E0CB281}">
  <ds:schemaRefs>
    <ds:schemaRef ds:uri="http://schemas.microsoft.com/sharepoint/v3/contenttype/forms"/>
  </ds:schemaRefs>
</ds:datastoreItem>
</file>

<file path=customXml/itemProps3.xml><?xml version="1.0" encoding="utf-8"?>
<ds:datastoreItem xmlns:ds="http://schemas.openxmlformats.org/officeDocument/2006/customXml" ds:itemID="{BD2095B7-1ED9-41A8-AF69-C9C91CB4729A}">
  <ds:schemaRefs/>
</ds:datastoreItem>
</file>

<file path=customXml/itemProps4.xml><?xml version="1.0" encoding="utf-8"?>
<ds:datastoreItem xmlns:ds="http://schemas.openxmlformats.org/officeDocument/2006/customXml" ds:itemID="{DCB75195-A38F-4F43-9C3D-69BDBB06EB25}">
  <ds:schemaRefs/>
</ds:datastoreItem>
</file>

<file path=customXml/itemProps5.xml><?xml version="1.0" encoding="utf-8"?>
<ds:datastoreItem xmlns:ds="http://schemas.openxmlformats.org/officeDocument/2006/customXml" ds:itemID="{6FB5C1FE-AA8E-439B-8C7F-0419F24528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de3fe2-ae67-45d5-ad7c-c52bec671666"/>
    <ds:schemaRef ds:uri="5d69cad7-c4e0-4783-a591-557a2e072b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64DCA64B-5202-441C-9921-0460729CCB57}">
  <ds:schemaRefs/>
</ds:datastoreItem>
</file>

<file path=customXml/itemProps7.xml><?xml version="1.0" encoding="utf-8"?>
<ds:datastoreItem xmlns:ds="http://schemas.openxmlformats.org/officeDocument/2006/customXml" ds:itemID="{51CF77C6-E869-4681-A37D-68310C581676}">
  <ds:schemaRefs/>
</ds:datastoreItem>
</file>

<file path=customXml/itemProps8.xml><?xml version="1.0" encoding="utf-8"?>
<ds:datastoreItem xmlns:ds="http://schemas.openxmlformats.org/officeDocument/2006/customXml" ds:itemID="{7A11CC89-B51F-4E06-A296-B06BA8DABBAD}">
  <ds:schemaRefs/>
</ds:datastoreItem>
</file>

<file path=customXml/itemProps9.xml><?xml version="1.0" encoding="utf-8"?>
<ds:datastoreItem xmlns:ds="http://schemas.openxmlformats.org/officeDocument/2006/customXml" ds:itemID="{7848FF76-5214-4A6B-80D3-2E342D543FB8}">
  <ds:schemaRefs/>
</ds:datastoreItem>
</file>

<file path=customXml/itemProps10.xml><?xml version="1.0" encoding="utf-8"?>
<ds:datastoreItem xmlns:ds="http://schemas.openxmlformats.org/officeDocument/2006/customXml" ds:itemID="{466B6673-B25C-4550-A724-35B6B41B975E}">
  <ds:schemaRefs/>
</ds:datastoreItem>
</file>

<file path=customXml/itemProps11.xml><?xml version="1.0" encoding="utf-8"?>
<ds:datastoreItem xmlns:ds="http://schemas.openxmlformats.org/officeDocument/2006/customXml" ds:itemID="{2C9F82EE-E3EE-464C-A4A6-90C88ED6139E}">
  <ds:schemaRefs/>
</ds:datastoreItem>
</file>

<file path=customXml/itemProps12.xml><?xml version="1.0" encoding="utf-8"?>
<ds:datastoreItem xmlns:ds="http://schemas.openxmlformats.org/officeDocument/2006/customXml" ds:itemID="{9D8D8544-8B62-4CBF-8EB5-2A8B29D05AB3}">
  <ds:schemaRefs/>
</ds:datastoreItem>
</file>

<file path=customXml/itemProps13.xml><?xml version="1.0" encoding="utf-8"?>
<ds:datastoreItem xmlns:ds="http://schemas.openxmlformats.org/officeDocument/2006/customXml" ds:itemID="{B0D7FC01-3AC7-4743-AA5F-ECD28030387B}">
  <ds:schemaRefs/>
</ds:datastoreItem>
</file>

<file path=customXml/itemProps14.xml><?xml version="1.0" encoding="utf-8"?>
<ds:datastoreItem xmlns:ds="http://schemas.openxmlformats.org/officeDocument/2006/customXml" ds:itemID="{4A410B91-207E-48AA-AAA5-E88021044360}">
  <ds:schemaRefs/>
</ds:datastoreItem>
</file>

<file path=customXml/itemProps15.xml><?xml version="1.0" encoding="utf-8"?>
<ds:datastoreItem xmlns:ds="http://schemas.openxmlformats.org/officeDocument/2006/customXml" ds:itemID="{F35337E1-AE43-4AC0-9F72-6C445B536C46}">
  <ds:schemaRefs/>
</ds:datastoreItem>
</file>

<file path=customXml/itemProps16.xml><?xml version="1.0" encoding="utf-8"?>
<ds:datastoreItem xmlns:ds="http://schemas.openxmlformats.org/officeDocument/2006/customXml" ds:itemID="{33DBD082-1837-47B2-8FB2-11E9A2962156}">
  <ds:schemaRefs>
    <ds:schemaRef ds:uri="http://schemas.microsoft.com/DataMashup"/>
  </ds:schemaRefs>
</ds:datastoreItem>
</file>

<file path=customXml/itemProps17.xml><?xml version="1.0" encoding="utf-8"?>
<ds:datastoreItem xmlns:ds="http://schemas.openxmlformats.org/officeDocument/2006/customXml" ds:itemID="{2F021709-C933-4366-BC44-217FF3A7F140}">
  <ds:schemaRefs/>
</ds:datastoreItem>
</file>

<file path=customXml/itemProps18.xml><?xml version="1.0" encoding="utf-8"?>
<ds:datastoreItem xmlns:ds="http://schemas.openxmlformats.org/officeDocument/2006/customXml" ds:itemID="{CA36101C-7E9C-4B3F-9604-2FC0C95E5733}">
  <ds:schemaRefs>
    <ds:schemaRef ds:uri="http://schemas.microsoft.com/office/infopath/2007/PartnerControls"/>
    <ds:schemaRef ds:uri="http://schemas.microsoft.com/office/2006/documentManagement/types"/>
    <ds:schemaRef ds:uri="http://schemas.microsoft.com/office/2006/metadata/properties"/>
    <ds:schemaRef ds:uri="http://www.w3.org/XML/1998/namespace"/>
    <ds:schemaRef ds:uri="5d69cad7-c4e0-4783-a591-557a2e072b2b"/>
    <ds:schemaRef ds:uri="62de3fe2-ae67-45d5-ad7c-c52bec671666"/>
    <ds:schemaRef ds:uri="http://purl.org/dc/elements/1.1/"/>
    <ds:schemaRef ds:uri="http://schemas.openxmlformats.org/package/2006/metadata/core-properties"/>
    <ds:schemaRef ds:uri="http://purl.org/dc/dcmitype/"/>
    <ds:schemaRef ds:uri="http://purl.org/dc/terms/"/>
  </ds:schemaRefs>
</ds:datastoreItem>
</file>

<file path=customXml/itemProps19.xml><?xml version="1.0" encoding="utf-8"?>
<ds:datastoreItem xmlns:ds="http://schemas.openxmlformats.org/officeDocument/2006/customXml" ds:itemID="{5CE41CCE-3EAE-4CCA-87E4-866D6AF64CCC}">
  <ds:schemaRefs/>
</ds:datastoreItem>
</file>

<file path=customXml/itemProps20.xml><?xml version="1.0" encoding="utf-8"?>
<ds:datastoreItem xmlns:ds="http://schemas.openxmlformats.org/officeDocument/2006/customXml" ds:itemID="{02E39ECF-274E-4960-B0EC-5193F5AA1D1B}">
  <ds:schemaRefs/>
</ds:datastoreItem>
</file>

<file path=customXml/itemProps21.xml><?xml version="1.0" encoding="utf-8"?>
<ds:datastoreItem xmlns:ds="http://schemas.openxmlformats.org/officeDocument/2006/customXml" ds:itemID="{7A7C65E3-0D00-4824-BA56-1C62E3134DF3}">
  <ds:schemaRefs/>
</ds:datastoreItem>
</file>

<file path=customXml/itemProps22.xml><?xml version="1.0" encoding="utf-8"?>
<ds:datastoreItem xmlns:ds="http://schemas.openxmlformats.org/officeDocument/2006/customXml" ds:itemID="{5D0609C2-9498-4899-9A68-AFE13B78BF2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19</vt:i4>
      </vt:variant>
    </vt:vector>
  </HeadingPairs>
  <TitlesOfParts>
    <vt:vector size="19" baseType="lpstr">
      <vt:lpstr>PAINEL</vt:lpstr>
      <vt:lpstr>INTEGRADO</vt:lpstr>
      <vt:lpstr>CONTROLE EC</vt:lpstr>
      <vt:lpstr>CONTROLE CRONOG</vt:lpstr>
      <vt:lpstr>PACOTE INICIAL</vt:lpstr>
      <vt:lpstr>CONTROLE FIN</vt:lpstr>
      <vt:lpstr>DISTR-MÊS</vt:lpstr>
      <vt:lpstr>DISTR-FIN</vt:lpstr>
      <vt:lpstr>BD-RO</vt:lpstr>
      <vt:lpstr>BD-RA</vt:lpstr>
      <vt:lpstr>CONTR.RO-RA</vt:lpstr>
      <vt:lpstr>CONTR-HHPLAN</vt:lpstr>
      <vt:lpstr>Hh EXE-TOTAL</vt:lpstr>
      <vt:lpstr>Tb_HhEXEC UTGC</vt:lpstr>
      <vt:lpstr>Tb_HhEXEC EDIVIT</vt:lpstr>
      <vt:lpstr>DISTR-FIN_0</vt:lpstr>
      <vt:lpstr>DISTR_FASE</vt:lpstr>
      <vt:lpstr>AUX</vt:lpstr>
      <vt:lpstr>CLASS-FIN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 Filho</dc:creator>
  <cp:keywords/>
  <dc:description/>
  <cp:lastModifiedBy>Geison</cp:lastModifiedBy>
  <cp:revision/>
  <cp:lastPrinted>2026-02-11T18:36:57Z</cp:lastPrinted>
  <dcterms:created xsi:type="dcterms:W3CDTF">2023-08-21T16:23:21Z</dcterms:created>
  <dcterms:modified xsi:type="dcterms:W3CDTF">2026-03-27T11:16:23Z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0x0101005C9509E3CC717C4F8644E030A78ACA5E</vt:lpwstr>
  </property>
  <property fmtid="{D5CDD505-2E9C-101B-9397-08002B2CF9AE}" pid="3" name="MediaServiceImageTags">
    <vt:lpwstr/>
  </property>
</Properties>
</file>