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MAY" sheetId="4" r:id="rId1"/>
    <sheet name="JUNE" sheetId="5" r:id="rId2"/>
    <sheet name="JULY" sheetId="6" r:id="rId3"/>
    <sheet name="AUGUST" sheetId="8" r:id="rId4"/>
    <sheet name="SEPTEMBER" sheetId="9" r:id="rId5"/>
    <sheet name="OCTOBER" sheetId="10" r:id="rId6"/>
    <sheet name="NOVEMBER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1" l="1"/>
  <c r="F35" i="11"/>
  <c r="E35" i="11"/>
  <c r="D35" i="11"/>
  <c r="C35" i="11"/>
  <c r="G36" i="11" s="1"/>
  <c r="L34" i="11"/>
  <c r="J34" i="11"/>
  <c r="I34" i="11"/>
  <c r="L33" i="11"/>
  <c r="J33" i="11"/>
  <c r="I33" i="11"/>
  <c r="L32" i="11"/>
  <c r="J32" i="11"/>
  <c r="I32" i="11"/>
  <c r="L31" i="11"/>
  <c r="J31" i="11"/>
  <c r="I31" i="11"/>
  <c r="L30" i="11"/>
  <c r="J30" i="11"/>
  <c r="I30" i="11"/>
  <c r="L29" i="11"/>
  <c r="J29" i="11"/>
  <c r="I29" i="11"/>
  <c r="L28" i="11"/>
  <c r="J28" i="11"/>
  <c r="I28" i="11"/>
  <c r="L27" i="11"/>
  <c r="J27" i="11"/>
  <c r="I27" i="11"/>
  <c r="L26" i="11"/>
  <c r="J26" i="11"/>
  <c r="I26" i="11"/>
  <c r="L25" i="11"/>
  <c r="J25" i="11"/>
  <c r="I25" i="11"/>
  <c r="L24" i="11"/>
  <c r="J24" i="11"/>
  <c r="I24" i="11"/>
  <c r="L23" i="11"/>
  <c r="J23" i="11"/>
  <c r="I23" i="11"/>
  <c r="L22" i="11"/>
  <c r="J22" i="11"/>
  <c r="I22" i="11"/>
  <c r="L21" i="11"/>
  <c r="J21" i="11"/>
  <c r="I21" i="11"/>
  <c r="L20" i="11"/>
  <c r="J20" i="11"/>
  <c r="I20" i="11"/>
  <c r="L19" i="11"/>
  <c r="J19" i="11"/>
  <c r="I19" i="11"/>
  <c r="L18" i="11"/>
  <c r="J18" i="11"/>
  <c r="I18" i="11"/>
  <c r="L17" i="11"/>
  <c r="J17" i="11"/>
  <c r="I17" i="11"/>
  <c r="L16" i="11"/>
  <c r="J16" i="11"/>
  <c r="I16" i="11"/>
  <c r="L15" i="11"/>
  <c r="J15" i="11"/>
  <c r="I15" i="11"/>
  <c r="L14" i="11"/>
  <c r="J14" i="11"/>
  <c r="I14" i="11"/>
  <c r="L13" i="11"/>
  <c r="J13" i="11"/>
  <c r="I13" i="11"/>
  <c r="L12" i="11"/>
  <c r="J12" i="11"/>
  <c r="I12" i="11"/>
  <c r="L11" i="11"/>
  <c r="J11" i="11"/>
  <c r="I11" i="11"/>
  <c r="L10" i="11"/>
  <c r="J10" i="11"/>
  <c r="I10" i="11"/>
  <c r="L9" i="11"/>
  <c r="J9" i="11"/>
  <c r="I9" i="11"/>
  <c r="L8" i="11"/>
  <c r="J8" i="11"/>
  <c r="I8" i="11"/>
  <c r="L7" i="11"/>
  <c r="J7" i="11"/>
  <c r="I7" i="11"/>
  <c r="L6" i="11"/>
  <c r="J6" i="11"/>
  <c r="I6" i="11"/>
  <c r="L5" i="11"/>
  <c r="J5" i="11"/>
  <c r="I5" i="11"/>
  <c r="H36" i="11" l="1"/>
  <c r="L35" i="11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O2" i="9"/>
  <c r="I35" i="10" l="1"/>
  <c r="J35" i="10"/>
  <c r="L35" i="10"/>
  <c r="H36" i="10"/>
  <c r="F36" i="10"/>
  <c r="E36" i="10"/>
  <c r="H37" i="10" s="1"/>
  <c r="D36" i="10"/>
  <c r="C36" i="10"/>
  <c r="G37" i="10" s="1"/>
  <c r="L34" i="10"/>
  <c r="J34" i="10"/>
  <c r="I34" i="10"/>
  <c r="L33" i="10"/>
  <c r="J33" i="10"/>
  <c r="I33" i="10"/>
  <c r="L32" i="10"/>
  <c r="J32" i="10"/>
  <c r="I32" i="10"/>
  <c r="L31" i="10"/>
  <c r="J31" i="10"/>
  <c r="I31" i="10"/>
  <c r="L30" i="10"/>
  <c r="J30" i="10"/>
  <c r="I30" i="10"/>
  <c r="L29" i="10"/>
  <c r="J29" i="10"/>
  <c r="I29" i="10"/>
  <c r="L28" i="10"/>
  <c r="J28" i="10"/>
  <c r="I28" i="10"/>
  <c r="L27" i="10"/>
  <c r="J27" i="10"/>
  <c r="I27" i="10"/>
  <c r="L26" i="10"/>
  <c r="J26" i="10"/>
  <c r="I26" i="10"/>
  <c r="L25" i="10"/>
  <c r="J25" i="10"/>
  <c r="I25" i="10"/>
  <c r="L24" i="10"/>
  <c r="J24" i="10"/>
  <c r="I24" i="10"/>
  <c r="L23" i="10"/>
  <c r="J23" i="10"/>
  <c r="I23" i="10"/>
  <c r="L22" i="10"/>
  <c r="J22" i="10"/>
  <c r="I22" i="10"/>
  <c r="L21" i="10"/>
  <c r="J21" i="10"/>
  <c r="I21" i="10"/>
  <c r="L20" i="10"/>
  <c r="J20" i="10"/>
  <c r="I20" i="10"/>
  <c r="L19" i="10"/>
  <c r="J19" i="10"/>
  <c r="I19" i="10"/>
  <c r="L18" i="10"/>
  <c r="J18" i="10"/>
  <c r="I18" i="10"/>
  <c r="L17" i="10"/>
  <c r="J17" i="10"/>
  <c r="I17" i="10"/>
  <c r="L16" i="10"/>
  <c r="J16" i="10"/>
  <c r="I16" i="10"/>
  <c r="L15" i="10"/>
  <c r="J15" i="10"/>
  <c r="I15" i="10"/>
  <c r="L14" i="10"/>
  <c r="J14" i="10"/>
  <c r="I14" i="10"/>
  <c r="L13" i="10"/>
  <c r="J13" i="10"/>
  <c r="I13" i="10"/>
  <c r="L12" i="10"/>
  <c r="J12" i="10"/>
  <c r="I12" i="10"/>
  <c r="L11" i="10"/>
  <c r="J11" i="10"/>
  <c r="I11" i="10"/>
  <c r="L10" i="10"/>
  <c r="J10" i="10"/>
  <c r="I10" i="10"/>
  <c r="L9" i="10"/>
  <c r="J9" i="10"/>
  <c r="I9" i="10"/>
  <c r="L8" i="10"/>
  <c r="J8" i="10"/>
  <c r="I8" i="10"/>
  <c r="L7" i="10"/>
  <c r="J7" i="10"/>
  <c r="I7" i="10"/>
  <c r="L6" i="10"/>
  <c r="J6" i="10"/>
  <c r="I6" i="10"/>
  <c r="L5" i="10"/>
  <c r="J5" i="10"/>
  <c r="I5" i="10"/>
  <c r="C35" i="9"/>
  <c r="D35" i="9"/>
  <c r="E35" i="9"/>
  <c r="F35" i="9"/>
  <c r="H35" i="9"/>
  <c r="I5" i="9"/>
  <c r="L36" i="10" l="1"/>
  <c r="H36" i="9"/>
  <c r="G36" i="9"/>
  <c r="L34" i="9"/>
  <c r="J34" i="9"/>
  <c r="I34" i="9"/>
  <c r="L33" i="9"/>
  <c r="J33" i="9"/>
  <c r="I33" i="9"/>
  <c r="L32" i="9"/>
  <c r="J32" i="9"/>
  <c r="I32" i="9"/>
  <c r="L31" i="9"/>
  <c r="J31" i="9"/>
  <c r="I31" i="9"/>
  <c r="L30" i="9"/>
  <c r="J30" i="9"/>
  <c r="I30" i="9"/>
  <c r="L29" i="9"/>
  <c r="J29" i="9"/>
  <c r="I29" i="9"/>
  <c r="L28" i="9"/>
  <c r="J28" i="9"/>
  <c r="I28" i="9"/>
  <c r="L27" i="9"/>
  <c r="J27" i="9"/>
  <c r="I27" i="9"/>
  <c r="L26" i="9"/>
  <c r="J26" i="9"/>
  <c r="I26" i="9"/>
  <c r="L25" i="9"/>
  <c r="J25" i="9"/>
  <c r="I25" i="9"/>
  <c r="L24" i="9"/>
  <c r="J24" i="9"/>
  <c r="I24" i="9"/>
  <c r="L23" i="9"/>
  <c r="J23" i="9"/>
  <c r="I23" i="9"/>
  <c r="L22" i="9"/>
  <c r="J22" i="9"/>
  <c r="I22" i="9"/>
  <c r="L21" i="9"/>
  <c r="J21" i="9"/>
  <c r="I21" i="9"/>
  <c r="L20" i="9"/>
  <c r="J20" i="9"/>
  <c r="I20" i="9"/>
  <c r="L19" i="9"/>
  <c r="J19" i="9"/>
  <c r="I19" i="9"/>
  <c r="L18" i="9"/>
  <c r="J18" i="9"/>
  <c r="I18" i="9"/>
  <c r="L17" i="9"/>
  <c r="J17" i="9"/>
  <c r="I17" i="9"/>
  <c r="L16" i="9"/>
  <c r="J16" i="9"/>
  <c r="I16" i="9"/>
  <c r="L15" i="9"/>
  <c r="J15" i="9"/>
  <c r="I15" i="9"/>
  <c r="L14" i="9"/>
  <c r="J14" i="9"/>
  <c r="I14" i="9"/>
  <c r="L13" i="9"/>
  <c r="J13" i="9"/>
  <c r="I13" i="9"/>
  <c r="L12" i="9"/>
  <c r="J12" i="9"/>
  <c r="I12" i="9"/>
  <c r="L11" i="9"/>
  <c r="J11" i="9"/>
  <c r="I11" i="9"/>
  <c r="L10" i="9"/>
  <c r="J10" i="9"/>
  <c r="I10" i="9"/>
  <c r="L9" i="9"/>
  <c r="J9" i="9"/>
  <c r="I9" i="9"/>
  <c r="L8" i="9"/>
  <c r="J8" i="9"/>
  <c r="I8" i="9"/>
  <c r="L7" i="9"/>
  <c r="J7" i="9"/>
  <c r="I7" i="9"/>
  <c r="L6" i="9"/>
  <c r="J6" i="9"/>
  <c r="I6" i="9"/>
  <c r="L5" i="9"/>
  <c r="J5" i="9"/>
  <c r="L35" i="9" l="1"/>
  <c r="H36" i="8"/>
  <c r="F36" i="8"/>
  <c r="E36" i="8"/>
  <c r="D36" i="8"/>
  <c r="C36" i="8"/>
  <c r="L35" i="8"/>
  <c r="J35" i="8"/>
  <c r="I35" i="8"/>
  <c r="L34" i="8"/>
  <c r="J34" i="8"/>
  <c r="I34" i="8"/>
  <c r="L33" i="8"/>
  <c r="J33" i="8"/>
  <c r="I33" i="8"/>
  <c r="L32" i="8"/>
  <c r="J32" i="8"/>
  <c r="I32" i="8"/>
  <c r="L31" i="8"/>
  <c r="J31" i="8"/>
  <c r="I31" i="8"/>
  <c r="L30" i="8"/>
  <c r="J30" i="8"/>
  <c r="I30" i="8"/>
  <c r="L29" i="8"/>
  <c r="J29" i="8"/>
  <c r="I29" i="8"/>
  <c r="L28" i="8"/>
  <c r="J28" i="8"/>
  <c r="I28" i="8"/>
  <c r="L27" i="8"/>
  <c r="J27" i="8"/>
  <c r="I27" i="8"/>
  <c r="L26" i="8"/>
  <c r="J26" i="8"/>
  <c r="I26" i="8"/>
  <c r="L25" i="8"/>
  <c r="J25" i="8"/>
  <c r="I25" i="8"/>
  <c r="L24" i="8"/>
  <c r="J24" i="8"/>
  <c r="I24" i="8"/>
  <c r="L23" i="8"/>
  <c r="J23" i="8"/>
  <c r="I23" i="8"/>
  <c r="L22" i="8"/>
  <c r="J22" i="8"/>
  <c r="I22" i="8"/>
  <c r="L21" i="8"/>
  <c r="J21" i="8"/>
  <c r="I21" i="8"/>
  <c r="L20" i="8"/>
  <c r="J20" i="8"/>
  <c r="I20" i="8"/>
  <c r="L19" i="8"/>
  <c r="J19" i="8"/>
  <c r="I19" i="8"/>
  <c r="L18" i="8"/>
  <c r="J18" i="8"/>
  <c r="I18" i="8"/>
  <c r="L17" i="8"/>
  <c r="J17" i="8"/>
  <c r="I17" i="8"/>
  <c r="L16" i="8"/>
  <c r="J16" i="8"/>
  <c r="I16" i="8"/>
  <c r="L15" i="8"/>
  <c r="J15" i="8"/>
  <c r="I15" i="8"/>
  <c r="L14" i="8"/>
  <c r="J14" i="8"/>
  <c r="I14" i="8"/>
  <c r="L13" i="8"/>
  <c r="J13" i="8"/>
  <c r="I13" i="8"/>
  <c r="L12" i="8"/>
  <c r="J12" i="8"/>
  <c r="I12" i="8"/>
  <c r="L11" i="8"/>
  <c r="J11" i="8"/>
  <c r="I11" i="8"/>
  <c r="L10" i="8"/>
  <c r="J10" i="8"/>
  <c r="I10" i="8"/>
  <c r="L9" i="8"/>
  <c r="J9" i="8"/>
  <c r="I9" i="8"/>
  <c r="L8" i="8"/>
  <c r="J8" i="8"/>
  <c r="I8" i="8"/>
  <c r="L7" i="8"/>
  <c r="J7" i="8"/>
  <c r="I7" i="8"/>
  <c r="L6" i="8"/>
  <c r="J6" i="8"/>
  <c r="I6" i="8"/>
  <c r="L5" i="8"/>
  <c r="J5" i="8"/>
  <c r="I5" i="8"/>
  <c r="H37" i="8" l="1"/>
  <c r="G37" i="8"/>
  <c r="L36" i="8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 l="1"/>
  <c r="I35" i="6"/>
  <c r="J35" i="6"/>
  <c r="H36" i="6"/>
  <c r="F36" i="6"/>
  <c r="E36" i="6"/>
  <c r="D36" i="6"/>
  <c r="C36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G37" i="6" l="1"/>
  <c r="H37" i="6"/>
  <c r="H35" i="5"/>
  <c r="F35" i="5"/>
  <c r="E35" i="5"/>
  <c r="H36" i="5" s="1"/>
  <c r="D35" i="5"/>
  <c r="C35" i="5"/>
  <c r="G36" i="5" s="1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I34" i="4" l="1"/>
  <c r="J34" i="4"/>
  <c r="H36" i="4"/>
  <c r="F36" i="4"/>
  <c r="E36" i="4"/>
  <c r="D36" i="4"/>
  <c r="C36" i="4"/>
  <c r="J35" i="4"/>
  <c r="I35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G37" i="4" l="1"/>
  <c r="H37" i="4"/>
</calcChain>
</file>

<file path=xl/comments1.xml><?xml version="1.0" encoding="utf-8"?>
<comments xmlns="http://schemas.openxmlformats.org/spreadsheetml/2006/main">
  <authors>
    <author>Συντάκτης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  <charset val="161"/>
          </rPr>
          <t>Συντάκτης:</t>
        </r>
        <r>
          <rPr>
            <sz val="9"/>
            <color indexed="81"/>
            <rFont val="Tahoma"/>
            <family val="2"/>
            <charset val="161"/>
          </rPr>
          <t xml:space="preserve">
μετεγχειρητική φυσιοθεραπεία καρδιάς</t>
        </r>
      </text>
    </comment>
  </commentList>
</comments>
</file>

<file path=xl/sharedStrings.xml><?xml version="1.0" encoding="utf-8"?>
<sst xmlns="http://schemas.openxmlformats.org/spreadsheetml/2006/main" count="144" uniqueCount="38">
  <si>
    <t>DATE</t>
  </si>
  <si>
    <t>DISTANCE (km)</t>
  </si>
  <si>
    <t>DURATION (min)</t>
  </si>
  <si>
    <t>KCAL</t>
  </si>
  <si>
    <t>ΣΥΝΟΛΑ ΜΗΝΑ</t>
  </si>
  <si>
    <t>DISTANCE (km)2</t>
  </si>
  <si>
    <t>DURATION (min)2</t>
  </si>
  <si>
    <t>KCAL2</t>
  </si>
  <si>
    <t>ΠΡΩΙ</t>
  </si>
  <si>
    <t>ΑΠΟΓΕΥΜΑ</t>
  </si>
  <si>
    <t>KM</t>
  </si>
  <si>
    <t>KCAL3</t>
  </si>
  <si>
    <t>DEG</t>
  </si>
  <si>
    <t>MONTHLY SUMS</t>
  </si>
  <si>
    <t>Σχόλια</t>
  </si>
  <si>
    <t>Βάρος</t>
  </si>
  <si>
    <t>ΚΛΙΣΗ (DEG)</t>
  </si>
  <si>
    <t>DISTANCE (m)</t>
  </si>
  <si>
    <t>M</t>
  </si>
  <si>
    <t>ΠΡΟΓΡΑΜΜΑ ΣΤΟ ΔΙΑΔΡΟΜΟ - ΜΑΪΟΣ</t>
  </si>
  <si>
    <t>ΠΡΟΓΡΑΜΜΑ ΣΤΟ ΔΙΑΔΡΟΜΟ - ΙΟΥΝΙΟΣ</t>
  </si>
  <si>
    <t>1, 2</t>
  </si>
  <si>
    <t>1, 3</t>
  </si>
  <si>
    <t>ΠΡΟΓΡΑΜΜΑ ΣΤΟ ΔΙΑΔΡΟΜΟ - ΙΟΥΛΙΟΣ</t>
  </si>
  <si>
    <t>3, 4, 6</t>
  </si>
  <si>
    <t>3, 6</t>
  </si>
  <si>
    <t>Kcal *</t>
  </si>
  <si>
    <t>CALIBRATION</t>
  </si>
  <si>
    <t>Jogging</t>
  </si>
  <si>
    <t>Watch</t>
  </si>
  <si>
    <t>ΠΡΟΓΡΑΜΜΑ ΣΤΟ ΔΙΑΔΡΟΜΟ -ΑΥΓΟΥΣΤΟΣ</t>
  </si>
  <si>
    <t>ΠΡΟΓΡΑΜΜΑ ΣΤΟ ΔΙΑΔΡΟΜΟ -ΣΕΠΤΕΜΒΡΙΟΣ</t>
  </si>
  <si>
    <t>KMD/KMW</t>
  </si>
  <si>
    <t>KMD = km διαδρόμου</t>
  </si>
  <si>
    <t>KMW = km ρολόι</t>
  </si>
  <si>
    <t>km (real)</t>
  </si>
  <si>
    <t>ΠΡΟΓΡΑΜΜΑ ΣΤΟ ΔΙΑΔΡΟΜΟ -ΟΚΤΩΒΡΙΟΣ</t>
  </si>
  <si>
    <t>ΠΡΟΓΡΑΜΜΑ ΣΤΟ ΔΙΑΔΡΟΜΟ -ΝΟΕΜΒΡΙΟΣ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</si>
</sst>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-F800]dddd\,\ mmmm\ dd\,\ yyyy"/>
    <numFmt numFmtId="165" formatCode="0.00\ \k\m"/>
    <numFmt numFmtId="166" formatCode="0\ \k\c\a\l"/>
    <numFmt numFmtId="167" formatCode="0.0\ &quot;Kg&quot;"/>
    <numFmt numFmtId="168" formatCode="0\ &quot;μέρες&quot;"/>
    <numFmt numFmtId="169" formatCode="0.000"/>
    <numFmt numFmtId="170" formatCode="0.00\ \m"/>
    <numFmt numFmtId="171" formatCode="0\ &quot;kcal&quot;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4"/>
      <color theme="0" tint="-4.9989318521683403E-2"/>
      <name val="Calibri"/>
      <family val="2"/>
      <charset val="161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4" tint="-0.499984740745262"/>
      <name val="Calibri"/>
      <family val="2"/>
      <charset val="161"/>
      <scheme val="minor"/>
    </font>
    <font>
      <b/>
      <sz val="12"/>
      <color theme="5" tint="-0.249977111117893"/>
      <name val="Calibri"/>
      <family val="2"/>
      <charset val="161"/>
      <scheme val="minor"/>
    </font>
    <font>
      <b/>
      <sz val="12"/>
      <color theme="0" tint="-4.9989318521683403E-2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rgb="FFFF0000"/>
      <name val="Calibri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i/>
      <sz val="11"/>
      <color theme="9" tint="-0.249977111117893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charset val="161"/>
      <scheme val="minor"/>
    </font>
    <font>
      <b/>
      <i/>
      <sz val="11"/>
      <color theme="4" tint="-0.49998474074526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2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2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8" fillId="5" borderId="4" xfId="0" applyNumberFormat="1" applyFont="1" applyFill="1" applyBorder="1" applyAlignment="1">
      <alignment horizontal="center"/>
    </xf>
    <xf numFmtId="165" fontId="8" fillId="5" borderId="4" xfId="0" applyNumberFormat="1" applyFont="1" applyFill="1" applyBorder="1" applyAlignment="1">
      <alignment horizontal="center"/>
    </xf>
    <xf numFmtId="166" fontId="8" fillId="5" borderId="4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167" fontId="9" fillId="0" borderId="0" xfId="0" applyNumberFormat="1" applyFont="1" applyAlignment="1">
      <alignment horizontal="center"/>
    </xf>
    <xf numFmtId="164" fontId="4" fillId="4" borderId="5" xfId="0" applyNumberFormat="1" applyFont="1" applyFill="1" applyBorder="1" applyAlignment="1">
      <alignment horizontal="left"/>
    </xf>
    <xf numFmtId="165" fontId="4" fillId="4" borderId="4" xfId="0" applyNumberFormat="1" applyFont="1" applyFill="1" applyBorder="1" applyAlignment="1">
      <alignment horizontal="center"/>
    </xf>
    <xf numFmtId="166" fontId="4" fillId="4" borderId="4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4" fillId="4" borderId="4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6" fillId="3" borderId="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/>
    <xf numFmtId="167" fontId="9" fillId="3" borderId="11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1" fillId="3" borderId="0" xfId="0" applyNumberFormat="1" applyFont="1" applyFill="1" applyAlignment="1">
      <alignment horizontal="left"/>
    </xf>
    <xf numFmtId="169" fontId="2" fillId="6" borderId="3" xfId="0" applyNumberFormat="1" applyFont="1" applyFill="1" applyBorder="1" applyAlignment="1">
      <alignment horizontal="center"/>
    </xf>
    <xf numFmtId="2" fontId="2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2" fontId="6" fillId="6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/>
    <xf numFmtId="167" fontId="9" fillId="6" borderId="11" xfId="0" applyNumberFormat="1" applyFont="1" applyFill="1" applyBorder="1" applyAlignment="1">
      <alignment horizontal="center"/>
    </xf>
    <xf numFmtId="169" fontId="1" fillId="3" borderId="7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1" fillId="6" borderId="0" xfId="0" applyNumberFormat="1" applyFont="1" applyFill="1" applyAlignment="1">
      <alignment horizontal="left"/>
    </xf>
    <xf numFmtId="1" fontId="1" fillId="3" borderId="7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170" fontId="8" fillId="5" borderId="4" xfId="0" applyNumberFormat="1" applyFont="1" applyFill="1" applyBorder="1" applyAlignment="1">
      <alignment horizontal="center"/>
    </xf>
    <xf numFmtId="170" fontId="4" fillId="4" borderId="4" xfId="0" applyNumberFormat="1" applyFont="1" applyFill="1" applyBorder="1" applyAlignment="1">
      <alignment horizontal="center"/>
    </xf>
    <xf numFmtId="1" fontId="13" fillId="6" borderId="3" xfId="0" applyNumberFormat="1" applyFont="1" applyFill="1" applyBorder="1"/>
    <xf numFmtId="2" fontId="13" fillId="6" borderId="3" xfId="0" applyNumberFormat="1" applyFont="1" applyFill="1" applyBorder="1"/>
    <xf numFmtId="169" fontId="13" fillId="6" borderId="3" xfId="0" applyNumberFormat="1" applyFont="1" applyFill="1" applyBorder="1"/>
    <xf numFmtId="0" fontId="13" fillId="6" borderId="3" xfId="0" applyFont="1" applyFill="1" applyBorder="1"/>
    <xf numFmtId="0" fontId="7" fillId="6" borderId="2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/>
    <xf numFmtId="167" fontId="10" fillId="6" borderId="11" xfId="0" applyNumberFormat="1" applyFont="1" applyFill="1" applyBorder="1" applyAlignment="1">
      <alignment horizontal="center"/>
    </xf>
    <xf numFmtId="167" fontId="9" fillId="6" borderId="8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7" fontId="9" fillId="4" borderId="0" xfId="0" applyNumberFormat="1" applyFont="1" applyFill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/>
    <xf numFmtId="2" fontId="2" fillId="0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4" borderId="8" xfId="0" applyFill="1" applyBorder="1"/>
    <xf numFmtId="167" fontId="9" fillId="0" borderId="2" xfId="0" applyNumberFormat="1" applyFont="1" applyFill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171" fontId="4" fillId="4" borderId="2" xfId="0" applyNumberFormat="1" applyFont="1" applyFill="1" applyBorder="1" applyAlignment="1">
      <alignment horizontal="center"/>
    </xf>
    <xf numFmtId="165" fontId="16" fillId="0" borderId="2" xfId="0" applyNumberFormat="1" applyFont="1" applyBorder="1" applyAlignment="1">
      <alignment horizontal="center"/>
    </xf>
    <xf numFmtId="0" fontId="0" fillId="7" borderId="12" xfId="0" applyFill="1" applyBorder="1"/>
    <xf numFmtId="2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13" xfId="0" applyFill="1" applyBorder="1"/>
    <xf numFmtId="171" fontId="17" fillId="0" borderId="14" xfId="0" applyNumberFormat="1" applyFont="1" applyBorder="1" applyAlignment="1">
      <alignment horizontal="center"/>
    </xf>
    <xf numFmtId="171" fontId="17" fillId="0" borderId="15" xfId="0" applyNumberFormat="1" applyFont="1" applyBorder="1" applyAlignment="1">
      <alignment horizontal="center"/>
    </xf>
    <xf numFmtId="171" fontId="17" fillId="0" borderId="16" xfId="0" applyNumberFormat="1" applyFont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167" fontId="9" fillId="4" borderId="2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165" fontId="15" fillId="0" borderId="5" xfId="0" applyNumberFormat="1" applyFont="1" applyBorder="1" applyAlignment="1">
      <alignment horizontal="center"/>
    </xf>
    <xf numFmtId="165" fontId="15" fillId="4" borderId="5" xfId="0" applyNumberFormat="1" applyFont="1" applyFill="1" applyBorder="1" applyAlignment="1">
      <alignment horizontal="center"/>
    </xf>
    <xf numFmtId="165" fontId="16" fillId="0" borderId="5" xfId="0" applyNumberFormat="1" applyFont="1" applyBorder="1" applyAlignment="1">
      <alignment horizontal="center"/>
    </xf>
    <xf numFmtId="0" fontId="0" fillId="7" borderId="5" xfId="0" applyFill="1" applyBorder="1"/>
    <xf numFmtId="171" fontId="17" fillId="0" borderId="2" xfId="0" applyNumberFormat="1" applyFont="1" applyBorder="1" applyAlignment="1">
      <alignment horizontal="center"/>
    </xf>
    <xf numFmtId="171" fontId="17" fillId="4" borderId="2" xfId="0" applyNumberFormat="1" applyFont="1" applyFill="1" applyBorder="1" applyAlignment="1">
      <alignment horizontal="center"/>
    </xf>
    <xf numFmtId="0" fontId="0" fillId="7" borderId="2" xfId="0" applyFill="1" applyBorder="1"/>
    <xf numFmtId="2" fontId="1" fillId="0" borderId="19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2" fontId="1" fillId="0" borderId="20" xfId="0" applyNumberFormat="1" applyFont="1" applyFill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left"/>
    </xf>
    <xf numFmtId="0" fontId="2" fillId="8" borderId="2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5" fontId="15" fillId="0" borderId="5" xfId="0" applyNumberFormat="1" applyFont="1" applyFill="1" applyBorder="1" applyAlignment="1">
      <alignment horizontal="center"/>
    </xf>
    <xf numFmtId="171" fontId="17" fillId="0" borderId="2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167" fontId="10" fillId="0" borderId="2" xfId="0" applyNumberFormat="1" applyFont="1" applyFill="1" applyBorder="1" applyAlignment="1">
      <alignment horizontal="center"/>
    </xf>
    <xf numFmtId="171" fontId="18" fillId="0" borderId="2" xfId="0" applyNumberFormat="1" applyFont="1" applyBorder="1" applyAlignment="1">
      <alignment horizontal="center"/>
    </xf>
    <xf numFmtId="2" fontId="1" fillId="9" borderId="20" xfId="0" applyNumberFormat="1" applyFont="1" applyFill="1" applyBorder="1" applyAlignment="1">
      <alignment horizontal="center"/>
    </xf>
    <xf numFmtId="2" fontId="1" fillId="9" borderId="3" xfId="0" applyNumberFormat="1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167" fontId="9" fillId="9" borderId="2" xfId="0" applyNumberFormat="1" applyFont="1" applyFill="1" applyBorder="1" applyAlignment="1">
      <alignment horizontal="center"/>
    </xf>
    <xf numFmtId="165" fontId="15" fillId="9" borderId="5" xfId="0" applyNumberFormat="1" applyFont="1" applyFill="1" applyBorder="1" applyAlignment="1">
      <alignment horizontal="center"/>
    </xf>
    <xf numFmtId="171" fontId="17" fillId="9" borderId="2" xfId="0" applyNumberFormat="1" applyFont="1" applyFill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2" fontId="15" fillId="7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2" fontId="1" fillId="9" borderId="19" xfId="0" applyNumberFormat="1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Κανονικό" xfId="0" builtinId="0"/>
  </cellStyles>
  <dxfs count="208"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1" formatCode="0\ &quot;kcal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\ &quot;μέρες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171" formatCode="0\ &quot;kcal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</font>
      <numFmt numFmtId="165" formatCode="0.00\ \k\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\ &quot;Kg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1" formatCode="0\ &quot;kcal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5" tint="-0.249977111117893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4" tint="-0.499984740745262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\ &quot;μέρες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171" formatCode="0\ &quot;kcal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</font>
      <numFmt numFmtId="165" formatCode="0.00\ \k\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\ &quot;Kg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/>
        <sz val="12"/>
        <color theme="5" tint="-0.249977111117893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2"/>
        <color theme="4" tint="-0.499984740745262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171" formatCode="0\ &quot;kcal&quot;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</font>
      <numFmt numFmtId="165" formatCode="0.00\ \k\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\ &quot;Kg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1" formatCode="0\ &quot;kcal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5" tint="-0.249977111117893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4" tint="-0.499984740745262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\ &quot;μέρες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171" formatCode="0\ &quot;kcal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</font>
      <numFmt numFmtId="165" formatCode="0.00\ \k\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\ &quot;Kg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1" formatCode="0\ &quot;kcal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5" tint="-0.249977111117893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4" tint="-0.499984740745262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\ &quot;μέρες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171" formatCode="0\ &quot;kcal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indexed="64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b/>
        <i/>
      </font>
      <numFmt numFmtId="165" formatCode="0.00\ \k\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\ &quot;Kg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1" formatCode="0\ &quot;kcal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5" tint="-0.249977111117893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4" tint="-0.499984740745262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\ &quot;μέρες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\ &quot;Kg&quot;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5" tint="-0.249977111117893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4" tint="-0.499984740745262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\ &quot;μέρες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\ &quot;Kg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5" tint="-0.249977111117893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z val="12"/>
        <color theme="4" tint="-0.499984740745262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\ \k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numFmt numFmtId="169" formatCode="0.00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\ \k\c\a\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numFmt numFmtId="2" formatCode="0.0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0\ &quot;μέρες&quot;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numFmt numFmtId="2" formatCode="0.0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0.00\ \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indexed="64"/>
        </bottom>
      </border>
    </dxf>
    <dxf>
      <numFmt numFmtId="1" formatCode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Πίνακας1435" displayName="Πίνακας1435" ref="B4:M36" totalsRowCount="1" headerRowDxfId="207" totalsRowDxfId="206" totalsRowBorderDxfId="205">
  <tableColumns count="12">
    <tableColumn id="1" name="DATE" totalsRowLabel="ΣΥΝΟΛΑ ΜΗΝΑ" totalsRowDxfId="204"/>
    <tableColumn id="2" name="DISTANCE (m)" totalsRowFunction="sum" dataDxfId="203" totalsRowDxfId="202"/>
    <tableColumn id="3" name="DURATION (min)" totalsRowFunction="countNums" dataDxfId="201" totalsRowDxfId="200"/>
    <tableColumn id="4" name="KCAL" totalsRowFunction="sum" dataDxfId="199" totalsRowDxfId="198"/>
    <tableColumn id="5" name="DISTANCE (km)2" totalsRowFunction="sum" dataDxfId="197" totalsRowDxfId="196"/>
    <tableColumn id="6" name="DURATION (min)2" dataDxfId="195" totalsRowDxfId="194"/>
    <tableColumn id="7" name="KCAL2" totalsRowFunction="sum" dataDxfId="193" totalsRowDxfId="192"/>
    <tableColumn id="9" name="M" dataDxfId="191" totalsRowDxfId="190">
      <calculatedColumnFormula>Πίνακας1435[[#This Row],[DISTANCE (m)]]+Πίνακας1435[[#This Row],[DISTANCE (km)2]]</calculatedColumnFormula>
    </tableColumn>
    <tableColumn id="10" name="KCAL3" dataDxfId="189" totalsRowDxfId="188">
      <calculatedColumnFormula>Πίνακας1435[[#This Row],[KCAL]]+Πίνακας1435[[#This Row],[KCAL2]]</calculatedColumnFormula>
    </tableColumn>
    <tableColumn id="11" name="ΚΛΙΣΗ (DEG)" dataDxfId="187" totalsRowDxfId="186"/>
    <tableColumn id="8" name="Σχόλια" dataDxfId="185" totalsRowDxfId="184"/>
    <tableColumn id="12" name="Βάρος" dataDxfId="183" totalsRowDxfId="18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Πίνακας146" displayName="Πίνακας146" ref="B4:M35" totalsRowCount="1" headerRowDxfId="181" totalsRowDxfId="180" totalsRowBorderDxfId="179">
  <tableColumns count="12">
    <tableColumn id="1" name="DATE" totalsRowLabel="ΣΥΝΟΛΑ ΜΗΝΑ" totalsRowDxfId="178"/>
    <tableColumn id="2" name="DISTANCE (km)" totalsRowFunction="sum" dataDxfId="177" totalsRowDxfId="176"/>
    <tableColumn id="3" name="DURATION (min)" totalsRowFunction="count" dataDxfId="175" totalsRowDxfId="174"/>
    <tableColumn id="4" name="KCAL" totalsRowFunction="sum" dataDxfId="173" totalsRowDxfId="172"/>
    <tableColumn id="5" name="DISTANCE (km)2" totalsRowFunction="sum" dataDxfId="171" totalsRowDxfId="170"/>
    <tableColumn id="6" name="DURATION (min)2" dataDxfId="169" totalsRowDxfId="168"/>
    <tableColumn id="7" name="KCAL2" totalsRowFunction="sum" dataDxfId="167" totalsRowDxfId="166"/>
    <tableColumn id="9" name="KM" dataDxfId="165" totalsRowDxfId="164">
      <calculatedColumnFormula>Πίνακας146[[#This Row],[DISTANCE (km)]]+Πίνακας146[[#This Row],[DISTANCE (km)2]]</calculatedColumnFormula>
    </tableColumn>
    <tableColumn id="10" name="KCAL3" dataDxfId="163" totalsRowDxfId="162">
      <calculatedColumnFormula>Πίνακας146[[#This Row],[KCAL]]+Πίνακας146[[#This Row],[KCAL2]]</calculatedColumnFormula>
    </tableColumn>
    <tableColumn id="11" name="DEG" dataDxfId="161" totalsRowDxfId="160"/>
    <tableColumn id="8" name="Σχόλια" dataDxfId="159" totalsRowDxfId="158"/>
    <tableColumn id="12" name="Βάρος" dataDxfId="157" totalsRowDxfId="1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Πίνακας1467" displayName="Πίνακας1467" ref="B4:O36" totalsRowCount="1" headerRowDxfId="155" totalsRowDxfId="154" totalsRowBorderDxfId="153">
  <tableColumns count="14">
    <tableColumn id="1" name="DATE" totalsRowLabel="ΣΥΝΟΛΑ ΜΗΝΑ" totalsRowDxfId="152"/>
    <tableColumn id="2" name="DISTANCE (km)" totalsRowFunction="sum" dataDxfId="151" totalsRowDxfId="150"/>
    <tableColumn id="3" name="DURATION (min)" totalsRowFunction="count" dataDxfId="149" totalsRowDxfId="148"/>
    <tableColumn id="4" name="KCAL" totalsRowFunction="sum" dataDxfId="147" totalsRowDxfId="146"/>
    <tableColumn id="5" name="DISTANCE (km)2" totalsRowFunction="sum" dataDxfId="145" totalsRowDxfId="144"/>
    <tableColumn id="6" name="DURATION (min)2" dataDxfId="143" totalsRowDxfId="142"/>
    <tableColumn id="7" name="KCAL2" totalsRowFunction="sum" dataDxfId="141" totalsRowDxfId="140"/>
    <tableColumn id="9" name="KM" dataDxfId="139" totalsRowDxfId="138">
      <calculatedColumnFormula>Πίνακας1467[[#This Row],[DISTANCE (km)]]+Πίνακας1467[[#This Row],[DISTANCE (km)2]]</calculatedColumnFormula>
    </tableColumn>
    <tableColumn id="10" name="KCAL3" dataDxfId="137" totalsRowDxfId="136">
      <calculatedColumnFormula>Πίνακας1467[[#This Row],[KCAL]]+Πίνακας1467[[#This Row],[KCAL2]]</calculatedColumnFormula>
    </tableColumn>
    <tableColumn id="11" name="DEG" dataDxfId="135" totalsRowDxfId="134"/>
    <tableColumn id="8" name="Kcal *" totalsRowFunction="sum" dataDxfId="133" totalsRowDxfId="132">
      <calculatedColumnFormula>IF( Πίνακας1467[[#This Row],[Watch]] &gt; 0, Πίνακας1467[[#This Row],[Watch]] +Πίνακας1467[[#This Row],[KCAL]]/2,Πίνακας1467[[#This Row],[KCAL]]*$L$2)</calculatedColumnFormula>
    </tableColumn>
    <tableColumn id="12" name="Βάρος" dataDxfId="131" totalsRowDxfId="130"/>
    <tableColumn id="13" name="Jogging" dataDxfId="129" totalsRowDxfId="128"/>
    <tableColumn id="14" name="Watch" dataDxfId="127" totalsRowDxfId="1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Πίνακας14672" displayName="Πίνακας14672" ref="B4:O36" totalsRowCount="1" headerRowDxfId="125" totalsRowDxfId="124" totalsRowBorderDxfId="123">
  <tableColumns count="14">
    <tableColumn id="1" name="DATE" totalsRowLabel="ΣΥΝΟΛΑ ΜΗΝΑ" dataDxfId="122" totalsRowDxfId="121"/>
    <tableColumn id="2" name="DISTANCE (km)" totalsRowFunction="sum" dataDxfId="120" totalsRowDxfId="119"/>
    <tableColumn id="3" name="DURATION (min)" totalsRowFunction="count" dataDxfId="118" totalsRowDxfId="117"/>
    <tableColumn id="4" name="KCAL" totalsRowFunction="sum" dataDxfId="116" totalsRowDxfId="115"/>
    <tableColumn id="5" name="DISTANCE (km)2" totalsRowFunction="sum" dataDxfId="114" totalsRowDxfId="113"/>
    <tableColumn id="6" name="DURATION (min)2" dataDxfId="112" totalsRowDxfId="111"/>
    <tableColumn id="7" name="KCAL2" totalsRowFunction="sum" dataDxfId="110" totalsRowDxfId="109"/>
    <tableColumn id="9" name="KM" dataDxfId="108" totalsRowDxfId="107">
      <calculatedColumnFormula>Πίνακας14672[[#This Row],[DISTANCE (km)]]+Πίνακας14672[[#This Row],[DISTANCE (km)2]]</calculatedColumnFormula>
    </tableColumn>
    <tableColumn id="10" name="KCAL3" dataDxfId="106" totalsRowDxfId="105">
      <calculatedColumnFormula>Πίνακας14672[[#This Row],[KCAL]]+Πίνακας14672[[#This Row],[KCAL2]]</calculatedColumnFormula>
    </tableColumn>
    <tableColumn id="11" name="DEG" dataDxfId="104" totalsRowDxfId="103"/>
    <tableColumn id="8" name="Kcal *" totalsRowFunction="sum" dataDxfId="102" totalsRowDxfId="101">
      <calculatedColumnFormula>IF( Πίνακας14672[[#This Row],[Watch]] &gt; 0, Πίνακας14672[[#This Row],[Watch]] +Πίνακας14672[[#This Row],[KCAL]]/2,Πίνακας14672[[#This Row],[KCAL]]*$L$2)</calculatedColumnFormula>
    </tableColumn>
    <tableColumn id="12" name="Βάρος" dataDxfId="100" totalsRowDxfId="99"/>
    <tableColumn id="13" name="Jogging" dataDxfId="98" totalsRowDxfId="97"/>
    <tableColumn id="14" name="Watch" dataDxfId="96" totalsRowDxfId="9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Workout" displayName="Workout" ref="B4:P35" totalsRowCount="1" headerRowDxfId="94" totalsRowDxfId="93" totalsRowBorderDxfId="92">
  <tableColumns count="15">
    <tableColumn id="1" name="DATE" totalsRowLabel="ΣΥΝΟΛΑ ΜΗΝΑ" dataDxfId="91" totalsRowDxfId="90"/>
    <tableColumn id="2" name="DISTANCE (km)" totalsRowFunction="sum" dataDxfId="89" totalsRowDxfId="88"/>
    <tableColumn id="3" name="DURATION (min)" totalsRowFunction="count" dataDxfId="87" totalsRowDxfId="86"/>
    <tableColumn id="4" name="KCAL" totalsRowFunction="sum" dataDxfId="85" totalsRowDxfId="84"/>
    <tableColumn id="5" name="DISTANCE (km)2" totalsRowFunction="sum" dataDxfId="83" totalsRowDxfId="82"/>
    <tableColumn id="6" name="DURATION (min)2" dataDxfId="81" totalsRowDxfId="80"/>
    <tableColumn id="7" name="KCAL2" totalsRowFunction="sum" dataDxfId="79" totalsRowDxfId="78"/>
    <tableColumn id="9" name="KM" dataDxfId="77" totalsRowDxfId="76">
      <calculatedColumnFormula>Workout[[#This Row],[DISTANCE (km)]]+Workout[[#This Row],[DISTANCE (km)2]]</calculatedColumnFormula>
    </tableColumn>
    <tableColumn id="10" name="KCAL3" dataDxfId="75" totalsRowDxfId="74">
      <calculatedColumnFormula>Workout[[#This Row],[KCAL]]+Workout[[#This Row],[KCAL2]]</calculatedColumnFormula>
    </tableColumn>
    <tableColumn id="11" name="DEG" dataDxfId="73" totalsRowDxfId="72"/>
    <tableColumn id="8" name="Kcal *" totalsRowFunction="sum" dataDxfId="71" totalsRowDxfId="70">
      <calculatedColumnFormula>IF( Workout[[#This Row],[Watch]] &gt; 0, Workout[[#This Row],[Watch]] +Workout[[#This Row],[KCAL]]/2,Workout[[#This Row],[KCAL]]*$L$2)</calculatedColumnFormula>
    </tableColumn>
    <tableColumn id="12" name="Βάρος" dataDxfId="69" totalsRowDxfId="68"/>
    <tableColumn id="13" name="Jogging" dataDxfId="67" totalsRowDxfId="66"/>
    <tableColumn id="14" name="Watch" dataDxfId="65" totalsRowDxfId="64"/>
    <tableColumn id="15" name="km (real)" dataDxfId="63" totalsRowDxfId="62">
      <calculatedColumnFormula>Workout[[#This Row],[Jogging]]*$O$2</calculatedColumnFormula>
    </tableColumn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id="3" name="Workout4" displayName="Workout4" ref="B4:O36" totalsRowCount="1" headerRowDxfId="61" totalsRowDxfId="60" totalsRowBorderDxfId="59">
  <tableColumns count="14">
    <tableColumn id="1" name="DATE" totalsRowLabel="ΣΥΝΟΛΑ ΜΗΝΑ" dataDxfId="58" totalsRowDxfId="13"/>
    <tableColumn id="2" name="DISTANCE (km)" totalsRowFunction="sum" dataDxfId="57" totalsRowDxfId="12"/>
    <tableColumn id="3" name="DURATION (min)" totalsRowFunction="count" dataDxfId="56" totalsRowDxfId="11"/>
    <tableColumn id="4" name="KCAL" totalsRowFunction="sum" dataDxfId="55" totalsRowDxfId="10"/>
    <tableColumn id="5" name="DISTANCE (km)2" totalsRowFunction="sum" dataDxfId="54" totalsRowDxfId="9"/>
    <tableColumn id="6" name="DURATION (min)2" dataDxfId="53" totalsRowDxfId="8"/>
    <tableColumn id="7" name="KCAL2" totalsRowFunction="sum" dataDxfId="52" totalsRowDxfId="7"/>
    <tableColumn id="9" name="KM" dataDxfId="51" totalsRowDxfId="6">
      <calculatedColumnFormula>Workout4[[#This Row],[DISTANCE (km)]]+Workout4[[#This Row],[DISTANCE (km)2]]</calculatedColumnFormula>
    </tableColumn>
    <tableColumn id="10" name="KCAL3" dataDxfId="50" totalsRowDxfId="5">
      <calculatedColumnFormula>Workout4[[#This Row],[KCAL]]+Workout4[[#This Row],[KCAL2]]</calculatedColumnFormula>
    </tableColumn>
    <tableColumn id="11" name="DEG" dataDxfId="49" totalsRowDxfId="4"/>
    <tableColumn id="8" name="Kcal *" totalsRowFunction="sum" dataDxfId="48" totalsRowDxfId="3">
      <calculatedColumnFormula>IF( Workout4[[#This Row],[Watch]] &gt; 0, Workout4[[#This Row],[Watch]] +Workout4[[#This Row],[KCAL]]/2,Workout4[[#This Row],[KCAL]]*$L$2)</calculatedColumnFormula>
    </tableColumn>
    <tableColumn id="12" name="Βάρος" dataDxfId="47" totalsRowDxfId="2"/>
    <tableColumn id="13" name="Jogging" dataDxfId="46" totalsRowDxfId="1"/>
    <tableColumn id="14" name="Watch" dataDxfId="45" totalsRowDxfId="0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id="7" name="Workout48" displayName="Workout48" ref="B4:O35" totalsRowCount="1" headerRowDxfId="44" totalsRowDxfId="43" totalsRowBorderDxfId="42">
  <tableColumns count="14">
    <tableColumn id="1" name="DATE" totalsRowLabel="ΣΥΝΟΛΑ ΜΗΝΑ" dataDxfId="41" totalsRowDxfId="40"/>
    <tableColumn id="2" name="DISTANCE (km)" totalsRowFunction="sum" dataDxfId="39" totalsRowDxfId="38"/>
    <tableColumn id="3" name="DURATION (min)" totalsRowFunction="count" dataDxfId="37" totalsRowDxfId="36"/>
    <tableColumn id="4" name="KCAL" totalsRowFunction="sum" dataDxfId="35" totalsRowDxfId="34"/>
    <tableColumn id="5" name="DISTANCE (km)2" totalsRowFunction="sum" dataDxfId="33" totalsRowDxfId="32"/>
    <tableColumn id="6" name="DURATION (min)2" dataDxfId="31" totalsRowDxfId="30"/>
    <tableColumn id="7" name="KCAL2" totalsRowFunction="sum" dataDxfId="29" totalsRowDxfId="28"/>
    <tableColumn id="9" name="KM" dataDxfId="27" totalsRowDxfId="26">
      <calculatedColumnFormula>Workout48[[#This Row],[DISTANCE (km)]]+Workout48[[#This Row],[DISTANCE (km)2]]</calculatedColumnFormula>
    </tableColumn>
    <tableColumn id="10" name="KCAL3" dataDxfId="25" totalsRowDxfId="24">
      <calculatedColumnFormula>Workout48[[#This Row],[KCAL]]+Workout48[[#This Row],[KCAL2]]</calculatedColumnFormula>
    </tableColumn>
    <tableColumn id="11" name="DEG" dataDxfId="23" totalsRowDxfId="22"/>
    <tableColumn id="8" name="Kcal *" totalsRowFunction="sum" dataDxfId="21" totalsRowDxfId="20">
      <calculatedColumnFormula>IF( Workout48[[#This Row],[Watch]] &gt; 0, Workout48[[#This Row],[Watch]] +Workout48[[#This Row],[KCAL]]/2,Workout48[[#This Row],[KCAL]]*$L$2)</calculatedColumnFormula>
    </tableColumn>
    <tableColumn id="12" name="Βάρος" dataDxfId="19" totalsRowDxfId="18"/>
    <tableColumn id="13" name="Jogging" dataDxfId="17" totalsRowDxfId="16"/>
    <tableColumn id="14" name="Watch" dataDxfId="15" totalsRowDxfId="1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37"/>
  <sheetViews>
    <sheetView topLeftCell="A5" workbookViewId="0">
      <selection activeCell="C22" sqref="C22"/>
    </sheetView>
  </sheetViews>
  <sheetFormatPr defaultRowHeight="15" x14ac:dyDescent="0.25"/>
  <cols>
    <col min="2" max="2" width="34.7109375" bestFit="1" customWidth="1"/>
    <col min="3" max="3" width="15.7109375" bestFit="1" customWidth="1"/>
    <col min="4" max="4" width="17.42578125" bestFit="1" customWidth="1"/>
    <col min="5" max="5" width="10.42578125" bestFit="1" customWidth="1"/>
    <col min="6" max="6" width="17.42578125" bestFit="1" customWidth="1"/>
    <col min="7" max="7" width="18.5703125" bestFit="1" customWidth="1"/>
    <col min="8" max="8" width="10" bestFit="1" customWidth="1"/>
    <col min="11" max="11" width="13.140625" customWidth="1"/>
    <col min="13" max="13" width="10" bestFit="1" customWidth="1"/>
  </cols>
  <sheetData>
    <row r="2" spans="2:13" ht="18.75" x14ac:dyDescent="0.3">
      <c r="B2" s="147" t="s">
        <v>19</v>
      </c>
      <c r="C2" s="147"/>
      <c r="D2" s="147"/>
      <c r="E2" s="147"/>
      <c r="F2" s="147"/>
      <c r="G2" s="147"/>
      <c r="H2" s="147"/>
    </row>
    <row r="3" spans="2:13" ht="15.75" x14ac:dyDescent="0.25">
      <c r="B3" s="1"/>
      <c r="C3" s="148" t="s">
        <v>8</v>
      </c>
      <c r="D3" s="148"/>
      <c r="E3" s="149"/>
      <c r="F3" s="150" t="s">
        <v>9</v>
      </c>
      <c r="G3" s="150"/>
      <c r="H3" s="150"/>
    </row>
    <row r="4" spans="2:13" ht="15.75" x14ac:dyDescent="0.25">
      <c r="B4" s="2" t="s">
        <v>0</v>
      </c>
      <c r="C4" s="14" t="s">
        <v>17</v>
      </c>
      <c r="D4" s="14" t="s">
        <v>2</v>
      </c>
      <c r="E4" s="14" t="s">
        <v>3</v>
      </c>
      <c r="F4" s="15" t="s">
        <v>5</v>
      </c>
      <c r="G4" s="15" t="s">
        <v>6</v>
      </c>
      <c r="H4" s="15" t="s">
        <v>7</v>
      </c>
      <c r="I4" s="15" t="s">
        <v>18</v>
      </c>
      <c r="J4" s="15" t="s">
        <v>11</v>
      </c>
      <c r="K4" s="15" t="s">
        <v>16</v>
      </c>
      <c r="L4" s="15" t="s">
        <v>14</v>
      </c>
      <c r="M4" s="22" t="s">
        <v>15</v>
      </c>
    </row>
    <row r="5" spans="2:13" ht="15.75" x14ac:dyDescent="0.25">
      <c r="B5" s="36">
        <v>43586</v>
      </c>
      <c r="C5" s="48"/>
      <c r="D5" s="24"/>
      <c r="E5" s="24"/>
      <c r="F5" s="45"/>
      <c r="G5" s="24"/>
      <c r="H5" s="25"/>
      <c r="I5" s="26">
        <f>Πίνακας1435[[#This Row],[DISTANCE (m)]]+Πίνακας1435[[#This Row],[DISTANCE (km)2]]</f>
        <v>0</v>
      </c>
      <c r="J5" s="27">
        <f>Πίνακας1435[[#This Row],[KCAL]]+Πίνακας1435[[#This Row],[KCAL2]]</f>
        <v>0</v>
      </c>
      <c r="K5" s="28"/>
      <c r="L5" s="29"/>
      <c r="M5" s="30"/>
    </row>
    <row r="6" spans="2:13" ht="15.75" x14ac:dyDescent="0.25">
      <c r="B6" s="36">
        <v>43587</v>
      </c>
      <c r="C6" s="49"/>
      <c r="D6" s="31"/>
      <c r="E6" s="31"/>
      <c r="F6" s="46"/>
      <c r="G6" s="31"/>
      <c r="H6" s="32"/>
      <c r="I6" s="33">
        <f>Πίνακας1435[[#This Row],[DISTANCE (m)]]+Πίνακας1435[[#This Row],[DISTANCE (km)2]]</f>
        <v>0</v>
      </c>
      <c r="J6" s="34">
        <f>Πίνακας1435[[#This Row],[KCAL]]+Πίνακας1435[[#This Row],[KCAL2]]</f>
        <v>0</v>
      </c>
      <c r="K6" s="35"/>
      <c r="L6" s="29"/>
      <c r="M6" s="30"/>
    </row>
    <row r="7" spans="2:13" ht="15.75" x14ac:dyDescent="0.25">
      <c r="B7" s="36">
        <v>43588</v>
      </c>
      <c r="C7" s="49"/>
      <c r="D7" s="31"/>
      <c r="E7" s="31"/>
      <c r="F7" s="46"/>
      <c r="G7" s="31"/>
      <c r="H7" s="32"/>
      <c r="I7" s="33">
        <f>Πίνακας1435[[#This Row],[DISTANCE (m)]]+Πίνακας1435[[#This Row],[DISTANCE (km)2]]</f>
        <v>0</v>
      </c>
      <c r="J7" s="34">
        <f>Πίνακας1435[[#This Row],[KCAL]]+Πίνακας1435[[#This Row],[KCAL2]]</f>
        <v>0</v>
      </c>
      <c r="K7" s="35"/>
      <c r="L7" s="29"/>
      <c r="M7" s="30"/>
    </row>
    <row r="8" spans="2:13" ht="15.75" x14ac:dyDescent="0.25">
      <c r="B8" s="36">
        <v>43589</v>
      </c>
      <c r="C8" s="49"/>
      <c r="D8" s="31"/>
      <c r="E8" s="31"/>
      <c r="F8" s="46"/>
      <c r="G8" s="31"/>
      <c r="H8" s="32"/>
      <c r="I8" s="33">
        <f>Πίνακας1435[[#This Row],[DISTANCE (m)]]+Πίνακας1435[[#This Row],[DISTANCE (km)2]]</f>
        <v>0</v>
      </c>
      <c r="J8" s="34">
        <f>Πίνακας1435[[#This Row],[KCAL]]+Πίνακας1435[[#This Row],[KCAL2]]</f>
        <v>0</v>
      </c>
      <c r="K8" s="35"/>
      <c r="L8" s="29"/>
      <c r="M8" s="30"/>
    </row>
    <row r="9" spans="2:13" ht="15.75" x14ac:dyDescent="0.25">
      <c r="B9" s="36">
        <v>43590</v>
      </c>
      <c r="C9" s="49"/>
      <c r="D9" s="31"/>
      <c r="E9" s="31"/>
      <c r="F9" s="46"/>
      <c r="G9" s="31"/>
      <c r="H9" s="32"/>
      <c r="I9" s="33">
        <f>Πίνακας1435[[#This Row],[DISTANCE (m)]]+Πίνακας1435[[#This Row],[DISTANCE (km)2]]</f>
        <v>0</v>
      </c>
      <c r="J9" s="34">
        <f>Πίνακας1435[[#This Row],[KCAL]]+Πίνακας1435[[#This Row],[KCAL2]]</f>
        <v>0</v>
      </c>
      <c r="K9" s="35"/>
      <c r="L9" s="29"/>
      <c r="M9" s="30"/>
    </row>
    <row r="10" spans="2:13" ht="15.75" x14ac:dyDescent="0.25">
      <c r="B10" s="47">
        <v>43591</v>
      </c>
      <c r="C10" s="50">
        <v>700</v>
      </c>
      <c r="D10" s="38">
        <v>17</v>
      </c>
      <c r="E10" s="38">
        <v>50</v>
      </c>
      <c r="F10" s="37"/>
      <c r="G10" s="38"/>
      <c r="H10" s="39"/>
      <c r="I10" s="40">
        <f>Πίνακας1435[[#This Row],[DISTANCE (m)]]+Πίνακας1435[[#This Row],[DISTANCE (km)2]]</f>
        <v>700</v>
      </c>
      <c r="J10" s="41">
        <f>Πίνακας1435[[#This Row],[KCAL]]+Πίνακας1435[[#This Row],[KCAL2]]</f>
        <v>50</v>
      </c>
      <c r="K10" s="42"/>
      <c r="L10" s="43"/>
      <c r="M10" s="44"/>
    </row>
    <row r="11" spans="2:13" ht="15.75" x14ac:dyDescent="0.25">
      <c r="B11" s="47">
        <v>43592</v>
      </c>
      <c r="C11" s="50">
        <v>500</v>
      </c>
      <c r="D11" s="38">
        <v>11</v>
      </c>
      <c r="E11" s="38">
        <v>32</v>
      </c>
      <c r="F11" s="37"/>
      <c r="G11" s="38"/>
      <c r="H11" s="39"/>
      <c r="I11" s="40">
        <f>Πίνακας1435[[#This Row],[DISTANCE (m)]]+Πίνακας1435[[#This Row],[DISTANCE (km)2]]</f>
        <v>500</v>
      </c>
      <c r="J11" s="41">
        <f>Πίνακας1435[[#This Row],[KCAL]]+Πίνακας1435[[#This Row],[KCAL2]]</f>
        <v>32</v>
      </c>
      <c r="K11" s="42"/>
      <c r="L11" s="43"/>
      <c r="M11" s="44"/>
    </row>
    <row r="12" spans="2:13" ht="15.75" x14ac:dyDescent="0.25">
      <c r="B12" s="47">
        <v>43593</v>
      </c>
      <c r="C12" s="50"/>
      <c r="D12" s="38"/>
      <c r="E12" s="38"/>
      <c r="F12" s="37"/>
      <c r="G12" s="38"/>
      <c r="H12" s="39"/>
      <c r="I12" s="40">
        <f>Πίνακας1435[[#This Row],[DISTANCE (m)]]+Πίνακας1435[[#This Row],[DISTANCE (km)2]]</f>
        <v>0</v>
      </c>
      <c r="J12" s="41">
        <f>Πίνακας1435[[#This Row],[KCAL]]+Πίνακας1435[[#This Row],[KCAL2]]</f>
        <v>0</v>
      </c>
      <c r="K12" s="42"/>
      <c r="L12" s="43"/>
      <c r="M12" s="44"/>
    </row>
    <row r="13" spans="2:13" ht="15.75" x14ac:dyDescent="0.25">
      <c r="B13" s="47">
        <v>43594</v>
      </c>
      <c r="C13" s="50">
        <v>600</v>
      </c>
      <c r="D13" s="38">
        <v>13</v>
      </c>
      <c r="E13" s="38">
        <v>38</v>
      </c>
      <c r="F13" s="37">
        <v>0.4</v>
      </c>
      <c r="G13" s="38">
        <v>10</v>
      </c>
      <c r="H13" s="39">
        <v>26</v>
      </c>
      <c r="I13" s="40">
        <f>Πίνακας1435[[#This Row],[DISTANCE (m)]]+Πίνακας1435[[#This Row],[DISTANCE (km)2]]</f>
        <v>600.4</v>
      </c>
      <c r="J13" s="41">
        <f>Πίνακας1435[[#This Row],[KCAL]]+Πίνακας1435[[#This Row],[KCAL2]]</f>
        <v>64</v>
      </c>
      <c r="K13" s="42"/>
      <c r="L13" s="43"/>
      <c r="M13" s="44"/>
    </row>
    <row r="14" spans="2:13" ht="15.75" x14ac:dyDescent="0.25">
      <c r="B14" s="47">
        <v>43595</v>
      </c>
      <c r="C14" s="50">
        <v>600</v>
      </c>
      <c r="D14" s="38">
        <v>13.34</v>
      </c>
      <c r="E14" s="38">
        <v>42</v>
      </c>
      <c r="F14" s="37"/>
      <c r="G14" s="38"/>
      <c r="H14" s="39"/>
      <c r="I14" s="40">
        <f>Πίνακας1435[[#This Row],[DISTANCE (m)]]+Πίνακας1435[[#This Row],[DISTANCE (km)2]]</f>
        <v>600</v>
      </c>
      <c r="J14" s="41">
        <f>Πίνακας1435[[#This Row],[KCAL]]+Πίνακας1435[[#This Row],[KCAL2]]</f>
        <v>42</v>
      </c>
      <c r="K14" s="42">
        <v>1</v>
      </c>
      <c r="L14" s="43"/>
      <c r="M14" s="44"/>
    </row>
    <row r="15" spans="2:13" ht="15.75" x14ac:dyDescent="0.25">
      <c r="B15" s="47">
        <v>43596</v>
      </c>
      <c r="C15" s="50">
        <v>1000</v>
      </c>
      <c r="D15" s="38">
        <v>22.4</v>
      </c>
      <c r="E15" s="38">
        <v>64</v>
      </c>
      <c r="F15" s="37"/>
      <c r="G15" s="37"/>
      <c r="H15" s="37"/>
      <c r="I15" s="40">
        <f>Πίνακας1435[[#This Row],[DISTANCE (m)]]+Πίνακας1435[[#This Row],[DISTANCE (km)2]]</f>
        <v>1000</v>
      </c>
      <c r="J15" s="41">
        <f>Πίνακας1435[[#This Row],[KCAL]]+Πίνακας1435[[#This Row],[KCAL2]]</f>
        <v>64</v>
      </c>
      <c r="K15" s="42">
        <v>0</v>
      </c>
      <c r="L15" s="43"/>
      <c r="M15" s="44"/>
    </row>
    <row r="16" spans="2:13" ht="15.75" x14ac:dyDescent="0.25">
      <c r="B16" s="47">
        <v>43597</v>
      </c>
      <c r="C16" s="50">
        <v>1000</v>
      </c>
      <c r="D16" s="38">
        <v>22</v>
      </c>
      <c r="E16" s="38">
        <v>67</v>
      </c>
      <c r="F16" s="37"/>
      <c r="G16" s="37"/>
      <c r="H16" s="37"/>
      <c r="I16" s="40">
        <f>Πίνακας1435[[#This Row],[DISTANCE (m)]]+Πίνακας1435[[#This Row],[DISTANCE (km)2]]</f>
        <v>1000</v>
      </c>
      <c r="J16" s="41">
        <f>Πίνακας1435[[#This Row],[KCAL]]+Πίνακας1435[[#This Row],[KCAL2]]</f>
        <v>67</v>
      </c>
      <c r="K16" s="42">
        <v>1</v>
      </c>
      <c r="L16" s="43"/>
      <c r="M16" s="44"/>
    </row>
    <row r="17" spans="2:13" ht="15.75" x14ac:dyDescent="0.25">
      <c r="B17" s="47">
        <v>43598</v>
      </c>
      <c r="C17" s="50">
        <v>1000</v>
      </c>
      <c r="D17" s="38">
        <v>22</v>
      </c>
      <c r="E17" s="38">
        <v>68</v>
      </c>
      <c r="F17" s="37"/>
      <c r="G17" s="38"/>
      <c r="H17" s="39"/>
      <c r="I17" s="40">
        <f>Πίνακας1435[[#This Row],[DISTANCE (m)]]+Πίνακας1435[[#This Row],[DISTANCE (km)2]]</f>
        <v>1000</v>
      </c>
      <c r="J17" s="41">
        <f>Πίνακας1435[[#This Row],[KCAL]]+Πίνακας1435[[#This Row],[KCAL2]]</f>
        <v>68</v>
      </c>
      <c r="K17" s="42">
        <v>1</v>
      </c>
      <c r="L17" s="43"/>
      <c r="M17" s="44"/>
    </row>
    <row r="18" spans="2:13" ht="15.75" x14ac:dyDescent="0.25">
      <c r="B18" s="47">
        <v>43599</v>
      </c>
      <c r="C18" s="50"/>
      <c r="D18" s="38"/>
      <c r="E18" s="38"/>
      <c r="F18" s="37"/>
      <c r="G18" s="38"/>
      <c r="H18" s="39"/>
      <c r="I18" s="40">
        <f>Πίνακας1435[[#This Row],[DISTANCE (m)]]+Πίνακας1435[[#This Row],[DISTANCE (km)2]]</f>
        <v>0</v>
      </c>
      <c r="J18" s="41">
        <f>Πίνακας1435[[#This Row],[KCAL]]+Πίνακας1435[[#This Row],[KCAL2]]</f>
        <v>0</v>
      </c>
      <c r="K18" s="42"/>
      <c r="L18" s="43"/>
      <c r="M18" s="44"/>
    </row>
    <row r="19" spans="2:13" ht="15.75" x14ac:dyDescent="0.25">
      <c r="B19" s="47">
        <v>43600</v>
      </c>
      <c r="C19" s="50"/>
      <c r="D19" s="38"/>
      <c r="E19" s="38"/>
      <c r="F19" s="37"/>
      <c r="G19" s="38"/>
      <c r="H19" s="39"/>
      <c r="I19" s="40">
        <f>Πίνακας1435[[#This Row],[DISTANCE (m)]]+Πίνακας1435[[#This Row],[DISTANCE (km)2]]</f>
        <v>0</v>
      </c>
      <c r="J19" s="41">
        <f>Πίνακας1435[[#This Row],[KCAL]]+Πίνακας1435[[#This Row],[KCAL2]]</f>
        <v>0</v>
      </c>
      <c r="K19" s="42"/>
      <c r="L19" s="43"/>
      <c r="M19" s="44"/>
    </row>
    <row r="20" spans="2:13" ht="15.75" x14ac:dyDescent="0.25">
      <c r="B20" s="47">
        <v>43601</v>
      </c>
      <c r="C20" s="50"/>
      <c r="D20" s="38"/>
      <c r="E20" s="38"/>
      <c r="F20" s="37"/>
      <c r="G20" s="38"/>
      <c r="H20" s="39"/>
      <c r="I20" s="40">
        <f>Πίνακας1435[[#This Row],[DISTANCE (m)]]+Πίνακας1435[[#This Row],[DISTANCE (km)2]]</f>
        <v>0</v>
      </c>
      <c r="J20" s="41">
        <f>Πίνακας1435[[#This Row],[KCAL]]+Πίνακας1435[[#This Row],[KCAL2]]</f>
        <v>0</v>
      </c>
      <c r="K20" s="42"/>
      <c r="L20" s="43"/>
      <c r="M20" s="44"/>
    </row>
    <row r="21" spans="2:13" ht="15.75" x14ac:dyDescent="0.25">
      <c r="B21" s="47">
        <v>43602</v>
      </c>
      <c r="C21" s="50">
        <v>1000</v>
      </c>
      <c r="D21" s="38">
        <v>22</v>
      </c>
      <c r="E21" s="38">
        <v>68</v>
      </c>
      <c r="F21" s="37"/>
      <c r="G21" s="38"/>
      <c r="H21" s="39"/>
      <c r="I21" s="40">
        <f>Πίνακας1435[[#This Row],[DISTANCE (m)]]+Πίνακας1435[[#This Row],[DISTANCE (km)2]]</f>
        <v>1000</v>
      </c>
      <c r="J21" s="41">
        <f>Πίνακας1435[[#This Row],[KCAL]]+Πίνακας1435[[#This Row],[KCAL2]]</f>
        <v>68</v>
      </c>
      <c r="K21" s="42">
        <v>1</v>
      </c>
      <c r="L21" s="43"/>
      <c r="M21" s="44"/>
    </row>
    <row r="22" spans="2:13" ht="15.75" x14ac:dyDescent="0.25">
      <c r="B22" s="47">
        <v>43603</v>
      </c>
      <c r="C22" s="50">
        <v>1000</v>
      </c>
      <c r="D22" s="38">
        <v>20</v>
      </c>
      <c r="E22" s="38">
        <v>70</v>
      </c>
      <c r="F22" s="37"/>
      <c r="G22" s="38"/>
      <c r="H22" s="39"/>
      <c r="I22" s="40">
        <f>Πίνακας1435[[#This Row],[DISTANCE (m)]]+Πίνακας1435[[#This Row],[DISTANCE (km)2]]</f>
        <v>1000</v>
      </c>
      <c r="J22" s="41">
        <f>Πίνακας1435[[#This Row],[KCAL]]+Πίνακας1435[[#This Row],[KCAL2]]</f>
        <v>70</v>
      </c>
      <c r="K22" s="42">
        <v>1.2</v>
      </c>
      <c r="L22" s="43"/>
      <c r="M22" s="44"/>
    </row>
    <row r="23" spans="2:13" ht="15.75" x14ac:dyDescent="0.25">
      <c r="B23" s="47">
        <v>43604</v>
      </c>
      <c r="C23" s="50"/>
      <c r="D23" s="38"/>
      <c r="E23" s="38"/>
      <c r="F23" s="37"/>
      <c r="G23" s="38"/>
      <c r="H23" s="39"/>
      <c r="I23" s="40">
        <f>Πίνακας1435[[#This Row],[DISTANCE (m)]]+Πίνακας1435[[#This Row],[DISTANCE (km)2]]</f>
        <v>0</v>
      </c>
      <c r="J23" s="41">
        <f>Πίνακας1435[[#This Row],[KCAL]]+Πίνακας1435[[#This Row],[KCAL2]]</f>
        <v>0</v>
      </c>
      <c r="K23" s="42"/>
      <c r="L23" s="43"/>
      <c r="M23" s="44"/>
    </row>
    <row r="24" spans="2:13" ht="15.75" x14ac:dyDescent="0.25">
      <c r="B24" s="47">
        <v>43605</v>
      </c>
      <c r="C24" s="50"/>
      <c r="D24" s="38"/>
      <c r="E24" s="38"/>
      <c r="F24" s="37"/>
      <c r="G24" s="38"/>
      <c r="H24" s="39"/>
      <c r="I24" s="40">
        <f>Πίνακας1435[[#This Row],[DISTANCE (m)]]+Πίνακας1435[[#This Row],[DISTANCE (km)2]]</f>
        <v>0</v>
      </c>
      <c r="J24" s="41">
        <f>Πίνακας1435[[#This Row],[KCAL]]+Πίνακας1435[[#This Row],[KCAL2]]</f>
        <v>0</v>
      </c>
      <c r="K24" s="42"/>
      <c r="L24" s="43"/>
      <c r="M24" s="44"/>
    </row>
    <row r="25" spans="2:13" ht="15.75" x14ac:dyDescent="0.25">
      <c r="B25" s="47">
        <v>43606</v>
      </c>
      <c r="C25" s="50">
        <v>1000</v>
      </c>
      <c r="D25" s="38">
        <v>21</v>
      </c>
      <c r="E25" s="38">
        <v>68</v>
      </c>
      <c r="F25" s="37"/>
      <c r="G25" s="38"/>
      <c r="H25" s="39"/>
      <c r="I25" s="40">
        <f>Πίνακας1435[[#This Row],[DISTANCE (m)]]+Πίνακας1435[[#This Row],[DISTANCE (km)2]]</f>
        <v>1000</v>
      </c>
      <c r="J25" s="41">
        <f>Πίνακας1435[[#This Row],[KCAL]]+Πίνακας1435[[#This Row],[KCAL2]]</f>
        <v>68</v>
      </c>
      <c r="K25" s="42">
        <v>1</v>
      </c>
      <c r="L25" s="43"/>
      <c r="M25" s="44"/>
    </row>
    <row r="26" spans="2:13" ht="15.75" x14ac:dyDescent="0.25">
      <c r="B26" s="47">
        <v>43607</v>
      </c>
      <c r="C26" s="50"/>
      <c r="D26" s="38"/>
      <c r="E26" s="38"/>
      <c r="F26" s="37"/>
      <c r="G26" s="38"/>
      <c r="H26" s="39"/>
      <c r="I26" s="40">
        <f>Πίνακας1435[[#This Row],[DISTANCE (m)]]+Πίνακας1435[[#This Row],[DISTANCE (km)2]]</f>
        <v>0</v>
      </c>
      <c r="J26" s="41">
        <f>Πίνακας1435[[#This Row],[KCAL]]+Πίνακας1435[[#This Row],[KCAL2]]</f>
        <v>0</v>
      </c>
      <c r="K26" s="42"/>
      <c r="L26" s="43"/>
      <c r="M26" s="44"/>
    </row>
    <row r="27" spans="2:13" ht="15.75" x14ac:dyDescent="0.25">
      <c r="B27" s="47">
        <v>43608</v>
      </c>
      <c r="C27" s="50">
        <v>1500</v>
      </c>
      <c r="D27" s="38">
        <v>32</v>
      </c>
      <c r="E27" s="38">
        <v>102</v>
      </c>
      <c r="F27" s="37"/>
      <c r="G27" s="38"/>
      <c r="H27" s="39"/>
      <c r="I27" s="40">
        <f>Πίνακας1435[[#This Row],[DISTANCE (m)]]+Πίνακας1435[[#This Row],[DISTANCE (km)2]]</f>
        <v>1500</v>
      </c>
      <c r="J27" s="41">
        <f>Πίνακας1435[[#This Row],[KCAL]]+Πίνακας1435[[#This Row],[KCAL2]]</f>
        <v>102</v>
      </c>
      <c r="K27" s="42">
        <v>1</v>
      </c>
      <c r="L27" s="43"/>
      <c r="M27" s="44"/>
    </row>
    <row r="28" spans="2:13" ht="15.75" x14ac:dyDescent="0.25">
      <c r="B28" s="47">
        <v>43609</v>
      </c>
      <c r="C28" s="50"/>
      <c r="D28" s="38"/>
      <c r="E28" s="38"/>
      <c r="F28" s="37"/>
      <c r="G28" s="38"/>
      <c r="H28" s="39"/>
      <c r="I28" s="40">
        <f>Πίνακας1435[[#This Row],[DISTANCE (m)]]+Πίνακας1435[[#This Row],[DISTANCE (km)2]]</f>
        <v>0</v>
      </c>
      <c r="J28" s="41">
        <f>Πίνακας1435[[#This Row],[KCAL]]+Πίνακας1435[[#This Row],[KCAL2]]</f>
        <v>0</v>
      </c>
      <c r="K28" s="42"/>
      <c r="L28" s="43"/>
      <c r="M28" s="44"/>
    </row>
    <row r="29" spans="2:13" ht="15.75" x14ac:dyDescent="0.25">
      <c r="B29" s="47">
        <v>43610</v>
      </c>
      <c r="C29" s="50"/>
      <c r="D29" s="38"/>
      <c r="E29" s="38"/>
      <c r="F29" s="37"/>
      <c r="G29" s="38"/>
      <c r="H29" s="39"/>
      <c r="I29" s="40">
        <f>Πίνακας1435[[#This Row],[DISTANCE (m)]]+Πίνακας1435[[#This Row],[DISTANCE (km)2]]</f>
        <v>0</v>
      </c>
      <c r="J29" s="41">
        <f>Πίνακας1435[[#This Row],[KCAL]]+Πίνακας1435[[#This Row],[KCAL2]]</f>
        <v>0</v>
      </c>
      <c r="K29" s="42"/>
      <c r="L29" s="43"/>
      <c r="M29" s="44"/>
    </row>
    <row r="30" spans="2:13" ht="15.75" x14ac:dyDescent="0.25">
      <c r="B30" s="47">
        <v>43611</v>
      </c>
      <c r="C30" s="50"/>
      <c r="D30" s="38"/>
      <c r="E30" s="38"/>
      <c r="F30" s="37"/>
      <c r="G30" s="38"/>
      <c r="H30" s="39"/>
      <c r="I30" s="40">
        <f>Πίνακας1435[[#This Row],[DISTANCE (m)]]+Πίνακας1435[[#This Row],[DISTANCE (km)2]]</f>
        <v>0</v>
      </c>
      <c r="J30" s="41">
        <f>Πίνακας1435[[#This Row],[KCAL]]+Πίνακας1435[[#This Row],[KCAL2]]</f>
        <v>0</v>
      </c>
      <c r="K30" s="42"/>
      <c r="L30" s="43"/>
      <c r="M30" s="44"/>
    </row>
    <row r="31" spans="2:13" ht="15.75" x14ac:dyDescent="0.25">
      <c r="B31" s="47">
        <v>43612</v>
      </c>
      <c r="C31" s="53"/>
      <c r="D31" s="54"/>
      <c r="E31" s="54"/>
      <c r="F31" s="55"/>
      <c r="G31" s="56"/>
      <c r="H31" s="56"/>
      <c r="I31" s="40">
        <f>Πίνακας1435[[#This Row],[DISTANCE (m)]]+Πίνακας1435[[#This Row],[DISTANCE (km)2]]</f>
        <v>0</v>
      </c>
      <c r="J31" s="41">
        <f>Πίνακας1435[[#This Row],[KCAL]]+Πίνακας1435[[#This Row],[KCAL2]]</f>
        <v>0</v>
      </c>
      <c r="K31" s="42"/>
      <c r="L31" s="43"/>
      <c r="M31" s="44"/>
    </row>
    <row r="32" spans="2:13" ht="15.75" x14ac:dyDescent="0.25">
      <c r="B32" s="47">
        <v>43613</v>
      </c>
      <c r="C32" s="53"/>
      <c r="D32" s="54"/>
      <c r="E32" s="54"/>
      <c r="F32" s="55"/>
      <c r="G32" s="56"/>
      <c r="H32" s="56"/>
      <c r="I32" s="40">
        <f>Πίνακας1435[[#This Row],[DISTANCE (m)]]+Πίνακας1435[[#This Row],[DISTANCE (km)2]]</f>
        <v>0</v>
      </c>
      <c r="J32" s="41">
        <f>Πίνακας1435[[#This Row],[KCAL]]+Πίνακας1435[[#This Row],[KCAL2]]</f>
        <v>0</v>
      </c>
      <c r="K32" s="42"/>
      <c r="L32" s="43"/>
      <c r="M32" s="44"/>
    </row>
    <row r="33" spans="2:13" ht="15.75" x14ac:dyDescent="0.25">
      <c r="B33" s="47">
        <v>43614</v>
      </c>
      <c r="C33" s="53"/>
      <c r="D33" s="54"/>
      <c r="E33" s="54"/>
      <c r="F33" s="55"/>
      <c r="G33" s="56"/>
      <c r="H33" s="56"/>
      <c r="I33" s="40">
        <f>Πίνακας1435[[#This Row],[DISTANCE (m)]]+Πίνακας1435[[#This Row],[DISTANCE (km)2]]</f>
        <v>0</v>
      </c>
      <c r="J33" s="41">
        <f>Πίνακας1435[[#This Row],[KCAL]]+Πίνακας1435[[#This Row],[KCAL2]]</f>
        <v>0</v>
      </c>
      <c r="K33" s="42"/>
      <c r="L33" s="43"/>
      <c r="M33" s="44"/>
    </row>
    <row r="34" spans="2:13" ht="15.75" x14ac:dyDescent="0.25">
      <c r="B34" s="47">
        <v>43615</v>
      </c>
      <c r="C34" s="53"/>
      <c r="D34" s="54"/>
      <c r="E34" s="54"/>
      <c r="F34" s="55"/>
      <c r="G34" s="56"/>
      <c r="H34" s="56"/>
      <c r="I34" s="40">
        <f>Πίνακας1435[[#This Row],[DISTANCE (m)]]+Πίνακας1435[[#This Row],[DISTANCE (km)2]]</f>
        <v>0</v>
      </c>
      <c r="J34" s="57">
        <f>Πίνακας1435[[#This Row],[KCAL]]+Πίνακας1435[[#This Row],[KCAL2]]</f>
        <v>0</v>
      </c>
      <c r="K34" s="58"/>
      <c r="L34" s="59"/>
      <c r="M34" s="60"/>
    </row>
    <row r="35" spans="2:13" ht="15.75" x14ac:dyDescent="0.25">
      <c r="B35" s="47">
        <v>43616</v>
      </c>
      <c r="C35" s="53"/>
      <c r="D35" s="54"/>
      <c r="E35" s="54"/>
      <c r="F35" s="55"/>
      <c r="G35" s="56"/>
      <c r="H35" s="56"/>
      <c r="I35" s="40">
        <f>Πίνακας1435[[#This Row],[DISTANCE (m)]]+Πίνακας1435[[#This Row],[DISTANCE (km)2]]</f>
        <v>0</v>
      </c>
      <c r="J35" s="41">
        <f>Πίνακας1435[[#This Row],[KCAL]]+Πίνακας1435[[#This Row],[KCAL2]]</f>
        <v>0</v>
      </c>
      <c r="K35" s="42"/>
      <c r="L35" s="43"/>
      <c r="M35" s="61"/>
    </row>
    <row r="36" spans="2:13" ht="15.75" x14ac:dyDescent="0.25">
      <c r="B36" s="19" t="s">
        <v>4</v>
      </c>
      <c r="C36" s="52">
        <f>SUBTOTAL(109,Πίνακας1435[DISTANCE (m)])</f>
        <v>9900</v>
      </c>
      <c r="D36" s="23">
        <f>SUBTOTAL(102,Πίνακας1435[DURATION (min)])</f>
        <v>11</v>
      </c>
      <c r="E36" s="21">
        <f>SUBTOTAL(109,Πίνακας1435[KCAL])</f>
        <v>669</v>
      </c>
      <c r="F36" s="20">
        <f>SUBTOTAL(109,Πίνακας1435[DISTANCE (km)2])</f>
        <v>0.4</v>
      </c>
      <c r="G36" s="8"/>
      <c r="H36" s="21">
        <f>SUBTOTAL(109,Πίνακας1435[KCAL2])</f>
        <v>26</v>
      </c>
      <c r="I36" s="6"/>
      <c r="J36" s="6"/>
      <c r="K36" s="6"/>
      <c r="L36" s="6"/>
      <c r="M36" s="6"/>
    </row>
    <row r="37" spans="2:13" ht="15.75" x14ac:dyDescent="0.25">
      <c r="F37" s="11" t="s">
        <v>4</v>
      </c>
      <c r="G37" s="51">
        <f>Πίνακας1435[[#Totals],[DISTANCE (m)]]+Πίνακας1435[[#Totals],[DISTANCE (km)2]]</f>
        <v>9900.4</v>
      </c>
      <c r="H37" s="13">
        <f>Πίνακας1435[[#Totals],[KCAL]]+Πίνακας1435[[#Totals],[DISTANCE (km)2]]</f>
        <v>669.4</v>
      </c>
    </row>
  </sheetData>
  <mergeCells count="3">
    <mergeCell ref="B2:H2"/>
    <mergeCell ref="C3:E3"/>
    <mergeCell ref="F3:H3"/>
  </mergeCells>
  <pageMargins left="0.7" right="0.7" top="0.75" bottom="0.75" header="0.3" footer="0.3"/>
  <pageSetup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opLeftCell="A7" workbookViewId="0">
      <selection activeCell="C30" sqref="C30"/>
    </sheetView>
  </sheetViews>
  <sheetFormatPr defaultRowHeight="15" x14ac:dyDescent="0.25"/>
  <cols>
    <col min="2" max="2" width="34.7109375" bestFit="1" customWidth="1"/>
    <col min="3" max="3" width="15.7109375" bestFit="1" customWidth="1"/>
    <col min="4" max="4" width="17.42578125" bestFit="1" customWidth="1"/>
    <col min="5" max="5" width="12.5703125" customWidth="1"/>
    <col min="6" max="6" width="17.42578125" bestFit="1" customWidth="1"/>
    <col min="7" max="7" width="18.5703125" bestFit="1" customWidth="1"/>
    <col min="8" max="8" width="10" bestFit="1" customWidth="1"/>
    <col min="11" max="11" width="13.140625" customWidth="1"/>
    <col min="13" max="13" width="10" bestFit="1" customWidth="1"/>
  </cols>
  <sheetData>
    <row r="2" spans="2:13" ht="18.75" x14ac:dyDescent="0.3">
      <c r="B2" s="147" t="s">
        <v>20</v>
      </c>
      <c r="C2" s="147"/>
      <c r="D2" s="147"/>
      <c r="E2" s="147"/>
      <c r="F2" s="147"/>
      <c r="G2" s="147"/>
      <c r="H2" s="147"/>
    </row>
    <row r="3" spans="2:13" ht="15.75" x14ac:dyDescent="0.25">
      <c r="B3" s="1"/>
      <c r="C3" s="148" t="s">
        <v>8</v>
      </c>
      <c r="D3" s="148"/>
      <c r="E3" s="149"/>
      <c r="F3" s="150" t="s">
        <v>9</v>
      </c>
      <c r="G3" s="150"/>
      <c r="H3" s="150"/>
    </row>
    <row r="4" spans="2:13" ht="15.75" x14ac:dyDescent="0.25">
      <c r="B4" s="2" t="s">
        <v>0</v>
      </c>
      <c r="C4" s="14" t="s">
        <v>1</v>
      </c>
      <c r="D4" s="14" t="s">
        <v>2</v>
      </c>
      <c r="E4" s="14" t="s">
        <v>3</v>
      </c>
      <c r="F4" s="15" t="s">
        <v>5</v>
      </c>
      <c r="G4" s="15" t="s">
        <v>6</v>
      </c>
      <c r="H4" s="15" t="s">
        <v>7</v>
      </c>
      <c r="I4" s="15" t="s">
        <v>10</v>
      </c>
      <c r="J4" s="15" t="s">
        <v>11</v>
      </c>
      <c r="K4" s="15" t="s">
        <v>12</v>
      </c>
      <c r="L4" s="15" t="s">
        <v>14</v>
      </c>
      <c r="M4" s="2" t="s">
        <v>15</v>
      </c>
    </row>
    <row r="5" spans="2:13" ht="15.75" x14ac:dyDescent="0.25">
      <c r="B5" s="3">
        <v>43617</v>
      </c>
      <c r="C5" s="62"/>
      <c r="D5" s="62"/>
      <c r="E5" s="63"/>
      <c r="F5" s="62"/>
      <c r="G5" s="62"/>
      <c r="H5" s="63"/>
      <c r="I5" s="64">
        <f>Πίνακας146[[#This Row],[DISTANCE (km)]]+Πίνακας146[[#This Row],[DISTANCE (km)2]]</f>
        <v>0</v>
      </c>
      <c r="J5" s="65">
        <f>Πίνακας146[[#This Row],[KCAL]]+Πίνακας146[[#This Row],[KCAL2]]</f>
        <v>0</v>
      </c>
      <c r="K5" s="66"/>
      <c r="L5" s="6"/>
      <c r="M5" s="67"/>
    </row>
    <row r="6" spans="2:13" ht="15.75" x14ac:dyDescent="0.25">
      <c r="B6" s="3">
        <v>43618</v>
      </c>
      <c r="C6" s="68"/>
      <c r="D6" s="68"/>
      <c r="E6" s="69"/>
      <c r="F6" s="68"/>
      <c r="G6" s="68"/>
      <c r="H6" s="69"/>
      <c r="I6" s="70">
        <f>Πίνακας146[[#This Row],[DISTANCE (km)]]+Πίνακας146[[#This Row],[DISTANCE (km)2]]</f>
        <v>0</v>
      </c>
      <c r="J6" s="71">
        <f>Πίνακας146[[#This Row],[KCAL]]+Πίνακας146[[#This Row],[KCAL2]]</f>
        <v>0</v>
      </c>
      <c r="K6" s="72"/>
      <c r="L6" s="6"/>
      <c r="M6" s="67"/>
    </row>
    <row r="7" spans="2:13" ht="15.75" x14ac:dyDescent="0.25">
      <c r="B7" s="3">
        <v>43619</v>
      </c>
      <c r="C7" s="68"/>
      <c r="D7" s="68"/>
      <c r="E7" s="69"/>
      <c r="F7" s="68"/>
      <c r="G7" s="68"/>
      <c r="H7" s="69"/>
      <c r="I7" s="70">
        <f>Πίνακας146[[#This Row],[DISTANCE (km)]]+Πίνακας146[[#This Row],[DISTANCE (km)2]]</f>
        <v>0</v>
      </c>
      <c r="J7" s="71">
        <f>Πίνακας146[[#This Row],[KCAL]]+Πίνακας146[[#This Row],[KCAL2]]</f>
        <v>0</v>
      </c>
      <c r="K7" s="72"/>
      <c r="L7" s="6"/>
      <c r="M7" s="67"/>
    </row>
    <row r="8" spans="2:13" ht="15.75" x14ac:dyDescent="0.25">
      <c r="B8" s="3">
        <v>43620</v>
      </c>
      <c r="C8" s="68"/>
      <c r="D8" s="68"/>
      <c r="E8" s="69"/>
      <c r="F8" s="68"/>
      <c r="G8" s="68"/>
      <c r="H8" s="69"/>
      <c r="I8" s="70">
        <f>Πίνακας146[[#This Row],[DISTANCE (km)]]+Πίνακας146[[#This Row],[DISTANCE (km)2]]</f>
        <v>0</v>
      </c>
      <c r="J8" s="71">
        <f>Πίνακας146[[#This Row],[KCAL]]+Πίνακας146[[#This Row],[KCAL2]]</f>
        <v>0</v>
      </c>
      <c r="K8" s="72"/>
      <c r="L8" s="6"/>
      <c r="M8" s="67"/>
    </row>
    <row r="9" spans="2:13" ht="15.75" x14ac:dyDescent="0.25">
      <c r="B9" s="3">
        <v>43621</v>
      </c>
      <c r="C9" s="68"/>
      <c r="D9" s="68"/>
      <c r="E9" s="69"/>
      <c r="F9" s="68"/>
      <c r="G9" s="68"/>
      <c r="H9" s="69"/>
      <c r="I9" s="70">
        <f>Πίνακας146[[#This Row],[DISTANCE (km)]]+Πίνακας146[[#This Row],[DISTANCE (km)2]]</f>
        <v>0</v>
      </c>
      <c r="J9" s="71">
        <f>Πίνακας146[[#This Row],[KCAL]]+Πίνακας146[[#This Row],[KCAL2]]</f>
        <v>0</v>
      </c>
      <c r="K9" s="72"/>
      <c r="L9" s="6"/>
      <c r="M9" s="67"/>
    </row>
    <row r="10" spans="2:13" ht="15.75" x14ac:dyDescent="0.25">
      <c r="B10" s="3">
        <v>43622</v>
      </c>
      <c r="C10" s="68"/>
      <c r="D10" s="68"/>
      <c r="E10" s="69"/>
      <c r="F10" s="68"/>
      <c r="G10" s="68"/>
      <c r="H10" s="69"/>
      <c r="I10" s="70">
        <f>Πίνακας146[[#This Row],[DISTANCE (km)]]+Πίνακας146[[#This Row],[DISTANCE (km)2]]</f>
        <v>0</v>
      </c>
      <c r="J10" s="71">
        <f>Πίνακας146[[#This Row],[KCAL]]+Πίνακας146[[#This Row],[KCAL2]]</f>
        <v>0</v>
      </c>
      <c r="K10" s="72"/>
      <c r="L10" s="6"/>
      <c r="M10" s="67"/>
    </row>
    <row r="11" spans="2:13" ht="15.75" x14ac:dyDescent="0.25">
      <c r="B11" s="3">
        <v>43623</v>
      </c>
      <c r="C11" s="68"/>
      <c r="D11" s="68"/>
      <c r="E11" s="69"/>
      <c r="F11" s="68"/>
      <c r="G11" s="68"/>
      <c r="H11" s="69"/>
      <c r="I11" s="70">
        <f>Πίνακας146[[#This Row],[DISTANCE (km)]]+Πίνακας146[[#This Row],[DISTANCE (km)2]]</f>
        <v>0</v>
      </c>
      <c r="J11" s="71">
        <f>Πίνακας146[[#This Row],[KCAL]]+Πίνακας146[[#This Row],[KCAL2]]</f>
        <v>0</v>
      </c>
      <c r="K11" s="72"/>
      <c r="L11" s="6"/>
      <c r="M11" s="67"/>
    </row>
    <row r="12" spans="2:13" ht="15.75" x14ac:dyDescent="0.25">
      <c r="B12" s="3">
        <v>43624</v>
      </c>
      <c r="C12" s="68"/>
      <c r="D12" s="68"/>
      <c r="E12" s="69"/>
      <c r="F12" s="68"/>
      <c r="G12" s="68"/>
      <c r="H12" s="69"/>
      <c r="I12" s="70">
        <f>Πίνακας146[[#This Row],[DISTANCE (km)]]+Πίνακας146[[#This Row],[DISTANCE (km)2]]</f>
        <v>0</v>
      </c>
      <c r="J12" s="71">
        <f>Πίνακας146[[#This Row],[KCAL]]+Πίνακας146[[#This Row],[KCAL2]]</f>
        <v>0</v>
      </c>
      <c r="K12" s="72"/>
      <c r="L12" s="6"/>
      <c r="M12" s="67"/>
    </row>
    <row r="13" spans="2:13" ht="15.75" x14ac:dyDescent="0.25">
      <c r="B13" s="3">
        <v>43625</v>
      </c>
      <c r="C13" s="68"/>
      <c r="D13" s="68"/>
      <c r="E13" s="69"/>
      <c r="F13" s="68"/>
      <c r="G13" s="68"/>
      <c r="H13" s="69"/>
      <c r="I13" s="70">
        <f>Πίνακας146[[#This Row],[DISTANCE (km)]]+Πίνακας146[[#This Row],[DISTANCE (km)2]]</f>
        <v>0</v>
      </c>
      <c r="J13" s="71">
        <f>Πίνακας146[[#This Row],[KCAL]]+Πίνακας146[[#This Row],[KCAL2]]</f>
        <v>0</v>
      </c>
      <c r="K13" s="72"/>
      <c r="L13" s="6"/>
      <c r="M13" s="67"/>
    </row>
    <row r="14" spans="2:13" ht="15.75" x14ac:dyDescent="0.25">
      <c r="B14" s="3">
        <v>43626</v>
      </c>
      <c r="C14" s="68"/>
      <c r="D14" s="68"/>
      <c r="E14" s="69"/>
      <c r="F14" s="68"/>
      <c r="G14" s="68"/>
      <c r="H14" s="69"/>
      <c r="I14" s="70">
        <f>Πίνακας146[[#This Row],[DISTANCE (km)]]+Πίνακας146[[#This Row],[DISTANCE (km)2]]</f>
        <v>0</v>
      </c>
      <c r="J14" s="71">
        <f>Πίνακας146[[#This Row],[KCAL]]+Πίνακας146[[#This Row],[KCAL2]]</f>
        <v>0</v>
      </c>
      <c r="K14" s="72"/>
      <c r="L14" s="6"/>
      <c r="M14" s="67"/>
    </row>
    <row r="15" spans="2:13" ht="15.75" x14ac:dyDescent="0.25">
      <c r="B15" s="3">
        <v>43627</v>
      </c>
      <c r="C15" s="68"/>
      <c r="D15" s="68"/>
      <c r="E15" s="69"/>
      <c r="F15" s="68"/>
      <c r="G15" s="68"/>
      <c r="H15" s="69"/>
      <c r="I15" s="70">
        <f>Πίνακας146[[#This Row],[DISTANCE (km)]]+Πίνακας146[[#This Row],[DISTANCE (km)2]]</f>
        <v>0</v>
      </c>
      <c r="J15" s="71">
        <f>Πίνακας146[[#This Row],[KCAL]]+Πίνακας146[[#This Row],[KCAL2]]</f>
        <v>0</v>
      </c>
      <c r="K15" s="72"/>
      <c r="L15" s="6"/>
      <c r="M15" s="67"/>
    </row>
    <row r="16" spans="2:13" ht="15.75" x14ac:dyDescent="0.25">
      <c r="B16" s="3">
        <v>43628</v>
      </c>
      <c r="C16" s="68"/>
      <c r="D16" s="68"/>
      <c r="E16" s="69"/>
      <c r="F16" s="68"/>
      <c r="G16" s="68"/>
      <c r="H16" s="69"/>
      <c r="I16" s="70">
        <f>Πίνακας146[[#This Row],[DISTANCE (km)]]+Πίνακας146[[#This Row],[DISTANCE (km)2]]</f>
        <v>0</v>
      </c>
      <c r="J16" s="71">
        <f>Πίνακας146[[#This Row],[KCAL]]+Πίνακας146[[#This Row],[KCAL2]]</f>
        <v>0</v>
      </c>
      <c r="K16" s="72"/>
      <c r="L16" s="6"/>
      <c r="M16" s="67"/>
    </row>
    <row r="17" spans="2:13" ht="15.75" x14ac:dyDescent="0.25">
      <c r="B17" s="3">
        <v>43629</v>
      </c>
      <c r="C17" s="68"/>
      <c r="D17" s="68"/>
      <c r="E17" s="69"/>
      <c r="F17" s="68"/>
      <c r="G17" s="68"/>
      <c r="H17" s="69"/>
      <c r="I17" s="70">
        <f>Πίνακας146[[#This Row],[DISTANCE (km)]]+Πίνακας146[[#This Row],[DISTANCE (km)2]]</f>
        <v>0</v>
      </c>
      <c r="J17" s="71">
        <f>Πίνακας146[[#This Row],[KCAL]]+Πίνακας146[[#This Row],[KCAL2]]</f>
        <v>0</v>
      </c>
      <c r="K17" s="72"/>
      <c r="L17" s="6"/>
      <c r="M17" s="67"/>
    </row>
    <row r="18" spans="2:13" ht="15.75" x14ac:dyDescent="0.25">
      <c r="B18" s="3">
        <v>43630</v>
      </c>
      <c r="C18" s="4">
        <v>2</v>
      </c>
      <c r="D18" s="4">
        <v>41</v>
      </c>
      <c r="E18" s="5">
        <v>143</v>
      </c>
      <c r="F18" s="4"/>
      <c r="G18" s="4"/>
      <c r="H18" s="5"/>
      <c r="I18" s="9">
        <f>Πίνακας146[[#This Row],[DISTANCE (km)]]+Πίνακας146[[#This Row],[DISTANCE (km)2]]</f>
        <v>2</v>
      </c>
      <c r="J18" s="10">
        <f>Πίνακας146[[#This Row],[KCAL]]+Πίνακας146[[#This Row],[KCAL2]]</f>
        <v>143</v>
      </c>
      <c r="K18" s="16" t="s">
        <v>21</v>
      </c>
      <c r="L18" s="17"/>
      <c r="M18" s="18"/>
    </row>
    <row r="19" spans="2:13" ht="15.75" x14ac:dyDescent="0.25">
      <c r="B19" s="3">
        <v>43631</v>
      </c>
      <c r="C19" s="4"/>
      <c r="D19" s="4"/>
      <c r="E19" s="5"/>
      <c r="F19" s="4"/>
      <c r="G19" s="4"/>
      <c r="H19" s="5"/>
      <c r="I19" s="9">
        <f>Πίνακας146[[#This Row],[DISTANCE (km)]]+Πίνακας146[[#This Row],[DISTANCE (km)2]]</f>
        <v>0</v>
      </c>
      <c r="J19" s="10">
        <f>Πίνακας146[[#This Row],[KCAL]]+Πίνακας146[[#This Row],[KCAL2]]</f>
        <v>0</v>
      </c>
      <c r="K19" s="16"/>
      <c r="L19" s="17"/>
      <c r="M19" s="18"/>
    </row>
    <row r="20" spans="2:13" ht="15.75" x14ac:dyDescent="0.25">
      <c r="B20" s="3">
        <v>43632</v>
      </c>
      <c r="C20" s="4"/>
      <c r="D20" s="4"/>
      <c r="E20" s="5"/>
      <c r="F20" s="4"/>
      <c r="G20" s="4"/>
      <c r="H20" s="5"/>
      <c r="I20" s="9">
        <f>Πίνακας146[[#This Row],[DISTANCE (km)]]+Πίνακας146[[#This Row],[DISTANCE (km)2]]</f>
        <v>0</v>
      </c>
      <c r="J20" s="10">
        <f>Πίνακας146[[#This Row],[KCAL]]+Πίνακας146[[#This Row],[KCAL2]]</f>
        <v>0</v>
      </c>
      <c r="K20" s="16"/>
      <c r="L20" s="17"/>
      <c r="M20" s="18"/>
    </row>
    <row r="21" spans="2:13" ht="15.75" x14ac:dyDescent="0.25">
      <c r="B21" s="3">
        <v>43633</v>
      </c>
      <c r="C21" s="4">
        <v>2</v>
      </c>
      <c r="D21" s="4">
        <v>38</v>
      </c>
      <c r="E21" s="5">
        <v>137</v>
      </c>
      <c r="F21" s="4"/>
      <c r="G21" s="4"/>
      <c r="H21" s="5"/>
      <c r="I21" s="9">
        <f>Πίνακας146[[#This Row],[DISTANCE (km)]]+Πίνακας146[[#This Row],[DISTANCE (km)2]]</f>
        <v>2</v>
      </c>
      <c r="J21" s="10">
        <f>Πίνακας146[[#This Row],[KCAL]]+Πίνακας146[[#This Row],[KCAL2]]</f>
        <v>137</v>
      </c>
      <c r="K21" s="16" t="s">
        <v>21</v>
      </c>
      <c r="L21" s="17"/>
      <c r="M21" s="18"/>
    </row>
    <row r="22" spans="2:13" ht="15.75" x14ac:dyDescent="0.25">
      <c r="B22" s="3">
        <v>43634</v>
      </c>
      <c r="C22" s="4"/>
      <c r="D22" s="4"/>
      <c r="E22" s="5"/>
      <c r="F22" s="4"/>
      <c r="G22" s="4"/>
      <c r="H22" s="5"/>
      <c r="I22" s="9">
        <f>Πίνακας146[[#This Row],[DISTANCE (km)]]+Πίνακας146[[#This Row],[DISTANCE (km)2]]</f>
        <v>0</v>
      </c>
      <c r="J22" s="10">
        <f>Πίνακας146[[#This Row],[KCAL]]+Πίνακας146[[#This Row],[KCAL2]]</f>
        <v>0</v>
      </c>
      <c r="K22" s="16"/>
      <c r="L22" s="17"/>
      <c r="M22" s="18"/>
    </row>
    <row r="23" spans="2:13" ht="15.75" x14ac:dyDescent="0.25">
      <c r="B23" s="3">
        <v>43635</v>
      </c>
      <c r="C23" s="4"/>
      <c r="D23" s="4"/>
      <c r="E23" s="5"/>
      <c r="F23" s="4"/>
      <c r="G23" s="4"/>
      <c r="H23" s="5"/>
      <c r="I23" s="9">
        <f>Πίνακας146[[#This Row],[DISTANCE (km)]]+Πίνακας146[[#This Row],[DISTANCE (km)2]]</f>
        <v>0</v>
      </c>
      <c r="J23" s="10">
        <f>Πίνακας146[[#This Row],[KCAL]]+Πίνακας146[[#This Row],[KCAL2]]</f>
        <v>0</v>
      </c>
      <c r="K23" s="16"/>
      <c r="L23" s="17"/>
      <c r="M23" s="18"/>
    </row>
    <row r="24" spans="2:13" ht="15.75" x14ac:dyDescent="0.25">
      <c r="B24" s="3">
        <v>43636</v>
      </c>
      <c r="C24" s="4">
        <v>3</v>
      </c>
      <c r="D24" s="4">
        <v>61</v>
      </c>
      <c r="E24" s="5">
        <v>208</v>
      </c>
      <c r="F24" s="4"/>
      <c r="G24" s="4"/>
      <c r="H24" s="5"/>
      <c r="I24" s="9">
        <f>Πίνακας146[[#This Row],[DISTANCE (km)]]+Πίνακας146[[#This Row],[DISTANCE (km)2]]</f>
        <v>3</v>
      </c>
      <c r="J24" s="10">
        <f>Πίνακας146[[#This Row],[KCAL]]+Πίνακας146[[#This Row],[KCAL2]]</f>
        <v>208</v>
      </c>
      <c r="K24" s="16" t="s">
        <v>22</v>
      </c>
      <c r="L24" s="17"/>
      <c r="M24" s="18"/>
    </row>
    <row r="25" spans="2:13" ht="15.75" x14ac:dyDescent="0.25">
      <c r="B25" s="3">
        <v>43637</v>
      </c>
      <c r="C25" s="4"/>
      <c r="D25" s="4"/>
      <c r="E25" s="5"/>
      <c r="F25" s="4"/>
      <c r="G25" s="4"/>
      <c r="H25" s="5"/>
      <c r="I25" s="9">
        <f>Πίνακας146[[#This Row],[DISTANCE (km)]]+Πίνακας146[[#This Row],[DISTANCE (km)2]]</f>
        <v>0</v>
      </c>
      <c r="J25" s="10">
        <f>Πίνακας146[[#This Row],[KCAL]]+Πίνακας146[[#This Row],[KCAL2]]</f>
        <v>0</v>
      </c>
      <c r="K25" s="16"/>
      <c r="L25" s="17"/>
      <c r="M25" s="18"/>
    </row>
    <row r="26" spans="2:13" ht="15.75" x14ac:dyDescent="0.25">
      <c r="B26" s="3">
        <v>43638</v>
      </c>
      <c r="C26" s="4"/>
      <c r="D26" s="4"/>
      <c r="E26" s="5"/>
      <c r="F26" s="4"/>
      <c r="G26" s="4"/>
      <c r="H26" s="5"/>
      <c r="I26" s="9">
        <f>Πίνακας146[[#This Row],[DISTANCE (km)]]+Πίνακας146[[#This Row],[DISTANCE (km)2]]</f>
        <v>0</v>
      </c>
      <c r="J26" s="10">
        <f>Πίνακας146[[#This Row],[KCAL]]+Πίνακας146[[#This Row],[KCAL2]]</f>
        <v>0</v>
      </c>
      <c r="K26" s="16"/>
      <c r="L26" s="17"/>
      <c r="M26" s="18"/>
    </row>
    <row r="27" spans="2:13" ht="15.75" x14ac:dyDescent="0.25">
      <c r="B27" s="3">
        <v>43639</v>
      </c>
      <c r="C27" s="4"/>
      <c r="D27" s="4"/>
      <c r="E27" s="5"/>
      <c r="F27" s="4"/>
      <c r="G27" s="4"/>
      <c r="H27" s="5"/>
      <c r="I27" s="9">
        <f>Πίνακας146[[#This Row],[DISTANCE (km)]]+Πίνακας146[[#This Row],[DISTANCE (km)2]]</f>
        <v>0</v>
      </c>
      <c r="J27" s="10">
        <f>Πίνακας146[[#This Row],[KCAL]]+Πίνακας146[[#This Row],[KCAL2]]</f>
        <v>0</v>
      </c>
      <c r="K27" s="16"/>
      <c r="L27" s="17"/>
      <c r="M27" s="18"/>
    </row>
    <row r="28" spans="2:13" ht="15.75" x14ac:dyDescent="0.25">
      <c r="B28" s="3">
        <v>43640</v>
      </c>
      <c r="C28" s="4">
        <v>3</v>
      </c>
      <c r="D28" s="4">
        <v>61</v>
      </c>
      <c r="E28" s="5">
        <v>249</v>
      </c>
      <c r="F28" s="4"/>
      <c r="G28" s="4"/>
      <c r="H28" s="5"/>
      <c r="I28" s="9">
        <f>Πίνακας146[[#This Row],[DISTANCE (km)]]+Πίνακας146[[#This Row],[DISTANCE (km)2]]</f>
        <v>3</v>
      </c>
      <c r="J28" s="10">
        <f>Πίνακας146[[#This Row],[KCAL]]+Πίνακας146[[#This Row],[KCAL2]]</f>
        <v>249</v>
      </c>
      <c r="K28" s="16" t="s">
        <v>24</v>
      </c>
      <c r="L28" s="17"/>
      <c r="M28" s="18"/>
    </row>
    <row r="29" spans="2:13" ht="15.75" x14ac:dyDescent="0.25">
      <c r="B29" s="3">
        <v>43641</v>
      </c>
      <c r="C29" s="4">
        <v>2</v>
      </c>
      <c r="D29" s="4">
        <v>40</v>
      </c>
      <c r="E29" s="5">
        <v>151</v>
      </c>
      <c r="F29" s="4"/>
      <c r="G29" s="4"/>
      <c r="H29" s="5"/>
      <c r="I29" s="9">
        <f>Πίνακας146[[#This Row],[DISTANCE (km)]]+Πίνακας146[[#This Row],[DISTANCE (km)2]]</f>
        <v>2</v>
      </c>
      <c r="J29" s="10">
        <f>Πίνακας146[[#This Row],[KCAL]]+Πίνακας146[[#This Row],[KCAL2]]</f>
        <v>151</v>
      </c>
      <c r="K29" s="16" t="s">
        <v>25</v>
      </c>
      <c r="L29" s="17"/>
      <c r="M29" s="18"/>
    </row>
    <row r="30" spans="2:13" ht="15.75" x14ac:dyDescent="0.25">
      <c r="B30" s="3">
        <v>43642</v>
      </c>
      <c r="C30" s="4"/>
      <c r="D30" s="4"/>
      <c r="E30" s="5"/>
      <c r="F30" s="4"/>
      <c r="G30" s="4"/>
      <c r="H30" s="5"/>
      <c r="I30" s="9">
        <f>Πίνακας146[[#This Row],[DISTANCE (km)]]+Πίνακας146[[#This Row],[DISTANCE (km)2]]</f>
        <v>0</v>
      </c>
      <c r="J30" s="10">
        <f>Πίνακας146[[#This Row],[KCAL]]+Πίνακας146[[#This Row],[KCAL2]]</f>
        <v>0</v>
      </c>
      <c r="K30" s="16"/>
      <c r="L30" s="17"/>
      <c r="M30" s="18"/>
    </row>
    <row r="31" spans="2:13" ht="15.75" x14ac:dyDescent="0.25">
      <c r="B31" s="3">
        <v>43643</v>
      </c>
      <c r="C31" s="7"/>
      <c r="D31" s="7"/>
      <c r="E31" s="7"/>
      <c r="F31" s="7"/>
      <c r="G31" s="7"/>
      <c r="H31" s="7"/>
      <c r="I31" s="9">
        <f>Πίνακας146[[#This Row],[DISTANCE (km)]]+Πίνακας146[[#This Row],[DISTANCE (km)2]]</f>
        <v>0</v>
      </c>
      <c r="J31" s="10">
        <f>Πίνακας146[[#This Row],[KCAL]]+Πίνακας146[[#This Row],[KCAL2]]</f>
        <v>0</v>
      </c>
      <c r="K31" s="16"/>
      <c r="L31" s="17"/>
      <c r="M31" s="18"/>
    </row>
    <row r="32" spans="2:13" ht="15.75" x14ac:dyDescent="0.25">
      <c r="B32" s="3">
        <v>43644</v>
      </c>
      <c r="C32" s="7"/>
      <c r="D32" s="7"/>
      <c r="E32" s="7"/>
      <c r="F32" s="7"/>
      <c r="G32" s="7"/>
      <c r="H32" s="7"/>
      <c r="I32" s="9">
        <f>Πίνακας146[[#This Row],[DISTANCE (km)]]+Πίνακας146[[#This Row],[DISTANCE (km)2]]</f>
        <v>0</v>
      </c>
      <c r="J32" s="10">
        <f>Πίνακας146[[#This Row],[KCAL]]+Πίνακας146[[#This Row],[KCAL2]]</f>
        <v>0</v>
      </c>
      <c r="K32" s="16"/>
      <c r="L32" s="17"/>
      <c r="M32" s="18"/>
    </row>
    <row r="33" spans="2:13" ht="15.75" x14ac:dyDescent="0.25">
      <c r="B33" s="3">
        <v>43645</v>
      </c>
      <c r="C33" s="7"/>
      <c r="D33" s="7"/>
      <c r="E33" s="7"/>
      <c r="F33" s="7"/>
      <c r="G33" s="7"/>
      <c r="H33" s="7"/>
      <c r="I33" s="9">
        <f>Πίνακας146[[#This Row],[DISTANCE (km)]]+Πίνακας146[[#This Row],[DISTANCE (km)2]]</f>
        <v>0</v>
      </c>
      <c r="J33" s="10">
        <f>Πίνακας146[[#This Row],[KCAL]]+Πίνακας146[[#This Row],[KCAL2]]</f>
        <v>0</v>
      </c>
      <c r="K33" s="16"/>
      <c r="L33" s="17"/>
      <c r="M33" s="18"/>
    </row>
    <row r="34" spans="2:13" ht="15.75" x14ac:dyDescent="0.25">
      <c r="B34" s="3">
        <v>43646</v>
      </c>
      <c r="C34" s="7"/>
      <c r="D34" s="7"/>
      <c r="E34" s="7"/>
      <c r="F34" s="7"/>
      <c r="G34" s="7"/>
      <c r="H34" s="7"/>
      <c r="I34" s="9">
        <f>Πίνακας146[[#This Row],[DISTANCE (km)]]+Πίνακας146[[#This Row],[DISTANCE (km)2]]</f>
        <v>0</v>
      </c>
      <c r="J34" s="10">
        <f>Πίνακας146[[#This Row],[KCAL]]+Πίνακας146[[#This Row],[KCAL2]]</f>
        <v>0</v>
      </c>
      <c r="K34" s="16"/>
      <c r="L34" s="17"/>
      <c r="M34" s="18"/>
    </row>
    <row r="35" spans="2:13" ht="15.75" x14ac:dyDescent="0.25">
      <c r="B35" s="19" t="s">
        <v>4</v>
      </c>
      <c r="C35" s="20">
        <f>SUBTOTAL(109,Πίνακας146[DISTANCE (km)])</f>
        <v>12</v>
      </c>
      <c r="D35" s="23">
        <f>SUBTOTAL(103,Πίνακας146[DURATION (min)])</f>
        <v>5</v>
      </c>
      <c r="E35" s="21">
        <f>SUBTOTAL(109,Πίνακας146[KCAL])</f>
        <v>888</v>
      </c>
      <c r="F35" s="20">
        <f>SUBTOTAL(109,Πίνακας146[DISTANCE (km)2])</f>
        <v>0</v>
      </c>
      <c r="G35" s="8"/>
      <c r="H35" s="21">
        <f>SUBTOTAL(109,Πίνακας146[KCAL2])</f>
        <v>0</v>
      </c>
      <c r="I35" s="6"/>
      <c r="J35" s="6"/>
      <c r="K35" s="6"/>
      <c r="L35" s="6"/>
      <c r="M35" s="6"/>
    </row>
    <row r="36" spans="2:13" ht="15.75" x14ac:dyDescent="0.25">
      <c r="F36" s="11" t="s">
        <v>13</v>
      </c>
      <c r="G36" s="12">
        <f>Πίνακας146[[#Totals],[DISTANCE (km)]]+Πίνακας146[[#Totals],[DISTANCE (km)2]]</f>
        <v>12</v>
      </c>
      <c r="H36" s="13">
        <f>Πίνακας146[[#Totals],[KCAL]]+Πίνακας146[[#Totals],[DISTANCE (km)2]]</f>
        <v>888</v>
      </c>
    </row>
  </sheetData>
  <mergeCells count="3">
    <mergeCell ref="B2:H2"/>
    <mergeCell ref="C3:E3"/>
    <mergeCell ref="F3:H3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opLeftCell="B4" workbookViewId="0">
      <selection activeCell="M31" sqref="M31"/>
    </sheetView>
  </sheetViews>
  <sheetFormatPr defaultRowHeight="15" x14ac:dyDescent="0.25"/>
  <cols>
    <col min="2" max="2" width="34.7109375" bestFit="1" customWidth="1"/>
    <col min="3" max="3" width="15.7109375" bestFit="1" customWidth="1"/>
    <col min="4" max="4" width="17.42578125" bestFit="1" customWidth="1"/>
    <col min="5" max="5" width="11.7109375" customWidth="1"/>
    <col min="6" max="6" width="17.42578125" bestFit="1" customWidth="1"/>
    <col min="7" max="7" width="18.5703125" bestFit="1" customWidth="1"/>
    <col min="8" max="8" width="10" bestFit="1" customWidth="1"/>
    <col min="11" max="11" width="8.5703125" customWidth="1"/>
    <col min="12" max="12" width="12.28515625" customWidth="1"/>
    <col min="13" max="13" width="10" bestFit="1" customWidth="1"/>
  </cols>
  <sheetData>
    <row r="1" spans="2:15" x14ac:dyDescent="0.25">
      <c r="L1" s="88" t="s">
        <v>27</v>
      </c>
    </row>
    <row r="2" spans="2:15" ht="18.75" x14ac:dyDescent="0.3">
      <c r="B2" s="147" t="s">
        <v>23</v>
      </c>
      <c r="C2" s="147"/>
      <c r="D2" s="147"/>
      <c r="E2" s="147"/>
      <c r="F2" s="147"/>
      <c r="G2" s="147"/>
      <c r="H2" s="147"/>
      <c r="K2" s="85">
        <v>1.4</v>
      </c>
      <c r="L2" s="88">
        <v>1.7</v>
      </c>
    </row>
    <row r="3" spans="2:15" ht="15.75" x14ac:dyDescent="0.25">
      <c r="B3" s="1"/>
      <c r="C3" s="148" t="s">
        <v>8</v>
      </c>
      <c r="D3" s="148"/>
      <c r="E3" s="149"/>
      <c r="F3" s="150" t="s">
        <v>9</v>
      </c>
      <c r="G3" s="150"/>
      <c r="H3" s="150"/>
    </row>
    <row r="4" spans="2:15" ht="15.75" x14ac:dyDescent="0.25">
      <c r="B4" s="2" t="s">
        <v>0</v>
      </c>
      <c r="C4" s="14" t="s">
        <v>1</v>
      </c>
      <c r="D4" s="14" t="s">
        <v>2</v>
      </c>
      <c r="E4" s="14" t="s">
        <v>3</v>
      </c>
      <c r="F4" s="15" t="s">
        <v>5</v>
      </c>
      <c r="G4" s="15" t="s">
        <v>6</v>
      </c>
      <c r="H4" s="15" t="s">
        <v>7</v>
      </c>
      <c r="I4" s="15" t="s">
        <v>10</v>
      </c>
      <c r="J4" s="15" t="s">
        <v>11</v>
      </c>
      <c r="K4" s="15" t="s">
        <v>12</v>
      </c>
      <c r="L4" s="15" t="s">
        <v>26</v>
      </c>
      <c r="M4" s="14" t="s">
        <v>15</v>
      </c>
      <c r="N4" s="14" t="s">
        <v>28</v>
      </c>
      <c r="O4" s="97" t="s">
        <v>29</v>
      </c>
    </row>
    <row r="5" spans="2:15" ht="15.75" x14ac:dyDescent="0.25">
      <c r="B5" s="3">
        <v>43647</v>
      </c>
      <c r="C5" s="73">
        <v>3</v>
      </c>
      <c r="D5" s="73">
        <v>60</v>
      </c>
      <c r="E5" s="74">
        <v>137</v>
      </c>
      <c r="F5" s="73"/>
      <c r="G5" s="73"/>
      <c r="H5" s="74"/>
      <c r="I5" s="75">
        <f>Πίνακας1467[[#This Row],[DISTANCE (km)]]+Πίνακας1467[[#This Row],[DISTANCE (km)2]]</f>
        <v>3</v>
      </c>
      <c r="J5" s="76">
        <f>Πίνακας1467[[#This Row],[KCAL]]+Πίνακας1467[[#This Row],[KCAL2]]</f>
        <v>137</v>
      </c>
      <c r="K5" s="77" t="s">
        <v>22</v>
      </c>
      <c r="L5" s="86">
        <f>IF( Πίνακας1467[[#This Row],[Watch]] &gt; 0, Πίνακας1467[[#This Row],[Watch]] +Πίνακας1467[[#This Row],[KCAL]]/2,Πίνακας1467[[#This Row],[KCAL]]*$L$2)</f>
        <v>232.9</v>
      </c>
      <c r="M5" s="90">
        <v>89.9</v>
      </c>
      <c r="N5" s="91">
        <v>2</v>
      </c>
      <c r="O5" s="99"/>
    </row>
    <row r="6" spans="2:15" ht="15.75" x14ac:dyDescent="0.25">
      <c r="B6" s="3">
        <v>43648</v>
      </c>
      <c r="C6" s="78">
        <v>3</v>
      </c>
      <c r="D6" s="78">
        <v>60</v>
      </c>
      <c r="E6" s="79">
        <v>200</v>
      </c>
      <c r="F6" s="78"/>
      <c r="G6" s="78"/>
      <c r="H6" s="79"/>
      <c r="I6" s="80">
        <f>Πίνακας1467[[#This Row],[DISTANCE (km)]]+Πίνακας1467[[#This Row],[DISTANCE (km)2]]</f>
        <v>3</v>
      </c>
      <c r="J6" s="81">
        <f>Πίνακας1467[[#This Row],[KCAL]]+Πίνακας1467[[#This Row],[KCAL2]]</f>
        <v>200</v>
      </c>
      <c r="K6" s="82"/>
      <c r="L6" s="86">
        <f>IF( Πίνακας1467[[#This Row],[Watch]] &gt; 0, Πίνακας1467[[#This Row],[Watch]] +Πίνακας1467[[#This Row],[KCAL]]/2,Πίνακας1467[[#This Row],[KCAL]]*$L$2)</f>
        <v>340</v>
      </c>
      <c r="M6" s="90">
        <v>89.7</v>
      </c>
      <c r="N6" s="91">
        <v>2</v>
      </c>
      <c r="O6" s="100"/>
    </row>
    <row r="7" spans="2:15" ht="15.75" x14ac:dyDescent="0.25">
      <c r="B7" s="3">
        <v>43649</v>
      </c>
      <c r="C7" s="78"/>
      <c r="D7" s="78"/>
      <c r="E7" s="79"/>
      <c r="F7" s="78"/>
      <c r="G7" s="78"/>
      <c r="H7" s="79"/>
      <c r="I7" s="80">
        <f>Πίνακας1467[[#This Row],[DISTANCE (km)]]+Πίνακας1467[[#This Row],[DISTANCE (km)2]]</f>
        <v>0</v>
      </c>
      <c r="J7" s="81">
        <f>Πίνακας1467[[#This Row],[KCAL]]+Πίνακας1467[[#This Row],[KCAL2]]</f>
        <v>0</v>
      </c>
      <c r="K7" s="82"/>
      <c r="L7" s="86">
        <f>IF( Πίνακας1467[[#This Row],[Watch]] &gt; 0, Πίνακας1467[[#This Row],[Watch]] +Πίνακας1467[[#This Row],[KCAL]]/2,Πίνακας1467[[#This Row],[KCAL]]*$L$2)</f>
        <v>0</v>
      </c>
      <c r="M7" s="90"/>
      <c r="N7" s="91"/>
      <c r="O7" s="100"/>
    </row>
    <row r="8" spans="2:15" ht="15.75" x14ac:dyDescent="0.25">
      <c r="B8" s="3">
        <v>43650</v>
      </c>
      <c r="C8" s="78"/>
      <c r="D8" s="78"/>
      <c r="E8" s="79"/>
      <c r="F8" s="78"/>
      <c r="G8" s="78"/>
      <c r="H8" s="79"/>
      <c r="I8" s="80">
        <f>Πίνακας1467[[#This Row],[DISTANCE (km)]]+Πίνακας1467[[#This Row],[DISTANCE (km)2]]</f>
        <v>0</v>
      </c>
      <c r="J8" s="81">
        <f>Πίνακας1467[[#This Row],[KCAL]]+Πίνακας1467[[#This Row],[KCAL2]]</f>
        <v>0</v>
      </c>
      <c r="K8" s="82"/>
      <c r="L8" s="86">
        <f>IF( Πίνακας1467[[#This Row],[Watch]] &gt; 0, Πίνακας1467[[#This Row],[Watch]] +Πίνακας1467[[#This Row],[KCAL]]/2,Πίνακας1467[[#This Row],[KCAL]]*$L$2)</f>
        <v>0</v>
      </c>
      <c r="M8" s="90"/>
      <c r="N8" s="91"/>
      <c r="O8" s="100"/>
    </row>
    <row r="9" spans="2:15" ht="15.75" x14ac:dyDescent="0.25">
      <c r="B9" s="3">
        <v>43651</v>
      </c>
      <c r="C9" s="78"/>
      <c r="D9" s="78"/>
      <c r="E9" s="79"/>
      <c r="F9" s="78"/>
      <c r="G9" s="78"/>
      <c r="H9" s="79"/>
      <c r="I9" s="80">
        <f>Πίνακας1467[[#This Row],[DISTANCE (km)]]+Πίνακας1467[[#This Row],[DISTANCE (km)2]]</f>
        <v>0</v>
      </c>
      <c r="J9" s="81">
        <f>Πίνακας1467[[#This Row],[KCAL]]+Πίνακας1467[[#This Row],[KCAL2]]</f>
        <v>0</v>
      </c>
      <c r="K9" s="82"/>
      <c r="L9" s="86">
        <f>IF( Πίνακας1467[[#This Row],[Watch]] &gt; 0, Πίνακας1467[[#This Row],[Watch]] +Πίνακας1467[[#This Row],[KCAL]]/2,Πίνακας1467[[#This Row],[KCAL]]*$L$2)</f>
        <v>0</v>
      </c>
      <c r="M9" s="90"/>
      <c r="N9" s="91"/>
      <c r="O9" s="100"/>
    </row>
    <row r="10" spans="2:15" ht="15.75" x14ac:dyDescent="0.25">
      <c r="B10" s="3">
        <v>43652</v>
      </c>
      <c r="C10" s="78"/>
      <c r="D10" s="78"/>
      <c r="E10" s="79"/>
      <c r="F10" s="78"/>
      <c r="G10" s="78"/>
      <c r="H10" s="79"/>
      <c r="I10" s="80">
        <f>Πίνακας1467[[#This Row],[DISTANCE (km)]]+Πίνακας1467[[#This Row],[DISTANCE (km)2]]</f>
        <v>0</v>
      </c>
      <c r="J10" s="81">
        <f>Πίνακας1467[[#This Row],[KCAL]]+Πίνακας1467[[#This Row],[KCAL2]]</f>
        <v>0</v>
      </c>
      <c r="K10" s="82"/>
      <c r="L10" s="86">
        <f>IF( Πίνακας1467[[#This Row],[Watch]] &gt; 0, Πίνακας1467[[#This Row],[Watch]] +Πίνακας1467[[#This Row],[KCAL]]/2,Πίνακας1467[[#This Row],[KCAL]]*$L$2)</f>
        <v>0</v>
      </c>
      <c r="M10" s="90"/>
      <c r="N10" s="91"/>
      <c r="O10" s="100"/>
    </row>
    <row r="11" spans="2:15" ht="15.75" x14ac:dyDescent="0.25">
      <c r="B11" s="3">
        <v>43653</v>
      </c>
      <c r="C11" s="78"/>
      <c r="D11" s="78"/>
      <c r="E11" s="79"/>
      <c r="F11" s="78"/>
      <c r="G11" s="78"/>
      <c r="H11" s="79"/>
      <c r="I11" s="80">
        <f>Πίνακας1467[[#This Row],[DISTANCE (km)]]+Πίνακας1467[[#This Row],[DISTANCE (km)2]]</f>
        <v>0</v>
      </c>
      <c r="J11" s="81">
        <f>Πίνακας1467[[#This Row],[KCAL]]+Πίνακας1467[[#This Row],[KCAL2]]</f>
        <v>0</v>
      </c>
      <c r="K11" s="82"/>
      <c r="L11" s="86">
        <f>IF( Πίνακας1467[[#This Row],[Watch]] &gt; 0, Πίνακας1467[[#This Row],[Watch]] +Πίνακας1467[[#This Row],[KCAL]]/2,Πίνακας1467[[#This Row],[KCAL]]*$L$2)</f>
        <v>0</v>
      </c>
      <c r="M11" s="90"/>
      <c r="N11" s="91"/>
      <c r="O11" s="100"/>
    </row>
    <row r="12" spans="2:15" ht="15.75" x14ac:dyDescent="0.25">
      <c r="B12" s="3">
        <v>43654</v>
      </c>
      <c r="C12" s="78">
        <v>2</v>
      </c>
      <c r="D12" s="78">
        <v>42</v>
      </c>
      <c r="E12" s="79">
        <v>135</v>
      </c>
      <c r="F12" s="78"/>
      <c r="G12" s="78"/>
      <c r="H12" s="79"/>
      <c r="I12" s="80">
        <f>Πίνακας1467[[#This Row],[DISTANCE (km)]]+Πίνακας1467[[#This Row],[DISTANCE (km)2]]</f>
        <v>2</v>
      </c>
      <c r="J12" s="81">
        <f>Πίνακας1467[[#This Row],[KCAL]]+Πίνακας1467[[#This Row],[KCAL2]]</f>
        <v>135</v>
      </c>
      <c r="K12" s="82"/>
      <c r="L12" s="86">
        <f>IF( Πίνακας1467[[#This Row],[Watch]] &gt; 0, Πίνακας1467[[#This Row],[Watch]] +Πίνακας1467[[#This Row],[KCAL]]/2,Πίνακας1467[[#This Row],[KCAL]]*$L$2)</f>
        <v>229.5</v>
      </c>
      <c r="M12" s="90">
        <v>90.4</v>
      </c>
      <c r="N12" s="91">
        <v>1</v>
      </c>
      <c r="O12" s="100"/>
    </row>
    <row r="13" spans="2:15" ht="15.75" x14ac:dyDescent="0.25">
      <c r="B13" s="3">
        <v>43655</v>
      </c>
      <c r="C13" s="78">
        <v>3</v>
      </c>
      <c r="D13" s="78">
        <v>62</v>
      </c>
      <c r="E13" s="79">
        <v>187</v>
      </c>
      <c r="F13" s="78"/>
      <c r="G13" s="78"/>
      <c r="H13" s="79"/>
      <c r="I13" s="80">
        <f>Πίνακας1467[[#This Row],[DISTANCE (km)]]+Πίνακας1467[[#This Row],[DISTANCE (km)2]]</f>
        <v>3</v>
      </c>
      <c r="J13" s="81">
        <f>Πίνακας1467[[#This Row],[KCAL]]+Πίνακας1467[[#This Row],[KCAL2]]</f>
        <v>187</v>
      </c>
      <c r="K13" s="82"/>
      <c r="L13" s="86">
        <f>IF( Πίνακας1467[[#This Row],[Watch]] &gt; 0, Πίνακας1467[[#This Row],[Watch]] +Πίνακας1467[[#This Row],[KCAL]]/2,Πίνακας1467[[#This Row],[KCAL]]*$L$2)</f>
        <v>317.89999999999998</v>
      </c>
      <c r="M13" s="90">
        <v>90.3</v>
      </c>
      <c r="N13" s="91">
        <v>2.4</v>
      </c>
      <c r="O13" s="100"/>
    </row>
    <row r="14" spans="2:15" ht="15.75" x14ac:dyDescent="0.25">
      <c r="B14" s="3">
        <v>43656</v>
      </c>
      <c r="C14" s="78"/>
      <c r="D14" s="78"/>
      <c r="E14" s="79"/>
      <c r="F14" s="78"/>
      <c r="G14" s="78"/>
      <c r="H14" s="79"/>
      <c r="I14" s="80">
        <f>Πίνακας1467[[#This Row],[DISTANCE (km)]]+Πίνακας1467[[#This Row],[DISTANCE (km)2]]</f>
        <v>0</v>
      </c>
      <c r="J14" s="81">
        <f>Πίνακας1467[[#This Row],[KCAL]]+Πίνακας1467[[#This Row],[KCAL2]]</f>
        <v>0</v>
      </c>
      <c r="K14" s="82"/>
      <c r="L14" s="86">
        <f>IF( Πίνακας1467[[#This Row],[Watch]] &gt; 0, Πίνακας1467[[#This Row],[Watch]] +Πίνακας1467[[#This Row],[KCAL]]/2,Πίνακας1467[[#This Row],[KCAL]]*$L$2)</f>
        <v>0</v>
      </c>
      <c r="M14" s="90"/>
      <c r="N14" s="91"/>
      <c r="O14" s="100"/>
    </row>
    <row r="15" spans="2:15" ht="15.75" x14ac:dyDescent="0.25">
      <c r="B15" s="3">
        <v>43657</v>
      </c>
      <c r="C15" s="78"/>
      <c r="D15" s="78"/>
      <c r="E15" s="79"/>
      <c r="F15" s="78"/>
      <c r="G15" s="78"/>
      <c r="H15" s="79"/>
      <c r="I15" s="80">
        <f>Πίνακας1467[[#This Row],[DISTANCE (km)]]+Πίνακας1467[[#This Row],[DISTANCE (km)2]]</f>
        <v>0</v>
      </c>
      <c r="J15" s="81">
        <f>Πίνακας1467[[#This Row],[KCAL]]+Πίνακας1467[[#This Row],[KCAL2]]</f>
        <v>0</v>
      </c>
      <c r="K15" s="82"/>
      <c r="L15" s="86">
        <f>IF( Πίνακας1467[[#This Row],[Watch]] &gt; 0, Πίνακας1467[[#This Row],[Watch]] +Πίνακας1467[[#This Row],[KCAL]]/2,Πίνακας1467[[#This Row],[KCAL]]*$L$2)</f>
        <v>0</v>
      </c>
      <c r="M15" s="90"/>
      <c r="N15" s="91"/>
      <c r="O15" s="100"/>
    </row>
    <row r="16" spans="2:15" ht="15.75" x14ac:dyDescent="0.25">
      <c r="B16" s="3">
        <v>43658</v>
      </c>
      <c r="C16" s="78"/>
      <c r="D16" s="78"/>
      <c r="E16" s="79"/>
      <c r="F16" s="78"/>
      <c r="G16" s="78"/>
      <c r="H16" s="79"/>
      <c r="I16" s="80">
        <f>Πίνακας1467[[#This Row],[DISTANCE (km)]]+Πίνακας1467[[#This Row],[DISTANCE (km)2]]</f>
        <v>0</v>
      </c>
      <c r="J16" s="81">
        <f>Πίνακας1467[[#This Row],[KCAL]]+Πίνακας1467[[#This Row],[KCAL2]]</f>
        <v>0</v>
      </c>
      <c r="K16" s="82"/>
      <c r="L16" s="86">
        <f>IF( Πίνακας1467[[#This Row],[Watch]] &gt; 0, Πίνακας1467[[#This Row],[Watch]] +Πίνακας1467[[#This Row],[KCAL]]/2,Πίνακας1467[[#This Row],[KCAL]]*$L$2)</f>
        <v>0</v>
      </c>
      <c r="M16" s="90"/>
      <c r="N16" s="91"/>
      <c r="O16" s="100"/>
    </row>
    <row r="17" spans="2:15" ht="15.75" x14ac:dyDescent="0.25">
      <c r="B17" s="3">
        <v>43659</v>
      </c>
      <c r="C17" s="78"/>
      <c r="D17" s="78"/>
      <c r="E17" s="79"/>
      <c r="F17" s="78"/>
      <c r="G17" s="78"/>
      <c r="H17" s="79"/>
      <c r="I17" s="80">
        <f>Πίνακας1467[[#This Row],[DISTANCE (km)]]+Πίνακας1467[[#This Row],[DISTANCE (km)2]]</f>
        <v>0</v>
      </c>
      <c r="J17" s="81">
        <f>Πίνακας1467[[#This Row],[KCAL]]+Πίνακας1467[[#This Row],[KCAL2]]</f>
        <v>0</v>
      </c>
      <c r="K17" s="82"/>
      <c r="L17" s="86">
        <f>IF( Πίνακας1467[[#This Row],[Watch]] &gt; 0, Πίνακας1467[[#This Row],[Watch]] +Πίνακας1467[[#This Row],[KCAL]]/2,Πίνακας1467[[#This Row],[KCAL]]*$L$2)</f>
        <v>0</v>
      </c>
      <c r="M17" s="90"/>
      <c r="N17" s="91"/>
      <c r="O17" s="100"/>
    </row>
    <row r="18" spans="2:15" ht="15.75" x14ac:dyDescent="0.25">
      <c r="B18" s="3">
        <v>43660</v>
      </c>
      <c r="C18" s="4"/>
      <c r="D18" s="4"/>
      <c r="E18" s="5"/>
      <c r="F18" s="4"/>
      <c r="G18" s="4"/>
      <c r="H18" s="5"/>
      <c r="I18" s="9">
        <f>Πίνακας1467[[#This Row],[DISTANCE (km)]]+Πίνακας1467[[#This Row],[DISTANCE (km)2]]</f>
        <v>0</v>
      </c>
      <c r="J18" s="10">
        <f>Πίνακας1467[[#This Row],[KCAL]]+Πίνακας1467[[#This Row],[KCAL2]]</f>
        <v>0</v>
      </c>
      <c r="K18" s="16"/>
      <c r="L18" s="87">
        <f>IF( Πίνακας1467[[#This Row],[Watch]] &gt; 0, Πίνακας1467[[#This Row],[Watch]] +Πίνακας1467[[#This Row],[KCAL]]/2,Πίνακας1467[[#This Row],[KCAL]]*$L$2)</f>
        <v>0</v>
      </c>
      <c r="M18" s="90"/>
      <c r="N18" s="91"/>
      <c r="O18" s="100"/>
    </row>
    <row r="19" spans="2:15" ht="15.75" x14ac:dyDescent="0.25">
      <c r="B19" s="3">
        <v>43661</v>
      </c>
      <c r="C19" s="4"/>
      <c r="D19" s="4"/>
      <c r="E19" s="5"/>
      <c r="F19" s="4"/>
      <c r="G19" s="4"/>
      <c r="H19" s="5"/>
      <c r="I19" s="9">
        <f>Πίνακας1467[[#This Row],[DISTANCE (km)]]+Πίνακας1467[[#This Row],[DISTANCE (km)2]]</f>
        <v>0</v>
      </c>
      <c r="J19" s="10">
        <f>Πίνακας1467[[#This Row],[KCAL]]+Πίνακας1467[[#This Row],[KCAL2]]</f>
        <v>0</v>
      </c>
      <c r="K19" s="16"/>
      <c r="L19" s="87">
        <f>IF( Πίνακας1467[[#This Row],[Watch]] &gt; 0, Πίνακας1467[[#This Row],[Watch]] +Πίνακας1467[[#This Row],[KCAL]]/2,Πίνακας1467[[#This Row],[KCAL]]*$L$2)</f>
        <v>0</v>
      </c>
      <c r="M19" s="90"/>
      <c r="N19" s="91"/>
      <c r="O19" s="100"/>
    </row>
    <row r="20" spans="2:15" ht="15.75" x14ac:dyDescent="0.25">
      <c r="B20" s="3">
        <v>43662</v>
      </c>
      <c r="C20" s="4"/>
      <c r="D20" s="4"/>
      <c r="E20" s="5"/>
      <c r="F20" s="4"/>
      <c r="G20" s="4"/>
      <c r="H20" s="5"/>
      <c r="I20" s="9">
        <f>Πίνακας1467[[#This Row],[DISTANCE (km)]]+Πίνακας1467[[#This Row],[DISTANCE (km)2]]</f>
        <v>0</v>
      </c>
      <c r="J20" s="10">
        <f>Πίνακας1467[[#This Row],[KCAL]]+Πίνακας1467[[#This Row],[KCAL2]]</f>
        <v>0</v>
      </c>
      <c r="K20" s="16"/>
      <c r="L20" s="87">
        <f>IF( Πίνακας1467[[#This Row],[Watch]] &gt; 0, Πίνακας1467[[#This Row],[Watch]] +Πίνακας1467[[#This Row],[KCAL]]/2,Πίνακας1467[[#This Row],[KCAL]]*$L$2)</f>
        <v>0</v>
      </c>
      <c r="M20" s="90"/>
      <c r="N20" s="91"/>
      <c r="O20" s="100"/>
    </row>
    <row r="21" spans="2:15" ht="15.75" x14ac:dyDescent="0.25">
      <c r="B21" s="3">
        <v>43663</v>
      </c>
      <c r="C21" s="4"/>
      <c r="D21" s="4"/>
      <c r="E21" s="5"/>
      <c r="F21" s="4"/>
      <c r="G21" s="4"/>
      <c r="H21" s="5"/>
      <c r="I21" s="9">
        <f>Πίνακας1467[[#This Row],[DISTANCE (km)]]+Πίνακας1467[[#This Row],[DISTANCE (km)2]]</f>
        <v>0</v>
      </c>
      <c r="J21" s="10">
        <f>Πίνακας1467[[#This Row],[KCAL]]+Πίνακας1467[[#This Row],[KCAL2]]</f>
        <v>0</v>
      </c>
      <c r="K21" s="16"/>
      <c r="L21" s="87">
        <f>IF( Πίνακας1467[[#This Row],[Watch]] &gt; 0, Πίνακας1467[[#This Row],[Watch]] +Πίνακας1467[[#This Row],[KCAL]]/2,Πίνακας1467[[#This Row],[KCAL]]*$L$2)</f>
        <v>0</v>
      </c>
      <c r="M21" s="90"/>
      <c r="N21" s="91"/>
      <c r="O21" s="100"/>
    </row>
    <row r="22" spans="2:15" ht="15.75" x14ac:dyDescent="0.25">
      <c r="B22" s="3">
        <v>43664</v>
      </c>
      <c r="C22" s="4"/>
      <c r="D22" s="4"/>
      <c r="E22" s="5"/>
      <c r="F22" s="4"/>
      <c r="G22" s="4"/>
      <c r="H22" s="5"/>
      <c r="I22" s="9">
        <f>Πίνακας1467[[#This Row],[DISTANCE (km)]]+Πίνακας1467[[#This Row],[DISTANCE (km)2]]</f>
        <v>0</v>
      </c>
      <c r="J22" s="10">
        <f>Πίνακας1467[[#This Row],[KCAL]]+Πίνακας1467[[#This Row],[KCAL2]]</f>
        <v>0</v>
      </c>
      <c r="K22" s="16"/>
      <c r="L22" s="87">
        <f>IF( Πίνακας1467[[#This Row],[Watch]] &gt; 0, Πίνακας1467[[#This Row],[Watch]] +Πίνακας1467[[#This Row],[KCAL]]/2,Πίνακας1467[[#This Row],[KCAL]]*$L$2)</f>
        <v>0</v>
      </c>
      <c r="M22" s="90"/>
      <c r="N22" s="91"/>
      <c r="O22" s="100"/>
    </row>
    <row r="23" spans="2:15" ht="15.75" x14ac:dyDescent="0.25">
      <c r="B23" s="3">
        <v>43665</v>
      </c>
      <c r="C23" s="4"/>
      <c r="D23" s="4"/>
      <c r="E23" s="5"/>
      <c r="F23" s="4"/>
      <c r="G23" s="4"/>
      <c r="H23" s="5"/>
      <c r="I23" s="9">
        <f>Πίνακας1467[[#This Row],[DISTANCE (km)]]+Πίνακας1467[[#This Row],[DISTANCE (km)2]]</f>
        <v>0</v>
      </c>
      <c r="J23" s="10">
        <f>Πίνακας1467[[#This Row],[KCAL]]+Πίνακας1467[[#This Row],[KCAL2]]</f>
        <v>0</v>
      </c>
      <c r="K23" s="16"/>
      <c r="L23" s="87">
        <f>IF( Πίνακας1467[[#This Row],[Watch]] &gt; 0, Πίνακας1467[[#This Row],[Watch]] +Πίνακας1467[[#This Row],[KCAL]]/2,Πίνακας1467[[#This Row],[KCAL]]*$L$2)</f>
        <v>0</v>
      </c>
      <c r="M23" s="90"/>
      <c r="N23" s="91"/>
      <c r="O23" s="100"/>
    </row>
    <row r="24" spans="2:15" ht="15.75" x14ac:dyDescent="0.25">
      <c r="B24" s="3">
        <v>43666</v>
      </c>
      <c r="C24" s="4"/>
      <c r="D24" s="4"/>
      <c r="E24" s="5"/>
      <c r="F24" s="4"/>
      <c r="G24" s="4"/>
      <c r="H24" s="5"/>
      <c r="I24" s="9">
        <f>Πίνακας1467[[#This Row],[DISTANCE (km)]]+Πίνακας1467[[#This Row],[DISTANCE (km)2]]</f>
        <v>0</v>
      </c>
      <c r="J24" s="10">
        <f>Πίνακας1467[[#This Row],[KCAL]]+Πίνακας1467[[#This Row],[KCAL2]]</f>
        <v>0</v>
      </c>
      <c r="K24" s="16"/>
      <c r="L24" s="87">
        <f>IF( Πίνακας1467[[#This Row],[Watch]] &gt; 0, Πίνακας1467[[#This Row],[Watch]] +Πίνακας1467[[#This Row],[KCAL]]/2,Πίνακας1467[[#This Row],[KCAL]]*$L$2)</f>
        <v>0</v>
      </c>
      <c r="M24" s="90"/>
      <c r="N24" s="91"/>
      <c r="O24" s="100"/>
    </row>
    <row r="25" spans="2:15" ht="15.75" x14ac:dyDescent="0.25">
      <c r="B25" s="3">
        <v>43667</v>
      </c>
      <c r="C25" s="4"/>
      <c r="D25" s="4"/>
      <c r="E25" s="5"/>
      <c r="F25" s="4"/>
      <c r="G25" s="4"/>
      <c r="H25" s="5"/>
      <c r="I25" s="9">
        <f>Πίνακας1467[[#This Row],[DISTANCE (km)]]+Πίνακας1467[[#This Row],[DISTANCE (km)2]]</f>
        <v>0</v>
      </c>
      <c r="J25" s="10">
        <f>Πίνακας1467[[#This Row],[KCAL]]+Πίνακας1467[[#This Row],[KCAL2]]</f>
        <v>0</v>
      </c>
      <c r="K25" s="16"/>
      <c r="L25" s="87">
        <f>IF( Πίνακας1467[[#This Row],[Watch]] &gt; 0, Πίνακας1467[[#This Row],[Watch]] +Πίνακας1467[[#This Row],[KCAL]]/2,Πίνακας1467[[#This Row],[KCAL]]*$L$2)</f>
        <v>0</v>
      </c>
      <c r="M25" s="90"/>
      <c r="N25" s="91"/>
      <c r="O25" s="100"/>
    </row>
    <row r="26" spans="2:15" ht="15.75" x14ac:dyDescent="0.25">
      <c r="B26" s="3">
        <v>43668</v>
      </c>
      <c r="C26" s="4"/>
      <c r="D26" s="4"/>
      <c r="E26" s="5"/>
      <c r="F26" s="4"/>
      <c r="G26" s="4"/>
      <c r="H26" s="5"/>
      <c r="I26" s="9">
        <f>Πίνακας1467[[#This Row],[DISTANCE (km)]]+Πίνακας1467[[#This Row],[DISTANCE (km)2]]</f>
        <v>0</v>
      </c>
      <c r="J26" s="10">
        <f>Πίνακας1467[[#This Row],[KCAL]]+Πίνακας1467[[#This Row],[KCAL2]]</f>
        <v>0</v>
      </c>
      <c r="K26" s="16"/>
      <c r="L26" s="87">
        <f>IF( Πίνακας1467[[#This Row],[Watch]] &gt; 0, Πίνακας1467[[#This Row],[Watch]] +Πίνακας1467[[#This Row],[KCAL]]/2,Πίνακας1467[[#This Row],[KCAL]]*$L$2)</f>
        <v>0</v>
      </c>
      <c r="M26" s="90"/>
      <c r="N26" s="91"/>
      <c r="O26" s="100"/>
    </row>
    <row r="27" spans="2:15" ht="15.75" x14ac:dyDescent="0.25">
      <c r="B27" s="3">
        <v>43669</v>
      </c>
      <c r="C27" s="4"/>
      <c r="D27" s="4"/>
      <c r="E27" s="5"/>
      <c r="F27" s="4"/>
      <c r="G27" s="4"/>
      <c r="H27" s="5"/>
      <c r="I27" s="9">
        <f>Πίνακας1467[[#This Row],[DISTANCE (km)]]+Πίνακας1467[[#This Row],[DISTANCE (km)2]]</f>
        <v>0</v>
      </c>
      <c r="J27" s="10">
        <f>Πίνακας1467[[#This Row],[KCAL]]+Πίνακας1467[[#This Row],[KCAL2]]</f>
        <v>0</v>
      </c>
      <c r="K27" s="16"/>
      <c r="L27" s="87">
        <f>IF( Πίνακας1467[[#This Row],[Watch]] &gt; 0, Πίνακας1467[[#This Row],[Watch]] +Πίνακας1467[[#This Row],[KCAL]]/2,Πίνακας1467[[#This Row],[KCAL]]*$L$2)</f>
        <v>0</v>
      </c>
      <c r="M27" s="90"/>
      <c r="N27" s="91"/>
      <c r="O27" s="100"/>
    </row>
    <row r="28" spans="2:15" ht="15.75" x14ac:dyDescent="0.25">
      <c r="B28" s="3">
        <v>43670</v>
      </c>
      <c r="C28" s="4">
        <v>2</v>
      </c>
      <c r="D28" s="4">
        <v>41</v>
      </c>
      <c r="E28" s="5">
        <v>137</v>
      </c>
      <c r="F28" s="4"/>
      <c r="G28" s="4"/>
      <c r="H28" s="5"/>
      <c r="I28" s="9">
        <f>Πίνακας1467[[#This Row],[DISTANCE (km)]]+Πίνακας1467[[#This Row],[DISTANCE (km)2]]</f>
        <v>2</v>
      </c>
      <c r="J28" s="10">
        <f>Πίνακας1467[[#This Row],[KCAL]]+Πίνακας1467[[#This Row],[KCAL2]]</f>
        <v>137</v>
      </c>
      <c r="K28" s="16"/>
      <c r="L28" s="87">
        <f>IF( Πίνακας1467[[#This Row],[Watch]] &gt; 0, Πίνακας1467[[#This Row],[Watch]] +Πίνακας1467[[#This Row],[KCAL]]/2,Πίνακας1467[[#This Row],[KCAL]]*$L$2)</f>
        <v>232.9</v>
      </c>
      <c r="M28" s="90"/>
      <c r="N28" s="91">
        <v>0.56999999999999995</v>
      </c>
      <c r="O28" s="100"/>
    </row>
    <row r="29" spans="2:15" ht="15.75" x14ac:dyDescent="0.25">
      <c r="B29" s="3">
        <v>43671</v>
      </c>
      <c r="C29" s="4">
        <v>3</v>
      </c>
      <c r="D29" s="4">
        <v>60</v>
      </c>
      <c r="E29" s="5">
        <v>193</v>
      </c>
      <c r="F29" s="4"/>
      <c r="G29" s="4"/>
      <c r="H29" s="5"/>
      <c r="I29" s="9">
        <f>Πίνακας1467[[#This Row],[DISTANCE (km)]]+Πίνακας1467[[#This Row],[DISTANCE (km)2]]</f>
        <v>3</v>
      </c>
      <c r="J29" s="10">
        <f>Πίνακας1467[[#This Row],[KCAL]]+Πίνακας1467[[#This Row],[KCAL2]]</f>
        <v>193</v>
      </c>
      <c r="K29" s="16"/>
      <c r="L29" s="87">
        <f>IF( Πίνακας1467[[#This Row],[Watch]] &gt; 0, Πίνακας1467[[#This Row],[Watch]] +Πίνακας1467[[#This Row],[KCAL]]/2,Πίνακας1467[[#This Row],[KCAL]]*$L$2)</f>
        <v>328.09999999999997</v>
      </c>
      <c r="M29" s="90">
        <v>92.6</v>
      </c>
      <c r="N29" s="93">
        <v>1.49</v>
      </c>
      <c r="O29" s="100"/>
    </row>
    <row r="30" spans="2:15" ht="15.75" x14ac:dyDescent="0.25">
      <c r="B30" s="3">
        <v>43672</v>
      </c>
      <c r="C30" s="4">
        <v>2</v>
      </c>
      <c r="D30" s="4">
        <v>40</v>
      </c>
      <c r="E30" s="5">
        <v>130</v>
      </c>
      <c r="F30" s="4"/>
      <c r="G30" s="4"/>
      <c r="H30" s="5"/>
      <c r="I30" s="9">
        <f>Πίνακας1467[[#This Row],[DISTANCE (km)]]+Πίνακας1467[[#This Row],[DISTANCE (km)2]]</f>
        <v>2</v>
      </c>
      <c r="J30" s="10">
        <f>Πίνακας1467[[#This Row],[KCAL]]+Πίνακας1467[[#This Row],[KCAL2]]</f>
        <v>130</v>
      </c>
      <c r="K30" s="16"/>
      <c r="L30" s="87">
        <f>IF( Πίνακας1467[[#This Row],[Watch]] &gt; 0, Πίνακας1467[[#This Row],[Watch]] +Πίνακας1467[[#This Row],[KCAL]]/2,Πίνακας1467[[#This Row],[KCAL]]*$L$2)</f>
        <v>221</v>
      </c>
      <c r="M30" s="90"/>
      <c r="N30" s="91">
        <v>1.1599999999999999</v>
      </c>
      <c r="O30" s="100"/>
    </row>
    <row r="31" spans="2:15" ht="15.75" x14ac:dyDescent="0.25">
      <c r="B31" s="3">
        <v>43673</v>
      </c>
      <c r="C31" s="95"/>
      <c r="D31" s="95"/>
      <c r="E31" s="96"/>
      <c r="F31" s="7"/>
      <c r="G31" s="7"/>
      <c r="H31" s="7"/>
      <c r="I31" s="9">
        <f>Πίνακας1467[[#This Row],[DISTANCE (km)]]+Πίνακας1467[[#This Row],[DISTANCE (km)2]]</f>
        <v>0</v>
      </c>
      <c r="J31" s="10">
        <f>Πίνακας1467[[#This Row],[KCAL]]+Πίνακας1467[[#This Row],[KCAL2]]</f>
        <v>0</v>
      </c>
      <c r="K31" s="16"/>
      <c r="L31" s="87">
        <f>IF( Πίνακας1467[[#This Row],[Watch]] &gt; 0, Πίνακας1467[[#This Row],[Watch]] +Πίνακας1467[[#This Row],[KCAL]]/2,Πίνακας1467[[#This Row],[KCAL]]*$L$2)</f>
        <v>0</v>
      </c>
      <c r="M31" s="90"/>
      <c r="N31" s="91"/>
      <c r="O31" s="100"/>
    </row>
    <row r="32" spans="2:15" ht="15.75" x14ac:dyDescent="0.25">
      <c r="B32" s="3">
        <v>43674</v>
      </c>
      <c r="C32" s="95"/>
      <c r="D32" s="95"/>
      <c r="E32" s="96"/>
      <c r="F32" s="7"/>
      <c r="G32" s="7"/>
      <c r="H32" s="7"/>
      <c r="I32" s="9">
        <f>Πίνακας1467[[#This Row],[DISTANCE (km)]]+Πίνακας1467[[#This Row],[DISTANCE (km)2]]</f>
        <v>0</v>
      </c>
      <c r="J32" s="10">
        <f>Πίνακας1467[[#This Row],[KCAL]]+Πίνακας1467[[#This Row],[KCAL2]]</f>
        <v>0</v>
      </c>
      <c r="K32" s="16"/>
      <c r="L32" s="87">
        <f>IF( Πίνακας1467[[#This Row],[Watch]] &gt; 0, Πίνακας1467[[#This Row],[Watch]] +Πίνακας1467[[#This Row],[KCAL]]/2,Πίνακας1467[[#This Row],[KCAL]]*$L$2)</f>
        <v>0</v>
      </c>
      <c r="M32" s="90"/>
      <c r="N32" s="91"/>
      <c r="O32" s="100"/>
    </row>
    <row r="33" spans="2:15" ht="15.75" x14ac:dyDescent="0.25">
      <c r="B33" s="3">
        <v>43675</v>
      </c>
      <c r="C33" s="95">
        <v>3</v>
      </c>
      <c r="D33" s="95">
        <v>60</v>
      </c>
      <c r="E33" s="96">
        <v>194</v>
      </c>
      <c r="F33" s="7"/>
      <c r="G33" s="7"/>
      <c r="H33" s="7"/>
      <c r="I33" s="9">
        <f>Πίνακας1467[[#This Row],[DISTANCE (km)]]+Πίνακας1467[[#This Row],[DISTANCE (km)2]]</f>
        <v>3</v>
      </c>
      <c r="J33" s="10">
        <f>Πίνακας1467[[#This Row],[KCAL]]+Πίνακας1467[[#This Row],[KCAL2]]</f>
        <v>194</v>
      </c>
      <c r="K33" s="16"/>
      <c r="L33" s="87">
        <f>IF( Πίνακας1467[[#This Row],[Watch]] &gt; 0, Πίνακας1467[[#This Row],[Watch]] +Πίνακας1467[[#This Row],[KCAL]]/2,Πίνακας1467[[#This Row],[KCAL]]*$L$2)</f>
        <v>371</v>
      </c>
      <c r="M33" s="90"/>
      <c r="N33" s="91">
        <v>1.21</v>
      </c>
      <c r="O33" s="100">
        <v>274</v>
      </c>
    </row>
    <row r="34" spans="2:15" ht="15.75" x14ac:dyDescent="0.25">
      <c r="B34" s="3">
        <v>43676</v>
      </c>
      <c r="C34" s="95">
        <v>3</v>
      </c>
      <c r="D34" s="95">
        <v>58</v>
      </c>
      <c r="E34" s="96">
        <v>186</v>
      </c>
      <c r="F34" s="7"/>
      <c r="G34" s="7"/>
      <c r="H34" s="7"/>
      <c r="I34" s="9">
        <f>Πίνακας1467[[#This Row],[DISTANCE (km)]]+Πίνακας1467[[#This Row],[DISTANCE (km)2]]</f>
        <v>3</v>
      </c>
      <c r="J34" s="10">
        <f>Πίνακας1467[[#This Row],[KCAL]]+Πίνακας1467[[#This Row],[KCAL2]]</f>
        <v>186</v>
      </c>
      <c r="K34" s="16"/>
      <c r="L34" s="87">
        <f>IF( Πίνακας1467[[#This Row],[Watch]] &gt; 0, Πίνακας1467[[#This Row],[Watch]] +Πίνακας1467[[#This Row],[KCAL]]/2,Πίνακας1467[[#This Row],[KCAL]]*$L$2)</f>
        <v>430</v>
      </c>
      <c r="M34" s="90"/>
      <c r="N34" s="91">
        <v>1.9</v>
      </c>
      <c r="O34" s="100">
        <v>337</v>
      </c>
    </row>
    <row r="35" spans="2:15" ht="15.75" x14ac:dyDescent="0.25">
      <c r="B35" s="3">
        <v>43677</v>
      </c>
      <c r="C35" s="95">
        <v>2</v>
      </c>
      <c r="D35" s="95">
        <v>60</v>
      </c>
      <c r="E35" s="96">
        <v>189</v>
      </c>
      <c r="F35" s="7"/>
      <c r="G35" s="7"/>
      <c r="H35" s="7">
        <v>63</v>
      </c>
      <c r="I35" s="9">
        <f>Πίνακας1467[[#This Row],[DISTANCE (km)]]+Πίνακας1467[[#This Row],[DISTANCE (km)2]]</f>
        <v>2</v>
      </c>
      <c r="J35" s="83">
        <f>Πίνακας1467[[#This Row],[KCAL]]+Πίνακας1467[[#This Row],[KCAL2]]</f>
        <v>252</v>
      </c>
      <c r="K35" s="84"/>
      <c r="L35" s="87">
        <f>IF( Πίνακας1467[[#This Row],[Watch]] &gt; 0, Πίνακας1467[[#This Row],[Watch]] +Πίνακας1467[[#This Row],[KCAL]]/2,Πίνακας1467[[#This Row],[KCAL]]*$L$2)</f>
        <v>384.5</v>
      </c>
      <c r="M35" s="90"/>
      <c r="N35" s="91">
        <v>1.91</v>
      </c>
      <c r="O35" s="101">
        <v>290</v>
      </c>
    </row>
    <row r="36" spans="2:15" ht="15.75" x14ac:dyDescent="0.25">
      <c r="B36" s="19" t="s">
        <v>4</v>
      </c>
      <c r="C36" s="20">
        <f>SUBTOTAL(109,Πίνακας1467[DISTANCE (km)])</f>
        <v>26</v>
      </c>
      <c r="D36" s="23">
        <f>SUBTOTAL(103,Πίνακας1467[DURATION (min)])</f>
        <v>10</v>
      </c>
      <c r="E36" s="21">
        <f>SUBTOTAL(109,Πίνακας1467[KCAL])</f>
        <v>1688</v>
      </c>
      <c r="F36" s="20">
        <f>SUBTOTAL(109,Πίνακας1467[DISTANCE (km)2])</f>
        <v>0</v>
      </c>
      <c r="G36" s="8"/>
      <c r="H36" s="21">
        <f>SUBTOTAL(109,Πίνακας1467[KCAL2])</f>
        <v>63</v>
      </c>
      <c r="I36" s="6"/>
      <c r="J36" s="6"/>
      <c r="K36" s="6"/>
      <c r="L36" s="92">
        <f>SUBTOTAL(109,Πίνακας1467[Kcal *])</f>
        <v>3087.8</v>
      </c>
      <c r="M36" s="89"/>
      <c r="N36" s="94"/>
      <c r="O36" s="98"/>
    </row>
    <row r="37" spans="2:15" ht="15.75" x14ac:dyDescent="0.25">
      <c r="F37" s="11" t="s">
        <v>13</v>
      </c>
      <c r="G37" s="12">
        <f>Πίνακας1467[[#Totals],[DISTANCE (km)]]+Πίνακας1467[[#Totals],[DISTANCE (km)2]]</f>
        <v>26</v>
      </c>
      <c r="H37" s="13">
        <f>Πίνακας1467[[#Totals],[KCAL]]+Πίνακας1467[[#Totals],[DISTANCE (km)2]]</f>
        <v>1688</v>
      </c>
    </row>
  </sheetData>
  <mergeCells count="3">
    <mergeCell ref="B2:H2"/>
    <mergeCell ref="C3:E3"/>
    <mergeCell ref="F3:H3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opLeftCell="A7" workbookViewId="0">
      <selection activeCell="C35" sqref="C35"/>
    </sheetView>
  </sheetViews>
  <sheetFormatPr defaultRowHeight="15" x14ac:dyDescent="0.25"/>
  <cols>
    <col min="2" max="2" width="34.7109375" bestFit="1" customWidth="1"/>
    <col min="3" max="3" width="15.7109375" bestFit="1" customWidth="1"/>
    <col min="4" max="4" width="17.42578125" bestFit="1" customWidth="1"/>
    <col min="5" max="5" width="11.7109375" customWidth="1"/>
    <col min="6" max="6" width="17.42578125" bestFit="1" customWidth="1"/>
    <col min="7" max="7" width="18.5703125" bestFit="1" customWidth="1"/>
    <col min="8" max="8" width="10" bestFit="1" customWidth="1"/>
    <col min="11" max="11" width="8.5703125" customWidth="1"/>
    <col min="12" max="12" width="12.28515625" customWidth="1"/>
    <col min="13" max="13" width="10" bestFit="1" customWidth="1"/>
  </cols>
  <sheetData>
    <row r="1" spans="2:15" x14ac:dyDescent="0.25">
      <c r="L1" s="88" t="s">
        <v>27</v>
      </c>
    </row>
    <row r="2" spans="2:15" ht="18.75" x14ac:dyDescent="0.3">
      <c r="B2" s="147" t="s">
        <v>30</v>
      </c>
      <c r="C2" s="147"/>
      <c r="D2" s="147"/>
      <c r="E2" s="147"/>
      <c r="F2" s="147"/>
      <c r="G2" s="147"/>
      <c r="H2" s="147"/>
      <c r="K2" s="85">
        <v>1.4</v>
      </c>
      <c r="L2" s="88">
        <v>1.6</v>
      </c>
    </row>
    <row r="3" spans="2:15" ht="15.75" x14ac:dyDescent="0.25">
      <c r="B3" s="1"/>
      <c r="C3" s="148" t="s">
        <v>8</v>
      </c>
      <c r="D3" s="148"/>
      <c r="E3" s="149"/>
      <c r="F3" s="150" t="s">
        <v>9</v>
      </c>
      <c r="G3" s="150"/>
      <c r="H3" s="150"/>
    </row>
    <row r="4" spans="2:15" ht="15.75" x14ac:dyDescent="0.25">
      <c r="B4" s="119" t="s">
        <v>0</v>
      </c>
      <c r="C4" s="120" t="s">
        <v>1</v>
      </c>
      <c r="D4" s="119" t="s">
        <v>2</v>
      </c>
      <c r="E4" s="119" t="s">
        <v>3</v>
      </c>
      <c r="F4" s="121" t="s">
        <v>5</v>
      </c>
      <c r="G4" s="121" t="s">
        <v>6</v>
      </c>
      <c r="H4" s="121" t="s">
        <v>7</v>
      </c>
      <c r="I4" s="121" t="s">
        <v>10</v>
      </c>
      <c r="J4" s="121" t="s">
        <v>11</v>
      </c>
      <c r="K4" s="121" t="s">
        <v>12</v>
      </c>
      <c r="L4" s="121" t="s">
        <v>26</v>
      </c>
      <c r="M4" s="119" t="s">
        <v>15</v>
      </c>
      <c r="N4" s="122" t="s">
        <v>28</v>
      </c>
      <c r="O4" s="121" t="s">
        <v>29</v>
      </c>
    </row>
    <row r="5" spans="2:15" ht="15.75" x14ac:dyDescent="0.25">
      <c r="B5" s="118">
        <v>43678</v>
      </c>
      <c r="C5" s="113">
        <v>2</v>
      </c>
      <c r="D5" s="73">
        <v>40</v>
      </c>
      <c r="E5" s="74">
        <v>125</v>
      </c>
      <c r="F5" s="73"/>
      <c r="G5" s="73"/>
      <c r="H5" s="74"/>
      <c r="I5" s="75">
        <f>Πίνακας14672[[#This Row],[DISTANCE (km)]]+Πίνακας14672[[#This Row],[DISTANCE (km)2]]</f>
        <v>2</v>
      </c>
      <c r="J5" s="76">
        <f>Πίνακας14672[[#This Row],[KCAL]]+Πίνακας14672[[#This Row],[KCAL2]]</f>
        <v>125</v>
      </c>
      <c r="K5" s="77"/>
      <c r="L5" s="86">
        <f>IF( Πίνακας14672[[#This Row],[Watch]] &gt; 0, Πίνακας14672[[#This Row],[Watch]] +Πίνακας14672[[#This Row],[KCAL]]/2,Πίνακας14672[[#This Row],[KCAL]]*$L$2)</f>
        <v>283.5</v>
      </c>
      <c r="M5" s="90">
        <v>92.1</v>
      </c>
      <c r="N5" s="106">
        <v>0.96</v>
      </c>
      <c r="O5" s="110">
        <v>221</v>
      </c>
    </row>
    <row r="6" spans="2:15" ht="15.75" x14ac:dyDescent="0.25">
      <c r="B6" s="118">
        <v>43679</v>
      </c>
      <c r="C6" s="114"/>
      <c r="D6" s="68"/>
      <c r="E6" s="69"/>
      <c r="F6" s="68"/>
      <c r="G6" s="68"/>
      <c r="H6" s="69"/>
      <c r="I6" s="70">
        <f>Πίνακας14672[[#This Row],[DISTANCE (km)]]+Πίνακας14672[[#This Row],[DISTANCE (km)2]]</f>
        <v>0</v>
      </c>
      <c r="J6" s="71">
        <f>Πίνακας14672[[#This Row],[KCAL]]+Πίνακας14672[[#This Row],[KCAL2]]</f>
        <v>0</v>
      </c>
      <c r="K6" s="72"/>
      <c r="L6" s="102">
        <f>IF( Πίνακας14672[[#This Row],[Watch]] &gt; 0, Πίνακας14672[[#This Row],[Watch]] +Πίνακας14672[[#This Row],[KCAL]]/2,Πίνακας14672[[#This Row],[KCAL]]*$L$2)</f>
        <v>0</v>
      </c>
      <c r="M6" s="103"/>
      <c r="N6" s="107"/>
      <c r="O6" s="111"/>
    </row>
    <row r="7" spans="2:15" ht="15.75" x14ac:dyDescent="0.25">
      <c r="B7" s="118">
        <v>43680</v>
      </c>
      <c r="C7" s="114"/>
      <c r="D7" s="68"/>
      <c r="E7" s="69"/>
      <c r="F7" s="68"/>
      <c r="G7" s="68"/>
      <c r="H7" s="69"/>
      <c r="I7" s="70">
        <f>Πίνακας14672[[#This Row],[DISTANCE (km)]]+Πίνακας14672[[#This Row],[DISTANCE (km)2]]</f>
        <v>0</v>
      </c>
      <c r="J7" s="71">
        <f>Πίνακας14672[[#This Row],[KCAL]]+Πίνακας14672[[#This Row],[KCAL2]]</f>
        <v>0</v>
      </c>
      <c r="K7" s="72"/>
      <c r="L7" s="102">
        <f>IF( Πίνακας14672[[#This Row],[Watch]] &gt; 0, Πίνακας14672[[#This Row],[Watch]] +Πίνακας14672[[#This Row],[KCAL]]/2,Πίνακας14672[[#This Row],[KCAL]]*$L$2)</f>
        <v>0</v>
      </c>
      <c r="M7" s="103"/>
      <c r="N7" s="107"/>
      <c r="O7" s="111"/>
    </row>
    <row r="8" spans="2:15" ht="15.75" x14ac:dyDescent="0.25">
      <c r="B8" s="118">
        <v>43681</v>
      </c>
      <c r="C8" s="114"/>
      <c r="D8" s="68"/>
      <c r="E8" s="69"/>
      <c r="F8" s="68"/>
      <c r="G8" s="68"/>
      <c r="H8" s="69"/>
      <c r="I8" s="70">
        <f>Πίνακας14672[[#This Row],[DISTANCE (km)]]+Πίνακας14672[[#This Row],[DISTANCE (km)2]]</f>
        <v>0</v>
      </c>
      <c r="J8" s="71">
        <f>Πίνακας14672[[#This Row],[KCAL]]+Πίνακας14672[[#This Row],[KCAL2]]</f>
        <v>0</v>
      </c>
      <c r="K8" s="72"/>
      <c r="L8" s="102">
        <f>IF( Πίνακας14672[[#This Row],[Watch]] &gt; 0, Πίνακας14672[[#This Row],[Watch]] +Πίνακας14672[[#This Row],[KCAL]]/2,Πίνακας14672[[#This Row],[KCAL]]*$L$2)</f>
        <v>0</v>
      </c>
      <c r="M8" s="103"/>
      <c r="N8" s="107"/>
      <c r="O8" s="111"/>
    </row>
    <row r="9" spans="2:15" ht="15.75" x14ac:dyDescent="0.25">
      <c r="B9" s="118">
        <v>43682</v>
      </c>
      <c r="C9" s="114"/>
      <c r="D9" s="68"/>
      <c r="E9" s="69"/>
      <c r="F9" s="68"/>
      <c r="G9" s="68"/>
      <c r="H9" s="69"/>
      <c r="I9" s="70">
        <f>Πίνακας14672[[#This Row],[DISTANCE (km)]]+Πίνακας14672[[#This Row],[DISTANCE (km)2]]</f>
        <v>0</v>
      </c>
      <c r="J9" s="71">
        <f>Πίνακας14672[[#This Row],[KCAL]]+Πίνακας14672[[#This Row],[KCAL2]]</f>
        <v>0</v>
      </c>
      <c r="K9" s="72"/>
      <c r="L9" s="102">
        <f>IF( Πίνακας14672[[#This Row],[Watch]] &gt; 0, Πίνακας14672[[#This Row],[Watch]] +Πίνακας14672[[#This Row],[KCAL]]/2,Πίνακας14672[[#This Row],[KCAL]]*$L$2)</f>
        <v>0</v>
      </c>
      <c r="M9" s="103">
        <v>93.3</v>
      </c>
      <c r="N9" s="107"/>
      <c r="O9" s="111"/>
    </row>
    <row r="10" spans="2:15" ht="15.75" x14ac:dyDescent="0.25">
      <c r="B10" s="118">
        <v>43683</v>
      </c>
      <c r="C10" s="115">
        <v>2</v>
      </c>
      <c r="D10" s="78">
        <v>40</v>
      </c>
      <c r="E10" s="79">
        <v>122</v>
      </c>
      <c r="F10" s="78"/>
      <c r="G10" s="78"/>
      <c r="H10" s="79"/>
      <c r="I10" s="80">
        <f>Πίνακας14672[[#This Row],[DISTANCE (km)]]+Πίνακας14672[[#This Row],[DISTANCE (km)2]]</f>
        <v>2</v>
      </c>
      <c r="J10" s="81">
        <f>Πίνακας14672[[#This Row],[KCAL]]+Πίνακας14672[[#This Row],[KCAL2]]</f>
        <v>122</v>
      </c>
      <c r="K10" s="82"/>
      <c r="L10" s="86">
        <f>IF( Πίνακας14672[[#This Row],[Watch]] &gt; 0, Πίνακας14672[[#This Row],[Watch]] +Πίνακας14672[[#This Row],[KCAL]]/2,Πίνακας14672[[#This Row],[KCAL]]*$L$2)</f>
        <v>248</v>
      </c>
      <c r="M10" s="90">
        <v>92</v>
      </c>
      <c r="N10" s="106">
        <v>1.01</v>
      </c>
      <c r="O10" s="110">
        <v>187</v>
      </c>
    </row>
    <row r="11" spans="2:15" ht="15.75" x14ac:dyDescent="0.25">
      <c r="B11" s="118">
        <v>43684</v>
      </c>
      <c r="C11" s="115">
        <v>3</v>
      </c>
      <c r="D11" s="78">
        <v>60</v>
      </c>
      <c r="E11" s="79">
        <v>187</v>
      </c>
      <c r="F11" s="78"/>
      <c r="G11" s="78"/>
      <c r="H11" s="79"/>
      <c r="I11" s="80">
        <f>Πίνακας14672[[#This Row],[DISTANCE (km)]]+Πίνακας14672[[#This Row],[DISTANCE (km)2]]</f>
        <v>3</v>
      </c>
      <c r="J11" s="81">
        <f>Πίνακας14672[[#This Row],[KCAL]]+Πίνακας14672[[#This Row],[KCAL2]]</f>
        <v>187</v>
      </c>
      <c r="K11" s="82"/>
      <c r="L11" s="86">
        <f>IF( Πίνακας14672[[#This Row],[Watch]] &gt; 0, Πίνακας14672[[#This Row],[Watch]] +Πίνακας14672[[#This Row],[KCAL]]/2,Πίνακας14672[[#This Row],[KCAL]]*$L$2)</f>
        <v>346.5</v>
      </c>
      <c r="M11" s="90">
        <v>91.7</v>
      </c>
      <c r="N11" s="106">
        <v>1.2</v>
      </c>
      <c r="O11" s="110">
        <v>253</v>
      </c>
    </row>
    <row r="12" spans="2:15" ht="15.75" x14ac:dyDescent="0.25">
      <c r="B12" s="118">
        <v>43685</v>
      </c>
      <c r="C12" s="115">
        <v>1</v>
      </c>
      <c r="D12" s="78">
        <v>20</v>
      </c>
      <c r="E12" s="79">
        <v>65</v>
      </c>
      <c r="F12" s="78"/>
      <c r="G12" s="78"/>
      <c r="H12" s="79"/>
      <c r="I12" s="80">
        <f>Πίνακας14672[[#This Row],[DISTANCE (km)]]+Πίνακας14672[[#This Row],[DISTANCE (km)2]]</f>
        <v>1</v>
      </c>
      <c r="J12" s="81">
        <f>Πίνακας14672[[#This Row],[KCAL]]+Πίνακας14672[[#This Row],[KCAL2]]</f>
        <v>65</v>
      </c>
      <c r="K12" s="82"/>
      <c r="L12" s="86">
        <f>IF( Πίνακας14672[[#This Row],[Watch]] &gt; 0, Πίνακας14672[[#This Row],[Watch]] +Πίνακας14672[[#This Row],[KCAL]]/2,Πίνακας14672[[#This Row],[KCAL]]*$L$2)</f>
        <v>103.5</v>
      </c>
      <c r="M12" s="90"/>
      <c r="N12" s="106">
        <v>0.45</v>
      </c>
      <c r="O12" s="110">
        <v>71</v>
      </c>
    </row>
    <row r="13" spans="2:15" ht="15.75" x14ac:dyDescent="0.25">
      <c r="B13" s="118">
        <v>43686</v>
      </c>
      <c r="C13" s="114"/>
      <c r="D13" s="68"/>
      <c r="E13" s="69"/>
      <c r="F13" s="68"/>
      <c r="G13" s="68"/>
      <c r="H13" s="69"/>
      <c r="I13" s="70">
        <f>Πίνακας14672[[#This Row],[DISTANCE (km)]]+Πίνακας14672[[#This Row],[DISTANCE (km)2]]</f>
        <v>0</v>
      </c>
      <c r="J13" s="71">
        <f>Πίνακας14672[[#This Row],[KCAL]]+Πίνακας14672[[#This Row],[KCAL2]]</f>
        <v>0</v>
      </c>
      <c r="K13" s="72"/>
      <c r="L13" s="102">
        <f>IF( Πίνακας14672[[#This Row],[Watch]] &gt; 0, Πίνακας14672[[#This Row],[Watch]] +Πίνακας14672[[#This Row],[KCAL]]/2,Πίνακας14672[[#This Row],[KCAL]]*$L$2)</f>
        <v>0</v>
      </c>
      <c r="M13" s="103"/>
      <c r="N13" s="107"/>
      <c r="O13" s="111"/>
    </row>
    <row r="14" spans="2:15" ht="15.75" x14ac:dyDescent="0.25">
      <c r="B14" s="118">
        <v>43687</v>
      </c>
      <c r="C14" s="115">
        <v>3</v>
      </c>
      <c r="D14" s="78">
        <v>60</v>
      </c>
      <c r="E14" s="79">
        <v>191</v>
      </c>
      <c r="F14" s="78"/>
      <c r="G14" s="78"/>
      <c r="H14" s="79"/>
      <c r="I14" s="80">
        <f>Πίνακας14672[[#This Row],[DISTANCE (km)]]+Πίνακας14672[[#This Row],[DISTANCE (km)2]]</f>
        <v>3</v>
      </c>
      <c r="J14" s="81">
        <f>Πίνακας14672[[#This Row],[KCAL]]+Πίνακας14672[[#This Row],[KCAL2]]</f>
        <v>191</v>
      </c>
      <c r="K14" s="82"/>
      <c r="L14" s="86">
        <f>IF( Πίνακας14672[[#This Row],[Watch]] &gt; 0, Πίνακας14672[[#This Row],[Watch]] +Πίνακας14672[[#This Row],[KCAL]]/2,Πίνακας14672[[#This Row],[KCAL]]*$L$2)</f>
        <v>348.5</v>
      </c>
      <c r="M14" s="90"/>
      <c r="N14" s="106">
        <v>1.84</v>
      </c>
      <c r="O14" s="110">
        <v>253</v>
      </c>
    </row>
    <row r="15" spans="2:15" ht="15.75" x14ac:dyDescent="0.25">
      <c r="B15" s="118">
        <v>43688</v>
      </c>
      <c r="C15" s="115">
        <v>4</v>
      </c>
      <c r="D15" s="78">
        <v>80</v>
      </c>
      <c r="E15" s="79">
        <v>254</v>
      </c>
      <c r="F15" s="78"/>
      <c r="G15" s="78"/>
      <c r="H15" s="79"/>
      <c r="I15" s="80">
        <f>Πίνακας14672[[#This Row],[DISTANCE (km)]]+Πίνακας14672[[#This Row],[DISTANCE (km)2]]</f>
        <v>4</v>
      </c>
      <c r="J15" s="81">
        <f>Πίνακας14672[[#This Row],[KCAL]]+Πίνακας14672[[#This Row],[KCAL2]]</f>
        <v>254</v>
      </c>
      <c r="K15" s="82"/>
      <c r="L15" s="86">
        <f>IF( Πίνακας14672[[#This Row],[Watch]] &gt; 0, Πίνακας14672[[#This Row],[Watch]] +Πίνακας14672[[#This Row],[KCAL]]/2,Πίνακας14672[[#This Row],[KCAL]]*$L$2)</f>
        <v>477</v>
      </c>
      <c r="M15" s="90">
        <v>92.3</v>
      </c>
      <c r="N15" s="106">
        <v>2.54</v>
      </c>
      <c r="O15" s="110">
        <v>350</v>
      </c>
    </row>
    <row r="16" spans="2:15" ht="15.75" x14ac:dyDescent="0.25">
      <c r="B16" s="118">
        <v>43689</v>
      </c>
      <c r="C16" s="115">
        <v>2</v>
      </c>
      <c r="D16" s="78">
        <v>39</v>
      </c>
      <c r="E16" s="79">
        <v>124</v>
      </c>
      <c r="F16" s="78"/>
      <c r="G16" s="78"/>
      <c r="H16" s="79"/>
      <c r="I16" s="80">
        <f>Πίνακας14672[[#This Row],[DISTANCE (km)]]+Πίνακας14672[[#This Row],[DISTANCE (km)2]]</f>
        <v>2</v>
      </c>
      <c r="J16" s="81">
        <f>Πίνακας14672[[#This Row],[KCAL]]+Πίνακας14672[[#This Row],[KCAL2]]</f>
        <v>124</v>
      </c>
      <c r="K16" s="82"/>
      <c r="L16" s="86">
        <f>IF( Πίνακας14672[[#This Row],[Watch]] &gt; 0, Πίνακας14672[[#This Row],[Watch]] +Πίνακας14672[[#This Row],[KCAL]]/2,Πίνακας14672[[#This Row],[KCAL]]*$L$2)</f>
        <v>218</v>
      </c>
      <c r="M16" s="90">
        <v>92.1</v>
      </c>
      <c r="N16" s="106">
        <v>1.21</v>
      </c>
      <c r="O16" s="110">
        <v>156</v>
      </c>
    </row>
    <row r="17" spans="2:15" ht="15.75" x14ac:dyDescent="0.25">
      <c r="B17" s="118">
        <v>43690</v>
      </c>
      <c r="C17" s="114"/>
      <c r="D17" s="68"/>
      <c r="E17" s="69"/>
      <c r="F17" s="68"/>
      <c r="G17" s="68"/>
      <c r="H17" s="69"/>
      <c r="I17" s="70">
        <f>Πίνακας14672[[#This Row],[DISTANCE (km)]]+Πίνακας14672[[#This Row],[DISTANCE (km)2]]</f>
        <v>0</v>
      </c>
      <c r="J17" s="71">
        <f>Πίνακας14672[[#This Row],[KCAL]]+Πίνακας14672[[#This Row],[KCAL2]]</f>
        <v>0</v>
      </c>
      <c r="K17" s="72"/>
      <c r="L17" s="102">
        <f>IF( Πίνακας14672[[#This Row],[Watch]] &gt; 0, Πίνακας14672[[#This Row],[Watch]] +Πίνακας14672[[#This Row],[KCAL]]/2,Πίνακας14672[[#This Row],[KCAL]]*$L$2)</f>
        <v>0</v>
      </c>
      <c r="M17" s="103"/>
      <c r="N17" s="107"/>
      <c r="O17" s="111"/>
    </row>
    <row r="18" spans="2:15" ht="15.75" x14ac:dyDescent="0.25">
      <c r="B18" s="118">
        <v>43691</v>
      </c>
      <c r="C18" s="116">
        <v>3</v>
      </c>
      <c r="D18" s="4">
        <v>58</v>
      </c>
      <c r="E18" s="5">
        <v>183</v>
      </c>
      <c r="F18" s="4"/>
      <c r="G18" s="4"/>
      <c r="H18" s="5"/>
      <c r="I18" s="9">
        <f>Πίνακας14672[[#This Row],[DISTANCE (km)]]+Πίνακας14672[[#This Row],[DISTANCE (km)2]]</f>
        <v>3</v>
      </c>
      <c r="J18" s="10">
        <f>Πίνακας14672[[#This Row],[KCAL]]+Πίνακας14672[[#This Row],[KCAL2]]</f>
        <v>183</v>
      </c>
      <c r="K18" s="16"/>
      <c r="L18" s="87">
        <f>IF( Πίνακας14672[[#This Row],[Watch]] &gt; 0, Πίνακας14672[[#This Row],[Watch]] +Πίνακας14672[[#This Row],[KCAL]]/2,Πίνακας14672[[#This Row],[KCAL]]*$L$2)</f>
        <v>306.5</v>
      </c>
      <c r="M18" s="90">
        <v>91.4</v>
      </c>
      <c r="N18" s="106">
        <v>1.62</v>
      </c>
      <c r="O18" s="110">
        <v>215</v>
      </c>
    </row>
    <row r="19" spans="2:15" ht="15.75" x14ac:dyDescent="0.25">
      <c r="B19" s="118">
        <v>43692</v>
      </c>
      <c r="C19" s="116">
        <v>3</v>
      </c>
      <c r="D19" s="4">
        <v>61</v>
      </c>
      <c r="E19" s="5">
        <v>185</v>
      </c>
      <c r="F19" s="4"/>
      <c r="G19" s="4"/>
      <c r="H19" s="5"/>
      <c r="I19" s="9">
        <f>Πίνακας14672[[#This Row],[DISTANCE (km)]]+Πίνακας14672[[#This Row],[DISTANCE (km)2]]</f>
        <v>3</v>
      </c>
      <c r="J19" s="10">
        <f>Πίνακας14672[[#This Row],[KCAL]]+Πίνακας14672[[#This Row],[KCAL2]]</f>
        <v>185</v>
      </c>
      <c r="K19" s="16"/>
      <c r="L19" s="87">
        <f>IF( Πίνακας14672[[#This Row],[Watch]] &gt; 0, Πίνακας14672[[#This Row],[Watch]] +Πίνακας14672[[#This Row],[KCAL]]/2,Πίνακας14672[[#This Row],[KCAL]]*$L$2)</f>
        <v>302.5</v>
      </c>
      <c r="M19" s="90"/>
      <c r="N19" s="106">
        <v>1.51</v>
      </c>
      <c r="O19" s="110">
        <v>210</v>
      </c>
    </row>
    <row r="20" spans="2:15" ht="15.75" x14ac:dyDescent="0.25">
      <c r="B20" s="118">
        <v>43693</v>
      </c>
      <c r="C20" s="116">
        <v>2</v>
      </c>
      <c r="D20" s="4">
        <v>40</v>
      </c>
      <c r="E20" s="5">
        <v>127</v>
      </c>
      <c r="F20" s="4"/>
      <c r="G20" s="4"/>
      <c r="H20" s="5"/>
      <c r="I20" s="9">
        <f>Πίνακας14672[[#This Row],[DISTANCE (km)]]+Πίνακας14672[[#This Row],[DISTANCE (km)2]]</f>
        <v>2</v>
      </c>
      <c r="J20" s="10">
        <f>Πίνακας14672[[#This Row],[KCAL]]+Πίνακας14672[[#This Row],[KCAL2]]</f>
        <v>127</v>
      </c>
      <c r="K20" s="16"/>
      <c r="L20" s="87">
        <f>IF( Πίνακας14672[[#This Row],[Watch]] &gt; 0, Πίνακας14672[[#This Row],[Watch]] +Πίνακας14672[[#This Row],[KCAL]]/2,Πίνακας14672[[#This Row],[KCAL]]*$L$2)</f>
        <v>203.5</v>
      </c>
      <c r="M20" s="90"/>
      <c r="N20" s="106">
        <v>1.01</v>
      </c>
      <c r="O20" s="110">
        <v>140</v>
      </c>
    </row>
    <row r="21" spans="2:15" ht="15.75" x14ac:dyDescent="0.25">
      <c r="B21" s="118">
        <v>43694</v>
      </c>
      <c r="C21" s="114"/>
      <c r="D21" s="68"/>
      <c r="E21" s="69"/>
      <c r="F21" s="68"/>
      <c r="G21" s="68"/>
      <c r="H21" s="69"/>
      <c r="I21" s="70">
        <f>Πίνακας14672[[#This Row],[DISTANCE (km)]]+Πίνακας14672[[#This Row],[DISTANCE (km)2]]</f>
        <v>0</v>
      </c>
      <c r="J21" s="71">
        <f>Πίνακας14672[[#This Row],[KCAL]]+Πίνακας14672[[#This Row],[KCAL2]]</f>
        <v>0</v>
      </c>
      <c r="K21" s="72"/>
      <c r="L21" s="102">
        <f>IF( Πίνακας14672[[#This Row],[Watch]] &gt; 0, Πίνακας14672[[#This Row],[Watch]] +Πίνακας14672[[#This Row],[KCAL]]/2,Πίνακας14672[[#This Row],[KCAL]]*$L$2)</f>
        <v>0</v>
      </c>
      <c r="M21" s="103"/>
      <c r="N21" s="107"/>
      <c r="O21" s="111"/>
    </row>
    <row r="22" spans="2:15" ht="15.75" x14ac:dyDescent="0.25">
      <c r="B22" s="118">
        <v>43695</v>
      </c>
      <c r="C22" s="114"/>
      <c r="D22" s="68"/>
      <c r="E22" s="69"/>
      <c r="F22" s="68"/>
      <c r="G22" s="68"/>
      <c r="H22" s="69"/>
      <c r="I22" s="70">
        <f>Πίνακας14672[[#This Row],[DISTANCE (km)]]+Πίνακας14672[[#This Row],[DISTANCE (km)2]]</f>
        <v>0</v>
      </c>
      <c r="J22" s="71">
        <f>Πίνακας14672[[#This Row],[KCAL]]+Πίνακας14672[[#This Row],[KCAL2]]</f>
        <v>0</v>
      </c>
      <c r="K22" s="72"/>
      <c r="L22" s="102">
        <f>IF( Πίνακας14672[[#This Row],[Watch]] &gt; 0, Πίνακας14672[[#This Row],[Watch]] +Πίνακας14672[[#This Row],[KCAL]]/2,Πίνακας14672[[#This Row],[KCAL]]*$L$2)</f>
        <v>0</v>
      </c>
      <c r="M22" s="103"/>
      <c r="N22" s="107"/>
      <c r="O22" s="111"/>
    </row>
    <row r="23" spans="2:15" ht="15.75" x14ac:dyDescent="0.25">
      <c r="B23" s="118">
        <v>43696</v>
      </c>
      <c r="C23" s="114"/>
      <c r="D23" s="68"/>
      <c r="E23" s="69"/>
      <c r="F23" s="68"/>
      <c r="G23" s="68"/>
      <c r="H23" s="69"/>
      <c r="I23" s="70">
        <f>Πίνακας14672[[#This Row],[DISTANCE (km)]]+Πίνακας14672[[#This Row],[DISTANCE (km)2]]</f>
        <v>0</v>
      </c>
      <c r="J23" s="71">
        <f>Πίνακας14672[[#This Row],[KCAL]]+Πίνακας14672[[#This Row],[KCAL2]]</f>
        <v>0</v>
      </c>
      <c r="K23" s="72"/>
      <c r="L23" s="102">
        <f>IF( Πίνακας14672[[#This Row],[Watch]] &gt; 0, Πίνακας14672[[#This Row],[Watch]] +Πίνακας14672[[#This Row],[KCAL]]/2,Πίνακας14672[[#This Row],[KCAL]]*$L$2)</f>
        <v>0</v>
      </c>
      <c r="M23" s="103"/>
      <c r="N23" s="107"/>
      <c r="O23" s="111"/>
    </row>
    <row r="24" spans="2:15" ht="15.75" x14ac:dyDescent="0.25">
      <c r="B24" s="118">
        <v>43697</v>
      </c>
      <c r="C24" s="114"/>
      <c r="D24" s="68"/>
      <c r="E24" s="69"/>
      <c r="F24" s="68"/>
      <c r="G24" s="68"/>
      <c r="H24" s="69"/>
      <c r="I24" s="70">
        <f>Πίνακας14672[[#This Row],[DISTANCE (km)]]+Πίνακας14672[[#This Row],[DISTANCE (km)2]]</f>
        <v>0</v>
      </c>
      <c r="J24" s="71">
        <f>Πίνακας14672[[#This Row],[KCAL]]+Πίνακας14672[[#This Row],[KCAL2]]</f>
        <v>0</v>
      </c>
      <c r="K24" s="72"/>
      <c r="L24" s="102">
        <f>IF( Πίνακας14672[[#This Row],[Watch]] &gt; 0, Πίνακας14672[[#This Row],[Watch]] +Πίνακας14672[[#This Row],[KCAL]]/2,Πίνακας14672[[#This Row],[KCAL]]*$L$2)</f>
        <v>0</v>
      </c>
      <c r="M24" s="103"/>
      <c r="N24" s="107"/>
      <c r="O24" s="111"/>
    </row>
    <row r="25" spans="2:15" ht="15.75" x14ac:dyDescent="0.25">
      <c r="B25" s="118">
        <v>43698</v>
      </c>
      <c r="C25" s="114"/>
      <c r="D25" s="68"/>
      <c r="E25" s="69"/>
      <c r="F25" s="68"/>
      <c r="G25" s="68"/>
      <c r="H25" s="69"/>
      <c r="I25" s="70">
        <f>Πίνακας14672[[#This Row],[DISTANCE (km)]]+Πίνακας14672[[#This Row],[DISTANCE (km)2]]</f>
        <v>0</v>
      </c>
      <c r="J25" s="71">
        <f>Πίνακας14672[[#This Row],[KCAL]]+Πίνακας14672[[#This Row],[KCAL2]]</f>
        <v>0</v>
      </c>
      <c r="K25" s="72"/>
      <c r="L25" s="102">
        <f>IF( Πίνακας14672[[#This Row],[Watch]] &gt; 0, Πίνακας14672[[#This Row],[Watch]] +Πίνακας14672[[#This Row],[KCAL]]/2,Πίνακας14672[[#This Row],[KCAL]]*$L$2)</f>
        <v>0</v>
      </c>
      <c r="M25" s="103"/>
      <c r="N25" s="107"/>
      <c r="O25" s="111"/>
    </row>
    <row r="26" spans="2:15" ht="15.75" x14ac:dyDescent="0.25">
      <c r="B26" s="118">
        <v>43699</v>
      </c>
      <c r="C26" s="114"/>
      <c r="D26" s="68"/>
      <c r="E26" s="69"/>
      <c r="F26" s="68"/>
      <c r="G26" s="68"/>
      <c r="H26" s="69"/>
      <c r="I26" s="70">
        <f>Πίνακας14672[[#This Row],[DISTANCE (km)]]+Πίνακας14672[[#This Row],[DISTANCE (km)2]]</f>
        <v>0</v>
      </c>
      <c r="J26" s="71">
        <f>Πίνακας14672[[#This Row],[KCAL]]+Πίνακας14672[[#This Row],[KCAL2]]</f>
        <v>0</v>
      </c>
      <c r="K26" s="72"/>
      <c r="L26" s="102">
        <f>IF( Πίνακας14672[[#This Row],[Watch]] &gt; 0, Πίνακας14672[[#This Row],[Watch]] +Πίνακας14672[[#This Row],[KCAL]]/2,Πίνακας14672[[#This Row],[KCAL]]*$L$2)</f>
        <v>0</v>
      </c>
      <c r="M26" s="103"/>
      <c r="N26" s="107"/>
      <c r="O26" s="111"/>
    </row>
    <row r="27" spans="2:15" ht="15.75" x14ac:dyDescent="0.25">
      <c r="B27" s="118">
        <v>43700</v>
      </c>
      <c r="C27" s="114"/>
      <c r="D27" s="68"/>
      <c r="E27" s="69"/>
      <c r="F27" s="68"/>
      <c r="G27" s="68"/>
      <c r="H27" s="69"/>
      <c r="I27" s="70">
        <f>Πίνακας14672[[#This Row],[DISTANCE (km)]]+Πίνακας14672[[#This Row],[DISTANCE (km)2]]</f>
        <v>0</v>
      </c>
      <c r="J27" s="71">
        <f>Πίνακας14672[[#This Row],[KCAL]]+Πίνακας14672[[#This Row],[KCAL2]]</f>
        <v>0</v>
      </c>
      <c r="K27" s="72"/>
      <c r="L27" s="102">
        <f>IF( Πίνακας14672[[#This Row],[Watch]] &gt; 0, Πίνακας14672[[#This Row],[Watch]] +Πίνακας14672[[#This Row],[KCAL]]/2,Πίνακας14672[[#This Row],[KCAL]]*$L$2)</f>
        <v>0</v>
      </c>
      <c r="M27" s="103"/>
      <c r="N27" s="107"/>
      <c r="O27" s="111"/>
    </row>
    <row r="28" spans="2:15" ht="15.75" x14ac:dyDescent="0.25">
      <c r="B28" s="118">
        <v>43701</v>
      </c>
      <c r="C28" s="116">
        <v>3</v>
      </c>
      <c r="D28" s="4">
        <v>56</v>
      </c>
      <c r="E28" s="5">
        <v>181</v>
      </c>
      <c r="F28" s="4"/>
      <c r="G28" s="4"/>
      <c r="H28" s="5"/>
      <c r="I28" s="9">
        <f>Πίνακας14672[[#This Row],[DISTANCE (km)]]+Πίνακας14672[[#This Row],[DISTANCE (km)2]]</f>
        <v>3</v>
      </c>
      <c r="J28" s="10">
        <f>Πίνακας14672[[#This Row],[KCAL]]+Πίνακας14672[[#This Row],[KCAL2]]</f>
        <v>181</v>
      </c>
      <c r="K28" s="105"/>
      <c r="L28" s="87">
        <f>IF( Πίνακας14672[[#This Row],[Watch]] &gt; 0, Πίνακας14672[[#This Row],[Watch]] +Πίνακας14672[[#This Row],[KCAL]]/2,Πίνακας14672[[#This Row],[KCAL]]*$L$2)</f>
        <v>404.5</v>
      </c>
      <c r="M28" s="90">
        <v>93</v>
      </c>
      <c r="N28" s="106">
        <v>2.56</v>
      </c>
      <c r="O28" s="110">
        <v>314</v>
      </c>
    </row>
    <row r="29" spans="2:15" ht="15.75" x14ac:dyDescent="0.25">
      <c r="B29" s="118">
        <v>43702</v>
      </c>
      <c r="C29" s="116">
        <v>4</v>
      </c>
      <c r="D29" s="4">
        <v>78</v>
      </c>
      <c r="E29" s="5">
        <v>247</v>
      </c>
      <c r="F29" s="4"/>
      <c r="G29" s="4"/>
      <c r="H29" s="5"/>
      <c r="I29" s="9">
        <f>Πίνακας14672[[#This Row],[DISTANCE (km)]]+Πίνακας14672[[#This Row],[DISTANCE (km)2]]</f>
        <v>4</v>
      </c>
      <c r="J29" s="10">
        <f>Πίνακας14672[[#This Row],[KCAL]]+Πίνακας14672[[#This Row],[KCAL2]]</f>
        <v>247</v>
      </c>
      <c r="K29" s="104"/>
      <c r="L29" s="87">
        <f>IF( Πίνακας14672[[#This Row],[Watch]] &gt; 0, Πίνακας14672[[#This Row],[Watch]] +Πίνακας14672[[#This Row],[KCAL]]/2,Πίνακας14672[[#This Row],[KCAL]]*$L$2)</f>
        <v>484.5</v>
      </c>
      <c r="M29" s="90">
        <v>92.6</v>
      </c>
      <c r="N29" s="108">
        <v>3.98</v>
      </c>
      <c r="O29" s="110">
        <v>361</v>
      </c>
    </row>
    <row r="30" spans="2:15" ht="15.75" x14ac:dyDescent="0.25">
      <c r="B30" s="118">
        <v>43703</v>
      </c>
      <c r="C30" s="116">
        <v>1</v>
      </c>
      <c r="D30" s="4">
        <v>20</v>
      </c>
      <c r="E30" s="5">
        <v>67</v>
      </c>
      <c r="F30" s="4"/>
      <c r="G30" s="4"/>
      <c r="H30" s="5"/>
      <c r="I30" s="9">
        <f>Πίνακας14672[[#This Row],[DISTANCE (km)]]+Πίνακας14672[[#This Row],[DISTANCE (km)2]]</f>
        <v>1</v>
      </c>
      <c r="J30" s="10">
        <f>Πίνακας14672[[#This Row],[KCAL]]+Πίνακας14672[[#This Row],[KCAL2]]</f>
        <v>67</v>
      </c>
      <c r="K30" s="16"/>
      <c r="L30" s="87">
        <f>IF( Πίνακας14672[[#This Row],[Watch]] &gt; 0, Πίνακας14672[[#This Row],[Watch]] +Πίνακας14672[[#This Row],[KCAL]]/2,Πίνακας14672[[#This Row],[KCAL]]*$L$2)</f>
        <v>110.5</v>
      </c>
      <c r="M30" s="90">
        <v>93.3</v>
      </c>
      <c r="N30" s="106">
        <v>1.27</v>
      </c>
      <c r="O30" s="110">
        <v>77</v>
      </c>
    </row>
    <row r="31" spans="2:15" ht="15.75" x14ac:dyDescent="0.25">
      <c r="B31" s="118">
        <v>43704</v>
      </c>
      <c r="C31" s="117"/>
      <c r="D31" s="95"/>
      <c r="E31" s="96"/>
      <c r="F31" s="7"/>
      <c r="G31" s="7"/>
      <c r="H31" s="7"/>
      <c r="I31" s="9">
        <f>Πίνακας14672[[#This Row],[DISTANCE (km)]]+Πίνακας14672[[#This Row],[DISTANCE (km)2]]</f>
        <v>0</v>
      </c>
      <c r="J31" s="10">
        <f>Πίνακας14672[[#This Row],[KCAL]]+Πίνακας14672[[#This Row],[KCAL2]]</f>
        <v>0</v>
      </c>
      <c r="K31" s="16"/>
      <c r="L31" s="87">
        <f>IF( Πίνακας14672[[#This Row],[Watch]] &gt; 0, Πίνακας14672[[#This Row],[Watch]] +Πίνακας14672[[#This Row],[KCAL]]/2,Πίνακας14672[[#This Row],[KCAL]]*$L$2)</f>
        <v>0</v>
      </c>
      <c r="M31" s="90"/>
      <c r="N31" s="106"/>
      <c r="O31" s="110"/>
    </row>
    <row r="32" spans="2:15" ht="15.75" x14ac:dyDescent="0.25">
      <c r="B32" s="118">
        <v>43705</v>
      </c>
      <c r="C32" s="117">
        <v>3</v>
      </c>
      <c r="D32" s="95">
        <v>54</v>
      </c>
      <c r="E32" s="96">
        <v>176</v>
      </c>
      <c r="F32" s="7"/>
      <c r="G32" s="7"/>
      <c r="H32" s="7"/>
      <c r="I32" s="9">
        <f>Πίνακας14672[[#This Row],[DISTANCE (km)]]+Πίνακας14672[[#This Row],[DISTANCE (km)2]]</f>
        <v>3</v>
      </c>
      <c r="J32" s="10">
        <f>Πίνακας14672[[#This Row],[KCAL]]+Πίνακας14672[[#This Row],[KCAL2]]</f>
        <v>176</v>
      </c>
      <c r="K32" s="16"/>
      <c r="L32" s="87">
        <f>IF( Πίνακας14672[[#This Row],[Watch]] &gt; 0, Πίνακας14672[[#This Row],[Watch]] +Πίνακας14672[[#This Row],[KCAL]]/2,Πίνακας14672[[#This Row],[KCAL]]*$L$2)</f>
        <v>438</v>
      </c>
      <c r="M32" s="90">
        <v>92.6</v>
      </c>
      <c r="N32" s="106">
        <v>2.4300000000000002</v>
      </c>
      <c r="O32" s="110">
        <v>350</v>
      </c>
    </row>
    <row r="33" spans="2:15" ht="15.75" x14ac:dyDescent="0.25">
      <c r="B33" s="118">
        <v>43706</v>
      </c>
      <c r="C33" s="117"/>
      <c r="D33" s="95"/>
      <c r="E33" s="96"/>
      <c r="F33" s="7"/>
      <c r="G33" s="7"/>
      <c r="H33" s="7"/>
      <c r="I33" s="9">
        <f>Πίνακας14672[[#This Row],[DISTANCE (km)]]+Πίνακας14672[[#This Row],[DISTANCE (km)2]]</f>
        <v>0</v>
      </c>
      <c r="J33" s="10">
        <f>Πίνακας14672[[#This Row],[KCAL]]+Πίνακας14672[[#This Row],[KCAL2]]</f>
        <v>0</v>
      </c>
      <c r="K33" s="16"/>
      <c r="L33" s="87">
        <f>IF( Πίνακας14672[[#This Row],[Watch]] &gt; 0, Πίνακας14672[[#This Row],[Watch]] +Πίνακας14672[[#This Row],[KCAL]]/2,Πίνακας14672[[#This Row],[KCAL]]*$L$2)</f>
        <v>0</v>
      </c>
      <c r="M33" s="90">
        <v>93</v>
      </c>
      <c r="N33" s="106"/>
      <c r="O33" s="110"/>
    </row>
    <row r="34" spans="2:15" ht="15.75" x14ac:dyDescent="0.25">
      <c r="B34" s="118">
        <v>43707</v>
      </c>
      <c r="C34" s="117">
        <v>3</v>
      </c>
      <c r="D34" s="95">
        <v>56</v>
      </c>
      <c r="E34" s="96">
        <v>179</v>
      </c>
      <c r="F34" s="7"/>
      <c r="G34" s="7"/>
      <c r="H34" s="7"/>
      <c r="I34" s="9">
        <f>Πίνακας14672[[#This Row],[DISTANCE (km)]]+Πίνακας14672[[#This Row],[DISTANCE (km)2]]</f>
        <v>3</v>
      </c>
      <c r="J34" s="10">
        <f>Πίνακας14672[[#This Row],[KCAL]]+Πίνακας14672[[#This Row],[KCAL2]]</f>
        <v>179</v>
      </c>
      <c r="K34" s="16"/>
      <c r="L34" s="87">
        <f>IF( Πίνακας14672[[#This Row],[Watch]] &gt; 0, Πίνακας14672[[#This Row],[Watch]] +Πίνακας14672[[#This Row],[KCAL]]/2,Πίνακας14672[[#This Row],[KCAL]]*$L$2)</f>
        <v>350.5</v>
      </c>
      <c r="M34" s="90">
        <v>92.5</v>
      </c>
      <c r="N34" s="106">
        <v>2.2599999999999998</v>
      </c>
      <c r="O34" s="110">
        <v>261</v>
      </c>
    </row>
    <row r="35" spans="2:15" ht="15.75" x14ac:dyDescent="0.25">
      <c r="B35" s="118">
        <v>43708</v>
      </c>
      <c r="C35" s="117"/>
      <c r="D35" s="95"/>
      <c r="E35" s="96"/>
      <c r="F35" s="7"/>
      <c r="G35" s="7"/>
      <c r="H35" s="7"/>
      <c r="I35" s="9">
        <f>Πίνακας14672[[#This Row],[DISTANCE (km)]]+Πίνακας14672[[#This Row],[DISTANCE (km)2]]</f>
        <v>0</v>
      </c>
      <c r="J35" s="83">
        <f>Πίνακας14672[[#This Row],[KCAL]]+Πίνακας14672[[#This Row],[KCAL2]]</f>
        <v>0</v>
      </c>
      <c r="K35" s="84"/>
      <c r="L35" s="87">
        <f>IF( Πίνακας14672[[#This Row],[Watch]] &gt; 0, Πίνακας14672[[#This Row],[Watch]] +Πίνακας14672[[#This Row],[KCAL]]/2,Πίνακας14672[[#This Row],[KCAL]]*$L$2)</f>
        <v>0</v>
      </c>
      <c r="M35" s="90"/>
      <c r="N35" s="106"/>
      <c r="O35" s="110"/>
    </row>
    <row r="36" spans="2:15" ht="15.75" x14ac:dyDescent="0.25">
      <c r="B36" s="19" t="s">
        <v>4</v>
      </c>
      <c r="C36" s="20">
        <f>SUBTOTAL(109,Πίνακας14672[DISTANCE (km)])</f>
        <v>39</v>
      </c>
      <c r="D36" s="23">
        <f>SUBTOTAL(103,Πίνακας14672[DURATION (min)])</f>
        <v>15</v>
      </c>
      <c r="E36" s="21">
        <f>SUBTOTAL(109,Πίνακας14672[KCAL])</f>
        <v>2413</v>
      </c>
      <c r="F36" s="20">
        <f>SUBTOTAL(109,Πίνακας14672[DISTANCE (km)2])</f>
        <v>0</v>
      </c>
      <c r="G36" s="8"/>
      <c r="H36" s="21">
        <f>SUBTOTAL(109,Πίνακας14672[KCAL2])</f>
        <v>0</v>
      </c>
      <c r="I36" s="6"/>
      <c r="J36" s="6"/>
      <c r="K36" s="6"/>
      <c r="L36" s="92">
        <f>SUBTOTAL(109,Πίνακας14672[Kcal *])</f>
        <v>4625.5</v>
      </c>
      <c r="M36" s="89"/>
      <c r="N36" s="109"/>
      <c r="O36" s="112"/>
    </row>
    <row r="37" spans="2:15" ht="15.75" x14ac:dyDescent="0.25">
      <c r="F37" s="11" t="s">
        <v>13</v>
      </c>
      <c r="G37" s="12">
        <f>Πίνακας14672[[#Totals],[DISTANCE (km)]]+Πίνακας14672[[#Totals],[DISTANCE (km)2]]</f>
        <v>39</v>
      </c>
      <c r="H37" s="13">
        <f>Πίνακας14672[[#Totals],[KCAL]]+Πίνακας14672[[#Totals],[DISTANCE (km)2]]</f>
        <v>2413</v>
      </c>
    </row>
  </sheetData>
  <mergeCells count="3">
    <mergeCell ref="B2:H2"/>
    <mergeCell ref="C3:E3"/>
    <mergeCell ref="F3:H3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topLeftCell="A7" workbookViewId="0">
      <selection activeCell="C30" sqref="C30"/>
    </sheetView>
  </sheetViews>
  <sheetFormatPr defaultRowHeight="15" x14ac:dyDescent="0.25"/>
  <cols>
    <col min="2" max="2" width="34.7109375" bestFit="1" customWidth="1"/>
    <col min="3" max="3" width="15.7109375" bestFit="1" customWidth="1"/>
    <col min="4" max="4" width="17.42578125" bestFit="1" customWidth="1"/>
    <col min="5" max="5" width="11.7109375" customWidth="1"/>
    <col min="6" max="6" width="17.42578125" bestFit="1" customWidth="1"/>
    <col min="7" max="7" width="18.5703125" bestFit="1" customWidth="1"/>
    <col min="8" max="8" width="10" bestFit="1" customWidth="1"/>
    <col min="11" max="11" width="8.5703125" customWidth="1"/>
    <col min="12" max="12" width="12.28515625" customWidth="1"/>
    <col min="13" max="13" width="10" bestFit="1" customWidth="1"/>
    <col min="16" max="16" width="10.7109375" bestFit="1" customWidth="1"/>
  </cols>
  <sheetData>
    <row r="1" spans="2:17" x14ac:dyDescent="0.25">
      <c r="L1" s="88" t="s">
        <v>27</v>
      </c>
    </row>
    <row r="2" spans="2:17" ht="18.75" x14ac:dyDescent="0.3">
      <c r="B2" s="147" t="s">
        <v>31</v>
      </c>
      <c r="C2" s="147"/>
      <c r="D2" s="147"/>
      <c r="E2" s="147"/>
      <c r="F2" s="147"/>
      <c r="G2" s="147"/>
      <c r="H2" s="147"/>
      <c r="K2" s="85">
        <v>1.4</v>
      </c>
      <c r="L2" s="88">
        <v>1.6</v>
      </c>
      <c r="O2">
        <f>4/6.2</f>
        <v>0.64516129032258063</v>
      </c>
      <c r="P2" t="s">
        <v>32</v>
      </c>
      <c r="Q2" t="s">
        <v>33</v>
      </c>
    </row>
    <row r="3" spans="2:17" ht="15.75" x14ac:dyDescent="0.25">
      <c r="B3" s="1"/>
      <c r="C3" s="148" t="s">
        <v>8</v>
      </c>
      <c r="D3" s="148"/>
      <c r="E3" s="149"/>
      <c r="F3" s="150" t="s">
        <v>9</v>
      </c>
      <c r="G3" s="150"/>
      <c r="H3" s="150"/>
      <c r="Q3" t="s">
        <v>34</v>
      </c>
    </row>
    <row r="4" spans="2:17" ht="15.75" x14ac:dyDescent="0.25">
      <c r="B4" s="119" t="s">
        <v>0</v>
      </c>
      <c r="C4" s="120" t="s">
        <v>1</v>
      </c>
      <c r="D4" s="119" t="s">
        <v>2</v>
      </c>
      <c r="E4" s="119" t="s">
        <v>3</v>
      </c>
      <c r="F4" s="121" t="s">
        <v>5</v>
      </c>
      <c r="G4" s="121" t="s">
        <v>6</v>
      </c>
      <c r="H4" s="121" t="s">
        <v>7</v>
      </c>
      <c r="I4" s="121" t="s">
        <v>10</v>
      </c>
      <c r="J4" s="121" t="s">
        <v>11</v>
      </c>
      <c r="K4" s="121" t="s">
        <v>12</v>
      </c>
      <c r="L4" s="121" t="s">
        <v>26</v>
      </c>
      <c r="M4" s="119" t="s">
        <v>15</v>
      </c>
      <c r="N4" s="122" t="s">
        <v>28</v>
      </c>
      <c r="O4" s="121" t="s">
        <v>29</v>
      </c>
      <c r="P4" s="121" t="s">
        <v>35</v>
      </c>
    </row>
    <row r="5" spans="2:17" ht="15.75" x14ac:dyDescent="0.25">
      <c r="B5" s="118">
        <v>43709</v>
      </c>
      <c r="C5" s="113">
        <v>3</v>
      </c>
      <c r="D5" s="73">
        <v>55</v>
      </c>
      <c r="E5" s="74">
        <v>170</v>
      </c>
      <c r="F5" s="73"/>
      <c r="G5" s="73"/>
      <c r="H5" s="74"/>
      <c r="I5" s="80">
        <f>Workout[[#This Row],[DISTANCE (km)]]+Workout[[#This Row],[DISTANCE (km)2]]</f>
        <v>3</v>
      </c>
      <c r="J5" s="76">
        <f>Workout[[#This Row],[KCAL]]+Workout[[#This Row],[KCAL2]]</f>
        <v>170</v>
      </c>
      <c r="K5" s="77"/>
      <c r="L5" s="86">
        <f>IF( Workout[[#This Row],[Watch]] &gt; 0, Workout[[#This Row],[Watch]] +Workout[[#This Row],[KCAL]]/2,Workout[[#This Row],[KCAL]]*$L$2)</f>
        <v>367</v>
      </c>
      <c r="M5" s="90">
        <v>92.2</v>
      </c>
      <c r="N5" s="106">
        <v>2.64</v>
      </c>
      <c r="O5" s="110">
        <v>282</v>
      </c>
      <c r="P5" s="138">
        <f>Workout[[#This Row],[Jogging]]*$O$2</f>
        <v>1.703225806451613</v>
      </c>
    </row>
    <row r="6" spans="2:17" ht="15.75" x14ac:dyDescent="0.25">
      <c r="B6" s="118">
        <v>43710</v>
      </c>
      <c r="C6" s="128"/>
      <c r="D6" s="129"/>
      <c r="E6" s="130"/>
      <c r="F6" s="129"/>
      <c r="G6" s="129"/>
      <c r="H6" s="130"/>
      <c r="I6" s="131">
        <f>Workout[[#This Row],[DISTANCE (km)]]+Workout[[#This Row],[DISTANCE (km)2]]</f>
        <v>0</v>
      </c>
      <c r="J6" s="132">
        <f>Workout[[#This Row],[KCAL]]+Workout[[#This Row],[KCAL2]]</f>
        <v>0</v>
      </c>
      <c r="K6" s="133"/>
      <c r="L6" s="134">
        <f>IF( Workout[[#This Row],[Watch]] &gt; 0, Workout[[#This Row],[Watch]] +Workout[[#This Row],[KCAL]]/2,Workout[[#This Row],[KCAL]]*$L$2)</f>
        <v>0</v>
      </c>
      <c r="M6" s="135"/>
      <c r="N6" s="136"/>
      <c r="O6" s="137"/>
      <c r="P6" s="140">
        <f>Workout[[#This Row],[Jogging]]*$O$2</f>
        <v>0</v>
      </c>
    </row>
    <row r="7" spans="2:17" ht="15.75" x14ac:dyDescent="0.25">
      <c r="B7" s="118">
        <v>43711</v>
      </c>
      <c r="C7" s="128"/>
      <c r="D7" s="129"/>
      <c r="E7" s="130"/>
      <c r="F7" s="129"/>
      <c r="G7" s="129"/>
      <c r="H7" s="130"/>
      <c r="I7" s="131">
        <f>Workout[[#This Row],[DISTANCE (km)]]+Workout[[#This Row],[DISTANCE (km)2]]</f>
        <v>0</v>
      </c>
      <c r="J7" s="132">
        <f>Workout[[#This Row],[KCAL]]+Workout[[#This Row],[KCAL2]]</f>
        <v>0</v>
      </c>
      <c r="K7" s="133"/>
      <c r="L7" s="134">
        <f>IF( Workout[[#This Row],[Watch]] &gt; 0, Workout[[#This Row],[Watch]] +Workout[[#This Row],[KCAL]]/2,Workout[[#This Row],[KCAL]]*$L$2)</f>
        <v>0</v>
      </c>
      <c r="M7" s="135"/>
      <c r="N7" s="136"/>
      <c r="O7" s="137"/>
      <c r="P7" s="140">
        <f>Workout[[#This Row],[Jogging]]*$O$2</f>
        <v>0</v>
      </c>
    </row>
    <row r="8" spans="2:17" ht="15.75" x14ac:dyDescent="0.25">
      <c r="B8" s="118">
        <v>43712</v>
      </c>
      <c r="C8" s="128"/>
      <c r="D8" s="129"/>
      <c r="E8" s="130"/>
      <c r="F8" s="129"/>
      <c r="G8" s="129"/>
      <c r="H8" s="130"/>
      <c r="I8" s="131">
        <f>Workout[[#This Row],[DISTANCE (km)]]+Workout[[#This Row],[DISTANCE (km)2]]</f>
        <v>0</v>
      </c>
      <c r="J8" s="132">
        <f>Workout[[#This Row],[KCAL]]+Workout[[#This Row],[KCAL2]]</f>
        <v>0</v>
      </c>
      <c r="K8" s="133"/>
      <c r="L8" s="134">
        <f>IF( Workout[[#This Row],[Watch]] &gt; 0, Workout[[#This Row],[Watch]] +Workout[[#This Row],[KCAL]]/2,Workout[[#This Row],[KCAL]]*$L$2)</f>
        <v>0</v>
      </c>
      <c r="M8" s="135"/>
      <c r="N8" s="136"/>
      <c r="O8" s="137"/>
      <c r="P8" s="140">
        <f>Workout[[#This Row],[Jogging]]*$O$2</f>
        <v>0</v>
      </c>
    </row>
    <row r="9" spans="2:17" ht="15.75" x14ac:dyDescent="0.25">
      <c r="B9" s="118">
        <v>43713</v>
      </c>
      <c r="C9" s="128"/>
      <c r="D9" s="129"/>
      <c r="E9" s="130"/>
      <c r="F9" s="129"/>
      <c r="G9" s="129"/>
      <c r="H9" s="130"/>
      <c r="I9" s="131">
        <f>Workout[[#This Row],[DISTANCE (km)]]+Workout[[#This Row],[DISTANCE (km)2]]</f>
        <v>0</v>
      </c>
      <c r="J9" s="132">
        <f>Workout[[#This Row],[KCAL]]+Workout[[#This Row],[KCAL2]]</f>
        <v>0</v>
      </c>
      <c r="K9" s="133"/>
      <c r="L9" s="134">
        <f>IF( Workout[[#This Row],[Watch]] &gt; 0, Workout[[#This Row],[Watch]] +Workout[[#This Row],[KCAL]]/2,Workout[[#This Row],[KCAL]]*$L$2)</f>
        <v>0</v>
      </c>
      <c r="M9" s="135"/>
      <c r="N9" s="136"/>
      <c r="O9" s="137"/>
      <c r="P9" s="140">
        <f>Workout[[#This Row],[Jogging]]*$O$2</f>
        <v>0</v>
      </c>
    </row>
    <row r="10" spans="2:17" ht="15.75" x14ac:dyDescent="0.25">
      <c r="B10" s="118">
        <v>43714</v>
      </c>
      <c r="C10" s="128"/>
      <c r="D10" s="129"/>
      <c r="E10" s="130"/>
      <c r="F10" s="129"/>
      <c r="G10" s="129"/>
      <c r="H10" s="130"/>
      <c r="I10" s="131">
        <f>Workout[[#This Row],[DISTANCE (km)]]+Workout[[#This Row],[DISTANCE (km)2]]</f>
        <v>0</v>
      </c>
      <c r="J10" s="132">
        <f>Workout[[#This Row],[KCAL]]+Workout[[#This Row],[KCAL2]]</f>
        <v>0</v>
      </c>
      <c r="K10" s="133"/>
      <c r="L10" s="134">
        <f>IF( Workout[[#This Row],[Watch]] &gt; 0, Workout[[#This Row],[Watch]] +Workout[[#This Row],[KCAL]]/2,Workout[[#This Row],[KCAL]]*$L$2)</f>
        <v>0</v>
      </c>
      <c r="M10" s="135"/>
      <c r="N10" s="136"/>
      <c r="O10" s="137"/>
      <c r="P10" s="140">
        <f>Workout[[#This Row],[Jogging]]*$O$2</f>
        <v>0</v>
      </c>
    </row>
    <row r="11" spans="2:17" ht="15.75" x14ac:dyDescent="0.25">
      <c r="B11" s="118">
        <v>43715</v>
      </c>
      <c r="C11" s="128"/>
      <c r="D11" s="129"/>
      <c r="E11" s="130"/>
      <c r="F11" s="129"/>
      <c r="G11" s="129"/>
      <c r="H11" s="130"/>
      <c r="I11" s="131">
        <f>Workout[[#This Row],[DISTANCE (km)]]+Workout[[#This Row],[DISTANCE (km)2]]</f>
        <v>0</v>
      </c>
      <c r="J11" s="132">
        <f>Workout[[#This Row],[KCAL]]+Workout[[#This Row],[KCAL2]]</f>
        <v>0</v>
      </c>
      <c r="K11" s="133"/>
      <c r="L11" s="134">
        <f>IF( Workout[[#This Row],[Watch]] &gt; 0, Workout[[#This Row],[Watch]] +Workout[[#This Row],[KCAL]]/2,Workout[[#This Row],[KCAL]]*$L$2)</f>
        <v>0</v>
      </c>
      <c r="M11" s="135"/>
      <c r="N11" s="136"/>
      <c r="O11" s="137"/>
      <c r="P11" s="140">
        <f>Workout[[#This Row],[Jogging]]*$O$2</f>
        <v>0</v>
      </c>
    </row>
    <row r="12" spans="2:17" ht="15.75" x14ac:dyDescent="0.25">
      <c r="B12" s="118">
        <v>43716</v>
      </c>
      <c r="C12" s="128"/>
      <c r="D12" s="129"/>
      <c r="E12" s="130"/>
      <c r="F12" s="129"/>
      <c r="G12" s="129"/>
      <c r="H12" s="130"/>
      <c r="I12" s="131">
        <f>Workout[[#This Row],[DISTANCE (km)]]+Workout[[#This Row],[DISTANCE (km)2]]</f>
        <v>0</v>
      </c>
      <c r="J12" s="132">
        <f>Workout[[#This Row],[KCAL]]+Workout[[#This Row],[KCAL2]]</f>
        <v>0</v>
      </c>
      <c r="K12" s="133"/>
      <c r="L12" s="134">
        <f>IF( Workout[[#This Row],[Watch]] &gt; 0, Workout[[#This Row],[Watch]] +Workout[[#This Row],[KCAL]]/2,Workout[[#This Row],[KCAL]]*$L$2)</f>
        <v>0</v>
      </c>
      <c r="M12" s="135"/>
      <c r="N12" s="136"/>
      <c r="O12" s="137"/>
      <c r="P12" s="140">
        <f>Workout[[#This Row],[Jogging]]*$O$2</f>
        <v>0</v>
      </c>
    </row>
    <row r="13" spans="2:17" ht="15.75" x14ac:dyDescent="0.25">
      <c r="B13" s="118">
        <v>43717</v>
      </c>
      <c r="C13" s="128"/>
      <c r="D13" s="129"/>
      <c r="E13" s="130"/>
      <c r="F13" s="129"/>
      <c r="G13" s="129"/>
      <c r="H13" s="130"/>
      <c r="I13" s="131">
        <f>Workout[[#This Row],[DISTANCE (km)]]+Workout[[#This Row],[DISTANCE (km)2]]</f>
        <v>0</v>
      </c>
      <c r="J13" s="132">
        <f>Workout[[#This Row],[KCAL]]+Workout[[#This Row],[KCAL2]]</f>
        <v>0</v>
      </c>
      <c r="K13" s="133"/>
      <c r="L13" s="134">
        <f>IF( Workout[[#This Row],[Watch]] &gt; 0, Workout[[#This Row],[Watch]] +Workout[[#This Row],[KCAL]]/2,Workout[[#This Row],[KCAL]]*$L$2)</f>
        <v>0</v>
      </c>
      <c r="M13" s="135"/>
      <c r="N13" s="136"/>
      <c r="O13" s="137"/>
      <c r="P13" s="140">
        <f>Workout[[#This Row],[Jogging]]*$O$2</f>
        <v>0</v>
      </c>
    </row>
    <row r="14" spans="2:17" ht="15.75" x14ac:dyDescent="0.25">
      <c r="B14" s="118">
        <v>43718</v>
      </c>
      <c r="C14" s="128"/>
      <c r="D14" s="129"/>
      <c r="E14" s="130"/>
      <c r="F14" s="129"/>
      <c r="G14" s="129"/>
      <c r="H14" s="130"/>
      <c r="I14" s="131">
        <f>Workout[[#This Row],[DISTANCE (km)]]+Workout[[#This Row],[DISTANCE (km)2]]</f>
        <v>0</v>
      </c>
      <c r="J14" s="132">
        <f>Workout[[#This Row],[KCAL]]+Workout[[#This Row],[KCAL2]]</f>
        <v>0</v>
      </c>
      <c r="K14" s="133"/>
      <c r="L14" s="134">
        <f>IF( Workout[[#This Row],[Watch]] &gt; 0, Workout[[#This Row],[Watch]] +Workout[[#This Row],[KCAL]]/2,Workout[[#This Row],[KCAL]]*$L$2)</f>
        <v>0</v>
      </c>
      <c r="M14" s="135"/>
      <c r="N14" s="136"/>
      <c r="O14" s="137"/>
      <c r="P14" s="140">
        <f>Workout[[#This Row],[Jogging]]*$O$2</f>
        <v>0</v>
      </c>
    </row>
    <row r="15" spans="2:17" ht="15.75" x14ac:dyDescent="0.25">
      <c r="B15" s="118">
        <v>43719</v>
      </c>
      <c r="C15" s="128"/>
      <c r="D15" s="129"/>
      <c r="E15" s="130"/>
      <c r="F15" s="129"/>
      <c r="G15" s="129"/>
      <c r="H15" s="130"/>
      <c r="I15" s="131">
        <f>Workout[[#This Row],[DISTANCE (km)]]+Workout[[#This Row],[DISTANCE (km)2]]</f>
        <v>0</v>
      </c>
      <c r="J15" s="132">
        <f>Workout[[#This Row],[KCAL]]+Workout[[#This Row],[KCAL2]]</f>
        <v>0</v>
      </c>
      <c r="K15" s="133"/>
      <c r="L15" s="134">
        <f>IF( Workout[[#This Row],[Watch]] &gt; 0, Workout[[#This Row],[Watch]] +Workout[[#This Row],[KCAL]]/2,Workout[[#This Row],[KCAL]]*$L$2)</f>
        <v>0</v>
      </c>
      <c r="M15" s="135"/>
      <c r="N15" s="136"/>
      <c r="O15" s="137"/>
      <c r="P15" s="140">
        <f>Workout[[#This Row],[Jogging]]*$O$2</f>
        <v>0</v>
      </c>
    </row>
    <row r="16" spans="2:17" ht="15.75" x14ac:dyDescent="0.25">
      <c r="B16" s="118">
        <v>43720</v>
      </c>
      <c r="C16" s="128"/>
      <c r="D16" s="129"/>
      <c r="E16" s="130"/>
      <c r="F16" s="129"/>
      <c r="G16" s="129"/>
      <c r="H16" s="130"/>
      <c r="I16" s="131">
        <f>Workout[[#This Row],[DISTANCE (km)]]+Workout[[#This Row],[DISTANCE (km)2]]</f>
        <v>0</v>
      </c>
      <c r="J16" s="132">
        <f>Workout[[#This Row],[KCAL]]+Workout[[#This Row],[KCAL2]]</f>
        <v>0</v>
      </c>
      <c r="K16" s="133"/>
      <c r="L16" s="134">
        <f>IF( Workout[[#This Row],[Watch]] &gt; 0, Workout[[#This Row],[Watch]] +Workout[[#This Row],[KCAL]]/2,Workout[[#This Row],[KCAL]]*$L$2)</f>
        <v>0</v>
      </c>
      <c r="M16" s="135"/>
      <c r="N16" s="136"/>
      <c r="O16" s="137"/>
      <c r="P16" s="140">
        <f>Workout[[#This Row],[Jogging]]*$O$2</f>
        <v>0</v>
      </c>
    </row>
    <row r="17" spans="2:16" ht="15.75" x14ac:dyDescent="0.25">
      <c r="B17" s="118">
        <v>43721</v>
      </c>
      <c r="C17" s="128"/>
      <c r="D17" s="129"/>
      <c r="E17" s="130"/>
      <c r="F17" s="129"/>
      <c r="G17" s="129"/>
      <c r="H17" s="130"/>
      <c r="I17" s="131">
        <f>Workout[[#This Row],[DISTANCE (km)]]+Workout[[#This Row],[DISTANCE (km)2]]</f>
        <v>0</v>
      </c>
      <c r="J17" s="132">
        <f>Workout[[#This Row],[KCAL]]+Workout[[#This Row],[KCAL2]]</f>
        <v>0</v>
      </c>
      <c r="K17" s="133"/>
      <c r="L17" s="134">
        <f>IF( Workout[[#This Row],[Watch]] &gt; 0, Workout[[#This Row],[Watch]] +Workout[[#This Row],[KCAL]]/2,Workout[[#This Row],[KCAL]]*$L$2)</f>
        <v>0</v>
      </c>
      <c r="M17" s="135"/>
      <c r="N17" s="136"/>
      <c r="O17" s="137"/>
      <c r="P17" s="140">
        <f>Workout[[#This Row],[Jogging]]*$O$2</f>
        <v>0</v>
      </c>
    </row>
    <row r="18" spans="2:16" ht="15.75" x14ac:dyDescent="0.25">
      <c r="B18" s="118">
        <v>43722</v>
      </c>
      <c r="C18" s="128"/>
      <c r="D18" s="129"/>
      <c r="E18" s="130"/>
      <c r="F18" s="129"/>
      <c r="G18" s="129"/>
      <c r="H18" s="130"/>
      <c r="I18" s="131">
        <f>Workout[[#This Row],[DISTANCE (km)]]+Workout[[#This Row],[DISTANCE (km)2]]</f>
        <v>0</v>
      </c>
      <c r="J18" s="132">
        <f>Workout[[#This Row],[KCAL]]+Workout[[#This Row],[KCAL2]]</f>
        <v>0</v>
      </c>
      <c r="K18" s="133"/>
      <c r="L18" s="134">
        <f>IF( Workout[[#This Row],[Watch]] &gt; 0, Workout[[#This Row],[Watch]] +Workout[[#This Row],[KCAL]]/2,Workout[[#This Row],[KCAL]]*$L$2)</f>
        <v>0</v>
      </c>
      <c r="M18" s="135"/>
      <c r="N18" s="136"/>
      <c r="O18" s="137"/>
      <c r="P18" s="140">
        <f>Workout[[#This Row],[Jogging]]*$O$2</f>
        <v>0</v>
      </c>
    </row>
    <row r="19" spans="2:16" ht="15.75" x14ac:dyDescent="0.25">
      <c r="B19" s="118">
        <v>43723</v>
      </c>
      <c r="C19" s="116">
        <v>2</v>
      </c>
      <c r="D19" s="4">
        <v>39</v>
      </c>
      <c r="E19" s="5">
        <v>121</v>
      </c>
      <c r="F19" s="4"/>
      <c r="G19" s="4"/>
      <c r="H19" s="5"/>
      <c r="I19" s="9">
        <f>Workout[[#This Row],[DISTANCE (km)]]+Workout[[#This Row],[DISTANCE (km)2]]</f>
        <v>2</v>
      </c>
      <c r="J19" s="10">
        <f>Workout[[#This Row],[KCAL]]+Workout[[#This Row],[KCAL2]]</f>
        <v>121</v>
      </c>
      <c r="K19" s="16"/>
      <c r="L19" s="87">
        <f>IF( Workout[[#This Row],[Watch]] &gt; 0, Workout[[#This Row],[Watch]] +Workout[[#This Row],[KCAL]]/2,Workout[[#This Row],[KCAL]]*$L$2)</f>
        <v>240.5</v>
      </c>
      <c r="M19" s="90"/>
      <c r="N19" s="106">
        <v>1.67</v>
      </c>
      <c r="O19" s="110">
        <v>180</v>
      </c>
      <c r="P19" s="138">
        <f>Workout[[#This Row],[Jogging]]*$O$2</f>
        <v>1.0774193548387097</v>
      </c>
    </row>
    <row r="20" spans="2:16" ht="15.75" x14ac:dyDescent="0.25">
      <c r="B20" s="118">
        <v>43724</v>
      </c>
      <c r="C20" s="116">
        <v>2</v>
      </c>
      <c r="D20" s="4">
        <v>38</v>
      </c>
      <c r="E20" s="5">
        <v>120</v>
      </c>
      <c r="F20" s="4"/>
      <c r="G20" s="4"/>
      <c r="H20" s="5"/>
      <c r="I20" s="9">
        <f>Workout[[#This Row],[DISTANCE (km)]]+Workout[[#This Row],[DISTANCE (km)2]]</f>
        <v>2</v>
      </c>
      <c r="J20" s="10">
        <f>Workout[[#This Row],[KCAL]]+Workout[[#This Row],[KCAL2]]</f>
        <v>120</v>
      </c>
      <c r="K20" s="16"/>
      <c r="L20" s="87">
        <f>IF( Workout[[#This Row],[Watch]] &gt; 0, Workout[[#This Row],[Watch]] +Workout[[#This Row],[KCAL]]/2,Workout[[#This Row],[KCAL]]*$L$2)</f>
        <v>242</v>
      </c>
      <c r="M20" s="90"/>
      <c r="N20" s="106">
        <v>1.52</v>
      </c>
      <c r="O20" s="110">
        <v>182</v>
      </c>
      <c r="P20" s="138">
        <f>Workout[[#This Row],[Jogging]]*$O$2</f>
        <v>0.98064516129032253</v>
      </c>
    </row>
    <row r="21" spans="2:16" ht="15.75" x14ac:dyDescent="0.25">
      <c r="B21" s="118">
        <v>43725</v>
      </c>
      <c r="C21" s="128"/>
      <c r="D21" s="129"/>
      <c r="E21" s="130"/>
      <c r="F21" s="129"/>
      <c r="G21" s="129"/>
      <c r="H21" s="130"/>
      <c r="I21" s="131">
        <f>Workout[[#This Row],[DISTANCE (km)]]+Workout[[#This Row],[DISTANCE (km)2]]</f>
        <v>0</v>
      </c>
      <c r="J21" s="132">
        <f>Workout[[#This Row],[KCAL]]+Workout[[#This Row],[KCAL2]]</f>
        <v>0</v>
      </c>
      <c r="K21" s="133"/>
      <c r="L21" s="134">
        <f>IF( Workout[[#This Row],[Watch]] &gt; 0, Workout[[#This Row],[Watch]] +Workout[[#This Row],[KCAL]]/2,Workout[[#This Row],[KCAL]]*$L$2)</f>
        <v>0</v>
      </c>
      <c r="M21" s="135"/>
      <c r="N21" s="136"/>
      <c r="O21" s="137"/>
      <c r="P21" s="140">
        <f>Workout[[#This Row],[Jogging]]*$O$2</f>
        <v>0</v>
      </c>
    </row>
    <row r="22" spans="2:16" ht="15.75" x14ac:dyDescent="0.25">
      <c r="B22" s="118">
        <v>43726</v>
      </c>
      <c r="C22" s="128"/>
      <c r="D22" s="129"/>
      <c r="E22" s="130"/>
      <c r="F22" s="129"/>
      <c r="G22" s="129"/>
      <c r="H22" s="130"/>
      <c r="I22" s="131">
        <f>Workout[[#This Row],[DISTANCE (km)]]+Workout[[#This Row],[DISTANCE (km)2]]</f>
        <v>0</v>
      </c>
      <c r="J22" s="132">
        <f>Workout[[#This Row],[KCAL]]+Workout[[#This Row],[KCAL2]]</f>
        <v>0</v>
      </c>
      <c r="K22" s="133"/>
      <c r="L22" s="134">
        <f>IF( Workout[[#This Row],[Watch]] &gt; 0, Workout[[#This Row],[Watch]] +Workout[[#This Row],[KCAL]]/2,Workout[[#This Row],[KCAL]]*$L$2)</f>
        <v>0</v>
      </c>
      <c r="M22" s="135"/>
      <c r="N22" s="136"/>
      <c r="O22" s="137"/>
      <c r="P22" s="140">
        <f>Workout[[#This Row],[Jogging]]*$O$2</f>
        <v>0</v>
      </c>
    </row>
    <row r="23" spans="2:16" ht="15.75" x14ac:dyDescent="0.25">
      <c r="B23" s="118">
        <v>43727</v>
      </c>
      <c r="C23" s="128"/>
      <c r="D23" s="129"/>
      <c r="E23" s="130"/>
      <c r="F23" s="129"/>
      <c r="G23" s="129"/>
      <c r="H23" s="130"/>
      <c r="I23" s="131">
        <f>Workout[[#This Row],[DISTANCE (km)]]+Workout[[#This Row],[DISTANCE (km)2]]</f>
        <v>0</v>
      </c>
      <c r="J23" s="132">
        <f>Workout[[#This Row],[KCAL]]+Workout[[#This Row],[KCAL2]]</f>
        <v>0</v>
      </c>
      <c r="K23" s="133"/>
      <c r="L23" s="134">
        <f>IF( Workout[[#This Row],[Watch]] &gt; 0, Workout[[#This Row],[Watch]] +Workout[[#This Row],[KCAL]]/2,Workout[[#This Row],[KCAL]]*$L$2)</f>
        <v>0</v>
      </c>
      <c r="M23" s="135"/>
      <c r="N23" s="136"/>
      <c r="O23" s="137"/>
      <c r="P23" s="140">
        <f>Workout[[#This Row],[Jogging]]*$O$2</f>
        <v>0</v>
      </c>
    </row>
    <row r="24" spans="2:16" ht="15.75" x14ac:dyDescent="0.25">
      <c r="B24" s="118">
        <v>43728</v>
      </c>
      <c r="C24" s="128"/>
      <c r="D24" s="129"/>
      <c r="E24" s="130"/>
      <c r="F24" s="129"/>
      <c r="G24" s="129"/>
      <c r="H24" s="130"/>
      <c r="I24" s="131">
        <f>Workout[[#This Row],[DISTANCE (km)]]+Workout[[#This Row],[DISTANCE (km)2]]</f>
        <v>0</v>
      </c>
      <c r="J24" s="132">
        <f>Workout[[#This Row],[KCAL]]+Workout[[#This Row],[KCAL2]]</f>
        <v>0</v>
      </c>
      <c r="K24" s="133"/>
      <c r="L24" s="134">
        <f>IF( Workout[[#This Row],[Watch]] &gt; 0, Workout[[#This Row],[Watch]] +Workout[[#This Row],[KCAL]]/2,Workout[[#This Row],[KCAL]]*$L$2)</f>
        <v>0</v>
      </c>
      <c r="M24" s="135"/>
      <c r="N24" s="136"/>
      <c r="O24" s="137"/>
      <c r="P24" s="140">
        <f>Workout[[#This Row],[Jogging]]*$O$2</f>
        <v>0</v>
      </c>
    </row>
    <row r="25" spans="2:16" ht="15.75" x14ac:dyDescent="0.25">
      <c r="B25" s="118">
        <v>43729</v>
      </c>
      <c r="C25" s="128"/>
      <c r="D25" s="129"/>
      <c r="E25" s="130"/>
      <c r="F25" s="129"/>
      <c r="G25" s="129"/>
      <c r="H25" s="130"/>
      <c r="I25" s="131">
        <f>Workout[[#This Row],[DISTANCE (km)]]+Workout[[#This Row],[DISTANCE (km)2]]</f>
        <v>0</v>
      </c>
      <c r="J25" s="132">
        <f>Workout[[#This Row],[KCAL]]+Workout[[#This Row],[KCAL2]]</f>
        <v>0</v>
      </c>
      <c r="K25" s="133"/>
      <c r="L25" s="134">
        <f>IF( Workout[[#This Row],[Watch]] &gt; 0, Workout[[#This Row],[Watch]] +Workout[[#This Row],[KCAL]]/2,Workout[[#This Row],[KCAL]]*$L$2)</f>
        <v>0</v>
      </c>
      <c r="M25" s="135"/>
      <c r="N25" s="136"/>
      <c r="O25" s="137"/>
      <c r="P25" s="140">
        <f>Workout[[#This Row],[Jogging]]*$O$2</f>
        <v>0</v>
      </c>
    </row>
    <row r="26" spans="2:16" ht="15.75" x14ac:dyDescent="0.25">
      <c r="B26" s="118">
        <v>43730</v>
      </c>
      <c r="C26" s="115">
        <v>4</v>
      </c>
      <c r="D26" s="78">
        <v>78</v>
      </c>
      <c r="E26" s="79">
        <v>60</v>
      </c>
      <c r="F26" s="78"/>
      <c r="G26" s="78"/>
      <c r="H26" s="79"/>
      <c r="I26" s="80">
        <f>Workout[[#This Row],[DISTANCE (km)]]+Workout[[#This Row],[DISTANCE (km)2]]</f>
        <v>4</v>
      </c>
      <c r="J26" s="81">
        <f>Workout[[#This Row],[KCAL]]+Workout[[#This Row],[KCAL2]]</f>
        <v>60</v>
      </c>
      <c r="K26" s="82"/>
      <c r="L26" s="86">
        <f>IF( Workout[[#This Row],[Watch]] &gt; 0, Workout[[#This Row],[Watch]] +Workout[[#This Row],[KCAL]]/2,Workout[[#This Row],[KCAL]]*$L$2)</f>
        <v>334</v>
      </c>
      <c r="M26" s="90"/>
      <c r="N26" s="123">
        <v>6.2</v>
      </c>
      <c r="O26" s="124">
        <v>304</v>
      </c>
      <c r="P26" s="138">
        <f>Workout[[#This Row],[Jogging]]*$O$2</f>
        <v>4</v>
      </c>
    </row>
    <row r="27" spans="2:16" ht="15.75" x14ac:dyDescent="0.25">
      <c r="B27" s="118">
        <v>43731</v>
      </c>
      <c r="C27" s="115">
        <v>3</v>
      </c>
      <c r="D27" s="78">
        <v>56</v>
      </c>
      <c r="E27" s="79">
        <v>60</v>
      </c>
      <c r="F27" s="78"/>
      <c r="G27" s="78"/>
      <c r="H27" s="79"/>
      <c r="I27" s="80">
        <f>Workout[[#This Row],[DISTANCE (km)]]+Workout[[#This Row],[DISTANCE (km)2]]</f>
        <v>3</v>
      </c>
      <c r="J27" s="81">
        <f>Workout[[#This Row],[KCAL]]+Workout[[#This Row],[KCAL2]]</f>
        <v>60</v>
      </c>
      <c r="K27" s="82"/>
      <c r="L27" s="86">
        <f>IF( Workout[[#This Row],[Watch]] &gt; 0, Workout[[#This Row],[Watch]] +Workout[[#This Row],[KCAL]]/2,Workout[[#This Row],[KCAL]]*$L$2)</f>
        <v>319</v>
      </c>
      <c r="M27" s="90"/>
      <c r="N27" s="123">
        <v>4.6900000000000004</v>
      </c>
      <c r="O27" s="124">
        <v>289</v>
      </c>
      <c r="P27" s="138">
        <f>Workout[[#This Row],[Jogging]]*$O$2</f>
        <v>3.0258064516129033</v>
      </c>
    </row>
    <row r="28" spans="2:16" ht="15.75" x14ac:dyDescent="0.25">
      <c r="B28" s="118">
        <v>43732</v>
      </c>
      <c r="C28" s="128"/>
      <c r="D28" s="129"/>
      <c r="E28" s="130"/>
      <c r="F28" s="129"/>
      <c r="G28" s="129"/>
      <c r="H28" s="130"/>
      <c r="I28" s="131">
        <f>Workout[[#This Row],[DISTANCE (km)]]+Workout[[#This Row],[DISTANCE (km)2]]</f>
        <v>0</v>
      </c>
      <c r="J28" s="132">
        <f>Workout[[#This Row],[KCAL]]+Workout[[#This Row],[KCAL2]]</f>
        <v>0</v>
      </c>
      <c r="K28" s="141"/>
      <c r="L28" s="134">
        <f>IF( Workout[[#This Row],[Watch]] &gt; 0, Workout[[#This Row],[Watch]] +Workout[[#This Row],[KCAL]]/2,Workout[[#This Row],[KCAL]]*$L$2)</f>
        <v>0</v>
      </c>
      <c r="M28" s="135"/>
      <c r="N28" s="136"/>
      <c r="O28" s="137"/>
      <c r="P28" s="140">
        <f>Workout[[#This Row],[Jogging]]*$O$2</f>
        <v>0</v>
      </c>
    </row>
    <row r="29" spans="2:16" ht="15.75" x14ac:dyDescent="0.25">
      <c r="B29" s="118">
        <v>43733</v>
      </c>
      <c r="C29" s="116">
        <v>4</v>
      </c>
      <c r="D29" s="4">
        <v>74</v>
      </c>
      <c r="E29" s="5">
        <v>60</v>
      </c>
      <c r="F29" s="4"/>
      <c r="G29" s="4"/>
      <c r="H29" s="5"/>
      <c r="I29" s="9">
        <f>Workout[[#This Row],[DISTANCE (km)]]+Workout[[#This Row],[DISTANCE (km)2]]</f>
        <v>4</v>
      </c>
      <c r="J29" s="10">
        <f>Workout[[#This Row],[KCAL]]+Workout[[#This Row],[KCAL2]]</f>
        <v>60</v>
      </c>
      <c r="K29" s="104"/>
      <c r="L29" s="87">
        <f>IF( Workout[[#This Row],[Watch]] &gt; 0, Workout[[#This Row],[Watch]] +Workout[[#This Row],[KCAL]]/2,Workout[[#This Row],[KCAL]]*$L$2)</f>
        <v>437</v>
      </c>
      <c r="M29" s="90"/>
      <c r="N29" s="108">
        <v>6.79</v>
      </c>
      <c r="O29" s="110">
        <v>407</v>
      </c>
      <c r="P29" s="138">
        <f>Workout[[#This Row],[Jogging]]*$O$2</f>
        <v>4.3806451612903228</v>
      </c>
    </row>
    <row r="30" spans="2:16" ht="15.75" x14ac:dyDescent="0.25">
      <c r="B30" s="118">
        <v>43734</v>
      </c>
      <c r="C30" s="116"/>
      <c r="D30" s="4"/>
      <c r="E30" s="5"/>
      <c r="F30" s="4"/>
      <c r="G30" s="4"/>
      <c r="H30" s="5"/>
      <c r="I30" s="9">
        <f>Workout[[#This Row],[DISTANCE (km)]]+Workout[[#This Row],[DISTANCE (km)2]]</f>
        <v>0</v>
      </c>
      <c r="J30" s="10">
        <f>Workout[[#This Row],[KCAL]]+Workout[[#This Row],[KCAL2]]</f>
        <v>0</v>
      </c>
      <c r="K30" s="16"/>
      <c r="L30" s="87">
        <f>IF( Workout[[#This Row],[Watch]] &gt; 0, Workout[[#This Row],[Watch]] +Workout[[#This Row],[KCAL]]/2,Workout[[#This Row],[KCAL]]*$L$2)</f>
        <v>0</v>
      </c>
      <c r="M30" s="90"/>
      <c r="N30" s="106"/>
      <c r="O30" s="110"/>
      <c r="P30" s="138">
        <f>Workout[[#This Row],[Jogging]]*$O$2</f>
        <v>0</v>
      </c>
    </row>
    <row r="31" spans="2:16" ht="15.75" x14ac:dyDescent="0.25">
      <c r="B31" s="118">
        <v>43735</v>
      </c>
      <c r="C31" s="117"/>
      <c r="D31" s="95"/>
      <c r="E31" s="96"/>
      <c r="F31" s="7"/>
      <c r="G31" s="7"/>
      <c r="H31" s="7"/>
      <c r="I31" s="9">
        <f>Workout[[#This Row],[DISTANCE (km)]]+Workout[[#This Row],[DISTANCE (km)2]]</f>
        <v>0</v>
      </c>
      <c r="J31" s="10">
        <f>Workout[[#This Row],[KCAL]]+Workout[[#This Row],[KCAL2]]</f>
        <v>0</v>
      </c>
      <c r="K31" s="16"/>
      <c r="L31" s="87">
        <f>IF( Workout[[#This Row],[Watch]] &gt; 0, Workout[[#This Row],[Watch]] +Workout[[#This Row],[KCAL]]/2,Workout[[#This Row],[KCAL]]*$L$2)</f>
        <v>0</v>
      </c>
      <c r="M31" s="90"/>
      <c r="N31" s="106"/>
      <c r="O31" s="110"/>
      <c r="P31" s="138">
        <f>Workout[[#This Row],[Jogging]]*$O$2</f>
        <v>0</v>
      </c>
    </row>
    <row r="32" spans="2:16" ht="15.75" x14ac:dyDescent="0.25">
      <c r="B32" s="118">
        <v>43736</v>
      </c>
      <c r="C32" s="117"/>
      <c r="D32" s="95"/>
      <c r="E32" s="96"/>
      <c r="F32" s="7"/>
      <c r="G32" s="7"/>
      <c r="H32" s="7"/>
      <c r="I32" s="9">
        <f>Workout[[#This Row],[DISTANCE (km)]]+Workout[[#This Row],[DISTANCE (km)2]]</f>
        <v>0</v>
      </c>
      <c r="J32" s="10">
        <f>Workout[[#This Row],[KCAL]]+Workout[[#This Row],[KCAL2]]</f>
        <v>0</v>
      </c>
      <c r="K32" s="16"/>
      <c r="L32" s="87">
        <f>IF( Workout[[#This Row],[Watch]] &gt; 0, Workout[[#This Row],[Watch]] +Workout[[#This Row],[KCAL]]/2,Workout[[#This Row],[KCAL]]*$L$2)</f>
        <v>0</v>
      </c>
      <c r="M32" s="90"/>
      <c r="N32" s="106"/>
      <c r="O32" s="110"/>
      <c r="P32" s="138">
        <f>Workout[[#This Row],[Jogging]]*$O$2</f>
        <v>0</v>
      </c>
    </row>
    <row r="33" spans="2:16" ht="15.75" x14ac:dyDescent="0.25">
      <c r="B33" s="118">
        <v>43737</v>
      </c>
      <c r="C33" s="117"/>
      <c r="D33" s="95"/>
      <c r="E33" s="96"/>
      <c r="F33" s="7"/>
      <c r="G33" s="7"/>
      <c r="H33" s="7"/>
      <c r="I33" s="9">
        <f>Workout[[#This Row],[DISTANCE (km)]]+Workout[[#This Row],[DISTANCE (km)2]]</f>
        <v>0</v>
      </c>
      <c r="J33" s="10">
        <f>Workout[[#This Row],[KCAL]]+Workout[[#This Row],[KCAL2]]</f>
        <v>0</v>
      </c>
      <c r="K33" s="16"/>
      <c r="L33" s="87">
        <f>IF( Workout[[#This Row],[Watch]] &gt; 0, Workout[[#This Row],[Watch]] +Workout[[#This Row],[KCAL]]/2,Workout[[#This Row],[KCAL]]*$L$2)</f>
        <v>0</v>
      </c>
      <c r="M33" s="90"/>
      <c r="N33" s="106"/>
      <c r="O33" s="110"/>
      <c r="P33" s="138">
        <f>Workout[[#This Row],[Jogging]]*$O$2</f>
        <v>0</v>
      </c>
    </row>
    <row r="34" spans="2:16" ht="15.75" x14ac:dyDescent="0.25">
      <c r="B34" s="118">
        <v>43738</v>
      </c>
      <c r="C34" s="117"/>
      <c r="D34" s="95"/>
      <c r="E34" s="96"/>
      <c r="F34" s="7"/>
      <c r="G34" s="7"/>
      <c r="H34" s="7"/>
      <c r="I34" s="9">
        <f>Workout[[#This Row],[DISTANCE (km)]]+Workout[[#This Row],[DISTANCE (km)2]]</f>
        <v>0</v>
      </c>
      <c r="J34" s="10">
        <f>Workout[[#This Row],[KCAL]]+Workout[[#This Row],[KCAL2]]</f>
        <v>0</v>
      </c>
      <c r="K34" s="16"/>
      <c r="L34" s="87">
        <f>IF( Workout[[#This Row],[Watch]] &gt; 0, Workout[[#This Row],[Watch]] +Workout[[#This Row],[KCAL]]/2,Workout[[#This Row],[KCAL]]*$L$2)</f>
        <v>0</v>
      </c>
      <c r="M34" s="90"/>
      <c r="N34" s="106"/>
      <c r="O34" s="110"/>
      <c r="P34" s="138">
        <f>Workout[[#This Row],[Jogging]]*$O$2</f>
        <v>0</v>
      </c>
    </row>
    <row r="35" spans="2:16" ht="15.75" x14ac:dyDescent="0.25">
      <c r="B35" s="19" t="s">
        <v>4</v>
      </c>
      <c r="C35" s="20">
        <f>SUBTOTAL(109,Workout[DISTANCE (km)])</f>
        <v>18</v>
      </c>
      <c r="D35" s="23">
        <f>SUBTOTAL(103,Workout[DURATION (min)])</f>
        <v>6</v>
      </c>
      <c r="E35" s="21">
        <f>SUBTOTAL(109,Workout[KCAL])</f>
        <v>591</v>
      </c>
      <c r="F35" s="20">
        <f>SUBTOTAL(109,Workout[DISTANCE (km)2])</f>
        <v>0</v>
      </c>
      <c r="G35" s="8"/>
      <c r="H35" s="21">
        <f>SUBTOTAL(109,Workout[KCAL2])</f>
        <v>0</v>
      </c>
      <c r="I35" s="6"/>
      <c r="J35" s="6"/>
      <c r="K35" s="6"/>
      <c r="L35" s="92">
        <f>SUBTOTAL(109,Workout[Kcal *])</f>
        <v>1939.5</v>
      </c>
      <c r="M35" s="89"/>
      <c r="N35" s="109"/>
      <c r="O35" s="112"/>
      <c r="P35" s="139"/>
    </row>
    <row r="36" spans="2:16" ht="15.75" x14ac:dyDescent="0.25">
      <c r="F36" s="11" t="s">
        <v>13</v>
      </c>
      <c r="G36" s="12">
        <f>Workout[[#Totals],[DISTANCE (km)]]+Workout[[#Totals],[DISTANCE (km)2]]</f>
        <v>18</v>
      </c>
      <c r="H36" s="13">
        <f>Workout[[#Totals],[KCAL]]+Workout[[#Totals],[DISTANCE (km)2]]</f>
        <v>591</v>
      </c>
    </row>
  </sheetData>
  <mergeCells count="3">
    <mergeCell ref="B2:H2"/>
    <mergeCell ref="C3:E3"/>
    <mergeCell ref="F3:H3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workbookViewId="0">
      <selection activeCell="C11" sqref="C11"/>
    </sheetView>
  </sheetViews>
  <sheetFormatPr defaultRowHeight="15" x14ac:dyDescent="0.25"/>
  <cols>
    <col min="2" max="2" width="34.7109375" bestFit="1" customWidth="1"/>
    <col min="3" max="3" width="15.7109375" bestFit="1" customWidth="1"/>
    <col min="4" max="4" width="17.42578125" bestFit="1" customWidth="1"/>
    <col min="5" max="5" width="11.7109375" customWidth="1"/>
    <col min="6" max="6" width="17.42578125" bestFit="1" customWidth="1"/>
    <col min="7" max="7" width="18.5703125" bestFit="1" customWidth="1"/>
    <col min="8" max="8" width="10" bestFit="1" customWidth="1"/>
    <col min="11" max="11" width="8.5703125" customWidth="1"/>
    <col min="12" max="12" width="12.28515625" customWidth="1"/>
    <col min="13" max="13" width="10" bestFit="1" customWidth="1"/>
  </cols>
  <sheetData>
    <row r="1" spans="2:15" x14ac:dyDescent="0.25">
      <c r="L1" s="88" t="s">
        <v>27</v>
      </c>
    </row>
    <row r="2" spans="2:15" ht="18.75" x14ac:dyDescent="0.3">
      <c r="B2" s="147" t="s">
        <v>36</v>
      </c>
      <c r="C2" s="147"/>
      <c r="D2" s="147"/>
      <c r="E2" s="147"/>
      <c r="F2" s="147"/>
      <c r="G2" s="147"/>
      <c r="H2" s="147"/>
      <c r="K2" s="85">
        <v>1.4</v>
      </c>
      <c r="L2" s="88">
        <v>1.6</v>
      </c>
    </row>
    <row r="3" spans="2:15" ht="15.75" x14ac:dyDescent="0.25">
      <c r="B3" s="1"/>
      <c r="C3" s="148" t="s">
        <v>8</v>
      </c>
      <c r="D3" s="148"/>
      <c r="E3" s="149"/>
      <c r="F3" s="150" t="s">
        <v>9</v>
      </c>
      <c r="G3" s="150"/>
      <c r="H3" s="150"/>
    </row>
    <row r="4" spans="2:15" ht="15.75" x14ac:dyDescent="0.25">
      <c r="B4" s="119" t="s">
        <v>0</v>
      </c>
      <c r="C4" s="120" t="s">
        <v>1</v>
      </c>
      <c r="D4" s="119" t="s">
        <v>2</v>
      </c>
      <c r="E4" s="119" t="s">
        <v>3</v>
      </c>
      <c r="F4" s="121" t="s">
        <v>5</v>
      </c>
      <c r="G4" s="121" t="s">
        <v>6</v>
      </c>
      <c r="H4" s="121" t="s">
        <v>7</v>
      </c>
      <c r="I4" s="121" t="s">
        <v>10</v>
      </c>
      <c r="J4" s="121" t="s">
        <v>11</v>
      </c>
      <c r="K4" s="121" t="s">
        <v>12</v>
      </c>
      <c r="L4" s="121" t="s">
        <v>26</v>
      </c>
      <c r="M4" s="119" t="s">
        <v>15</v>
      </c>
      <c r="N4" s="122" t="s">
        <v>28</v>
      </c>
      <c r="O4" s="121" t="s">
        <v>29</v>
      </c>
    </row>
    <row r="5" spans="2:15" ht="15.75" x14ac:dyDescent="0.25">
      <c r="B5" s="118">
        <v>43739</v>
      </c>
      <c r="C5" s="142"/>
      <c r="D5" s="143"/>
      <c r="E5" s="144"/>
      <c r="F5" s="143"/>
      <c r="G5" s="143"/>
      <c r="H5" s="144"/>
      <c r="I5" s="131">
        <f>Workout4[[#This Row],[DISTANCE (km)]]+Workout4[[#This Row],[DISTANCE (km)2]]</f>
        <v>0</v>
      </c>
      <c r="J5" s="145">
        <f>Workout4[[#This Row],[KCAL]]+Workout4[[#This Row],[KCAL2]]</f>
        <v>0</v>
      </c>
      <c r="K5" s="146"/>
      <c r="L5" s="134">
        <f>IF( Workout4[[#This Row],[Watch]] &gt; 0, Workout4[[#This Row],[Watch]] +Workout4[[#This Row],[KCAL]]/2,Workout4[[#This Row],[KCAL]]*$L$2)</f>
        <v>0</v>
      </c>
      <c r="M5" s="135"/>
      <c r="N5" s="136"/>
      <c r="O5" s="137"/>
    </row>
    <row r="6" spans="2:15" ht="15.75" x14ac:dyDescent="0.25">
      <c r="B6" s="118">
        <v>43740</v>
      </c>
      <c r="C6" s="128"/>
      <c r="D6" s="129"/>
      <c r="E6" s="130"/>
      <c r="F6" s="129"/>
      <c r="G6" s="129"/>
      <c r="H6" s="130"/>
      <c r="I6" s="131">
        <f>Workout4[[#This Row],[DISTANCE (km)]]+Workout4[[#This Row],[DISTANCE (km)2]]</f>
        <v>0</v>
      </c>
      <c r="J6" s="132">
        <f>Workout4[[#This Row],[KCAL]]+Workout4[[#This Row],[KCAL2]]</f>
        <v>0</v>
      </c>
      <c r="K6" s="133"/>
      <c r="L6" s="134">
        <f>IF( Workout4[[#This Row],[Watch]] &gt; 0, Workout4[[#This Row],[Watch]] +Workout4[[#This Row],[KCAL]]/2,Workout4[[#This Row],[KCAL]]*$L$2)</f>
        <v>0</v>
      </c>
      <c r="M6" s="135"/>
      <c r="N6" s="136"/>
      <c r="O6" s="137"/>
    </row>
    <row r="7" spans="2:15" ht="15.75" x14ac:dyDescent="0.25">
      <c r="B7" s="118">
        <v>43741</v>
      </c>
      <c r="C7" s="128"/>
      <c r="D7" s="129"/>
      <c r="E7" s="130"/>
      <c r="F7" s="129"/>
      <c r="G7" s="129"/>
      <c r="H7" s="130"/>
      <c r="I7" s="131">
        <f>Workout4[[#This Row],[DISTANCE (km)]]+Workout4[[#This Row],[DISTANCE (km)2]]</f>
        <v>0</v>
      </c>
      <c r="J7" s="132">
        <f>Workout4[[#This Row],[KCAL]]+Workout4[[#This Row],[KCAL2]]</f>
        <v>0</v>
      </c>
      <c r="K7" s="133"/>
      <c r="L7" s="134">
        <f>IF( Workout4[[#This Row],[Watch]] &gt; 0, Workout4[[#This Row],[Watch]] +Workout4[[#This Row],[KCAL]]/2,Workout4[[#This Row],[KCAL]]*$L$2)</f>
        <v>0</v>
      </c>
      <c r="M7" s="135"/>
      <c r="N7" s="136"/>
      <c r="O7" s="137"/>
    </row>
    <row r="8" spans="2:15" ht="15.75" x14ac:dyDescent="0.25">
      <c r="B8" s="118">
        <v>43742</v>
      </c>
      <c r="C8" s="128"/>
      <c r="D8" s="129"/>
      <c r="E8" s="130"/>
      <c r="F8" s="129"/>
      <c r="G8" s="129"/>
      <c r="H8" s="130"/>
      <c r="I8" s="131">
        <f>Workout4[[#This Row],[DISTANCE (km)]]+Workout4[[#This Row],[DISTANCE (km)2]]</f>
        <v>0</v>
      </c>
      <c r="J8" s="132">
        <f>Workout4[[#This Row],[KCAL]]+Workout4[[#This Row],[KCAL2]]</f>
        <v>0</v>
      </c>
      <c r="K8" s="133"/>
      <c r="L8" s="134">
        <f>IF( Workout4[[#This Row],[Watch]] &gt; 0, Workout4[[#This Row],[Watch]] +Workout4[[#This Row],[KCAL]]/2,Workout4[[#This Row],[KCAL]]*$L$2)</f>
        <v>0</v>
      </c>
      <c r="M8" s="135"/>
      <c r="N8" s="136"/>
      <c r="O8" s="137"/>
    </row>
    <row r="9" spans="2:15" ht="15.75" x14ac:dyDescent="0.25">
      <c r="B9" s="118">
        <v>43743</v>
      </c>
      <c r="C9" s="128"/>
      <c r="D9" s="129"/>
      <c r="E9" s="130"/>
      <c r="F9" s="129"/>
      <c r="G9" s="129"/>
      <c r="H9" s="130"/>
      <c r="I9" s="131">
        <f>Workout4[[#This Row],[DISTANCE (km)]]+Workout4[[#This Row],[DISTANCE (km)2]]</f>
        <v>0</v>
      </c>
      <c r="J9" s="132">
        <f>Workout4[[#This Row],[KCAL]]+Workout4[[#This Row],[KCAL2]]</f>
        <v>0</v>
      </c>
      <c r="K9" s="133"/>
      <c r="L9" s="134">
        <f>IF( Workout4[[#This Row],[Watch]] &gt; 0, Workout4[[#This Row],[Watch]] +Workout4[[#This Row],[KCAL]]/2,Workout4[[#This Row],[KCAL]]*$L$2)</f>
        <v>0</v>
      </c>
      <c r="M9" s="135"/>
      <c r="N9" s="136"/>
      <c r="O9" s="137"/>
    </row>
    <row r="10" spans="2:15" ht="15.75" x14ac:dyDescent="0.25">
      <c r="B10" s="118">
        <v>43744</v>
      </c>
      <c r="C10" s="115">
        <v>4</v>
      </c>
      <c r="D10" s="78">
        <v>76</v>
      </c>
      <c r="E10" s="79">
        <v>244</v>
      </c>
      <c r="F10" s="78"/>
      <c r="G10" s="78"/>
      <c r="H10" s="79"/>
      <c r="I10" s="80">
        <f>Workout4[[#This Row],[DISTANCE (km)]]+Workout4[[#This Row],[DISTANCE (km)2]]</f>
        <v>4</v>
      </c>
      <c r="J10" s="81">
        <f>Workout4[[#This Row],[KCAL]]+Workout4[[#This Row],[KCAL2]]</f>
        <v>244</v>
      </c>
      <c r="K10" s="82"/>
      <c r="L10" s="86">
        <f>IF( Workout4[[#This Row],[Watch]] &gt; 0, Workout4[[#This Row],[Watch]] +Workout4[[#This Row],[KCAL]]/2,Workout4[[#This Row],[KCAL]]*$L$2)</f>
        <v>455</v>
      </c>
      <c r="M10" s="90"/>
      <c r="N10" s="106">
        <v>2.2799999999999998</v>
      </c>
      <c r="O10" s="110">
        <v>333</v>
      </c>
    </row>
    <row r="11" spans="2:15" ht="15.75" x14ac:dyDescent="0.25">
      <c r="B11" s="118">
        <v>43745</v>
      </c>
      <c r="C11" s="115"/>
      <c r="D11" s="78"/>
      <c r="E11" s="79"/>
      <c r="F11" s="78"/>
      <c r="G11" s="78"/>
      <c r="H11" s="79"/>
      <c r="I11" s="80">
        <f>Workout4[[#This Row],[DISTANCE (km)]]+Workout4[[#This Row],[DISTANCE (km)2]]</f>
        <v>0</v>
      </c>
      <c r="J11" s="81">
        <f>Workout4[[#This Row],[KCAL]]+Workout4[[#This Row],[KCAL2]]</f>
        <v>0</v>
      </c>
      <c r="K11" s="82"/>
      <c r="L11" s="86">
        <f>IF( Workout4[[#This Row],[Watch]] &gt; 0, Workout4[[#This Row],[Watch]] +Workout4[[#This Row],[KCAL]]/2,Workout4[[#This Row],[KCAL]]*$L$2)</f>
        <v>0</v>
      </c>
      <c r="M11" s="90"/>
      <c r="N11" s="106"/>
      <c r="O11" s="110"/>
    </row>
    <row r="12" spans="2:15" ht="15.75" x14ac:dyDescent="0.25">
      <c r="B12" s="118">
        <v>43746</v>
      </c>
      <c r="C12" s="115"/>
      <c r="D12" s="78"/>
      <c r="E12" s="79"/>
      <c r="F12" s="78"/>
      <c r="G12" s="78"/>
      <c r="H12" s="79"/>
      <c r="I12" s="80">
        <f>Workout4[[#This Row],[DISTANCE (km)]]+Workout4[[#This Row],[DISTANCE (km)2]]</f>
        <v>0</v>
      </c>
      <c r="J12" s="81">
        <f>Workout4[[#This Row],[KCAL]]+Workout4[[#This Row],[KCAL2]]</f>
        <v>0</v>
      </c>
      <c r="K12" s="82"/>
      <c r="L12" s="86">
        <f>IF( Workout4[[#This Row],[Watch]] &gt; 0, Workout4[[#This Row],[Watch]] +Workout4[[#This Row],[KCAL]]/2,Workout4[[#This Row],[KCAL]]*$L$2)</f>
        <v>0</v>
      </c>
      <c r="M12" s="90"/>
      <c r="N12" s="106"/>
      <c r="O12" s="110"/>
    </row>
    <row r="13" spans="2:15" ht="15.75" x14ac:dyDescent="0.25">
      <c r="B13" s="118">
        <v>43747</v>
      </c>
      <c r="C13" s="115"/>
      <c r="D13" s="78"/>
      <c r="E13" s="79"/>
      <c r="F13" s="78"/>
      <c r="G13" s="78"/>
      <c r="H13" s="79"/>
      <c r="I13" s="80">
        <f>Workout4[[#This Row],[DISTANCE (km)]]+Workout4[[#This Row],[DISTANCE (km)2]]</f>
        <v>0</v>
      </c>
      <c r="J13" s="81">
        <f>Workout4[[#This Row],[KCAL]]+Workout4[[#This Row],[KCAL2]]</f>
        <v>0</v>
      </c>
      <c r="K13" s="82"/>
      <c r="L13" s="86">
        <f>IF( Workout4[[#This Row],[Watch]] &gt; 0, Workout4[[#This Row],[Watch]] +Workout4[[#This Row],[KCAL]]/2,Workout4[[#This Row],[KCAL]]*$L$2)</f>
        <v>0</v>
      </c>
      <c r="M13" s="90"/>
      <c r="N13" s="123"/>
      <c r="O13" s="124"/>
    </row>
    <row r="14" spans="2:15" ht="15.75" x14ac:dyDescent="0.25">
      <c r="B14" s="118">
        <v>43748</v>
      </c>
      <c r="C14" s="115"/>
      <c r="D14" s="78"/>
      <c r="E14" s="79"/>
      <c r="F14" s="78"/>
      <c r="G14" s="78"/>
      <c r="H14" s="79"/>
      <c r="I14" s="80">
        <f>Workout4[[#This Row],[DISTANCE (km)]]+Workout4[[#This Row],[DISTANCE (km)2]]</f>
        <v>0</v>
      </c>
      <c r="J14" s="81">
        <f>Workout4[[#This Row],[KCAL]]+Workout4[[#This Row],[KCAL2]]</f>
        <v>0</v>
      </c>
      <c r="K14" s="82"/>
      <c r="L14" s="86">
        <f>IF( Workout4[[#This Row],[Watch]] &gt; 0, Workout4[[#This Row],[Watch]] +Workout4[[#This Row],[KCAL]]/2,Workout4[[#This Row],[KCAL]]*$L$2)</f>
        <v>0</v>
      </c>
      <c r="M14" s="90"/>
      <c r="N14" s="106"/>
      <c r="O14" s="110"/>
    </row>
    <row r="15" spans="2:15" ht="15.75" x14ac:dyDescent="0.25">
      <c r="B15" s="118">
        <v>43749</v>
      </c>
      <c r="C15" s="115"/>
      <c r="D15" s="78"/>
      <c r="E15" s="79"/>
      <c r="F15" s="78"/>
      <c r="G15" s="78"/>
      <c r="H15" s="79"/>
      <c r="I15" s="80">
        <f>Workout4[[#This Row],[DISTANCE (km)]]+Workout4[[#This Row],[DISTANCE (km)2]]</f>
        <v>0</v>
      </c>
      <c r="J15" s="81">
        <f>Workout4[[#This Row],[KCAL]]+Workout4[[#This Row],[KCAL2]]</f>
        <v>0</v>
      </c>
      <c r="K15" s="82"/>
      <c r="L15" s="86">
        <f>IF( Workout4[[#This Row],[Watch]] &gt; 0, Workout4[[#This Row],[Watch]] +Workout4[[#This Row],[KCAL]]/2,Workout4[[#This Row],[KCAL]]*$L$2)</f>
        <v>0</v>
      </c>
      <c r="M15" s="90"/>
      <c r="N15" s="106"/>
      <c r="O15" s="110"/>
    </row>
    <row r="16" spans="2:15" ht="15.75" x14ac:dyDescent="0.25">
      <c r="B16" s="118">
        <v>43750</v>
      </c>
      <c r="C16" s="115"/>
      <c r="D16" s="78"/>
      <c r="E16" s="79"/>
      <c r="F16" s="78"/>
      <c r="G16" s="78"/>
      <c r="H16" s="79"/>
      <c r="I16" s="80">
        <f>Workout4[[#This Row],[DISTANCE (km)]]+Workout4[[#This Row],[DISTANCE (km)2]]</f>
        <v>0</v>
      </c>
      <c r="J16" s="81">
        <f>Workout4[[#This Row],[KCAL]]+Workout4[[#This Row],[KCAL2]]</f>
        <v>0</v>
      </c>
      <c r="K16" s="82"/>
      <c r="L16" s="86">
        <f>IF( Workout4[[#This Row],[Watch]] &gt; 0, Workout4[[#This Row],[Watch]] +Workout4[[#This Row],[KCAL]]/2,Workout4[[#This Row],[KCAL]]*$L$2)</f>
        <v>0</v>
      </c>
      <c r="M16" s="90"/>
      <c r="N16" s="106"/>
      <c r="O16" s="110"/>
    </row>
    <row r="17" spans="2:15" ht="15.75" x14ac:dyDescent="0.25">
      <c r="B17" s="118">
        <v>43751</v>
      </c>
      <c r="C17" s="115"/>
      <c r="D17" s="78"/>
      <c r="E17" s="79"/>
      <c r="F17" s="78"/>
      <c r="G17" s="78"/>
      <c r="H17" s="79"/>
      <c r="I17" s="80">
        <f>Workout4[[#This Row],[DISTANCE (km)]]+Workout4[[#This Row],[DISTANCE (km)2]]</f>
        <v>0</v>
      </c>
      <c r="J17" s="81">
        <f>Workout4[[#This Row],[KCAL]]+Workout4[[#This Row],[KCAL2]]</f>
        <v>0</v>
      </c>
      <c r="K17" s="82"/>
      <c r="L17" s="86">
        <f>IF( Workout4[[#This Row],[Watch]] &gt; 0, Workout4[[#This Row],[Watch]] +Workout4[[#This Row],[KCAL]]/2,Workout4[[#This Row],[KCAL]]*$L$2)</f>
        <v>0</v>
      </c>
      <c r="M17" s="90"/>
      <c r="N17" s="123"/>
      <c r="O17" s="124"/>
    </row>
    <row r="18" spans="2:15" ht="15.75" x14ac:dyDescent="0.25">
      <c r="B18" s="118">
        <v>43752</v>
      </c>
      <c r="C18" s="116"/>
      <c r="D18" s="4"/>
      <c r="E18" s="5"/>
      <c r="F18" s="4"/>
      <c r="G18" s="4"/>
      <c r="H18" s="5"/>
      <c r="I18" s="9">
        <f>Workout4[[#This Row],[DISTANCE (km)]]+Workout4[[#This Row],[DISTANCE (km)2]]</f>
        <v>0</v>
      </c>
      <c r="J18" s="10">
        <f>Workout4[[#This Row],[KCAL]]+Workout4[[#This Row],[KCAL2]]</f>
        <v>0</v>
      </c>
      <c r="K18" s="16"/>
      <c r="L18" s="87">
        <f>IF( Workout4[[#This Row],[Watch]] &gt; 0, Workout4[[#This Row],[Watch]] +Workout4[[#This Row],[KCAL]]/2,Workout4[[#This Row],[KCAL]]*$L$2)</f>
        <v>0</v>
      </c>
      <c r="M18" s="90"/>
      <c r="N18" s="106"/>
      <c r="O18" s="110"/>
    </row>
    <row r="19" spans="2:15" ht="15.75" x14ac:dyDescent="0.25">
      <c r="B19" s="118">
        <v>43753</v>
      </c>
      <c r="C19" s="116"/>
      <c r="D19" s="4"/>
      <c r="E19" s="5"/>
      <c r="F19" s="4"/>
      <c r="G19" s="4"/>
      <c r="H19" s="5"/>
      <c r="I19" s="9">
        <f>Workout4[[#This Row],[DISTANCE (km)]]+Workout4[[#This Row],[DISTANCE (km)2]]</f>
        <v>0</v>
      </c>
      <c r="J19" s="10">
        <f>Workout4[[#This Row],[KCAL]]+Workout4[[#This Row],[KCAL2]]</f>
        <v>0</v>
      </c>
      <c r="K19" s="16"/>
      <c r="L19" s="87">
        <f>IF( Workout4[[#This Row],[Watch]] &gt; 0, Workout4[[#This Row],[Watch]] +Workout4[[#This Row],[KCAL]]/2,Workout4[[#This Row],[KCAL]]*$L$2)</f>
        <v>0</v>
      </c>
      <c r="M19" s="90"/>
      <c r="N19" s="106"/>
      <c r="O19" s="110"/>
    </row>
    <row r="20" spans="2:15" ht="15.75" x14ac:dyDescent="0.25">
      <c r="B20" s="118">
        <v>43754</v>
      </c>
      <c r="C20" s="116"/>
      <c r="D20" s="4"/>
      <c r="E20" s="5"/>
      <c r="F20" s="4"/>
      <c r="G20" s="4"/>
      <c r="H20" s="5"/>
      <c r="I20" s="9">
        <f>Workout4[[#This Row],[DISTANCE (km)]]+Workout4[[#This Row],[DISTANCE (km)2]]</f>
        <v>0</v>
      </c>
      <c r="J20" s="10">
        <f>Workout4[[#This Row],[KCAL]]+Workout4[[#This Row],[KCAL2]]</f>
        <v>0</v>
      </c>
      <c r="K20" s="16"/>
      <c r="L20" s="87">
        <f>IF( Workout4[[#This Row],[Watch]] &gt; 0, Workout4[[#This Row],[Watch]] +Workout4[[#This Row],[KCAL]]/2,Workout4[[#This Row],[KCAL]]*$L$2)</f>
        <v>0</v>
      </c>
      <c r="M20" s="90"/>
      <c r="N20" s="106"/>
      <c r="O20" s="110"/>
    </row>
    <row r="21" spans="2:15" ht="15.75" x14ac:dyDescent="0.25">
      <c r="B21" s="118">
        <v>43755</v>
      </c>
      <c r="C21" s="115"/>
      <c r="D21" s="78"/>
      <c r="E21" s="79"/>
      <c r="F21" s="78"/>
      <c r="G21" s="78"/>
      <c r="H21" s="79"/>
      <c r="I21" s="80">
        <f>Workout4[[#This Row],[DISTANCE (km)]]+Workout4[[#This Row],[DISTANCE (km)2]]</f>
        <v>0</v>
      </c>
      <c r="J21" s="81">
        <f>Workout4[[#This Row],[KCAL]]+Workout4[[#This Row],[KCAL2]]</f>
        <v>0</v>
      </c>
      <c r="K21" s="82"/>
      <c r="L21" s="86">
        <f>IF( Workout4[[#This Row],[Watch]] &gt; 0, Workout4[[#This Row],[Watch]] +Workout4[[#This Row],[KCAL]]/2,Workout4[[#This Row],[KCAL]]*$L$2)</f>
        <v>0</v>
      </c>
      <c r="M21" s="90"/>
      <c r="N21" s="123"/>
      <c r="O21" s="124"/>
    </row>
    <row r="22" spans="2:15" ht="15.75" x14ac:dyDescent="0.25">
      <c r="B22" s="118">
        <v>43756</v>
      </c>
      <c r="C22" s="115"/>
      <c r="D22" s="78"/>
      <c r="E22" s="79"/>
      <c r="F22" s="78"/>
      <c r="G22" s="78"/>
      <c r="H22" s="79"/>
      <c r="I22" s="80">
        <f>Workout4[[#This Row],[DISTANCE (km)]]+Workout4[[#This Row],[DISTANCE (km)2]]</f>
        <v>0</v>
      </c>
      <c r="J22" s="81">
        <f>Workout4[[#This Row],[KCAL]]+Workout4[[#This Row],[KCAL2]]</f>
        <v>0</v>
      </c>
      <c r="K22" s="82"/>
      <c r="L22" s="86">
        <f>IF( Workout4[[#This Row],[Watch]] &gt; 0, Workout4[[#This Row],[Watch]] +Workout4[[#This Row],[KCAL]]/2,Workout4[[#This Row],[KCAL]]*$L$2)</f>
        <v>0</v>
      </c>
      <c r="M22" s="90"/>
      <c r="N22" s="123"/>
      <c r="O22" s="124"/>
    </row>
    <row r="23" spans="2:15" ht="15.75" x14ac:dyDescent="0.25">
      <c r="B23" s="118">
        <v>43757</v>
      </c>
      <c r="C23" s="115"/>
      <c r="D23" s="78"/>
      <c r="E23" s="79"/>
      <c r="F23" s="78"/>
      <c r="G23" s="78"/>
      <c r="H23" s="79"/>
      <c r="I23" s="80">
        <f>Workout4[[#This Row],[DISTANCE (km)]]+Workout4[[#This Row],[DISTANCE (km)2]]</f>
        <v>0</v>
      </c>
      <c r="J23" s="81">
        <f>Workout4[[#This Row],[KCAL]]+Workout4[[#This Row],[KCAL2]]</f>
        <v>0</v>
      </c>
      <c r="K23" s="82"/>
      <c r="L23" s="86">
        <f>IF( Workout4[[#This Row],[Watch]] &gt; 0, Workout4[[#This Row],[Watch]] +Workout4[[#This Row],[KCAL]]/2,Workout4[[#This Row],[KCAL]]*$L$2)</f>
        <v>0</v>
      </c>
      <c r="M23" s="90"/>
      <c r="N23" s="123"/>
      <c r="O23" s="124"/>
    </row>
    <row r="24" spans="2:15" ht="15.75" x14ac:dyDescent="0.25">
      <c r="B24" s="118">
        <v>43758</v>
      </c>
      <c r="C24" s="115"/>
      <c r="D24" s="78"/>
      <c r="E24" s="79"/>
      <c r="F24" s="78"/>
      <c r="G24" s="78"/>
      <c r="H24" s="79"/>
      <c r="I24" s="80">
        <f>Workout4[[#This Row],[DISTANCE (km)]]+Workout4[[#This Row],[DISTANCE (km)2]]</f>
        <v>0</v>
      </c>
      <c r="J24" s="81">
        <f>Workout4[[#This Row],[KCAL]]+Workout4[[#This Row],[KCAL2]]</f>
        <v>0</v>
      </c>
      <c r="K24" s="82"/>
      <c r="L24" s="86">
        <f>IF( Workout4[[#This Row],[Watch]] &gt; 0, Workout4[[#This Row],[Watch]] +Workout4[[#This Row],[KCAL]]/2,Workout4[[#This Row],[KCAL]]*$L$2)</f>
        <v>0</v>
      </c>
      <c r="M24" s="90"/>
      <c r="N24" s="123"/>
      <c r="O24" s="124"/>
    </row>
    <row r="25" spans="2:15" ht="15.75" x14ac:dyDescent="0.25">
      <c r="B25" s="118">
        <v>43759</v>
      </c>
      <c r="C25" s="115"/>
      <c r="D25" s="78"/>
      <c r="E25" s="79"/>
      <c r="F25" s="78"/>
      <c r="G25" s="78"/>
      <c r="H25" s="79"/>
      <c r="I25" s="80">
        <f>Workout4[[#This Row],[DISTANCE (km)]]+Workout4[[#This Row],[DISTANCE (km)2]]</f>
        <v>0</v>
      </c>
      <c r="J25" s="81">
        <f>Workout4[[#This Row],[KCAL]]+Workout4[[#This Row],[KCAL2]]</f>
        <v>0</v>
      </c>
      <c r="K25" s="82"/>
      <c r="L25" s="86">
        <f>IF( Workout4[[#This Row],[Watch]] &gt; 0, Workout4[[#This Row],[Watch]] +Workout4[[#This Row],[KCAL]]/2,Workout4[[#This Row],[KCAL]]*$L$2)</f>
        <v>0</v>
      </c>
      <c r="M25" s="90"/>
      <c r="N25" s="123"/>
      <c r="O25" s="124"/>
    </row>
    <row r="26" spans="2:15" ht="15.75" x14ac:dyDescent="0.25">
      <c r="B26" s="118">
        <v>43760</v>
      </c>
      <c r="C26" s="115"/>
      <c r="D26" s="78"/>
      <c r="E26" s="79"/>
      <c r="F26" s="78"/>
      <c r="G26" s="78"/>
      <c r="H26" s="79"/>
      <c r="I26" s="80">
        <f>Workout4[[#This Row],[DISTANCE (km)]]+Workout4[[#This Row],[DISTANCE (km)2]]</f>
        <v>0</v>
      </c>
      <c r="J26" s="81">
        <f>Workout4[[#This Row],[KCAL]]+Workout4[[#This Row],[KCAL2]]</f>
        <v>0</v>
      </c>
      <c r="K26" s="82"/>
      <c r="L26" s="86">
        <f>IF( Workout4[[#This Row],[Watch]] &gt; 0, Workout4[[#This Row],[Watch]] +Workout4[[#This Row],[KCAL]]/2,Workout4[[#This Row],[KCAL]]*$L$2)</f>
        <v>0</v>
      </c>
      <c r="M26" s="90"/>
      <c r="N26" s="123"/>
      <c r="O26" s="124"/>
    </row>
    <row r="27" spans="2:15" ht="15.75" x14ac:dyDescent="0.25">
      <c r="B27" s="118">
        <v>43761</v>
      </c>
      <c r="C27" s="115"/>
      <c r="D27" s="78"/>
      <c r="E27" s="79"/>
      <c r="F27" s="78"/>
      <c r="G27" s="78"/>
      <c r="H27" s="79"/>
      <c r="I27" s="80">
        <f>Workout4[[#This Row],[DISTANCE (km)]]+Workout4[[#This Row],[DISTANCE (km)2]]</f>
        <v>0</v>
      </c>
      <c r="J27" s="81">
        <f>Workout4[[#This Row],[KCAL]]+Workout4[[#This Row],[KCAL2]]</f>
        <v>0</v>
      </c>
      <c r="K27" s="82"/>
      <c r="L27" s="86">
        <f>IF( Workout4[[#This Row],[Watch]] &gt; 0, Workout4[[#This Row],[Watch]] +Workout4[[#This Row],[KCAL]]/2,Workout4[[#This Row],[KCAL]]*$L$2)</f>
        <v>0</v>
      </c>
      <c r="M27" s="90"/>
      <c r="N27" s="123"/>
      <c r="O27" s="124"/>
    </row>
    <row r="28" spans="2:15" ht="15.75" x14ac:dyDescent="0.25">
      <c r="B28" s="118">
        <v>43762</v>
      </c>
      <c r="C28" s="116"/>
      <c r="D28" s="4"/>
      <c r="E28" s="5"/>
      <c r="F28" s="4"/>
      <c r="G28" s="4"/>
      <c r="H28" s="5"/>
      <c r="I28" s="9">
        <f>Workout4[[#This Row],[DISTANCE (km)]]+Workout4[[#This Row],[DISTANCE (km)2]]</f>
        <v>0</v>
      </c>
      <c r="J28" s="10">
        <f>Workout4[[#This Row],[KCAL]]+Workout4[[#This Row],[KCAL2]]</f>
        <v>0</v>
      </c>
      <c r="K28" s="105"/>
      <c r="L28" s="87">
        <f>IF( Workout4[[#This Row],[Watch]] &gt; 0, Workout4[[#This Row],[Watch]] +Workout4[[#This Row],[KCAL]]/2,Workout4[[#This Row],[KCAL]]*$L$2)</f>
        <v>0</v>
      </c>
      <c r="M28" s="90"/>
      <c r="N28" s="106"/>
      <c r="O28" s="110"/>
    </row>
    <row r="29" spans="2:15" ht="15.75" x14ac:dyDescent="0.25">
      <c r="B29" s="118">
        <v>43763</v>
      </c>
      <c r="C29" s="116"/>
      <c r="D29" s="4"/>
      <c r="E29" s="5"/>
      <c r="F29" s="4"/>
      <c r="G29" s="4"/>
      <c r="H29" s="5"/>
      <c r="I29" s="9">
        <f>Workout4[[#This Row],[DISTANCE (km)]]+Workout4[[#This Row],[DISTANCE (km)2]]</f>
        <v>0</v>
      </c>
      <c r="J29" s="10">
        <f>Workout4[[#This Row],[KCAL]]+Workout4[[#This Row],[KCAL2]]</f>
        <v>0</v>
      </c>
      <c r="K29" s="104"/>
      <c r="L29" s="87">
        <f>IF( Workout4[[#This Row],[Watch]] &gt; 0, Workout4[[#This Row],[Watch]] +Workout4[[#This Row],[KCAL]]/2,Workout4[[#This Row],[KCAL]]*$L$2)</f>
        <v>0</v>
      </c>
      <c r="M29" s="90"/>
      <c r="N29" s="108"/>
      <c r="O29" s="110"/>
    </row>
    <row r="30" spans="2:15" ht="15.75" x14ac:dyDescent="0.25">
      <c r="B30" s="118">
        <v>43764</v>
      </c>
      <c r="C30" s="116"/>
      <c r="D30" s="4"/>
      <c r="E30" s="5"/>
      <c r="F30" s="4"/>
      <c r="G30" s="4"/>
      <c r="H30" s="5"/>
      <c r="I30" s="9">
        <f>Workout4[[#This Row],[DISTANCE (km)]]+Workout4[[#This Row],[DISTANCE (km)2]]</f>
        <v>0</v>
      </c>
      <c r="J30" s="10">
        <f>Workout4[[#This Row],[KCAL]]+Workout4[[#This Row],[KCAL2]]</f>
        <v>0</v>
      </c>
      <c r="K30" s="16"/>
      <c r="L30" s="87">
        <f>IF( Workout4[[#This Row],[Watch]] &gt; 0, Workout4[[#This Row],[Watch]] +Workout4[[#This Row],[KCAL]]/2,Workout4[[#This Row],[KCAL]]*$L$2)</f>
        <v>0</v>
      </c>
      <c r="M30" s="90"/>
      <c r="N30" s="106"/>
      <c r="O30" s="110"/>
    </row>
    <row r="31" spans="2:15" ht="15.75" x14ac:dyDescent="0.25">
      <c r="B31" s="118">
        <v>43765</v>
      </c>
      <c r="C31" s="117"/>
      <c r="D31" s="95"/>
      <c r="E31" s="96"/>
      <c r="F31" s="7"/>
      <c r="G31" s="7"/>
      <c r="H31" s="7"/>
      <c r="I31" s="9">
        <f>Workout4[[#This Row],[DISTANCE (km)]]+Workout4[[#This Row],[DISTANCE (km)2]]</f>
        <v>0</v>
      </c>
      <c r="J31" s="10">
        <f>Workout4[[#This Row],[KCAL]]+Workout4[[#This Row],[KCAL2]]</f>
        <v>0</v>
      </c>
      <c r="K31" s="16"/>
      <c r="L31" s="87">
        <f>IF( Workout4[[#This Row],[Watch]] &gt; 0, Workout4[[#This Row],[Watch]] +Workout4[[#This Row],[KCAL]]/2,Workout4[[#This Row],[KCAL]]*$L$2)</f>
        <v>0</v>
      </c>
      <c r="M31" s="90"/>
      <c r="N31" s="106"/>
      <c r="O31" s="110"/>
    </row>
    <row r="32" spans="2:15" ht="15.75" x14ac:dyDescent="0.25">
      <c r="B32" s="118">
        <v>43766</v>
      </c>
      <c r="C32" s="117"/>
      <c r="D32" s="95"/>
      <c r="E32" s="96"/>
      <c r="F32" s="7"/>
      <c r="G32" s="7"/>
      <c r="H32" s="7"/>
      <c r="I32" s="9">
        <f>Workout4[[#This Row],[DISTANCE (km)]]+Workout4[[#This Row],[DISTANCE (km)2]]</f>
        <v>0</v>
      </c>
      <c r="J32" s="10">
        <f>Workout4[[#This Row],[KCAL]]+Workout4[[#This Row],[KCAL2]]</f>
        <v>0</v>
      </c>
      <c r="K32" s="16"/>
      <c r="L32" s="87">
        <f>IF( Workout4[[#This Row],[Watch]] &gt; 0, Workout4[[#This Row],[Watch]] +Workout4[[#This Row],[KCAL]]/2,Workout4[[#This Row],[KCAL]]*$L$2)</f>
        <v>0</v>
      </c>
      <c r="M32" s="90"/>
      <c r="N32" s="106"/>
      <c r="O32" s="110"/>
    </row>
    <row r="33" spans="2:15" ht="15.75" x14ac:dyDescent="0.25">
      <c r="B33" s="118">
        <v>43767</v>
      </c>
      <c r="C33" s="117"/>
      <c r="D33" s="95"/>
      <c r="E33" s="96"/>
      <c r="F33" s="7"/>
      <c r="G33" s="7"/>
      <c r="H33" s="7"/>
      <c r="I33" s="9">
        <f>Workout4[[#This Row],[DISTANCE (km)]]+Workout4[[#This Row],[DISTANCE (km)2]]</f>
        <v>0</v>
      </c>
      <c r="J33" s="10">
        <f>Workout4[[#This Row],[KCAL]]+Workout4[[#This Row],[KCAL2]]</f>
        <v>0</v>
      </c>
      <c r="K33" s="16"/>
      <c r="L33" s="87">
        <f>IF( Workout4[[#This Row],[Watch]] &gt; 0, Workout4[[#This Row],[Watch]] +Workout4[[#This Row],[KCAL]]/2,Workout4[[#This Row],[KCAL]]*$L$2)</f>
        <v>0</v>
      </c>
      <c r="M33" s="90"/>
      <c r="N33" s="106"/>
      <c r="O33" s="110"/>
    </row>
    <row r="34" spans="2:15" ht="15.75" x14ac:dyDescent="0.25">
      <c r="B34" s="118">
        <v>43768</v>
      </c>
      <c r="C34" s="117"/>
      <c r="D34" s="95"/>
      <c r="E34" s="96"/>
      <c r="F34" s="7"/>
      <c r="G34" s="7"/>
      <c r="H34" s="7"/>
      <c r="I34" s="9">
        <f>Workout4[[#This Row],[DISTANCE (km)]]+Workout4[[#This Row],[DISTANCE (km)2]]</f>
        <v>0</v>
      </c>
      <c r="J34" s="10">
        <f>Workout4[[#This Row],[KCAL]]+Workout4[[#This Row],[KCAL2]]</f>
        <v>0</v>
      </c>
      <c r="K34" s="16"/>
      <c r="L34" s="87">
        <f>IF( Workout4[[#This Row],[Watch]] &gt; 0, Workout4[[#This Row],[Watch]] +Workout4[[#This Row],[KCAL]]/2,Workout4[[#This Row],[KCAL]]*$L$2)</f>
        <v>0</v>
      </c>
      <c r="M34" s="90"/>
      <c r="N34" s="106"/>
      <c r="O34" s="110"/>
    </row>
    <row r="35" spans="2:15" ht="15.75" x14ac:dyDescent="0.25">
      <c r="B35" s="118">
        <v>43769</v>
      </c>
      <c r="C35" s="95"/>
      <c r="D35" s="95"/>
      <c r="E35" s="96"/>
      <c r="F35" s="7"/>
      <c r="G35" s="7"/>
      <c r="H35" s="7"/>
      <c r="I35" s="9">
        <f>Workout4[[#This Row],[DISTANCE (km)]]+Workout4[[#This Row],[DISTANCE (km)2]]</f>
        <v>0</v>
      </c>
      <c r="J35" s="83">
        <f>Workout4[[#This Row],[KCAL]]+Workout4[[#This Row],[KCAL2]]</f>
        <v>0</v>
      </c>
      <c r="K35" s="16"/>
      <c r="L35" s="125">
        <f>IF( Workout4[[#This Row],[Watch]] &gt; 0, Workout4[[#This Row],[Watch]] +Workout4[[#This Row],[KCAL]]/2,Workout4[[#This Row],[KCAL]]*$L$2)</f>
        <v>0</v>
      </c>
      <c r="M35" s="126"/>
      <c r="N35" s="106"/>
      <c r="O35" s="127"/>
    </row>
    <row r="36" spans="2:15" ht="15.75" x14ac:dyDescent="0.25">
      <c r="B36" s="19" t="s">
        <v>4</v>
      </c>
      <c r="C36" s="20">
        <f>SUBTOTAL(109,Workout4[DISTANCE (km)])</f>
        <v>4</v>
      </c>
      <c r="D36" s="23">
        <f>SUBTOTAL(103,Workout4[DURATION (min)])</f>
        <v>1</v>
      </c>
      <c r="E36" s="21">
        <f>SUBTOTAL(109,Workout4[KCAL])</f>
        <v>244</v>
      </c>
      <c r="F36" s="20">
        <f>SUBTOTAL(109,Workout4[DISTANCE (km)2])</f>
        <v>0</v>
      </c>
      <c r="G36" s="8"/>
      <c r="H36" s="21">
        <f>SUBTOTAL(109,Workout4[KCAL2])</f>
        <v>0</v>
      </c>
      <c r="I36" s="6"/>
      <c r="J36" s="6"/>
      <c r="K36" s="6"/>
      <c r="L36" s="92">
        <f>SUBTOTAL(109,Workout4[Kcal *])</f>
        <v>455</v>
      </c>
      <c r="M36" s="89"/>
      <c r="N36" s="109"/>
      <c r="O36" s="112"/>
    </row>
    <row r="37" spans="2:15" ht="15.75" x14ac:dyDescent="0.25">
      <c r="F37" s="11" t="s">
        <v>13</v>
      </c>
      <c r="G37" s="12">
        <f>Workout4[[#Totals],[DISTANCE (km)]]+Workout4[[#Totals],[DISTANCE (km)2]]</f>
        <v>4</v>
      </c>
      <c r="H37" s="13">
        <f>Workout4[[#Totals],[KCAL]]+Workout4[[#Totals],[DISTANCE (km)2]]</f>
        <v>244</v>
      </c>
    </row>
  </sheetData>
  <mergeCells count="3">
    <mergeCell ref="B2:H2"/>
    <mergeCell ref="C3:E3"/>
    <mergeCell ref="F3:H3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workbookViewId="0">
      <selection activeCell="C5" sqref="C5"/>
    </sheetView>
  </sheetViews>
  <sheetFormatPr defaultRowHeight="15" x14ac:dyDescent="0.25"/>
  <cols>
    <col min="2" max="2" width="34.7109375" bestFit="1" customWidth="1"/>
    <col min="3" max="3" width="15.7109375" bestFit="1" customWidth="1"/>
    <col min="4" max="4" width="17.42578125" bestFit="1" customWidth="1"/>
    <col min="5" max="5" width="11.7109375" customWidth="1"/>
    <col min="6" max="6" width="17.42578125" bestFit="1" customWidth="1"/>
    <col min="7" max="7" width="18.5703125" bestFit="1" customWidth="1"/>
    <col min="8" max="8" width="10" bestFit="1" customWidth="1"/>
    <col min="11" max="11" width="8.5703125" customWidth="1"/>
    <col min="12" max="12" width="12.28515625" customWidth="1"/>
    <col min="13" max="13" width="10" bestFit="1" customWidth="1"/>
  </cols>
  <sheetData>
    <row r="1" spans="2:15" x14ac:dyDescent="0.25">
      <c r="L1" s="88" t="s">
        <v>27</v>
      </c>
    </row>
    <row r="2" spans="2:15" ht="18.75" x14ac:dyDescent="0.3">
      <c r="B2" s="147" t="s">
        <v>37</v>
      </c>
      <c r="C2" s="147"/>
      <c r="D2" s="147"/>
      <c r="E2" s="147"/>
      <c r="F2" s="147"/>
      <c r="G2" s="147"/>
      <c r="H2" s="147"/>
      <c r="K2" s="85">
        <v>1.4</v>
      </c>
      <c r="L2" s="88">
        <v>1.6</v>
      </c>
    </row>
    <row r="3" spans="2:15" ht="15.75" x14ac:dyDescent="0.25">
      <c r="B3" s="1"/>
      <c r="C3" s="148" t="s">
        <v>8</v>
      </c>
      <c r="D3" s="148"/>
      <c r="E3" s="149"/>
      <c r="F3" s="150" t="s">
        <v>9</v>
      </c>
      <c r="G3" s="150"/>
      <c r="H3" s="150"/>
    </row>
    <row r="4" spans="2:15" ht="15.75" x14ac:dyDescent="0.25">
      <c r="B4" s="119" t="s">
        <v>0</v>
      </c>
      <c r="C4" s="120" t="s">
        <v>1</v>
      </c>
      <c r="D4" s="119" t="s">
        <v>2</v>
      </c>
      <c r="E4" s="119" t="s">
        <v>3</v>
      </c>
      <c r="F4" s="121" t="s">
        <v>5</v>
      </c>
      <c r="G4" s="121" t="s">
        <v>6</v>
      </c>
      <c r="H4" s="121" t="s">
        <v>7</v>
      </c>
      <c r="I4" s="121" t="s">
        <v>10</v>
      </c>
      <c r="J4" s="121" t="s">
        <v>11</v>
      </c>
      <c r="K4" s="121" t="s">
        <v>12</v>
      </c>
      <c r="L4" s="121" t="s">
        <v>26</v>
      </c>
      <c r="M4" s="119" t="s">
        <v>15</v>
      </c>
      <c r="N4" s="122" t="s">
        <v>28</v>
      </c>
      <c r="O4" s="121" t="s">
        <v>29</v>
      </c>
    </row>
    <row r="5" spans="2:15" ht="15.75" x14ac:dyDescent="0.25">
      <c r="B5" s="118">
        <v>43770</v>
      </c>
      <c r="C5" s="113"/>
      <c r="D5" s="73"/>
      <c r="E5" s="74"/>
      <c r="F5" s="73"/>
      <c r="G5" s="73"/>
      <c r="H5" s="74"/>
      <c r="I5" s="80">
        <f>Workout48[[#This Row],[DISTANCE (km)]]+Workout48[[#This Row],[DISTANCE (km)2]]</f>
        <v>0</v>
      </c>
      <c r="J5" s="76">
        <f>Workout48[[#This Row],[KCAL]]+Workout48[[#This Row],[KCAL2]]</f>
        <v>0</v>
      </c>
      <c r="K5" s="77"/>
      <c r="L5" s="86">
        <f>IF( Workout48[[#This Row],[Watch]] &gt; 0, Workout48[[#This Row],[Watch]] +Workout48[[#This Row],[KCAL]]/2,Workout48[[#This Row],[KCAL]]*$L$2)</f>
        <v>0</v>
      </c>
      <c r="M5" s="90"/>
      <c r="N5" s="106"/>
      <c r="O5" s="110"/>
    </row>
    <row r="6" spans="2:15" ht="15.75" x14ac:dyDescent="0.25">
      <c r="B6" s="118">
        <v>43771</v>
      </c>
      <c r="C6" s="115"/>
      <c r="D6" s="78"/>
      <c r="E6" s="79"/>
      <c r="F6" s="78"/>
      <c r="G6" s="78"/>
      <c r="H6" s="79"/>
      <c r="I6" s="80">
        <f>Workout48[[#This Row],[DISTANCE (km)]]+Workout48[[#This Row],[DISTANCE (km)2]]</f>
        <v>0</v>
      </c>
      <c r="J6" s="81">
        <f>Workout48[[#This Row],[KCAL]]+Workout48[[#This Row],[KCAL2]]</f>
        <v>0</v>
      </c>
      <c r="K6" s="82"/>
      <c r="L6" s="86">
        <f>IF( Workout48[[#This Row],[Watch]] &gt; 0, Workout48[[#This Row],[Watch]] +Workout48[[#This Row],[KCAL]]/2,Workout48[[#This Row],[KCAL]]*$L$2)</f>
        <v>0</v>
      </c>
      <c r="M6" s="90"/>
      <c r="N6" s="123"/>
      <c r="O6" s="124"/>
    </row>
    <row r="7" spans="2:15" ht="15.75" x14ac:dyDescent="0.25">
      <c r="B7" s="118">
        <v>43772</v>
      </c>
      <c r="C7" s="115"/>
      <c r="D7" s="78"/>
      <c r="E7" s="79"/>
      <c r="F7" s="78"/>
      <c r="G7" s="78"/>
      <c r="H7" s="79"/>
      <c r="I7" s="80">
        <f>Workout48[[#This Row],[DISTANCE (km)]]+Workout48[[#This Row],[DISTANCE (km)2]]</f>
        <v>0</v>
      </c>
      <c r="J7" s="81">
        <f>Workout48[[#This Row],[KCAL]]+Workout48[[#This Row],[KCAL2]]</f>
        <v>0</v>
      </c>
      <c r="K7" s="82"/>
      <c r="L7" s="86">
        <f>IF( Workout48[[#This Row],[Watch]] &gt; 0, Workout48[[#This Row],[Watch]] +Workout48[[#This Row],[KCAL]]/2,Workout48[[#This Row],[KCAL]]*$L$2)</f>
        <v>0</v>
      </c>
      <c r="M7" s="90"/>
      <c r="N7" s="123"/>
      <c r="O7" s="124"/>
    </row>
    <row r="8" spans="2:15" ht="15.75" x14ac:dyDescent="0.25">
      <c r="B8" s="118">
        <v>43773</v>
      </c>
      <c r="C8" s="115"/>
      <c r="D8" s="78"/>
      <c r="E8" s="79"/>
      <c r="F8" s="78"/>
      <c r="G8" s="78"/>
      <c r="H8" s="79"/>
      <c r="I8" s="80">
        <f>Workout48[[#This Row],[DISTANCE (km)]]+Workout48[[#This Row],[DISTANCE (km)2]]</f>
        <v>0</v>
      </c>
      <c r="J8" s="81">
        <f>Workout48[[#This Row],[KCAL]]+Workout48[[#This Row],[KCAL2]]</f>
        <v>0</v>
      </c>
      <c r="K8" s="82"/>
      <c r="L8" s="86">
        <f>IF( Workout48[[#This Row],[Watch]] &gt; 0, Workout48[[#This Row],[Watch]] +Workout48[[#This Row],[KCAL]]/2,Workout48[[#This Row],[KCAL]]*$L$2)</f>
        <v>0</v>
      </c>
      <c r="M8" s="90"/>
      <c r="N8" s="123"/>
      <c r="O8" s="124"/>
    </row>
    <row r="9" spans="2:15" ht="15.75" x14ac:dyDescent="0.25">
      <c r="B9" s="118">
        <v>43774</v>
      </c>
      <c r="C9" s="115"/>
      <c r="D9" s="78"/>
      <c r="E9" s="79"/>
      <c r="F9" s="78"/>
      <c r="G9" s="78"/>
      <c r="H9" s="79"/>
      <c r="I9" s="80">
        <f>Workout48[[#This Row],[DISTANCE (km)]]+Workout48[[#This Row],[DISTANCE (km)2]]</f>
        <v>0</v>
      </c>
      <c r="J9" s="81">
        <f>Workout48[[#This Row],[KCAL]]+Workout48[[#This Row],[KCAL2]]</f>
        <v>0</v>
      </c>
      <c r="K9" s="82"/>
      <c r="L9" s="86">
        <f>IF( Workout48[[#This Row],[Watch]] &gt; 0, Workout48[[#This Row],[Watch]] +Workout48[[#This Row],[KCAL]]/2,Workout48[[#This Row],[KCAL]]*$L$2)</f>
        <v>0</v>
      </c>
      <c r="M9" s="90"/>
      <c r="N9" s="123"/>
      <c r="O9" s="124"/>
    </row>
    <row r="10" spans="2:15" ht="15.75" x14ac:dyDescent="0.25">
      <c r="B10" s="118">
        <v>43775</v>
      </c>
      <c r="C10" s="115"/>
      <c r="D10" s="78"/>
      <c r="E10" s="79"/>
      <c r="F10" s="78"/>
      <c r="G10" s="78"/>
      <c r="H10" s="79"/>
      <c r="I10" s="80">
        <f>Workout48[[#This Row],[DISTANCE (km)]]+Workout48[[#This Row],[DISTANCE (km)2]]</f>
        <v>0</v>
      </c>
      <c r="J10" s="81">
        <f>Workout48[[#This Row],[KCAL]]+Workout48[[#This Row],[KCAL2]]</f>
        <v>0</v>
      </c>
      <c r="K10" s="82"/>
      <c r="L10" s="86">
        <f>IF( Workout48[[#This Row],[Watch]] &gt; 0, Workout48[[#This Row],[Watch]] +Workout48[[#This Row],[KCAL]]/2,Workout48[[#This Row],[KCAL]]*$L$2)</f>
        <v>0</v>
      </c>
      <c r="M10" s="90"/>
      <c r="N10" s="106"/>
      <c r="O10" s="110"/>
    </row>
    <row r="11" spans="2:15" ht="15.75" x14ac:dyDescent="0.25">
      <c r="B11" s="118">
        <v>43776</v>
      </c>
      <c r="C11" s="115"/>
      <c r="D11" s="78"/>
      <c r="E11" s="79"/>
      <c r="F11" s="78"/>
      <c r="G11" s="78"/>
      <c r="H11" s="79"/>
      <c r="I11" s="80">
        <f>Workout48[[#This Row],[DISTANCE (km)]]+Workout48[[#This Row],[DISTANCE (km)2]]</f>
        <v>0</v>
      </c>
      <c r="J11" s="81">
        <f>Workout48[[#This Row],[KCAL]]+Workout48[[#This Row],[KCAL2]]</f>
        <v>0</v>
      </c>
      <c r="K11" s="82"/>
      <c r="L11" s="86">
        <f>IF( Workout48[[#This Row],[Watch]] &gt; 0, Workout48[[#This Row],[Watch]] +Workout48[[#This Row],[KCAL]]/2,Workout48[[#This Row],[KCAL]]*$L$2)</f>
        <v>0</v>
      </c>
      <c r="M11" s="90"/>
      <c r="N11" s="106"/>
      <c r="O11" s="110"/>
    </row>
    <row r="12" spans="2:15" ht="15.75" x14ac:dyDescent="0.25">
      <c r="B12" s="118">
        <v>43777</v>
      </c>
      <c r="C12" s="115"/>
      <c r="D12" s="78"/>
      <c r="E12" s="79"/>
      <c r="F12" s="78"/>
      <c r="G12" s="78"/>
      <c r="H12" s="79"/>
      <c r="I12" s="80">
        <f>Workout48[[#This Row],[DISTANCE (km)]]+Workout48[[#This Row],[DISTANCE (km)2]]</f>
        <v>0</v>
      </c>
      <c r="J12" s="81">
        <f>Workout48[[#This Row],[KCAL]]+Workout48[[#This Row],[KCAL2]]</f>
        <v>0</v>
      </c>
      <c r="K12" s="82"/>
      <c r="L12" s="86">
        <f>IF( Workout48[[#This Row],[Watch]] &gt; 0, Workout48[[#This Row],[Watch]] +Workout48[[#This Row],[KCAL]]/2,Workout48[[#This Row],[KCAL]]*$L$2)</f>
        <v>0</v>
      </c>
      <c r="M12" s="90"/>
      <c r="N12" s="106"/>
      <c r="O12" s="110"/>
    </row>
    <row r="13" spans="2:15" ht="15.75" x14ac:dyDescent="0.25">
      <c r="B13" s="118">
        <v>43778</v>
      </c>
      <c r="C13" s="115"/>
      <c r="D13" s="78"/>
      <c r="E13" s="79"/>
      <c r="F13" s="78"/>
      <c r="G13" s="78"/>
      <c r="H13" s="79"/>
      <c r="I13" s="80">
        <f>Workout48[[#This Row],[DISTANCE (km)]]+Workout48[[#This Row],[DISTANCE (km)2]]</f>
        <v>0</v>
      </c>
      <c r="J13" s="81">
        <f>Workout48[[#This Row],[KCAL]]+Workout48[[#This Row],[KCAL2]]</f>
        <v>0</v>
      </c>
      <c r="K13" s="82"/>
      <c r="L13" s="86">
        <f>IF( Workout48[[#This Row],[Watch]] &gt; 0, Workout48[[#This Row],[Watch]] +Workout48[[#This Row],[KCAL]]/2,Workout48[[#This Row],[KCAL]]*$L$2)</f>
        <v>0</v>
      </c>
      <c r="M13" s="90"/>
      <c r="N13" s="123"/>
      <c r="O13" s="124"/>
    </row>
    <row r="14" spans="2:15" ht="15.75" x14ac:dyDescent="0.25">
      <c r="B14" s="118">
        <v>43779</v>
      </c>
      <c r="C14" s="115"/>
      <c r="D14" s="78"/>
      <c r="E14" s="79"/>
      <c r="F14" s="78"/>
      <c r="G14" s="78"/>
      <c r="H14" s="79"/>
      <c r="I14" s="80">
        <f>Workout48[[#This Row],[DISTANCE (km)]]+Workout48[[#This Row],[DISTANCE (km)2]]</f>
        <v>0</v>
      </c>
      <c r="J14" s="81">
        <f>Workout48[[#This Row],[KCAL]]+Workout48[[#This Row],[KCAL2]]</f>
        <v>0</v>
      </c>
      <c r="K14" s="82"/>
      <c r="L14" s="86">
        <f>IF( Workout48[[#This Row],[Watch]] &gt; 0, Workout48[[#This Row],[Watch]] +Workout48[[#This Row],[KCAL]]/2,Workout48[[#This Row],[KCAL]]*$L$2)</f>
        <v>0</v>
      </c>
      <c r="M14" s="90"/>
      <c r="N14" s="106"/>
      <c r="O14" s="110"/>
    </row>
    <row r="15" spans="2:15" ht="15.75" x14ac:dyDescent="0.25">
      <c r="B15" s="118">
        <v>43780</v>
      </c>
      <c r="C15" s="115"/>
      <c r="D15" s="78"/>
      <c r="E15" s="79"/>
      <c r="F15" s="78"/>
      <c r="G15" s="78"/>
      <c r="H15" s="79"/>
      <c r="I15" s="80">
        <f>Workout48[[#This Row],[DISTANCE (km)]]+Workout48[[#This Row],[DISTANCE (km)2]]</f>
        <v>0</v>
      </c>
      <c r="J15" s="81">
        <f>Workout48[[#This Row],[KCAL]]+Workout48[[#This Row],[KCAL2]]</f>
        <v>0</v>
      </c>
      <c r="K15" s="82"/>
      <c r="L15" s="86">
        <f>IF( Workout48[[#This Row],[Watch]] &gt; 0, Workout48[[#This Row],[Watch]] +Workout48[[#This Row],[KCAL]]/2,Workout48[[#This Row],[KCAL]]*$L$2)</f>
        <v>0</v>
      </c>
      <c r="M15" s="90"/>
      <c r="N15" s="106"/>
      <c r="O15" s="110"/>
    </row>
    <row r="16" spans="2:15" ht="15.75" x14ac:dyDescent="0.25">
      <c r="B16" s="118">
        <v>43781</v>
      </c>
      <c r="C16" s="115"/>
      <c r="D16" s="78"/>
      <c r="E16" s="79"/>
      <c r="F16" s="78"/>
      <c r="G16" s="78"/>
      <c r="H16" s="79"/>
      <c r="I16" s="80">
        <f>Workout48[[#This Row],[DISTANCE (km)]]+Workout48[[#This Row],[DISTANCE (km)2]]</f>
        <v>0</v>
      </c>
      <c r="J16" s="81">
        <f>Workout48[[#This Row],[KCAL]]+Workout48[[#This Row],[KCAL2]]</f>
        <v>0</v>
      </c>
      <c r="K16" s="82"/>
      <c r="L16" s="86">
        <f>IF( Workout48[[#This Row],[Watch]] &gt; 0, Workout48[[#This Row],[Watch]] +Workout48[[#This Row],[KCAL]]/2,Workout48[[#This Row],[KCAL]]*$L$2)</f>
        <v>0</v>
      </c>
      <c r="M16" s="90"/>
      <c r="N16" s="106"/>
      <c r="O16" s="110"/>
    </row>
    <row r="17" spans="2:15" ht="15.75" x14ac:dyDescent="0.25">
      <c r="B17" s="118">
        <v>43782</v>
      </c>
      <c r="C17" s="115"/>
      <c r="D17" s="78"/>
      <c r="E17" s="79"/>
      <c r="F17" s="78"/>
      <c r="G17" s="78"/>
      <c r="H17" s="79"/>
      <c r="I17" s="80">
        <f>Workout48[[#This Row],[DISTANCE (km)]]+Workout48[[#This Row],[DISTANCE (km)2]]</f>
        <v>0</v>
      </c>
      <c r="J17" s="81">
        <f>Workout48[[#This Row],[KCAL]]+Workout48[[#This Row],[KCAL2]]</f>
        <v>0</v>
      </c>
      <c r="K17" s="82"/>
      <c r="L17" s="86">
        <f>IF( Workout48[[#This Row],[Watch]] &gt; 0, Workout48[[#This Row],[Watch]] +Workout48[[#This Row],[KCAL]]/2,Workout48[[#This Row],[KCAL]]*$L$2)</f>
        <v>0</v>
      </c>
      <c r="M17" s="90"/>
      <c r="N17" s="123"/>
      <c r="O17" s="124"/>
    </row>
    <row r="18" spans="2:15" ht="15.75" x14ac:dyDescent="0.25">
      <c r="B18" s="118">
        <v>43783</v>
      </c>
      <c r="C18" s="116"/>
      <c r="D18" s="4"/>
      <c r="E18" s="5"/>
      <c r="F18" s="4"/>
      <c r="G18" s="4"/>
      <c r="H18" s="5"/>
      <c r="I18" s="9">
        <f>Workout48[[#This Row],[DISTANCE (km)]]+Workout48[[#This Row],[DISTANCE (km)2]]</f>
        <v>0</v>
      </c>
      <c r="J18" s="10">
        <f>Workout48[[#This Row],[KCAL]]+Workout48[[#This Row],[KCAL2]]</f>
        <v>0</v>
      </c>
      <c r="K18" s="16"/>
      <c r="L18" s="87">
        <f>IF( Workout48[[#This Row],[Watch]] &gt; 0, Workout48[[#This Row],[Watch]] +Workout48[[#This Row],[KCAL]]/2,Workout48[[#This Row],[KCAL]]*$L$2)</f>
        <v>0</v>
      </c>
      <c r="M18" s="90"/>
      <c r="N18" s="106"/>
      <c r="O18" s="110"/>
    </row>
    <row r="19" spans="2:15" ht="15.75" x14ac:dyDescent="0.25">
      <c r="B19" s="118">
        <v>43784</v>
      </c>
      <c r="C19" s="116"/>
      <c r="D19" s="4"/>
      <c r="E19" s="5"/>
      <c r="F19" s="4"/>
      <c r="G19" s="4"/>
      <c r="H19" s="5"/>
      <c r="I19" s="9">
        <f>Workout48[[#This Row],[DISTANCE (km)]]+Workout48[[#This Row],[DISTANCE (km)2]]</f>
        <v>0</v>
      </c>
      <c r="J19" s="10">
        <f>Workout48[[#This Row],[KCAL]]+Workout48[[#This Row],[KCAL2]]</f>
        <v>0</v>
      </c>
      <c r="K19" s="16"/>
      <c r="L19" s="87">
        <f>IF( Workout48[[#This Row],[Watch]] &gt; 0, Workout48[[#This Row],[Watch]] +Workout48[[#This Row],[KCAL]]/2,Workout48[[#This Row],[KCAL]]*$L$2)</f>
        <v>0</v>
      </c>
      <c r="M19" s="90"/>
      <c r="N19" s="106"/>
      <c r="O19" s="110"/>
    </row>
    <row r="20" spans="2:15" ht="15.75" x14ac:dyDescent="0.25">
      <c r="B20" s="118">
        <v>43785</v>
      </c>
      <c r="C20" s="116"/>
      <c r="D20" s="4"/>
      <c r="E20" s="5"/>
      <c r="F20" s="4"/>
      <c r="G20" s="4"/>
      <c r="H20" s="5"/>
      <c r="I20" s="9">
        <f>Workout48[[#This Row],[DISTANCE (km)]]+Workout48[[#This Row],[DISTANCE (km)2]]</f>
        <v>0</v>
      </c>
      <c r="J20" s="10">
        <f>Workout48[[#This Row],[KCAL]]+Workout48[[#This Row],[KCAL2]]</f>
        <v>0</v>
      </c>
      <c r="K20" s="16"/>
      <c r="L20" s="87">
        <f>IF( Workout48[[#This Row],[Watch]] &gt; 0, Workout48[[#This Row],[Watch]] +Workout48[[#This Row],[KCAL]]/2,Workout48[[#This Row],[KCAL]]*$L$2)</f>
        <v>0</v>
      </c>
      <c r="M20" s="90"/>
      <c r="N20" s="106"/>
      <c r="O20" s="110"/>
    </row>
    <row r="21" spans="2:15" ht="15.75" x14ac:dyDescent="0.25">
      <c r="B21" s="118">
        <v>43786</v>
      </c>
      <c r="C21" s="115"/>
      <c r="D21" s="78"/>
      <c r="E21" s="79"/>
      <c r="F21" s="78"/>
      <c r="G21" s="78"/>
      <c r="H21" s="79"/>
      <c r="I21" s="80">
        <f>Workout48[[#This Row],[DISTANCE (km)]]+Workout48[[#This Row],[DISTANCE (km)2]]</f>
        <v>0</v>
      </c>
      <c r="J21" s="81">
        <f>Workout48[[#This Row],[KCAL]]+Workout48[[#This Row],[KCAL2]]</f>
        <v>0</v>
      </c>
      <c r="K21" s="82"/>
      <c r="L21" s="86">
        <f>IF( Workout48[[#This Row],[Watch]] &gt; 0, Workout48[[#This Row],[Watch]] +Workout48[[#This Row],[KCAL]]/2,Workout48[[#This Row],[KCAL]]*$L$2)</f>
        <v>0</v>
      </c>
      <c r="M21" s="90"/>
      <c r="N21" s="123"/>
      <c r="O21" s="124"/>
    </row>
    <row r="22" spans="2:15" ht="15.75" x14ac:dyDescent="0.25">
      <c r="B22" s="118">
        <v>43787</v>
      </c>
      <c r="C22" s="115"/>
      <c r="D22" s="78"/>
      <c r="E22" s="79"/>
      <c r="F22" s="78"/>
      <c r="G22" s="78"/>
      <c r="H22" s="79"/>
      <c r="I22" s="80">
        <f>Workout48[[#This Row],[DISTANCE (km)]]+Workout48[[#This Row],[DISTANCE (km)2]]</f>
        <v>0</v>
      </c>
      <c r="J22" s="81">
        <f>Workout48[[#This Row],[KCAL]]+Workout48[[#This Row],[KCAL2]]</f>
        <v>0</v>
      </c>
      <c r="K22" s="82"/>
      <c r="L22" s="86">
        <f>IF( Workout48[[#This Row],[Watch]] &gt; 0, Workout48[[#This Row],[Watch]] +Workout48[[#This Row],[KCAL]]/2,Workout48[[#This Row],[KCAL]]*$L$2)</f>
        <v>0</v>
      </c>
      <c r="M22" s="90"/>
      <c r="N22" s="123"/>
      <c r="O22" s="124"/>
    </row>
    <row r="23" spans="2:15" ht="15.75" x14ac:dyDescent="0.25">
      <c r="B23" s="118">
        <v>43788</v>
      </c>
      <c r="C23" s="115"/>
      <c r="D23" s="78"/>
      <c r="E23" s="79"/>
      <c r="F23" s="78"/>
      <c r="G23" s="78"/>
      <c r="H23" s="79"/>
      <c r="I23" s="80">
        <f>Workout48[[#This Row],[DISTANCE (km)]]+Workout48[[#This Row],[DISTANCE (km)2]]</f>
        <v>0</v>
      </c>
      <c r="J23" s="81">
        <f>Workout48[[#This Row],[KCAL]]+Workout48[[#This Row],[KCAL2]]</f>
        <v>0</v>
      </c>
      <c r="K23" s="82"/>
      <c r="L23" s="86">
        <f>IF( Workout48[[#This Row],[Watch]] &gt; 0, Workout48[[#This Row],[Watch]] +Workout48[[#This Row],[KCAL]]/2,Workout48[[#This Row],[KCAL]]*$L$2)</f>
        <v>0</v>
      </c>
      <c r="M23" s="90"/>
      <c r="N23" s="123"/>
      <c r="O23" s="124"/>
    </row>
    <row r="24" spans="2:15" ht="15.75" x14ac:dyDescent="0.25">
      <c r="B24" s="118">
        <v>43789</v>
      </c>
      <c r="C24" s="115"/>
      <c r="D24" s="78"/>
      <c r="E24" s="79"/>
      <c r="F24" s="78"/>
      <c r="G24" s="78"/>
      <c r="H24" s="79"/>
      <c r="I24" s="80">
        <f>Workout48[[#This Row],[DISTANCE (km)]]+Workout48[[#This Row],[DISTANCE (km)2]]</f>
        <v>0</v>
      </c>
      <c r="J24" s="81">
        <f>Workout48[[#This Row],[KCAL]]+Workout48[[#This Row],[KCAL2]]</f>
        <v>0</v>
      </c>
      <c r="K24" s="82"/>
      <c r="L24" s="86">
        <f>IF( Workout48[[#This Row],[Watch]] &gt; 0, Workout48[[#This Row],[Watch]] +Workout48[[#This Row],[KCAL]]/2,Workout48[[#This Row],[KCAL]]*$L$2)</f>
        <v>0</v>
      </c>
      <c r="M24" s="90"/>
      <c r="N24" s="123"/>
      <c r="O24" s="124"/>
    </row>
    <row r="25" spans="2:15" ht="15.75" x14ac:dyDescent="0.25">
      <c r="B25" s="118">
        <v>43790</v>
      </c>
      <c r="C25" s="115"/>
      <c r="D25" s="78"/>
      <c r="E25" s="79"/>
      <c r="F25" s="78"/>
      <c r="G25" s="78"/>
      <c r="H25" s="79"/>
      <c r="I25" s="80">
        <f>Workout48[[#This Row],[DISTANCE (km)]]+Workout48[[#This Row],[DISTANCE (km)2]]</f>
        <v>0</v>
      </c>
      <c r="J25" s="81">
        <f>Workout48[[#This Row],[KCAL]]+Workout48[[#This Row],[KCAL2]]</f>
        <v>0</v>
      </c>
      <c r="K25" s="82"/>
      <c r="L25" s="86">
        <f>IF( Workout48[[#This Row],[Watch]] &gt; 0, Workout48[[#This Row],[Watch]] +Workout48[[#This Row],[KCAL]]/2,Workout48[[#This Row],[KCAL]]*$L$2)</f>
        <v>0</v>
      </c>
      <c r="M25" s="90"/>
      <c r="N25" s="123"/>
      <c r="O25" s="124"/>
    </row>
    <row r="26" spans="2:15" ht="15.75" x14ac:dyDescent="0.25">
      <c r="B26" s="118">
        <v>43791</v>
      </c>
      <c r="C26" s="115"/>
      <c r="D26" s="78"/>
      <c r="E26" s="79"/>
      <c r="F26" s="78"/>
      <c r="G26" s="78"/>
      <c r="H26" s="79"/>
      <c r="I26" s="80">
        <f>Workout48[[#This Row],[DISTANCE (km)]]+Workout48[[#This Row],[DISTANCE (km)2]]</f>
        <v>0</v>
      </c>
      <c r="J26" s="81">
        <f>Workout48[[#This Row],[KCAL]]+Workout48[[#This Row],[KCAL2]]</f>
        <v>0</v>
      </c>
      <c r="K26" s="82"/>
      <c r="L26" s="86">
        <f>IF( Workout48[[#This Row],[Watch]] &gt; 0, Workout48[[#This Row],[Watch]] +Workout48[[#This Row],[KCAL]]/2,Workout48[[#This Row],[KCAL]]*$L$2)</f>
        <v>0</v>
      </c>
      <c r="M26" s="90"/>
      <c r="N26" s="123"/>
      <c r="O26" s="124"/>
    </row>
    <row r="27" spans="2:15" ht="15.75" x14ac:dyDescent="0.25">
      <c r="B27" s="118">
        <v>43792</v>
      </c>
      <c r="C27" s="115"/>
      <c r="D27" s="78"/>
      <c r="E27" s="79"/>
      <c r="F27" s="78"/>
      <c r="G27" s="78"/>
      <c r="H27" s="79"/>
      <c r="I27" s="80">
        <f>Workout48[[#This Row],[DISTANCE (km)]]+Workout48[[#This Row],[DISTANCE (km)2]]</f>
        <v>0</v>
      </c>
      <c r="J27" s="81">
        <f>Workout48[[#This Row],[KCAL]]+Workout48[[#This Row],[KCAL2]]</f>
        <v>0</v>
      </c>
      <c r="K27" s="82"/>
      <c r="L27" s="86">
        <f>IF( Workout48[[#This Row],[Watch]] &gt; 0, Workout48[[#This Row],[Watch]] +Workout48[[#This Row],[KCAL]]/2,Workout48[[#This Row],[KCAL]]*$L$2)</f>
        <v>0</v>
      </c>
      <c r="M27" s="90"/>
      <c r="N27" s="123"/>
      <c r="O27" s="124"/>
    </row>
    <row r="28" spans="2:15" ht="15.75" x14ac:dyDescent="0.25">
      <c r="B28" s="118">
        <v>43793</v>
      </c>
      <c r="C28" s="116"/>
      <c r="D28" s="4"/>
      <c r="E28" s="5"/>
      <c r="F28" s="4"/>
      <c r="G28" s="4"/>
      <c r="H28" s="5"/>
      <c r="I28" s="9">
        <f>Workout48[[#This Row],[DISTANCE (km)]]+Workout48[[#This Row],[DISTANCE (km)2]]</f>
        <v>0</v>
      </c>
      <c r="J28" s="10">
        <f>Workout48[[#This Row],[KCAL]]+Workout48[[#This Row],[KCAL2]]</f>
        <v>0</v>
      </c>
      <c r="K28" s="105"/>
      <c r="L28" s="87">
        <f>IF( Workout48[[#This Row],[Watch]] &gt; 0, Workout48[[#This Row],[Watch]] +Workout48[[#This Row],[KCAL]]/2,Workout48[[#This Row],[KCAL]]*$L$2)</f>
        <v>0</v>
      </c>
      <c r="M28" s="90"/>
      <c r="N28" s="106"/>
      <c r="O28" s="110"/>
    </row>
    <row r="29" spans="2:15" ht="15.75" x14ac:dyDescent="0.25">
      <c r="B29" s="118">
        <v>43794</v>
      </c>
      <c r="C29" s="116"/>
      <c r="D29" s="4"/>
      <c r="E29" s="5"/>
      <c r="F29" s="4"/>
      <c r="G29" s="4"/>
      <c r="H29" s="5"/>
      <c r="I29" s="9">
        <f>Workout48[[#This Row],[DISTANCE (km)]]+Workout48[[#This Row],[DISTANCE (km)2]]</f>
        <v>0</v>
      </c>
      <c r="J29" s="10">
        <f>Workout48[[#This Row],[KCAL]]+Workout48[[#This Row],[KCAL2]]</f>
        <v>0</v>
      </c>
      <c r="K29" s="104"/>
      <c r="L29" s="87">
        <f>IF( Workout48[[#This Row],[Watch]] &gt; 0, Workout48[[#This Row],[Watch]] +Workout48[[#This Row],[KCAL]]/2,Workout48[[#This Row],[KCAL]]*$L$2)</f>
        <v>0</v>
      </c>
      <c r="M29" s="90"/>
      <c r="N29" s="108"/>
      <c r="O29" s="110"/>
    </row>
    <row r="30" spans="2:15" ht="15.75" x14ac:dyDescent="0.25">
      <c r="B30" s="118">
        <v>43795</v>
      </c>
      <c r="C30" s="116"/>
      <c r="D30" s="4"/>
      <c r="E30" s="5"/>
      <c r="F30" s="4"/>
      <c r="G30" s="4"/>
      <c r="H30" s="5"/>
      <c r="I30" s="9">
        <f>Workout48[[#This Row],[DISTANCE (km)]]+Workout48[[#This Row],[DISTANCE (km)2]]</f>
        <v>0</v>
      </c>
      <c r="J30" s="10">
        <f>Workout48[[#This Row],[KCAL]]+Workout48[[#This Row],[KCAL2]]</f>
        <v>0</v>
      </c>
      <c r="K30" s="16"/>
      <c r="L30" s="87">
        <f>IF( Workout48[[#This Row],[Watch]] &gt; 0, Workout48[[#This Row],[Watch]] +Workout48[[#This Row],[KCAL]]/2,Workout48[[#This Row],[KCAL]]*$L$2)</f>
        <v>0</v>
      </c>
      <c r="M30" s="90"/>
      <c r="N30" s="106"/>
      <c r="O30" s="110"/>
    </row>
    <row r="31" spans="2:15" ht="15.75" x14ac:dyDescent="0.25">
      <c r="B31" s="118">
        <v>43796</v>
      </c>
      <c r="C31" s="117"/>
      <c r="D31" s="95"/>
      <c r="E31" s="96"/>
      <c r="F31" s="7"/>
      <c r="G31" s="7"/>
      <c r="H31" s="7"/>
      <c r="I31" s="9">
        <f>Workout48[[#This Row],[DISTANCE (km)]]+Workout48[[#This Row],[DISTANCE (km)2]]</f>
        <v>0</v>
      </c>
      <c r="J31" s="10">
        <f>Workout48[[#This Row],[KCAL]]+Workout48[[#This Row],[KCAL2]]</f>
        <v>0</v>
      </c>
      <c r="K31" s="16"/>
      <c r="L31" s="87">
        <f>IF( Workout48[[#This Row],[Watch]] &gt; 0, Workout48[[#This Row],[Watch]] +Workout48[[#This Row],[KCAL]]/2,Workout48[[#This Row],[KCAL]]*$L$2)</f>
        <v>0</v>
      </c>
      <c r="M31" s="90"/>
      <c r="N31" s="106"/>
      <c r="O31" s="110"/>
    </row>
    <row r="32" spans="2:15" ht="15.75" x14ac:dyDescent="0.25">
      <c r="B32" s="118">
        <v>43797</v>
      </c>
      <c r="C32" s="117"/>
      <c r="D32" s="95"/>
      <c r="E32" s="96"/>
      <c r="F32" s="7"/>
      <c r="G32" s="7"/>
      <c r="H32" s="7"/>
      <c r="I32" s="9">
        <f>Workout48[[#This Row],[DISTANCE (km)]]+Workout48[[#This Row],[DISTANCE (km)2]]</f>
        <v>0</v>
      </c>
      <c r="J32" s="10">
        <f>Workout48[[#This Row],[KCAL]]+Workout48[[#This Row],[KCAL2]]</f>
        <v>0</v>
      </c>
      <c r="K32" s="16"/>
      <c r="L32" s="87">
        <f>IF( Workout48[[#This Row],[Watch]] &gt; 0, Workout48[[#This Row],[Watch]] +Workout48[[#This Row],[KCAL]]/2,Workout48[[#This Row],[KCAL]]*$L$2)</f>
        <v>0</v>
      </c>
      <c r="M32" s="90"/>
      <c r="N32" s="106"/>
      <c r="O32" s="110"/>
    </row>
    <row r="33" spans="2:15" ht="15.75" x14ac:dyDescent="0.25">
      <c r="B33" s="118">
        <v>43798</v>
      </c>
      <c r="C33" s="117"/>
      <c r="D33" s="95"/>
      <c r="E33" s="96"/>
      <c r="F33" s="7"/>
      <c r="G33" s="7"/>
      <c r="H33" s="7"/>
      <c r="I33" s="9">
        <f>Workout48[[#This Row],[DISTANCE (km)]]+Workout48[[#This Row],[DISTANCE (km)2]]</f>
        <v>0</v>
      </c>
      <c r="J33" s="10">
        <f>Workout48[[#This Row],[KCAL]]+Workout48[[#This Row],[KCAL2]]</f>
        <v>0</v>
      </c>
      <c r="K33" s="16"/>
      <c r="L33" s="87">
        <f>IF( Workout48[[#This Row],[Watch]] &gt; 0, Workout48[[#This Row],[Watch]] +Workout48[[#This Row],[KCAL]]/2,Workout48[[#This Row],[KCAL]]*$L$2)</f>
        <v>0</v>
      </c>
      <c r="M33" s="90"/>
      <c r="N33" s="106"/>
      <c r="O33" s="110"/>
    </row>
    <row r="34" spans="2:15" ht="15.75" x14ac:dyDescent="0.25">
      <c r="B34" s="118">
        <v>43799</v>
      </c>
      <c r="C34" s="117"/>
      <c r="D34" s="95"/>
      <c r="E34" s="96"/>
      <c r="F34" s="7"/>
      <c r="G34" s="7"/>
      <c r="H34" s="7"/>
      <c r="I34" s="9">
        <f>Workout48[[#This Row],[DISTANCE (km)]]+Workout48[[#This Row],[DISTANCE (km)2]]</f>
        <v>0</v>
      </c>
      <c r="J34" s="10">
        <f>Workout48[[#This Row],[KCAL]]+Workout48[[#This Row],[KCAL2]]</f>
        <v>0</v>
      </c>
      <c r="K34" s="16"/>
      <c r="L34" s="87">
        <f>IF( Workout48[[#This Row],[Watch]] &gt; 0, Workout48[[#This Row],[Watch]] +Workout48[[#This Row],[KCAL]]/2,Workout48[[#This Row],[KCAL]]*$L$2)</f>
        <v>0</v>
      </c>
      <c r="M34" s="90"/>
      <c r="N34" s="106"/>
      <c r="O34" s="110"/>
    </row>
    <row r="35" spans="2:15" ht="15.75" x14ac:dyDescent="0.25">
      <c r="B35" s="19" t="s">
        <v>4</v>
      </c>
      <c r="C35" s="20">
        <f>SUBTOTAL(109,Workout48[DISTANCE (km)])</f>
        <v>0</v>
      </c>
      <c r="D35" s="23">
        <f>SUBTOTAL(103,Workout48[DURATION (min)])</f>
        <v>0</v>
      </c>
      <c r="E35" s="21">
        <f>SUBTOTAL(109,Workout48[KCAL])</f>
        <v>0</v>
      </c>
      <c r="F35" s="20">
        <f>SUBTOTAL(109,Workout48[DISTANCE (km)2])</f>
        <v>0</v>
      </c>
      <c r="G35" s="8"/>
      <c r="H35" s="21">
        <f>SUBTOTAL(109,Workout48[KCAL2])</f>
        <v>0</v>
      </c>
      <c r="I35" s="6"/>
      <c r="J35" s="6"/>
      <c r="K35" s="6"/>
      <c r="L35" s="92">
        <f>SUBTOTAL(109,Workout48[Kcal *])</f>
        <v>0</v>
      </c>
      <c r="M35" s="89"/>
      <c r="N35" s="109"/>
      <c r="O35" s="112"/>
    </row>
    <row r="36" spans="2:15" ht="15.75" x14ac:dyDescent="0.25">
      <c r="F36" s="11" t="s">
        <v>13</v>
      </c>
      <c r="G36" s="12">
        <f>Workout48[[#Totals],[DISTANCE (km)]]+Workout48[[#Totals],[DISTANCE (km)2]]</f>
        <v>0</v>
      </c>
      <c r="H36" s="13">
        <f>Workout48[[#Totals],[KCAL]]+Workout48[[#Totals],[DISTANCE (km)2]]</f>
        <v>0</v>
      </c>
    </row>
  </sheetData>
  <mergeCells count="3">
    <mergeCell ref="B2:H2"/>
    <mergeCell ref="C3:E3"/>
    <mergeCell ref="F3:H3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MAY</vt:lpstr>
      <vt:lpstr>JUNE</vt:lpstr>
      <vt:lpstr>JULY</vt:lpstr>
      <vt:lpstr>AUGUST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2019-10-06T07:05:32Z</dcterms:modified>
</cp:coreProperties>
</file>