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\UNIVERSIDAD\SÉPTIMO SEMESTRE\GESTIÓN Y LOGISTICA DE DISTRIBUCION\"/>
    </mc:Choice>
  </mc:AlternateContent>
  <xr:revisionPtr revIDLastSave="0" documentId="13_ncr:1_{8E5EA2C2-DDEB-407C-8E0A-6F8DA7D1E0AB}" xr6:coauthVersionLast="47" xr6:coauthVersionMax="47" xr10:uidLastSave="{00000000-0000-0000-0000-000000000000}"/>
  <bookViews>
    <workbookView xWindow="-98" yWindow="-98" windowWidth="22695" windowHeight="14476" activeTab="1" xr2:uid="{34ED5E61-AD54-4A0F-88AD-377C309B7C14}"/>
  </bookViews>
  <sheets>
    <sheet name="MENU" sheetId="5" r:id="rId1"/>
    <sheet name="KPI´S" sheetId="6" r:id="rId2"/>
    <sheet name="P&amp;L" sheetId="1" r:id="rId3"/>
    <sheet name="COST ANALYSIS" sheetId="2" r:id="rId4"/>
    <sheet name="IMPACT ANALYSIS" sheetId="4" r:id="rId5"/>
    <sheet name="CUBIC MEASURE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3" l="1"/>
  <c r="K16" i="3"/>
  <c r="F16" i="3"/>
  <c r="P18" i="3"/>
  <c r="C106" i="6"/>
  <c r="C105" i="6"/>
  <c r="C104" i="6"/>
  <c r="C89" i="6"/>
  <c r="C88" i="6"/>
  <c r="C87" i="6"/>
  <c r="C72" i="6"/>
  <c r="C71" i="6"/>
  <c r="C70" i="6"/>
  <c r="C66" i="6"/>
  <c r="C64" i="6"/>
  <c r="C65" i="6"/>
  <c r="B51" i="6"/>
  <c r="B50" i="6"/>
  <c r="B49" i="6"/>
  <c r="C44" i="6"/>
  <c r="C45" i="6"/>
  <c r="H27" i="6"/>
  <c r="M14" i="6"/>
  <c r="M13" i="6"/>
  <c r="H31" i="4"/>
  <c r="H35" i="4"/>
  <c r="H24" i="4"/>
  <c r="H23" i="4"/>
  <c r="F19" i="4"/>
  <c r="F18" i="4"/>
  <c r="F17" i="4"/>
  <c r="F11" i="4"/>
  <c r="F12" i="4"/>
  <c r="F13" i="4"/>
  <c r="L26" i="2"/>
  <c r="L5" i="2"/>
  <c r="L47" i="2"/>
  <c r="F35" i="4"/>
  <c r="H30" i="4"/>
  <c r="F26" i="4"/>
  <c r="H25" i="4"/>
  <c r="H19" i="4"/>
  <c r="H18" i="4"/>
  <c r="H17" i="4"/>
  <c r="H13" i="4"/>
  <c r="H12" i="4"/>
  <c r="H11" i="4"/>
  <c r="E6" i="4"/>
  <c r="E5" i="4"/>
  <c r="F34" i="4" s="1"/>
  <c r="E44" i="1"/>
  <c r="H23" i="1"/>
  <c r="H25" i="1"/>
  <c r="H30" i="1"/>
  <c r="H35" i="1"/>
  <c r="H24" i="1"/>
  <c r="F24" i="1" s="1"/>
  <c r="E5" i="1"/>
  <c r="F35" i="1" s="1"/>
  <c r="F12" i="1"/>
  <c r="H12" i="1" s="1"/>
  <c r="F11" i="1"/>
  <c r="J65" i="2"/>
  <c r="F13" i="1" s="1"/>
  <c r="H13" i="1" s="1"/>
  <c r="J50" i="2"/>
  <c r="I62" i="2"/>
  <c r="J62" i="2" s="1"/>
  <c r="I39" i="2"/>
  <c r="J39" i="2" s="1"/>
  <c r="P10" i="3"/>
  <c r="K7" i="3"/>
  <c r="P7" i="3"/>
  <c r="K10" i="3"/>
  <c r="K11" i="3" s="1"/>
  <c r="K13" i="3" s="1"/>
  <c r="E6" i="1"/>
  <c r="J59" i="2"/>
  <c r="J57" i="2"/>
  <c r="J55" i="2"/>
  <c r="J54" i="2"/>
  <c r="J49" i="2"/>
  <c r="J36" i="2"/>
  <c r="J35" i="2"/>
  <c r="J34" i="2"/>
  <c r="J32" i="2"/>
  <c r="J31" i="2"/>
  <c r="J28" i="2"/>
  <c r="I18" i="2"/>
  <c r="J18" i="2" s="1"/>
  <c r="J15" i="2"/>
  <c r="J14" i="2"/>
  <c r="J13" i="2"/>
  <c r="F10" i="3"/>
  <c r="F8" i="3"/>
  <c r="J11" i="2"/>
  <c r="J10" i="2"/>
  <c r="J7" i="2"/>
  <c r="H36" i="4" l="1"/>
  <c r="H15" i="4"/>
  <c r="H21" i="4" s="1"/>
  <c r="F25" i="4"/>
  <c r="F27" i="4"/>
  <c r="F28" i="4"/>
  <c r="F29" i="4"/>
  <c r="F30" i="4"/>
  <c r="F23" i="4"/>
  <c r="F31" i="4"/>
  <c r="F32" i="4"/>
  <c r="F24" i="4"/>
  <c r="F33" i="4"/>
  <c r="H11" i="1"/>
  <c r="H15" i="1" s="1"/>
  <c r="F27" i="1"/>
  <c r="F25" i="1"/>
  <c r="F26" i="1"/>
  <c r="F23" i="1"/>
  <c r="F28" i="1"/>
  <c r="F29" i="1"/>
  <c r="F31" i="1"/>
  <c r="F32" i="1"/>
  <c r="F33" i="1"/>
  <c r="F34" i="1"/>
  <c r="H36" i="1"/>
  <c r="F30" i="1"/>
  <c r="J60" i="2"/>
  <c r="J64" i="2" s="1"/>
  <c r="P11" i="3"/>
  <c r="P13" i="3" s="1"/>
  <c r="F11" i="3"/>
  <c r="F13" i="3" s="1"/>
  <c r="J37" i="2"/>
  <c r="J41" i="2" s="1"/>
  <c r="J16" i="2"/>
  <c r="J20" i="2" s="1"/>
  <c r="E44" i="4" l="1"/>
  <c r="I21" i="4"/>
  <c r="H37" i="4"/>
  <c r="J22" i="2"/>
  <c r="F17" i="1"/>
  <c r="F18" i="1"/>
  <c r="J43" i="2"/>
  <c r="J66" i="2"/>
  <c r="F19" i="1"/>
  <c r="H38" i="4" l="1"/>
  <c r="H39" i="4" s="1"/>
  <c r="I39" i="4" s="1"/>
  <c r="I37" i="4"/>
  <c r="E47" i="4"/>
  <c r="E46" i="4"/>
  <c r="E45" i="4"/>
  <c r="H17" i="1"/>
  <c r="E45" i="1"/>
  <c r="E47" i="1"/>
  <c r="H19" i="1"/>
  <c r="H18" i="1"/>
  <c r="H21" i="1" s="1"/>
  <c r="E46" i="1"/>
  <c r="I21" i="1" l="1"/>
  <c r="H37" i="1"/>
  <c r="I37" i="1" l="1"/>
  <c r="H38" i="1"/>
  <c r="H39" i="1" s="1"/>
  <c r="I39" i="1" s="1"/>
</calcChain>
</file>

<file path=xl/sharedStrings.xml><?xml version="1.0" encoding="utf-8"?>
<sst xmlns="http://schemas.openxmlformats.org/spreadsheetml/2006/main" count="357" uniqueCount="171">
  <si>
    <t>Unit Price</t>
  </si>
  <si>
    <t xml:space="preserve">TOTAL </t>
  </si>
  <si>
    <t>Category ( COGS / OPEX)</t>
  </si>
  <si>
    <t>COGS</t>
  </si>
  <si>
    <t>OPEX</t>
  </si>
  <si>
    <t>Indirect Labor ( per unit )</t>
  </si>
  <si>
    <t>Custom Broker Fee</t>
  </si>
  <si>
    <t>Taxation and Rights</t>
  </si>
  <si>
    <t>Import Freight</t>
  </si>
  <si>
    <t>Export Freight</t>
  </si>
  <si>
    <t>Handling</t>
  </si>
  <si>
    <t>Customs Warehouse</t>
  </si>
  <si>
    <t>Rent ( total units) per month</t>
  </si>
  <si>
    <t>Energy ( total units ) per month</t>
  </si>
  <si>
    <t>Water ( total unit) per month</t>
  </si>
  <si>
    <t>ERP License ( total unit) per month</t>
  </si>
  <si>
    <t>Insurance</t>
  </si>
  <si>
    <t>Velázquez-Torres, A. L., &amp; col. (2025). Economic analysis of avocado production systems: Market … [Artículo]. PMC. Recuperado de https://pmc.ncbi.nlm.nih.gov/articles/PMC12377620/</t>
  </si>
  <si>
    <t>Arana Coronado. (2015). A case study of the Mexican avocado industry based on transaction costs and supply chain management practices. Economía: teoría y práctica, Nueva época, 42, 137-154. Recuperado de https://economiatyp.uam.mx/index.php/ETYP/article/view/173/88</t>
  </si>
  <si>
    <t>COLEAD. (2024). Sector Study: Processed Avocado [Informe]. Recuperado de https://resources.colead.link/en/system/files/file_fields/2024/02/29/03-avocadopulpstudy-enhd.pdf</t>
  </si>
  <si>
    <t>FAO. (s. f.). Avocado: Post-harvest operations (Compendio de la FAO). Recuperado de https://www.fao.org/fileadmin/user_upload/inpho/docs/Post_Harvest_Compendium_-_Avocado.pdf</t>
  </si>
  <si>
    <t xml:space="preserve">Each bag of 500 grams </t>
  </si>
  <si>
    <t>Raw materials:</t>
  </si>
  <si>
    <t>Quantity required</t>
  </si>
  <si>
    <t>Total</t>
  </si>
  <si>
    <t>Fresh avocado (KG)</t>
  </si>
  <si>
    <t xml:space="preserve">Price per </t>
  </si>
  <si>
    <t>KG</t>
  </si>
  <si>
    <t xml:space="preserve">REFERENCES </t>
  </si>
  <si>
    <t>Packaging:</t>
  </si>
  <si>
    <t>UNIT</t>
  </si>
  <si>
    <t>Vacuum bag  20X15 cm</t>
  </si>
  <si>
    <t>Secundary packaging (for 20 bags)</t>
  </si>
  <si>
    <t xml:space="preserve">Pasteurization, freezing, etc. </t>
  </si>
  <si>
    <t>DIMENTION CALCULATIONS</t>
  </si>
  <si>
    <t>TRUCK CAPACITY</t>
  </si>
  <si>
    <t>USD</t>
  </si>
  <si>
    <t>BOX WEIGHT (20 BAGS)</t>
  </si>
  <si>
    <t>BOX PER TRUCK</t>
  </si>
  <si>
    <t xml:space="preserve">BOX DIMENTION </t>
  </si>
  <si>
    <t>40*25*20 cm</t>
  </si>
  <si>
    <t>M^3</t>
  </si>
  <si>
    <t>TOTAL BOX DIMENTION</t>
  </si>
  <si>
    <t>TRUCK CUBIC CAPACITY</t>
  </si>
  <si>
    <t>ROOM LEFT</t>
  </si>
  <si>
    <t>ACHIEVABLE!!</t>
  </si>
  <si>
    <t>Quality verifications</t>
  </si>
  <si>
    <t xml:space="preserve">Cooling and warehousing </t>
  </si>
  <si>
    <t xml:space="preserve">Total production cost per unit </t>
  </si>
  <si>
    <t>Secretaría de Comunicaciones y Transportes (SCT). (2018, 26 de diciembre). NORMA Oficial Mexicana NOM-012-SCT-2-2017, Sobre el peso y dimensiones máximas con los que pueden circular los vehículos de autotransporte que transitan en las vías generales de comunicación de jurisdicción federal. Diario Oficial de la Federación. https://www.dof.gob.mx/normasOficiales/6890/sct5a12_C/sct5a12_C.html</t>
  </si>
  <si>
    <t>Federal Highway Administration (FHWA). (2000, 18 de agosto). Federal Size Regulations for Commercial Motor Vehicles. U.S. Department of Transportation. https://ops.fhwa.dot.gov/freight/publications/size_regs_final_rpt/</t>
  </si>
  <si>
    <t xml:space="preserve">Transportation </t>
  </si>
  <si>
    <t>TRUCK</t>
  </si>
  <si>
    <t xml:space="preserve">*Since there are 50,000 pieces by truck </t>
  </si>
  <si>
    <t>PROFIT AND LOSSES</t>
  </si>
  <si>
    <t>November 25</t>
  </si>
  <si>
    <t>SALES</t>
  </si>
  <si>
    <t>AVOCADO</t>
  </si>
  <si>
    <t>MANGO CUBES</t>
  </si>
  <si>
    <t>SALADS</t>
  </si>
  <si>
    <t>Avocado</t>
  </si>
  <si>
    <t>100,000 avocado bags, 1 truck west, 1 truck east</t>
  </si>
  <si>
    <t>Mango</t>
  </si>
  <si>
    <t xml:space="preserve">Salads </t>
  </si>
  <si>
    <t>TOTAL SALES</t>
  </si>
  <si>
    <t>TOTAL UNITS</t>
  </si>
  <si>
    <t>MANGO</t>
  </si>
  <si>
    <t>BOX WEIGHT (10 BAGS)</t>
  </si>
  <si>
    <t>45*30*25 cm</t>
  </si>
  <si>
    <t>M^3 LIMITED</t>
  </si>
  <si>
    <t xml:space="preserve">Each bag of 1KG grams </t>
  </si>
  <si>
    <t>Fresh mango (KG)</t>
  </si>
  <si>
    <t xml:space="preserve">Each bag of 250 grams </t>
  </si>
  <si>
    <t>40*40*30 cm</t>
  </si>
  <si>
    <t>Industrial processing</t>
  </si>
  <si>
    <t>Vacuum bag  25X20 cm</t>
  </si>
  <si>
    <t>Secundary packaging (for 10 bags)</t>
  </si>
  <si>
    <t xml:space="preserve">*Since there are 20,000 pieces per truck </t>
  </si>
  <si>
    <t xml:space="preserve">*since there are 30 units per truck </t>
  </si>
  <si>
    <t>Fresh lettuces mix (KG)</t>
  </si>
  <si>
    <t>Tomato</t>
  </si>
  <si>
    <t>Vacuum bag  30X20 cm</t>
  </si>
  <si>
    <t xml:space="preserve">Sanitization and process </t>
  </si>
  <si>
    <t>Czerwiński, K., Rydzkowski, T., Wróblewska-Krepsztul, J., &amp; Thakur, V. K. (2021). Towards impact of modified atmosphere packaging (MAP) on shelf-life of polymer-film-packed food products: Challenges and sustainable developments. Coatings, 11(12), 1504. https://doi.org/10.3390/coatings11121504</t>
  </si>
  <si>
    <t>FAO. (2007). Processing of fresh-cut tropical fruits and vegetables. Food and Agriculture Organization of the United Nations. Recuperado de https://www.fao.org/4/i1909e/i1909e00.pdf</t>
  </si>
  <si>
    <t>QuimiNet. (2022). Precios de mango congelado IQF. Recuperado de https://www.quiminet.com/productos/mango-congelado-iqf-180542817402/precios.htm</t>
  </si>
  <si>
    <t xml:space="preserve">60,000 salad bags, 1 truck west, 1 truck east </t>
  </si>
  <si>
    <t>Final cost per unit</t>
  </si>
  <si>
    <t>Selling price</t>
  </si>
  <si>
    <t>Maring</t>
  </si>
  <si>
    <t xml:space="preserve">Product with lowest margin </t>
  </si>
  <si>
    <t>Cheaper transport for lower weight</t>
  </si>
  <si>
    <t>GROSS PROFIT</t>
  </si>
  <si>
    <t xml:space="preserve">Depreciation </t>
  </si>
  <si>
    <t>PER UNIT</t>
  </si>
  <si>
    <t>175 DLLS EACH TRUCK</t>
  </si>
  <si>
    <t>EBIT</t>
  </si>
  <si>
    <t>40,000 mango bags, 1 trucks west, 1 trucks east</t>
  </si>
  <si>
    <t>TOTAL COGS AND OPEX</t>
  </si>
  <si>
    <t xml:space="preserve">TAX </t>
  </si>
  <si>
    <t>NET PROFIT</t>
  </si>
  <si>
    <t>TOTAL UNIT COST</t>
  </si>
  <si>
    <t>TOTAL FIXED COST PER UNIT</t>
  </si>
  <si>
    <t>TOTAL COST PER UNIT AVOCADO</t>
  </si>
  <si>
    <t>TOTAL COST PER UNIT MANGO</t>
  </si>
  <si>
    <t>TOTAL COST PER UNIT SALAD</t>
  </si>
  <si>
    <t>Salad is not a great product, after adding the fixed cost, our cost is higher than our selling price</t>
  </si>
  <si>
    <t>5 IMPACTS</t>
  </si>
  <si>
    <t>1.- INCREASE OF 20% IN THE FREIGHT FOR ALL THE PRODUCTS</t>
  </si>
  <si>
    <t>IMPACT, INCREASE IN FREIGH PRICE 20%</t>
  </si>
  <si>
    <t>2.- DOUBLE AMOUNT INVESTED IN EQUIPMENT, RESULTING IN DOUBLE DEPRECIATION</t>
  </si>
  <si>
    <t>3.- INCREASE IN 30% IN INDIRECT LABOR</t>
  </si>
  <si>
    <t>4.- INCREASE IN 20% IN INSURANCE</t>
  </si>
  <si>
    <t>5.- PAYING HIGHER RENT BY 10%</t>
  </si>
  <si>
    <t>RESULTS</t>
  </si>
  <si>
    <t xml:space="preserve">Profit margin would drop to 5% if all of these 5 effect happened </t>
  </si>
  <si>
    <t xml:space="preserve">Something we conclude is the high impact freights have in our price, meaning that it is an area in which we can focus in bargaining to maximize profits </t>
  </si>
  <si>
    <t>KPI´S</t>
  </si>
  <si>
    <t xml:space="preserve">1.-Delivery time </t>
  </si>
  <si>
    <t>Delivery time expectations all the way to:</t>
  </si>
  <si>
    <t xml:space="preserve">VANCOUVER </t>
  </si>
  <si>
    <t xml:space="preserve">TORONTO </t>
  </si>
  <si>
    <t>6 DAYS</t>
  </si>
  <si>
    <t xml:space="preserve">7 DAYS </t>
  </si>
  <si>
    <t>2.- Trucks sold per month</t>
  </si>
  <si>
    <t xml:space="preserve">3.- Percentage of waste </t>
  </si>
  <si>
    <t>4.- Transportations cost per kg sold</t>
  </si>
  <si>
    <t>Vancouver</t>
  </si>
  <si>
    <t xml:space="preserve">Toronto </t>
  </si>
  <si>
    <t xml:space="preserve">DELIVERY DAYS </t>
  </si>
  <si>
    <t>AVERAGE</t>
  </si>
  <si>
    <t xml:space="preserve">VAN </t>
  </si>
  <si>
    <t>TOR</t>
  </si>
  <si>
    <t>This indicator shows the avergae delivery time in days</t>
  </si>
  <si>
    <t>Makes it easy to find how many times deliveries are not on time</t>
  </si>
  <si>
    <t xml:space="preserve">Show improving areas </t>
  </si>
  <si>
    <t>Target sales per month</t>
  </si>
  <si>
    <t xml:space="preserve">6 TRUCKS </t>
  </si>
  <si>
    <t>MONTH</t>
  </si>
  <si>
    <t>TRUCKS DELIVERED</t>
  </si>
  <si>
    <t>On average we are a little bit lower then our target</t>
  </si>
  <si>
    <t>This indicator show us periods of the year in which sales are lower</t>
  </si>
  <si>
    <t>We can find the way to control sales in the most flat way possible</t>
  </si>
  <si>
    <t xml:space="preserve">Makes visual where we failed and can tell us why with a deep analysis </t>
  </si>
  <si>
    <t>Target of waste</t>
  </si>
  <si>
    <t>% WASTE PER MONTH</t>
  </si>
  <si>
    <t xml:space="preserve">MANGO </t>
  </si>
  <si>
    <t xml:space="preserve">AVOCADO </t>
  </si>
  <si>
    <t>SALAD</t>
  </si>
  <si>
    <t>This metric shows how much we waste when producing</t>
  </si>
  <si>
    <t xml:space="preserve">Each product has a waste tolerance, in the graph we can wee if it exceeds </t>
  </si>
  <si>
    <t>This can tell us that we need to be more consistent with the waste, try to standarize the process</t>
  </si>
  <si>
    <t>Transportation cost per kg</t>
  </si>
  <si>
    <t>COST</t>
  </si>
  <si>
    <t>Since transportation cost is variable, it is important to measure the cost per unit sold for each product</t>
  </si>
  <si>
    <t xml:space="preserve">Reflects the volatility in freight costs </t>
  </si>
  <si>
    <t>Helps logistics to analyze the increases or decreases in freight prices to take decisions</t>
  </si>
  <si>
    <t>5.- Inventory levels</t>
  </si>
  <si>
    <t>Inventory per day</t>
  </si>
  <si>
    <t xml:space="preserve">Should be lower than </t>
  </si>
  <si>
    <t>Shows how many pices we have in enventory for each product</t>
  </si>
  <si>
    <t xml:space="preserve">Reminds us to keep inventory low since they are perishable products </t>
  </si>
  <si>
    <t xml:space="preserve">Shows us the average inventory to see if we achieve the goals set </t>
  </si>
  <si>
    <t>5.- Inventory days</t>
  </si>
  <si>
    <t xml:space="preserve">DAYS </t>
  </si>
  <si>
    <t>Inventory days</t>
  </si>
  <si>
    <t>should be lower than</t>
  </si>
  <si>
    <t>Tell us if our production is lean</t>
  </si>
  <si>
    <t xml:space="preserve">Help us find delays </t>
  </si>
  <si>
    <t xml:space="preserve">Reflect how variable each production is </t>
  </si>
  <si>
    <t>Total unit per 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</si>
</sst>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&quot;$&quot;#,##0.00_);[Red]\(&quot;$&quot;#,##0.00\)"/>
    <numFmt numFmtId="166" formatCode="0.000"/>
    <numFmt numFmtId="167" formatCode="_-* #,##0_-;\-* #,##0_-;_-* &quot;-&quot;??_-;_-@_-"/>
    <numFmt numFmtId="168" formatCode="0.0000000"/>
    <numFmt numFmtId="170" formatCode="_-&quot;$&quot;* #,##0.0000_-;\-&quot;$&quot;* #,##0.0000_-;_-&quot;$&quot;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0">
    <xf numFmtId="0" fontId="0" fillId="0" borderId="0" xfId="0"/>
    <xf numFmtId="0" fontId="0" fillId="0" borderId="4" xfId="0" applyBorder="1"/>
    <xf numFmtId="0" fontId="0" fillId="0" borderId="5" xfId="0" applyBorder="1"/>
    <xf numFmtId="3" fontId="0" fillId="0" borderId="0" xfId="0" applyNumberFormat="1"/>
    <xf numFmtId="44" fontId="0" fillId="0" borderId="0" xfId="2" applyFont="1" applyBorder="1"/>
    <xf numFmtId="164" fontId="0" fillId="0" borderId="5" xfId="0" applyNumberFormat="1" applyBorder="1"/>
    <xf numFmtId="0" fontId="0" fillId="0" borderId="4" xfId="0" applyBorder="1" applyAlignment="1">
      <alignment horizontal="center"/>
    </xf>
    <xf numFmtId="44" fontId="0" fillId="0" borderId="0" xfId="2" applyFont="1" applyFill="1" applyBorder="1"/>
    <xf numFmtId="44" fontId="0" fillId="0" borderId="0" xfId="0" applyNumberFormat="1"/>
    <xf numFmtId="0" fontId="0" fillId="0" borderId="6" xfId="0" applyBorder="1" applyAlignment="1">
      <alignment horizontal="center"/>
    </xf>
    <xf numFmtId="0" fontId="0" fillId="0" borderId="7" xfId="0" applyBorder="1"/>
    <xf numFmtId="44" fontId="0" fillId="0" borderId="7" xfId="2" applyFont="1" applyBorder="1"/>
    <xf numFmtId="0" fontId="0" fillId="0" borderId="8" xfId="0" applyBorder="1"/>
    <xf numFmtId="0" fontId="4" fillId="0" borderId="0" xfId="4"/>
    <xf numFmtId="0" fontId="4" fillId="0" borderId="0" xfId="4" applyAlignment="1"/>
    <xf numFmtId="0" fontId="5" fillId="0" borderId="0" xfId="0" applyFont="1"/>
    <xf numFmtId="43" fontId="0" fillId="0" borderId="0" xfId="0" applyNumberFormat="1"/>
    <xf numFmtId="166" fontId="0" fillId="0" borderId="0" xfId="0" applyNumberFormat="1"/>
    <xf numFmtId="2" fontId="0" fillId="0" borderId="0" xfId="0" applyNumberFormat="1"/>
    <xf numFmtId="0" fontId="6" fillId="0" borderId="0" xfId="0" applyFont="1"/>
    <xf numFmtId="0" fontId="0" fillId="3" borderId="0" xfId="0" applyFill="1"/>
    <xf numFmtId="0" fontId="0" fillId="5" borderId="0" xfId="0" applyFill="1"/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44" fontId="0" fillId="0" borderId="0" xfId="2" applyFont="1" applyBorder="1" applyAlignment="1">
      <alignment horizontal="center"/>
    </xf>
    <xf numFmtId="44" fontId="0" fillId="0" borderId="0" xfId="2" applyFont="1" applyBorder="1" applyAlignment="1">
      <alignment horizontal="right"/>
    </xf>
    <xf numFmtId="44" fontId="0" fillId="5" borderId="0" xfId="0" applyNumberFormat="1" applyFill="1"/>
    <xf numFmtId="0" fontId="0" fillId="6" borderId="5" xfId="0" applyFill="1" applyBorder="1" applyAlignment="1">
      <alignment horizontal="center"/>
    </xf>
    <xf numFmtId="44" fontId="0" fillId="0" borderId="5" xfId="2" applyFont="1" applyBorder="1" applyAlignment="1">
      <alignment horizontal="center"/>
    </xf>
    <xf numFmtId="44" fontId="0" fillId="0" borderId="5" xfId="2" applyFont="1" applyBorder="1"/>
    <xf numFmtId="0" fontId="0" fillId="5" borderId="4" xfId="0" applyFill="1" applyBorder="1"/>
    <xf numFmtId="44" fontId="0" fillId="5" borderId="5" xfId="0" applyNumberFormat="1" applyFill="1" applyBorder="1"/>
    <xf numFmtId="44" fontId="0" fillId="0" borderId="5" xfId="0" applyNumberFormat="1" applyBorder="1"/>
    <xf numFmtId="0" fontId="0" fillId="5" borderId="6" xfId="0" applyFill="1" applyBorder="1"/>
    <xf numFmtId="0" fontId="0" fillId="5" borderId="7" xfId="0" applyFill="1" applyBorder="1"/>
    <xf numFmtId="44" fontId="0" fillId="5" borderId="7" xfId="2" applyFont="1" applyFill="1" applyBorder="1"/>
    <xf numFmtId="44" fontId="0" fillId="5" borderId="8" xfId="2" applyFont="1" applyFill="1" applyBorder="1"/>
    <xf numFmtId="167" fontId="0" fillId="5" borderId="0" xfId="1" applyNumberFormat="1" applyFont="1" applyFill="1"/>
    <xf numFmtId="165" fontId="0" fillId="0" borderId="0" xfId="0" applyNumberFormat="1"/>
    <xf numFmtId="43" fontId="0" fillId="0" borderId="0" xfId="1" applyFont="1" applyBorder="1"/>
    <xf numFmtId="167" fontId="0" fillId="0" borderId="0" xfId="1" applyNumberFormat="1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2" fontId="0" fillId="0" borderId="0" xfId="1" applyNumberFormat="1" applyFont="1" applyAlignment="1">
      <alignment horizontal="right"/>
    </xf>
    <xf numFmtId="2" fontId="0" fillId="0" borderId="0" xfId="1" applyNumberFormat="1" applyFont="1"/>
    <xf numFmtId="0" fontId="0" fillId="6" borderId="4" xfId="0" applyFill="1" applyBorder="1" applyAlignment="1">
      <alignment horizontal="center"/>
    </xf>
    <xf numFmtId="0" fontId="0" fillId="6" borderId="0" xfId="0" applyFill="1"/>
    <xf numFmtId="168" fontId="0" fillId="0" borderId="0" xfId="0" applyNumberFormat="1"/>
    <xf numFmtId="9" fontId="0" fillId="0" borderId="0" xfId="3" applyFont="1"/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right"/>
    </xf>
    <xf numFmtId="9" fontId="0" fillId="0" borderId="0" xfId="3" applyFont="1" applyBorder="1"/>
    <xf numFmtId="0" fontId="0" fillId="6" borderId="4" xfId="0" applyFill="1" applyBorder="1"/>
    <xf numFmtId="44" fontId="0" fillId="6" borderId="0" xfId="0" applyNumberFormat="1" applyFill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right"/>
    </xf>
    <xf numFmtId="0" fontId="0" fillId="2" borderId="0" xfId="0" applyFill="1"/>
    <xf numFmtId="44" fontId="0" fillId="2" borderId="0" xfId="2" applyFont="1" applyFill="1" applyBorder="1"/>
    <xf numFmtId="44" fontId="0" fillId="3" borderId="0" xfId="2" applyFont="1" applyFill="1" applyBorder="1"/>
    <xf numFmtId="0" fontId="0" fillId="7" borderId="0" xfId="0" applyFill="1"/>
    <xf numFmtId="44" fontId="0" fillId="7" borderId="0" xfId="2" applyFont="1" applyFill="1" applyBorder="1"/>
    <xf numFmtId="0" fontId="0" fillId="8" borderId="0" xfId="0" applyFill="1"/>
    <xf numFmtId="44" fontId="0" fillId="8" borderId="0" xfId="2" applyFont="1" applyFill="1" applyBorder="1"/>
    <xf numFmtId="0" fontId="0" fillId="9" borderId="0" xfId="0" applyFill="1"/>
    <xf numFmtId="44" fontId="0" fillId="9" borderId="0" xfId="2" applyFont="1" applyFill="1" applyBorder="1"/>
    <xf numFmtId="0" fontId="0" fillId="5" borderId="1" xfId="0" applyFill="1" applyBorder="1"/>
    <xf numFmtId="0" fontId="0" fillId="5" borderId="2" xfId="0" applyFill="1" applyBorder="1"/>
    <xf numFmtId="0" fontId="0" fillId="0" borderId="3" xfId="0" applyBorder="1"/>
    <xf numFmtId="0" fontId="0" fillId="0" borderId="6" xfId="0" applyBorder="1"/>
    <xf numFmtId="43" fontId="0" fillId="0" borderId="0" xfId="1" applyFont="1" applyBorder="1" applyAlignment="1">
      <alignment horizontal="center"/>
    </xf>
    <xf numFmtId="43" fontId="0" fillId="0" borderId="4" xfId="1" applyFont="1" applyBorder="1"/>
    <xf numFmtId="0" fontId="0" fillId="2" borderId="0" xfId="0" applyFill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4" fillId="0" borderId="9" xfId="4" applyBorder="1" applyAlignment="1">
      <alignment horizontal="center" wrapText="1"/>
    </xf>
    <xf numFmtId="0" fontId="0" fillId="0" borderId="0" xfId="0" applyAlignment="1">
      <alignment horizontal="center" wrapText="1"/>
    </xf>
    <xf numFmtId="0" fontId="6" fillId="5" borderId="0" xfId="0" applyFont="1" applyFill="1" applyAlignment="1">
      <alignment horizontal="center" wrapText="1"/>
    </xf>
    <xf numFmtId="0" fontId="0" fillId="5" borderId="0" xfId="0" applyFill="1" applyAlignment="1">
      <alignment horizontal="center"/>
    </xf>
    <xf numFmtId="170" fontId="0" fillId="0" borderId="0" xfId="0" applyNumberFormat="1"/>
    <xf numFmtId="167" fontId="0" fillId="0" borderId="0" xfId="0" applyNumberFormat="1"/>
  </cellXfs>
  <cellStyles count="5">
    <cellStyle name="Hipervínculo" xfId="4" builtinId="8"/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KPI´S!$G$7</c:f>
              <c:strCache>
                <c:ptCount val="1"/>
                <c:pt idx="0">
                  <c:v>Vancouver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KPI´S!$H$7:$T$7</c:f>
              <c:numCache>
                <c:formatCode>General</c:formatCode>
                <c:ptCount val="13"/>
                <c:pt idx="0">
                  <c:v>6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48-4214-997B-C53966F1B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132015"/>
        <c:axId val="1282132495"/>
      </c:lineChart>
      <c:catAx>
        <c:axId val="1282132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2132495"/>
        <c:crosses val="autoZero"/>
        <c:auto val="1"/>
        <c:lblAlgn val="ctr"/>
        <c:lblOffset val="100"/>
        <c:noMultiLvlLbl val="0"/>
      </c:catAx>
      <c:valAx>
        <c:axId val="128213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213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KPI´S!$G$9</c:f>
              <c:strCache>
                <c:ptCount val="1"/>
                <c:pt idx="0">
                  <c:v>Toronto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KPI´S!$H$9:$T$9</c:f>
              <c:numCache>
                <c:formatCode>General</c:formatCode>
                <c:ptCount val="13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5</c:v>
                </c:pt>
                <c:pt idx="7">
                  <c:v>6</c:v>
                </c:pt>
                <c:pt idx="8">
                  <c:v>8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04-4862-A25F-F836CA4EE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124815"/>
        <c:axId val="1282131055"/>
      </c:lineChart>
      <c:catAx>
        <c:axId val="1282124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2131055"/>
        <c:crosses val="autoZero"/>
        <c:auto val="1"/>
        <c:lblAlgn val="ctr"/>
        <c:lblOffset val="100"/>
        <c:noMultiLvlLbl val="0"/>
      </c:catAx>
      <c:valAx>
        <c:axId val="128213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212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KPI´S!$G$23</c:f>
              <c:strCache>
                <c:ptCount val="1"/>
                <c:pt idx="0">
                  <c:v>TRUCKS DELIVERED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KPI´S!$H$23:$S$23</c:f>
              <c:numCache>
                <c:formatCode>General</c:formatCode>
                <c:ptCount val="12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34-47A7-8502-9D27BFBC8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4604815"/>
        <c:axId val="1724591375"/>
      </c:lineChart>
      <c:catAx>
        <c:axId val="1724604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591375"/>
        <c:crosses val="autoZero"/>
        <c:auto val="1"/>
        <c:lblAlgn val="ctr"/>
        <c:lblOffset val="100"/>
        <c:noMultiLvlLbl val="0"/>
      </c:catAx>
      <c:valAx>
        <c:axId val="172459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60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KPI´S!$G$44</c:f>
              <c:strCache>
                <c:ptCount val="1"/>
                <c:pt idx="0">
                  <c:v>MANGO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KPI´S!$H$44:$S$44</c:f>
              <c:numCache>
                <c:formatCode>General</c:formatCode>
                <c:ptCount val="12"/>
                <c:pt idx="0">
                  <c:v>0.4</c:v>
                </c:pt>
                <c:pt idx="1">
                  <c:v>0.42</c:v>
                </c:pt>
                <c:pt idx="2">
                  <c:v>0.44</c:v>
                </c:pt>
                <c:pt idx="3">
                  <c:v>0.41</c:v>
                </c:pt>
                <c:pt idx="4">
                  <c:v>0.47</c:v>
                </c:pt>
                <c:pt idx="5">
                  <c:v>0.4</c:v>
                </c:pt>
                <c:pt idx="6">
                  <c:v>0.46</c:v>
                </c:pt>
                <c:pt idx="7">
                  <c:v>0.44</c:v>
                </c:pt>
                <c:pt idx="8">
                  <c:v>0.42</c:v>
                </c:pt>
                <c:pt idx="9">
                  <c:v>0.41</c:v>
                </c:pt>
                <c:pt idx="10">
                  <c:v>0.47</c:v>
                </c:pt>
                <c:pt idx="11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86-4240-8395-B5B082074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4605775"/>
        <c:axId val="1724598095"/>
      </c:lineChart>
      <c:catAx>
        <c:axId val="1724605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598095"/>
        <c:crosses val="autoZero"/>
        <c:auto val="1"/>
        <c:lblAlgn val="ctr"/>
        <c:lblOffset val="100"/>
        <c:noMultiLvlLbl val="0"/>
      </c:catAx>
      <c:valAx>
        <c:axId val="172459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605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KPI´S!$G$45</c:f>
              <c:strCache>
                <c:ptCount val="1"/>
                <c:pt idx="0">
                  <c:v>AVOCADO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KPI´S!$H$45:$S$45</c:f>
              <c:numCache>
                <c:formatCode>General</c:formatCode>
                <c:ptCount val="12"/>
                <c:pt idx="0">
                  <c:v>0.37</c:v>
                </c:pt>
                <c:pt idx="1">
                  <c:v>0.35</c:v>
                </c:pt>
                <c:pt idx="2">
                  <c:v>0.3</c:v>
                </c:pt>
                <c:pt idx="3">
                  <c:v>0.38</c:v>
                </c:pt>
                <c:pt idx="4">
                  <c:v>0.38</c:v>
                </c:pt>
                <c:pt idx="5">
                  <c:v>0.39</c:v>
                </c:pt>
                <c:pt idx="6">
                  <c:v>0.39</c:v>
                </c:pt>
                <c:pt idx="7">
                  <c:v>0.38</c:v>
                </c:pt>
                <c:pt idx="8">
                  <c:v>0.42</c:v>
                </c:pt>
                <c:pt idx="9">
                  <c:v>0.4</c:v>
                </c:pt>
                <c:pt idx="10">
                  <c:v>0.37</c:v>
                </c:pt>
                <c:pt idx="11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61-477E-8C14-44991C8DE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4602895"/>
        <c:axId val="1724589455"/>
      </c:lineChart>
      <c:catAx>
        <c:axId val="1724602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589455"/>
        <c:crosses val="autoZero"/>
        <c:auto val="1"/>
        <c:lblAlgn val="ctr"/>
        <c:lblOffset val="100"/>
        <c:noMultiLvlLbl val="0"/>
      </c:catAx>
      <c:valAx>
        <c:axId val="172458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60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KPI´S!$G$46</c:f>
              <c:strCache>
                <c:ptCount val="1"/>
                <c:pt idx="0">
                  <c:v>SALAD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KPI´S!$H$46:$S$46</c:f>
              <c:numCache>
                <c:formatCode>General</c:formatCode>
                <c:ptCount val="12"/>
                <c:pt idx="0">
                  <c:v>0.04</c:v>
                </c:pt>
                <c:pt idx="1">
                  <c:v>0.04</c:v>
                </c:pt>
                <c:pt idx="2">
                  <c:v>0.02</c:v>
                </c:pt>
                <c:pt idx="3">
                  <c:v>0.06</c:v>
                </c:pt>
                <c:pt idx="4">
                  <c:v>0.05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0.03</c:v>
                </c:pt>
                <c:pt idx="10">
                  <c:v>0.03</c:v>
                </c:pt>
                <c:pt idx="1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83-4158-9C8B-691CF28A7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4608655"/>
        <c:axId val="1724599535"/>
      </c:lineChart>
      <c:catAx>
        <c:axId val="1724608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599535"/>
        <c:crosses val="autoZero"/>
        <c:auto val="1"/>
        <c:lblAlgn val="ctr"/>
        <c:lblOffset val="100"/>
        <c:noMultiLvlLbl val="0"/>
      </c:catAx>
      <c:valAx>
        <c:axId val="172459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60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KPI´S!$G$64</c:f>
              <c:strCache>
                <c:ptCount val="1"/>
                <c:pt idx="0">
                  <c:v>AVOCADO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KPI´S!$H$64:$S$64</c:f>
              <c:numCache>
                <c:formatCode>_(* #,##0.00_);_(* \(#,##0.00\);_(* "-"??_);_(@_)</c:formatCode>
                <c:ptCount val="12"/>
                <c:pt idx="0">
                  <c:v>0.7</c:v>
                </c:pt>
                <c:pt idx="1">
                  <c:v>0.69</c:v>
                </c:pt>
                <c:pt idx="2">
                  <c:v>0.67</c:v>
                </c:pt>
                <c:pt idx="3">
                  <c:v>0.71</c:v>
                </c:pt>
                <c:pt idx="4">
                  <c:v>0.78</c:v>
                </c:pt>
                <c:pt idx="5">
                  <c:v>0.67</c:v>
                </c:pt>
                <c:pt idx="6">
                  <c:v>0.65</c:v>
                </c:pt>
                <c:pt idx="7">
                  <c:v>0.7</c:v>
                </c:pt>
                <c:pt idx="8">
                  <c:v>0.68</c:v>
                </c:pt>
                <c:pt idx="9">
                  <c:v>0.7</c:v>
                </c:pt>
                <c:pt idx="10">
                  <c:v>0.73</c:v>
                </c:pt>
                <c:pt idx="1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09-4F11-A6E4-E91339F1B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4614415"/>
        <c:axId val="1724614895"/>
      </c:lineChart>
      <c:catAx>
        <c:axId val="1724614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614895"/>
        <c:crosses val="autoZero"/>
        <c:auto val="1"/>
        <c:lblAlgn val="ctr"/>
        <c:lblOffset val="100"/>
        <c:noMultiLvlLbl val="0"/>
      </c:catAx>
      <c:valAx>
        <c:axId val="172461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61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KPI´S!$G$65</c:f>
              <c:strCache>
                <c:ptCount val="1"/>
                <c:pt idx="0">
                  <c:v>MANGO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KPI´S!$H$65:$S$65</c:f>
              <c:numCache>
                <c:formatCode>General</c:formatCode>
                <c:ptCount val="12"/>
                <c:pt idx="0">
                  <c:v>1.75</c:v>
                </c:pt>
                <c:pt idx="1">
                  <c:v>1.72</c:v>
                </c:pt>
                <c:pt idx="2">
                  <c:v>1.74</c:v>
                </c:pt>
                <c:pt idx="3">
                  <c:v>1.77</c:v>
                </c:pt>
                <c:pt idx="4">
                  <c:v>1.72</c:v>
                </c:pt>
                <c:pt idx="5">
                  <c:v>1.78</c:v>
                </c:pt>
                <c:pt idx="6">
                  <c:v>1.75</c:v>
                </c:pt>
                <c:pt idx="7">
                  <c:v>1.75</c:v>
                </c:pt>
                <c:pt idx="8">
                  <c:v>1.74</c:v>
                </c:pt>
                <c:pt idx="9">
                  <c:v>1.72</c:v>
                </c:pt>
                <c:pt idx="10">
                  <c:v>1.78</c:v>
                </c:pt>
                <c:pt idx="11">
                  <c:v>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E-4394-A5AB-D1E89CA58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4564015"/>
        <c:axId val="1724559215"/>
      </c:lineChart>
      <c:catAx>
        <c:axId val="1724564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559215"/>
        <c:crosses val="autoZero"/>
        <c:auto val="1"/>
        <c:lblAlgn val="ctr"/>
        <c:lblOffset val="100"/>
        <c:noMultiLvlLbl val="0"/>
      </c:catAx>
      <c:valAx>
        <c:axId val="172455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56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KPI´S!$G$66</c:f>
              <c:strCache>
                <c:ptCount val="1"/>
                <c:pt idx="0">
                  <c:v>SALAD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KPI´S!$H$66:$S$66</c:f>
              <c:numCache>
                <c:formatCode>General</c:formatCode>
                <c:ptCount val="12"/>
                <c:pt idx="0">
                  <c:v>1.08</c:v>
                </c:pt>
                <c:pt idx="1">
                  <c:v>1.05</c:v>
                </c:pt>
                <c:pt idx="2">
                  <c:v>1.1100000000000001</c:v>
                </c:pt>
                <c:pt idx="3">
                  <c:v>1.07</c:v>
                </c:pt>
                <c:pt idx="4">
                  <c:v>1.06</c:v>
                </c:pt>
                <c:pt idx="5">
                  <c:v>1.04</c:v>
                </c:pt>
                <c:pt idx="6">
                  <c:v>1.0900000000000001</c:v>
                </c:pt>
                <c:pt idx="7">
                  <c:v>1.07</c:v>
                </c:pt>
                <c:pt idx="8">
                  <c:v>1.07</c:v>
                </c:pt>
                <c:pt idx="9">
                  <c:v>1.07</c:v>
                </c:pt>
                <c:pt idx="10">
                  <c:v>1.0900000000000001</c:v>
                </c:pt>
                <c:pt idx="11">
                  <c:v>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B9-4FEF-8276-023551167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4558255"/>
        <c:axId val="1724568335"/>
      </c:lineChart>
      <c:catAx>
        <c:axId val="1724558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568335"/>
        <c:crosses val="autoZero"/>
        <c:auto val="1"/>
        <c:lblAlgn val="ctr"/>
        <c:lblOffset val="100"/>
        <c:noMultiLvlLbl val="0"/>
      </c:catAx>
      <c:valAx>
        <c:axId val="1724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55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KPI´S!$G$81</c:f>
              <c:strCache>
                <c:ptCount val="1"/>
                <c:pt idx="0">
                  <c:v>AVOCADO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KPI´S!$H$81:$S$81</c:f>
              <c:numCache>
                <c:formatCode>_-* #,##0_-;\-* #,##0_-;_-* "-"??_-;_-@_-</c:formatCode>
                <c:ptCount val="12"/>
                <c:pt idx="0">
                  <c:v>60261</c:v>
                </c:pt>
                <c:pt idx="1">
                  <c:v>57636</c:v>
                </c:pt>
                <c:pt idx="2">
                  <c:v>55047</c:v>
                </c:pt>
                <c:pt idx="3">
                  <c:v>60636</c:v>
                </c:pt>
                <c:pt idx="4">
                  <c:v>45707</c:v>
                </c:pt>
                <c:pt idx="5">
                  <c:v>50151</c:v>
                </c:pt>
                <c:pt idx="6">
                  <c:v>65675</c:v>
                </c:pt>
                <c:pt idx="7">
                  <c:v>40681</c:v>
                </c:pt>
                <c:pt idx="8">
                  <c:v>48228</c:v>
                </c:pt>
                <c:pt idx="9">
                  <c:v>58431</c:v>
                </c:pt>
                <c:pt idx="10">
                  <c:v>69049</c:v>
                </c:pt>
                <c:pt idx="11">
                  <c:v>59813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55-4264-B076-720B5BCF7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4571215"/>
        <c:axId val="1724571695"/>
      </c:lineChart>
      <c:catAx>
        <c:axId val="1724571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571695"/>
        <c:crosses val="autoZero"/>
        <c:auto val="1"/>
        <c:lblAlgn val="ctr"/>
        <c:lblOffset val="100"/>
        <c:noMultiLvlLbl val="0"/>
      </c:catAx>
      <c:valAx>
        <c:axId val="172457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57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KPI´S!$G$82</c:f>
              <c:strCache>
                <c:ptCount val="1"/>
                <c:pt idx="0">
                  <c:v>MANGO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KPI´S!$H$82:$S$82</c:f>
              <c:numCache>
                <c:formatCode>_-* #,##0_-;\-* #,##0_-;_-* "-"??_-;_-@_-</c:formatCode>
                <c:ptCount val="12"/>
                <c:pt idx="0">
                  <c:v>35867</c:v>
                </c:pt>
                <c:pt idx="1">
                  <c:v>30056</c:v>
                </c:pt>
                <c:pt idx="2">
                  <c:v>30281</c:v>
                </c:pt>
                <c:pt idx="3">
                  <c:v>25113</c:v>
                </c:pt>
                <c:pt idx="4">
                  <c:v>37613</c:v>
                </c:pt>
                <c:pt idx="5">
                  <c:v>25464</c:v>
                </c:pt>
                <c:pt idx="6">
                  <c:v>27720</c:v>
                </c:pt>
                <c:pt idx="7">
                  <c:v>35730</c:v>
                </c:pt>
                <c:pt idx="8">
                  <c:v>34864</c:v>
                </c:pt>
                <c:pt idx="9">
                  <c:v>30969</c:v>
                </c:pt>
                <c:pt idx="10">
                  <c:v>29248</c:v>
                </c:pt>
                <c:pt idx="11">
                  <c:v>39635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E5-470F-8F3A-9CC6EB088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4558735"/>
        <c:axId val="1724576015"/>
      </c:lineChart>
      <c:catAx>
        <c:axId val="1724558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576015"/>
        <c:crosses val="autoZero"/>
        <c:auto val="1"/>
        <c:lblAlgn val="ctr"/>
        <c:lblOffset val="100"/>
        <c:noMultiLvlLbl val="0"/>
      </c:catAx>
      <c:valAx>
        <c:axId val="172457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55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KPI´S!$G$83</c:f>
              <c:strCache>
                <c:ptCount val="1"/>
                <c:pt idx="0">
                  <c:v>SALAD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KPI´S!$H$83:$S$83</c:f>
              <c:numCache>
                <c:formatCode>_-* #,##0_-;\-* #,##0_-;_-* "-"??_-;_-@_-</c:formatCode>
                <c:ptCount val="12"/>
                <c:pt idx="0">
                  <c:v>41686</c:v>
                </c:pt>
                <c:pt idx="1">
                  <c:v>41809</c:v>
                </c:pt>
                <c:pt idx="2">
                  <c:v>41001</c:v>
                </c:pt>
                <c:pt idx="3">
                  <c:v>38168</c:v>
                </c:pt>
                <c:pt idx="4">
                  <c:v>36324</c:v>
                </c:pt>
                <c:pt idx="5">
                  <c:v>44083</c:v>
                </c:pt>
                <c:pt idx="6">
                  <c:v>37290</c:v>
                </c:pt>
                <c:pt idx="7">
                  <c:v>43701</c:v>
                </c:pt>
                <c:pt idx="8">
                  <c:v>44935</c:v>
                </c:pt>
                <c:pt idx="9">
                  <c:v>35087</c:v>
                </c:pt>
                <c:pt idx="10">
                  <c:v>42660</c:v>
                </c:pt>
                <c:pt idx="11">
                  <c:v>40472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F-41DA-AD67-304CF297C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4586095"/>
        <c:axId val="1724577935"/>
      </c:lineChart>
      <c:catAx>
        <c:axId val="172458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577935"/>
        <c:crosses val="autoZero"/>
        <c:auto val="1"/>
        <c:lblAlgn val="ctr"/>
        <c:lblOffset val="100"/>
        <c:noMultiLvlLbl val="0"/>
      </c:catAx>
      <c:valAx>
        <c:axId val="172457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586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KPI´S!$G$98</c:f>
              <c:strCache>
                <c:ptCount val="1"/>
                <c:pt idx="0">
                  <c:v>AVOCADO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KPI´S!$H$98:$S$98</c:f>
              <c:numCache>
                <c:formatCode>_-* #,##0_-;\-* #,##0_-;_-* "-"??_-;_-@_-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8B-4A7F-A388-D8D3547DC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4581295"/>
        <c:axId val="1724581775"/>
      </c:lineChart>
      <c:catAx>
        <c:axId val="1724581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581775"/>
        <c:crosses val="autoZero"/>
        <c:auto val="1"/>
        <c:lblAlgn val="ctr"/>
        <c:lblOffset val="100"/>
        <c:noMultiLvlLbl val="0"/>
      </c:catAx>
      <c:valAx>
        <c:axId val="172458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58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KPI´S!$G$99</c:f>
              <c:strCache>
                <c:ptCount val="1"/>
                <c:pt idx="0">
                  <c:v>MANGO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KPI´S!$H$99:$S$99</c:f>
              <c:numCache>
                <c:formatCode>_-* #,##0_-;\-* #,##0_-;_-* "-"??_-;_-@_-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E3-4382-A2AD-8A811BC5D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4579375"/>
        <c:axId val="1724585135"/>
      </c:lineChart>
      <c:catAx>
        <c:axId val="17245793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585135"/>
        <c:crosses val="autoZero"/>
        <c:auto val="1"/>
        <c:lblAlgn val="ctr"/>
        <c:lblOffset val="100"/>
        <c:noMultiLvlLbl val="0"/>
      </c:catAx>
      <c:valAx>
        <c:axId val="172458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57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KPI´S!$G$100</c:f>
              <c:strCache>
                <c:ptCount val="1"/>
                <c:pt idx="0">
                  <c:v>SALAD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KPI´S!$H$100:$S$100</c:f>
              <c:numCache>
                <c:formatCode>_-* #,##0_-;\-* #,##0_-;_-* "-"??_-;_-@_-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1E-4C78-8029-91E1F75FE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4582255"/>
        <c:axId val="1724583695"/>
      </c:lineChart>
      <c:catAx>
        <c:axId val="1724582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583695"/>
        <c:crosses val="autoZero"/>
        <c:auto val="1"/>
        <c:lblAlgn val="ctr"/>
        <c:lblOffset val="100"/>
        <c:noMultiLvlLbl val="0"/>
      </c:catAx>
      <c:valAx>
        <c:axId val="172458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458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UBIC MEASURE'!A1"/><Relationship Id="rId2" Type="http://schemas.openxmlformats.org/officeDocument/2006/relationships/hyperlink" Target="#'P&amp;L'!A1"/><Relationship Id="rId1" Type="http://schemas.openxmlformats.org/officeDocument/2006/relationships/image" Target="../media/image1.png"/><Relationship Id="rId6" Type="http://schemas.openxmlformats.org/officeDocument/2006/relationships/hyperlink" Target="#KPI&#180;S!A1"/><Relationship Id="rId5" Type="http://schemas.openxmlformats.org/officeDocument/2006/relationships/hyperlink" Target="#'COST ANALYSIS'!A1"/><Relationship Id="rId4" Type="http://schemas.openxmlformats.org/officeDocument/2006/relationships/hyperlink" Target="#'IMPACT ANALYSIS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hyperlink" Target="#MENU!A1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2</xdr:row>
      <xdr:rowOff>0</xdr:rowOff>
    </xdr:from>
    <xdr:to>
      <xdr:col>10</xdr:col>
      <xdr:colOff>338138</xdr:colOff>
      <xdr:row>19</xdr:row>
      <xdr:rowOff>110599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542C1F-4ADE-442D-B8BB-9FCEE0B90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0050" y="361950"/>
          <a:ext cx="3748088" cy="3187174"/>
        </a:xfrm>
        <a:prstGeom prst="rect">
          <a:avLst/>
        </a:prstGeom>
      </xdr:spPr>
    </xdr:pic>
    <xdr:clientData/>
  </xdr:twoCellAnchor>
  <xdr:twoCellAnchor>
    <xdr:from>
      <xdr:col>1</xdr:col>
      <xdr:colOff>140494</xdr:colOff>
      <xdr:row>22</xdr:row>
      <xdr:rowOff>28574</xdr:rowOff>
    </xdr:from>
    <xdr:to>
      <xdr:col>4</xdr:col>
      <xdr:colOff>114300</xdr:colOff>
      <xdr:row>27</xdr:row>
      <xdr:rowOff>166686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A62327-05D9-25CF-7681-C5610EB538C1}"/>
            </a:ext>
          </a:extLst>
        </xdr:cNvPr>
        <xdr:cNvSpPr/>
      </xdr:nvSpPr>
      <xdr:spPr>
        <a:xfrm>
          <a:off x="902494" y="4010024"/>
          <a:ext cx="2259806" cy="1042987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3000">
              <a:solidFill>
                <a:sysClr val="windowText" lastClr="000000"/>
              </a:solidFill>
            </a:rPr>
            <a:t>P&amp;L</a:t>
          </a:r>
        </a:p>
      </xdr:txBody>
    </xdr:sp>
    <xdr:clientData/>
  </xdr:twoCellAnchor>
  <xdr:twoCellAnchor>
    <xdr:from>
      <xdr:col>12</xdr:col>
      <xdr:colOff>659606</xdr:colOff>
      <xdr:row>22</xdr:row>
      <xdr:rowOff>9524</xdr:rowOff>
    </xdr:from>
    <xdr:to>
      <xdr:col>15</xdr:col>
      <xdr:colOff>633412</xdr:colOff>
      <xdr:row>27</xdr:row>
      <xdr:rowOff>147636</xdr:rowOff>
    </xdr:to>
    <xdr:sp macro="" textlink="">
      <xdr:nvSpPr>
        <xdr:cNvPr id="10" name="Rectángulo: esquinas redondeada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FAA79A6-A0EC-440E-806A-16A5F0EFA69A}"/>
            </a:ext>
          </a:extLst>
        </xdr:cNvPr>
        <xdr:cNvSpPr/>
      </xdr:nvSpPr>
      <xdr:spPr>
        <a:xfrm>
          <a:off x="9803606" y="3990974"/>
          <a:ext cx="2259806" cy="1042987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600">
              <a:solidFill>
                <a:sysClr val="windowText" lastClr="000000"/>
              </a:solidFill>
            </a:rPr>
            <a:t>CUBI</a:t>
          </a:r>
          <a:r>
            <a:rPr lang="es-MX" sz="2600" baseline="0">
              <a:solidFill>
                <a:sysClr val="windowText" lastClr="000000"/>
              </a:solidFill>
            </a:rPr>
            <a:t>C MEASURE</a:t>
          </a:r>
        </a:p>
      </xdr:txBody>
    </xdr:sp>
    <xdr:clientData/>
  </xdr:twoCellAnchor>
  <xdr:twoCellAnchor>
    <xdr:from>
      <xdr:col>9</xdr:col>
      <xdr:colOff>35719</xdr:colOff>
      <xdr:row>22</xdr:row>
      <xdr:rowOff>23811</xdr:rowOff>
    </xdr:from>
    <xdr:to>
      <xdr:col>12</xdr:col>
      <xdr:colOff>9525</xdr:colOff>
      <xdr:row>27</xdr:row>
      <xdr:rowOff>161923</xdr:rowOff>
    </xdr:to>
    <xdr:sp macro="" textlink="">
      <xdr:nvSpPr>
        <xdr:cNvPr id="11" name="Rectángulo: esquinas redondeada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19340C0-D70E-454B-BEBB-FE73B2FF6822}"/>
            </a:ext>
          </a:extLst>
        </xdr:cNvPr>
        <xdr:cNvSpPr/>
      </xdr:nvSpPr>
      <xdr:spPr>
        <a:xfrm>
          <a:off x="6893719" y="4005261"/>
          <a:ext cx="2259806" cy="1042987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600">
              <a:solidFill>
                <a:sysClr val="windowText" lastClr="000000"/>
              </a:solidFill>
            </a:rPr>
            <a:t>IMPACT</a:t>
          </a:r>
          <a:r>
            <a:rPr lang="es-MX" sz="2600" baseline="0">
              <a:solidFill>
                <a:sysClr val="windowText" lastClr="000000"/>
              </a:solidFill>
            </a:rPr>
            <a:t> ANALYSIS</a:t>
          </a:r>
          <a:endParaRPr lang="es-MX" sz="2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73819</xdr:colOff>
      <xdr:row>22</xdr:row>
      <xdr:rowOff>14287</xdr:rowOff>
    </xdr:from>
    <xdr:to>
      <xdr:col>8</xdr:col>
      <xdr:colOff>47625</xdr:colOff>
      <xdr:row>27</xdr:row>
      <xdr:rowOff>152399</xdr:rowOff>
    </xdr:to>
    <xdr:sp macro="" textlink="">
      <xdr:nvSpPr>
        <xdr:cNvPr id="12" name="Rectángulo: esquinas redondeada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28987D1-C2D2-4623-BA11-918F3F77C0BC}"/>
            </a:ext>
          </a:extLst>
        </xdr:cNvPr>
        <xdr:cNvSpPr/>
      </xdr:nvSpPr>
      <xdr:spPr>
        <a:xfrm>
          <a:off x="3883819" y="3995737"/>
          <a:ext cx="2259806" cy="1042987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600">
              <a:solidFill>
                <a:sysClr val="windowText" lastClr="000000"/>
              </a:solidFill>
            </a:rPr>
            <a:t>COST</a:t>
          </a:r>
          <a:r>
            <a:rPr lang="es-MX" sz="2600" baseline="0">
              <a:solidFill>
                <a:sysClr val="windowText" lastClr="000000"/>
              </a:solidFill>
            </a:rPr>
            <a:t> ANALYSIS</a:t>
          </a:r>
          <a:endParaRPr lang="es-MX" sz="2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59898</xdr:colOff>
      <xdr:row>29</xdr:row>
      <xdr:rowOff>116287</xdr:rowOff>
    </xdr:from>
    <xdr:to>
      <xdr:col>10</xdr:col>
      <xdr:colOff>33705</xdr:colOff>
      <xdr:row>35</xdr:row>
      <xdr:rowOff>71227</xdr:rowOff>
    </xdr:to>
    <xdr:sp macro="" textlink="">
      <xdr:nvSpPr>
        <xdr:cNvPr id="4" name="Rectángulo: esquinas redondeadas 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5ED33D0-406E-4E4F-AA0C-D811C828FED8}"/>
            </a:ext>
          </a:extLst>
        </xdr:cNvPr>
        <xdr:cNvSpPr/>
      </xdr:nvSpPr>
      <xdr:spPr>
        <a:xfrm>
          <a:off x="5408552" y="5428307"/>
          <a:ext cx="2266087" cy="1053978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3000">
              <a:solidFill>
                <a:sysClr val="windowText" lastClr="000000"/>
              </a:solidFill>
            </a:rPr>
            <a:t>KPI´S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677653</xdr:colOff>
      <xdr:row>9</xdr:row>
      <xdr:rowOff>50548</xdr:rowOff>
    </xdr:from>
    <xdr:to>
      <xdr:col>6</xdr:col>
      <xdr:colOff>322366</xdr:colOff>
      <xdr:row>19</xdr:row>
      <xdr:rowOff>15283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CCE9B8-E287-5973-B150-46E3D9207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753226</xdr:colOff>
      <xdr:row>9</xdr:row>
      <xdr:rowOff>50883</xdr:rowOff>
    </xdr:from>
    <xdr:to>
      <xdr:col>10</xdr:col>
      <xdr:colOff>580691</xdr:colOff>
      <xdr:row>19</xdr:row>
      <xdr:rowOff>4178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505F92-D6EC-593C-06BD-4DBF49027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739070</xdr:colOff>
      <xdr:row>24</xdr:row>
      <xdr:rowOff>110066</xdr:rowOff>
    </xdr:from>
    <xdr:to>
      <xdr:col>6</xdr:col>
      <xdr:colOff>630592</xdr:colOff>
      <xdr:row>36</xdr:row>
      <xdr:rowOff>26458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637564A-DAFB-55E7-447E-17C8D6EA9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305175</xdr:colOff>
      <xdr:row>46</xdr:row>
      <xdr:rowOff>135479</xdr:rowOff>
    </xdr:from>
    <xdr:to>
      <xdr:col>6</xdr:col>
      <xdr:colOff>581396</xdr:colOff>
      <xdr:row>59</xdr:row>
      <xdr:rowOff>75197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7582479-564C-E3DE-8B15-7A6A72958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639536</xdr:colOff>
      <xdr:row>46</xdr:row>
      <xdr:rowOff>86592</xdr:rowOff>
    </xdr:from>
    <xdr:to>
      <xdr:col>11</xdr:col>
      <xdr:colOff>98962</xdr:colOff>
      <xdr:row>59</xdr:row>
      <xdr:rowOff>78923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FBAD18C-661D-C747-7CA5-0E6042E28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169471</xdr:colOff>
      <xdr:row>46</xdr:row>
      <xdr:rowOff>86591</xdr:rowOff>
    </xdr:from>
    <xdr:to>
      <xdr:col>15</xdr:col>
      <xdr:colOff>661802</xdr:colOff>
      <xdr:row>59</xdr:row>
      <xdr:rowOff>91292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A9EB52B-34BB-507B-E7B3-05E615A1C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358889</xdr:colOff>
      <xdr:row>66</xdr:row>
      <xdr:rowOff>62365</xdr:rowOff>
    </xdr:from>
    <xdr:to>
      <xdr:col>7</xdr:col>
      <xdr:colOff>56696</xdr:colOff>
      <xdr:row>76</xdr:row>
      <xdr:rowOff>98764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70E9C8B-3021-8B84-8712-4F65AB99A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132103</xdr:colOff>
      <xdr:row>66</xdr:row>
      <xdr:rowOff>39687</xdr:rowOff>
    </xdr:from>
    <xdr:to>
      <xdr:col>11</xdr:col>
      <xdr:colOff>283483</xdr:colOff>
      <xdr:row>76</xdr:row>
      <xdr:rowOff>124732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4DDF196-ECDC-F518-780F-4343DF63D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353218</xdr:colOff>
      <xdr:row>66</xdr:row>
      <xdr:rowOff>45357</xdr:rowOff>
    </xdr:from>
    <xdr:to>
      <xdr:col>15</xdr:col>
      <xdr:colOff>413883</xdr:colOff>
      <xdr:row>76</xdr:row>
      <xdr:rowOff>132783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B7FE30D-E309-BB22-9E98-88235EF19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375898</xdr:colOff>
      <xdr:row>83</xdr:row>
      <xdr:rowOff>96384</xdr:rowOff>
    </xdr:from>
    <xdr:to>
      <xdr:col>7</xdr:col>
      <xdr:colOff>90713</xdr:colOff>
      <xdr:row>93</xdr:row>
      <xdr:rowOff>98764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E125291-B808-C1D6-5BAC-6CA524E2B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188798</xdr:colOff>
      <xdr:row>83</xdr:row>
      <xdr:rowOff>107722</xdr:rowOff>
    </xdr:from>
    <xdr:to>
      <xdr:col>11</xdr:col>
      <xdr:colOff>498927</xdr:colOff>
      <xdr:row>93</xdr:row>
      <xdr:rowOff>102053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7EC663AA-0730-A448-3266-95891953C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580005</xdr:colOff>
      <xdr:row>83</xdr:row>
      <xdr:rowOff>68035</xdr:rowOff>
    </xdr:from>
    <xdr:to>
      <xdr:col>15</xdr:col>
      <xdr:colOff>328840</xdr:colOff>
      <xdr:row>93</xdr:row>
      <xdr:rowOff>90715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2F120F18-26DE-53A0-F07E-86CCEBA0A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211478</xdr:colOff>
      <xdr:row>100</xdr:row>
      <xdr:rowOff>68035</xdr:rowOff>
    </xdr:from>
    <xdr:to>
      <xdr:col>7</xdr:col>
      <xdr:colOff>130401</xdr:colOff>
      <xdr:row>110</xdr:row>
      <xdr:rowOff>107722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56AFE16D-53CB-1708-3563-9F9C966F9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222816</xdr:colOff>
      <xdr:row>100</xdr:row>
      <xdr:rowOff>51027</xdr:rowOff>
    </xdr:from>
    <xdr:to>
      <xdr:col>11</xdr:col>
      <xdr:colOff>334509</xdr:colOff>
      <xdr:row>110</xdr:row>
      <xdr:rowOff>96385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430A8976-1116-2901-B2EE-3A8380EC7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449602</xdr:colOff>
      <xdr:row>100</xdr:row>
      <xdr:rowOff>73705</xdr:rowOff>
    </xdr:from>
    <xdr:to>
      <xdr:col>15</xdr:col>
      <xdr:colOff>311830</xdr:colOff>
      <xdr:row>110</xdr:row>
      <xdr:rowOff>85045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8A24E1C-17C6-5661-4B3F-C7E85ECA1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0</xdr:colOff>
      <xdr:row>1</xdr:row>
      <xdr:rowOff>0</xdr:rowOff>
    </xdr:from>
    <xdr:to>
      <xdr:col>3</xdr:col>
      <xdr:colOff>493259</xdr:colOff>
      <xdr:row>3</xdr:row>
      <xdr:rowOff>119062</xdr:rowOff>
    </xdr:to>
    <xdr:sp macro="" textlink="">
      <xdr:nvSpPr>
        <xdr:cNvPr id="4" name="Rectángulo: esquinas redondeadas 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266452D-F34F-4910-B889-A23080BE669B}"/>
            </a:ext>
          </a:extLst>
        </xdr:cNvPr>
        <xdr:cNvSpPr/>
      </xdr:nvSpPr>
      <xdr:spPr>
        <a:xfrm>
          <a:off x="1519464" y="181429"/>
          <a:ext cx="1252991" cy="481919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>
              <a:solidFill>
                <a:sysClr val="windowText" lastClr="000000"/>
              </a:solidFill>
            </a:rPr>
            <a:t>MENU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109538</xdr:colOff>
      <xdr:row>0</xdr:row>
      <xdr:rowOff>52387</xdr:rowOff>
    </xdr:from>
    <xdr:to>
      <xdr:col>2</xdr:col>
      <xdr:colOff>650813</xdr:colOff>
      <xdr:row>9</xdr:row>
      <xdr:rowOff>76625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8B80F1-DA10-4DB9-A77F-EBA5DE44E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8" y="52387"/>
          <a:ext cx="2065275" cy="1743501"/>
        </a:xfrm>
        <a:prstGeom prst="rect">
          <a:avLst/>
        </a:prstGeom>
      </xdr:spPr>
    </xdr:pic>
    <xdr:clientData/>
  </xdr:twoCellAnchor>
  <xdr:twoCellAnchor>
    <xdr:from>
      <xdr:col>0</xdr:col>
      <xdr:colOff>660889</xdr:colOff>
      <xdr:row>10</xdr:row>
      <xdr:rowOff>123580</xdr:rowOff>
    </xdr:from>
    <xdr:to>
      <xdr:col>2</xdr:col>
      <xdr:colOff>671636</xdr:colOff>
      <xdr:row>15</xdr:row>
      <xdr:rowOff>116010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3EFEAF-8BE9-4099-E4DB-6173EF0C4E57}"/>
            </a:ext>
          </a:extLst>
        </xdr:cNvPr>
        <xdr:cNvSpPr/>
      </xdr:nvSpPr>
      <xdr:spPr>
        <a:xfrm>
          <a:off x="660889" y="2040792"/>
          <a:ext cx="1537189" cy="908295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>
              <a:solidFill>
                <a:sysClr val="windowText" lastClr="000000"/>
              </a:solidFill>
            </a:rPr>
            <a:t>MENU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544938</xdr:colOff>
      <xdr:row>8</xdr:row>
      <xdr:rowOff>62888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B2AD95-33EB-49AC-BC37-EB26C49F4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68938" cy="1742280"/>
        </a:xfrm>
        <a:prstGeom prst="rect">
          <a:avLst/>
        </a:prstGeom>
      </xdr:spPr>
    </xdr:pic>
    <xdr:clientData/>
  </xdr:twoCellAnchor>
  <xdr:twoCellAnchor>
    <xdr:from>
      <xdr:col>0</xdr:col>
      <xdr:colOff>598589</xdr:colOff>
      <xdr:row>9</xdr:row>
      <xdr:rowOff>69908</xdr:rowOff>
    </xdr:from>
    <xdr:to>
      <xdr:col>2</xdr:col>
      <xdr:colOff>332863</xdr:colOff>
      <xdr:row>13</xdr:row>
      <xdr:rowOff>133145</xdr:rowOff>
    </xdr:to>
    <xdr:sp macro="" textlink="">
      <xdr:nvSpPr>
        <xdr:cNvPr id="4" name="Rectángulo: esquinas redondea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DABAFE-78DD-4B4C-8E60-1667420679A0}"/>
            </a:ext>
          </a:extLst>
        </xdr:cNvPr>
        <xdr:cNvSpPr/>
      </xdr:nvSpPr>
      <xdr:spPr>
        <a:xfrm>
          <a:off x="598589" y="1903214"/>
          <a:ext cx="1260322" cy="780173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>
              <a:solidFill>
                <a:sysClr val="windowText" lastClr="000000"/>
              </a:solidFill>
            </a:rPr>
            <a:t>MENU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109538</xdr:colOff>
      <xdr:row>0</xdr:row>
      <xdr:rowOff>52387</xdr:rowOff>
    </xdr:from>
    <xdr:to>
      <xdr:col>2</xdr:col>
      <xdr:colOff>650813</xdr:colOff>
      <xdr:row>9</xdr:row>
      <xdr:rowOff>171875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0438C73-3C42-4F8D-9ACC-AD0382D48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8" y="52387"/>
          <a:ext cx="2065275" cy="1748263"/>
        </a:xfrm>
        <a:prstGeom prst="rect">
          <a:avLst/>
        </a:prstGeom>
      </xdr:spPr>
    </xdr:pic>
    <xdr:clientData/>
  </xdr:twoCellAnchor>
  <xdr:twoCellAnchor>
    <xdr:from>
      <xdr:col>0</xdr:col>
      <xdr:colOff>600490</xdr:colOff>
      <xdr:row>10</xdr:row>
      <xdr:rowOff>172554</xdr:rowOff>
    </xdr:from>
    <xdr:to>
      <xdr:col>2</xdr:col>
      <xdr:colOff>619201</xdr:colOff>
      <xdr:row>16</xdr:row>
      <xdr:rowOff>4110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F071C8-3EBF-47ED-8FEC-0BA6330858FF}"/>
            </a:ext>
          </a:extLst>
        </xdr:cNvPr>
        <xdr:cNvSpPr/>
      </xdr:nvSpPr>
      <xdr:spPr>
        <a:xfrm>
          <a:off x="600490" y="2063750"/>
          <a:ext cx="1537189" cy="908295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>
              <a:solidFill>
                <a:sysClr val="windowText" lastClr="000000"/>
              </a:solidFill>
            </a:rPr>
            <a:t>MENU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76200</xdr:rowOff>
    </xdr:from>
    <xdr:to>
      <xdr:col>2</xdr:col>
      <xdr:colOff>658694</xdr:colOff>
      <xdr:row>8</xdr:row>
      <xdr:rowOff>166688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DF6700-B160-4853-B1A3-96C9E0157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76200"/>
          <a:ext cx="2030294" cy="1709738"/>
        </a:xfrm>
        <a:prstGeom prst="rect">
          <a:avLst/>
        </a:prstGeom>
      </xdr:spPr>
    </xdr:pic>
    <xdr:clientData/>
  </xdr:twoCellAnchor>
  <xdr:twoCellAnchor>
    <xdr:from>
      <xdr:col>1</xdr:col>
      <xdr:colOff>119259</xdr:colOff>
      <xdr:row>10</xdr:row>
      <xdr:rowOff>106830</xdr:rowOff>
    </xdr:from>
    <xdr:to>
      <xdr:col>2</xdr:col>
      <xdr:colOff>654190</xdr:colOff>
      <xdr:row>14</xdr:row>
      <xdr:rowOff>136071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76E153-A817-4B28-B613-5D0CD263FA89}"/>
            </a:ext>
          </a:extLst>
        </xdr:cNvPr>
        <xdr:cNvSpPr/>
      </xdr:nvSpPr>
      <xdr:spPr>
        <a:xfrm>
          <a:off x="883352" y="2106033"/>
          <a:ext cx="1299025" cy="761934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>
              <a:solidFill>
                <a:sysClr val="windowText" lastClr="000000"/>
              </a:solidFill>
            </a:rPr>
            <a:t>MENU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pmc.ncbi.nlm.nih.gov/articles/PMC12377620/?utm_source=chatgpt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BEDCA-E8EE-42A1-811C-C5B93B332DFF}">
  <dimension ref="A1"/>
  <sheetViews>
    <sheetView showGridLines="0" zoomScale="77" workbookViewId="0"/>
  </sheetViews>
  <sheetFormatPr baseColWidth="10" defaultRowHeight="14.25" x14ac:dyDescent="0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504C-A6BF-412D-9159-1CE6E9500417}">
  <dimension ref="B3:T111"/>
  <sheetViews>
    <sheetView showGridLines="0" tabSelected="1" topLeftCell="A50" zoomScale="71" workbookViewId="0">
      <selection activeCell="B95" sqref="B95:C95"/>
    </sheetView>
  </sheetViews>
  <sheetFormatPr baseColWidth="10" defaultRowHeight="14.25" x14ac:dyDescent="0.45"/>
  <cols>
    <col min="7" max="7" width="17.06640625" customWidth="1"/>
    <col min="13" max="13" width="12.265625" bestFit="1" customWidth="1"/>
  </cols>
  <sheetData>
    <row r="3" spans="2:20" x14ac:dyDescent="0.45">
      <c r="B3" t="s">
        <v>117</v>
      </c>
    </row>
    <row r="5" spans="2:20" ht="14.65" thickBot="1" x14ac:dyDescent="0.5"/>
    <row r="6" spans="2:20" x14ac:dyDescent="0.45">
      <c r="B6" s="66" t="s">
        <v>118</v>
      </c>
      <c r="C6" s="67"/>
      <c r="D6" s="55"/>
      <c r="E6" s="55"/>
      <c r="F6" s="55"/>
      <c r="G6" s="55"/>
      <c r="H6" s="55" t="s">
        <v>129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68"/>
    </row>
    <row r="7" spans="2:20" x14ac:dyDescent="0.45">
      <c r="B7" s="1" t="s">
        <v>119</v>
      </c>
      <c r="G7" t="s">
        <v>127</v>
      </c>
      <c r="H7">
        <v>6</v>
      </c>
      <c r="I7">
        <v>5</v>
      </c>
      <c r="J7">
        <v>7</v>
      </c>
      <c r="K7">
        <v>6</v>
      </c>
      <c r="L7">
        <v>7</v>
      </c>
      <c r="M7">
        <v>6</v>
      </c>
      <c r="N7">
        <v>5</v>
      </c>
      <c r="O7">
        <v>5</v>
      </c>
      <c r="P7">
        <v>5</v>
      </c>
      <c r="Q7">
        <v>6</v>
      </c>
      <c r="R7">
        <v>7</v>
      </c>
      <c r="S7">
        <v>7</v>
      </c>
      <c r="T7" s="2">
        <v>7</v>
      </c>
    </row>
    <row r="8" spans="2:20" x14ac:dyDescent="0.45">
      <c r="B8" s="1" t="s">
        <v>120</v>
      </c>
      <c r="C8" t="s">
        <v>123</v>
      </c>
      <c r="T8" s="2"/>
    </row>
    <row r="9" spans="2:20" x14ac:dyDescent="0.45">
      <c r="B9" s="1" t="s">
        <v>121</v>
      </c>
      <c r="C9" t="s">
        <v>122</v>
      </c>
      <c r="G9" t="s">
        <v>128</v>
      </c>
      <c r="H9">
        <v>5</v>
      </c>
      <c r="I9">
        <v>6</v>
      </c>
      <c r="J9">
        <v>6</v>
      </c>
      <c r="K9">
        <v>6</v>
      </c>
      <c r="L9">
        <v>7</v>
      </c>
      <c r="M9">
        <v>8</v>
      </c>
      <c r="N9">
        <v>5</v>
      </c>
      <c r="O9">
        <v>6</v>
      </c>
      <c r="P9">
        <v>8</v>
      </c>
      <c r="Q9">
        <v>6</v>
      </c>
      <c r="R9">
        <v>5</v>
      </c>
      <c r="S9">
        <v>5</v>
      </c>
      <c r="T9" s="2">
        <v>5</v>
      </c>
    </row>
    <row r="10" spans="2:20" x14ac:dyDescent="0.45">
      <c r="B10" s="1"/>
      <c r="T10" s="2"/>
    </row>
    <row r="11" spans="2:20" x14ac:dyDescent="0.45">
      <c r="B11" s="1"/>
      <c r="O11" s="72" t="s">
        <v>133</v>
      </c>
      <c r="P11" s="72"/>
      <c r="Q11" s="72"/>
      <c r="T11" s="2"/>
    </row>
    <row r="12" spans="2:20" x14ac:dyDescent="0.45">
      <c r="B12" s="1"/>
      <c r="L12" t="s">
        <v>130</v>
      </c>
      <c r="O12" s="72"/>
      <c r="P12" s="72"/>
      <c r="Q12" s="72"/>
      <c r="T12" s="2"/>
    </row>
    <row r="13" spans="2:20" x14ac:dyDescent="0.45">
      <c r="B13" s="1"/>
      <c r="L13" t="s">
        <v>131</v>
      </c>
      <c r="M13" s="39">
        <f>AVERAGE(H7:T7)</f>
        <v>6.0769230769230766</v>
      </c>
      <c r="O13" s="72" t="s">
        <v>134</v>
      </c>
      <c r="P13" s="72"/>
      <c r="Q13" s="72"/>
      <c r="T13" s="2"/>
    </row>
    <row r="14" spans="2:20" x14ac:dyDescent="0.45">
      <c r="B14" s="1"/>
      <c r="L14" t="s">
        <v>132</v>
      </c>
      <c r="M14" s="18">
        <f>AVERAGE(H9:T9)</f>
        <v>6</v>
      </c>
      <c r="O14" s="72"/>
      <c r="P14" s="72"/>
      <c r="Q14" s="72"/>
      <c r="T14" s="2"/>
    </row>
    <row r="15" spans="2:20" x14ac:dyDescent="0.45">
      <c r="B15" s="1"/>
      <c r="O15" s="72" t="s">
        <v>135</v>
      </c>
      <c r="P15" s="72"/>
      <c r="Q15" s="72"/>
      <c r="T15" s="2"/>
    </row>
    <row r="16" spans="2:20" x14ac:dyDescent="0.45">
      <c r="B16" s="1"/>
      <c r="O16" s="72"/>
      <c r="P16" s="72"/>
      <c r="Q16" s="72"/>
      <c r="T16" s="2"/>
    </row>
    <row r="17" spans="2:20" x14ac:dyDescent="0.45">
      <c r="B17" s="1"/>
      <c r="T17" s="2"/>
    </row>
    <row r="18" spans="2:20" x14ac:dyDescent="0.45">
      <c r="B18" s="1"/>
      <c r="T18" s="2"/>
    </row>
    <row r="19" spans="2:20" x14ac:dyDescent="0.45">
      <c r="B19" s="1"/>
      <c r="T19" s="2"/>
    </row>
    <row r="20" spans="2:20" ht="14.65" thickBot="1" x14ac:dyDescent="0.5">
      <c r="B20" s="6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2"/>
    </row>
    <row r="21" spans="2:20" x14ac:dyDescent="0.45">
      <c r="B21" s="66" t="s">
        <v>124</v>
      </c>
      <c r="C21" s="67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68"/>
    </row>
    <row r="22" spans="2:20" x14ac:dyDescent="0.45">
      <c r="B22" s="1"/>
      <c r="G22" t="s">
        <v>138</v>
      </c>
      <c r="H22">
        <v>1</v>
      </c>
      <c r="I22">
        <v>2</v>
      </c>
      <c r="J22">
        <v>3</v>
      </c>
      <c r="K22">
        <v>4</v>
      </c>
      <c r="L22">
        <v>5</v>
      </c>
      <c r="M22">
        <v>6</v>
      </c>
      <c r="N22">
        <v>7</v>
      </c>
      <c r="O22">
        <v>8</v>
      </c>
      <c r="P22">
        <v>9</v>
      </c>
      <c r="Q22">
        <v>10</v>
      </c>
      <c r="R22">
        <v>11</v>
      </c>
      <c r="S22">
        <v>12</v>
      </c>
      <c r="T22" s="2"/>
    </row>
    <row r="23" spans="2:20" x14ac:dyDescent="0.45">
      <c r="B23" s="1" t="s">
        <v>136</v>
      </c>
      <c r="G23" t="s">
        <v>139</v>
      </c>
      <c r="H23">
        <v>6</v>
      </c>
      <c r="I23">
        <v>5</v>
      </c>
      <c r="J23">
        <v>6</v>
      </c>
      <c r="K23">
        <v>6</v>
      </c>
      <c r="L23">
        <v>7</v>
      </c>
      <c r="M23">
        <v>5</v>
      </c>
      <c r="N23">
        <v>6</v>
      </c>
      <c r="O23">
        <v>6</v>
      </c>
      <c r="P23">
        <v>5</v>
      </c>
      <c r="Q23">
        <v>4</v>
      </c>
      <c r="R23">
        <v>6</v>
      </c>
      <c r="S23">
        <v>6</v>
      </c>
      <c r="T23" s="2"/>
    </row>
    <row r="24" spans="2:20" x14ac:dyDescent="0.45">
      <c r="B24" s="1" t="s">
        <v>137</v>
      </c>
      <c r="T24" s="2"/>
    </row>
    <row r="25" spans="2:20" x14ac:dyDescent="0.45">
      <c r="B25" s="1"/>
      <c r="T25" s="2"/>
    </row>
    <row r="26" spans="2:20" x14ac:dyDescent="0.45">
      <c r="B26" s="1"/>
      <c r="H26" t="s">
        <v>130</v>
      </c>
      <c r="T26" s="2"/>
    </row>
    <row r="27" spans="2:20" x14ac:dyDescent="0.45">
      <c r="B27" s="1"/>
      <c r="H27" s="70">
        <f>AVERAGE(H23:S23)</f>
        <v>5.666666666666667</v>
      </c>
      <c r="I27" t="s">
        <v>140</v>
      </c>
      <c r="T27" s="2"/>
    </row>
    <row r="28" spans="2:20" x14ac:dyDescent="0.45">
      <c r="B28" s="1"/>
      <c r="T28" s="2"/>
    </row>
    <row r="29" spans="2:20" x14ac:dyDescent="0.45">
      <c r="B29" s="1"/>
      <c r="H29" s="72" t="s">
        <v>141</v>
      </c>
      <c r="I29" s="72"/>
      <c r="J29" s="72"/>
      <c r="K29" s="72"/>
      <c r="T29" s="2"/>
    </row>
    <row r="30" spans="2:20" x14ac:dyDescent="0.45">
      <c r="B30" s="1"/>
      <c r="H30" s="72"/>
      <c r="I30" s="72"/>
      <c r="J30" s="72"/>
      <c r="K30" s="72"/>
      <c r="T30" s="2"/>
    </row>
    <row r="31" spans="2:20" x14ac:dyDescent="0.45">
      <c r="B31" s="1"/>
      <c r="H31" s="72" t="s">
        <v>142</v>
      </c>
      <c r="I31" s="72"/>
      <c r="J31" s="72"/>
      <c r="K31" s="72"/>
      <c r="T31" s="2"/>
    </row>
    <row r="32" spans="2:20" x14ac:dyDescent="0.45">
      <c r="B32" s="1"/>
      <c r="H32" s="72"/>
      <c r="I32" s="72"/>
      <c r="J32" s="72"/>
      <c r="K32" s="72"/>
      <c r="T32" s="2"/>
    </row>
    <row r="33" spans="2:20" x14ac:dyDescent="0.45">
      <c r="B33" s="1"/>
      <c r="H33" s="72" t="s">
        <v>143</v>
      </c>
      <c r="I33" s="72"/>
      <c r="J33" s="72"/>
      <c r="K33" s="72"/>
      <c r="T33" s="2"/>
    </row>
    <row r="34" spans="2:20" x14ac:dyDescent="0.45">
      <c r="B34" s="1"/>
      <c r="H34" s="72"/>
      <c r="I34" s="72"/>
      <c r="J34" s="72"/>
      <c r="K34" s="72"/>
      <c r="T34" s="2"/>
    </row>
    <row r="35" spans="2:20" x14ac:dyDescent="0.45">
      <c r="B35" s="1"/>
      <c r="T35" s="2"/>
    </row>
    <row r="36" spans="2:20" x14ac:dyDescent="0.45">
      <c r="B36" s="1"/>
      <c r="T36" s="2"/>
    </row>
    <row r="37" spans="2:20" x14ac:dyDescent="0.45">
      <c r="B37" s="1"/>
      <c r="T37" s="2"/>
    </row>
    <row r="38" spans="2:20" x14ac:dyDescent="0.45">
      <c r="B38" s="1"/>
      <c r="T38" s="2"/>
    </row>
    <row r="39" spans="2:20" ht="14.65" thickBot="1" x14ac:dyDescent="0.5">
      <c r="B39" s="6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2"/>
    </row>
    <row r="40" spans="2:20" x14ac:dyDescent="0.45">
      <c r="B40" s="54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68"/>
    </row>
    <row r="41" spans="2:20" x14ac:dyDescent="0.45">
      <c r="B41" s="30" t="s">
        <v>125</v>
      </c>
      <c r="C41" s="21"/>
      <c r="T41" s="2"/>
    </row>
    <row r="42" spans="2:20" x14ac:dyDescent="0.45">
      <c r="B42" s="1"/>
      <c r="T42" s="2"/>
    </row>
    <row r="43" spans="2:20" x14ac:dyDescent="0.45">
      <c r="B43" s="1" t="s">
        <v>144</v>
      </c>
      <c r="G43" t="s">
        <v>145</v>
      </c>
      <c r="H43">
        <v>1</v>
      </c>
      <c r="I43">
        <v>2</v>
      </c>
      <c r="J43">
        <v>3</v>
      </c>
      <c r="K43">
        <v>4</v>
      </c>
      <c r="L43">
        <v>5</v>
      </c>
      <c r="M43">
        <v>6</v>
      </c>
      <c r="N43">
        <v>7</v>
      </c>
      <c r="O43">
        <v>8</v>
      </c>
      <c r="P43">
        <v>9</v>
      </c>
      <c r="Q43">
        <v>10</v>
      </c>
      <c r="R43">
        <v>11</v>
      </c>
      <c r="S43">
        <v>12</v>
      </c>
      <c r="T43" s="2"/>
    </row>
    <row r="44" spans="2:20" x14ac:dyDescent="0.45">
      <c r="B44" s="1" t="s">
        <v>66</v>
      </c>
      <c r="C44" s="39">
        <f>1-(1/1.8)</f>
        <v>0.44444444444444442</v>
      </c>
      <c r="G44" t="s">
        <v>146</v>
      </c>
      <c r="H44">
        <v>0.4</v>
      </c>
      <c r="I44">
        <v>0.42</v>
      </c>
      <c r="J44">
        <v>0.44</v>
      </c>
      <c r="K44">
        <v>0.41</v>
      </c>
      <c r="L44">
        <v>0.47</v>
      </c>
      <c r="M44">
        <v>0.4</v>
      </c>
      <c r="N44">
        <v>0.46</v>
      </c>
      <c r="O44">
        <v>0.44</v>
      </c>
      <c r="P44">
        <v>0.42</v>
      </c>
      <c r="Q44">
        <v>0.41</v>
      </c>
      <c r="R44">
        <v>0.47</v>
      </c>
      <c r="S44">
        <v>0.44</v>
      </c>
      <c r="T44" s="2"/>
    </row>
    <row r="45" spans="2:20" x14ac:dyDescent="0.45">
      <c r="B45" s="1" t="s">
        <v>57</v>
      </c>
      <c r="C45" s="18">
        <f>1-(0.5/0.8)</f>
        <v>0.375</v>
      </c>
      <c r="G45" t="s">
        <v>147</v>
      </c>
      <c r="H45">
        <v>0.37</v>
      </c>
      <c r="I45">
        <v>0.35</v>
      </c>
      <c r="J45">
        <v>0.3</v>
      </c>
      <c r="K45">
        <v>0.38</v>
      </c>
      <c r="L45">
        <v>0.38</v>
      </c>
      <c r="M45">
        <v>0.39</v>
      </c>
      <c r="N45">
        <v>0.39</v>
      </c>
      <c r="O45">
        <v>0.38</v>
      </c>
      <c r="P45">
        <v>0.42</v>
      </c>
      <c r="Q45">
        <v>0.4</v>
      </c>
      <c r="R45">
        <v>0.37</v>
      </c>
      <c r="S45">
        <v>0.36</v>
      </c>
      <c r="T45" s="2"/>
    </row>
    <row r="46" spans="2:20" x14ac:dyDescent="0.45">
      <c r="B46" s="1" t="s">
        <v>148</v>
      </c>
      <c r="C46">
        <v>0.05</v>
      </c>
      <c r="G46" t="s">
        <v>148</v>
      </c>
      <c r="H46">
        <v>0.04</v>
      </c>
      <c r="I46">
        <v>0.04</v>
      </c>
      <c r="J46">
        <v>0.02</v>
      </c>
      <c r="K46">
        <v>0.06</v>
      </c>
      <c r="L46">
        <v>0.05</v>
      </c>
      <c r="M46">
        <v>0.04</v>
      </c>
      <c r="N46">
        <v>0.05</v>
      </c>
      <c r="O46">
        <v>0.06</v>
      </c>
      <c r="P46">
        <v>7.0000000000000007E-2</v>
      </c>
      <c r="Q46">
        <v>0.03</v>
      </c>
      <c r="R46">
        <v>0.03</v>
      </c>
      <c r="S46">
        <v>0.05</v>
      </c>
      <c r="T46" s="2"/>
    </row>
    <row r="47" spans="2:20" x14ac:dyDescent="0.45">
      <c r="B47" s="1"/>
      <c r="T47" s="2"/>
    </row>
    <row r="48" spans="2:20" x14ac:dyDescent="0.45">
      <c r="B48" s="1" t="s">
        <v>130</v>
      </c>
      <c r="Q48" s="72" t="s">
        <v>149</v>
      </c>
      <c r="R48" s="72"/>
      <c r="S48" s="72"/>
      <c r="T48" s="73"/>
    </row>
    <row r="49" spans="2:20" x14ac:dyDescent="0.45">
      <c r="B49" s="71">
        <f>AVERAGE(H44:S44)</f>
        <v>0.43166666666666664</v>
      </c>
      <c r="Q49" s="72"/>
      <c r="R49" s="72"/>
      <c r="S49" s="72"/>
      <c r="T49" s="73"/>
    </row>
    <row r="50" spans="2:20" x14ac:dyDescent="0.45">
      <c r="B50" s="71">
        <f>AVERAGE(H45:S45)</f>
        <v>0.3741666666666667</v>
      </c>
      <c r="Q50" s="72" t="s">
        <v>150</v>
      </c>
      <c r="R50" s="72"/>
      <c r="S50" s="72"/>
      <c r="T50" s="73"/>
    </row>
    <row r="51" spans="2:20" x14ac:dyDescent="0.45">
      <c r="B51" s="71">
        <f>AVERAGE(H46:S46)</f>
        <v>4.5000000000000005E-2</v>
      </c>
      <c r="Q51" s="72"/>
      <c r="R51" s="72"/>
      <c r="S51" s="72"/>
      <c r="T51" s="73"/>
    </row>
    <row r="52" spans="2:20" x14ac:dyDescent="0.45">
      <c r="B52" s="1"/>
      <c r="Q52" s="72" t="s">
        <v>151</v>
      </c>
      <c r="R52" s="72"/>
      <c r="S52" s="72"/>
      <c r="T52" s="73"/>
    </row>
    <row r="53" spans="2:20" x14ac:dyDescent="0.45">
      <c r="B53" s="1"/>
      <c r="Q53" s="72"/>
      <c r="R53" s="72"/>
      <c r="S53" s="72"/>
      <c r="T53" s="73"/>
    </row>
    <row r="54" spans="2:20" x14ac:dyDescent="0.45">
      <c r="B54" s="1"/>
      <c r="T54" s="2"/>
    </row>
    <row r="55" spans="2:20" x14ac:dyDescent="0.45">
      <c r="B55" s="1"/>
      <c r="T55" s="2"/>
    </row>
    <row r="56" spans="2:20" x14ac:dyDescent="0.45">
      <c r="B56" s="1"/>
      <c r="T56" s="2"/>
    </row>
    <row r="57" spans="2:20" x14ac:dyDescent="0.45">
      <c r="B57" s="1"/>
      <c r="T57" s="2"/>
    </row>
    <row r="58" spans="2:20" x14ac:dyDescent="0.45">
      <c r="B58" s="1"/>
      <c r="T58" s="2"/>
    </row>
    <row r="59" spans="2:20" x14ac:dyDescent="0.45">
      <c r="B59" s="1"/>
      <c r="T59" s="2"/>
    </row>
    <row r="60" spans="2:20" ht="14.65" thickBot="1" x14ac:dyDescent="0.5">
      <c r="B60" s="69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2"/>
    </row>
    <row r="61" spans="2:20" x14ac:dyDescent="0.45">
      <c r="B61" s="66" t="s">
        <v>126</v>
      </c>
      <c r="C61" s="67"/>
      <c r="D61" s="67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68"/>
    </row>
    <row r="62" spans="2:20" x14ac:dyDescent="0.45">
      <c r="B62" s="1"/>
      <c r="T62" s="2"/>
    </row>
    <row r="63" spans="2:20" x14ac:dyDescent="0.45">
      <c r="B63" s="1" t="s">
        <v>152</v>
      </c>
      <c r="G63" t="s">
        <v>153</v>
      </c>
      <c r="H63">
        <v>1</v>
      </c>
      <c r="I63">
        <v>2</v>
      </c>
      <c r="J63">
        <v>3</v>
      </c>
      <c r="K63">
        <v>4</v>
      </c>
      <c r="L63">
        <v>5</v>
      </c>
      <c r="M63">
        <v>6</v>
      </c>
      <c r="N63">
        <v>7</v>
      </c>
      <c r="O63">
        <v>8</v>
      </c>
      <c r="P63">
        <v>9</v>
      </c>
      <c r="Q63">
        <v>10</v>
      </c>
      <c r="R63">
        <v>11</v>
      </c>
      <c r="S63">
        <v>12</v>
      </c>
      <c r="T63" s="2"/>
    </row>
    <row r="64" spans="2:20" x14ac:dyDescent="0.45">
      <c r="B64" s="1" t="s">
        <v>147</v>
      </c>
      <c r="C64" s="8">
        <f>'COST ANALYSIS'!J18</f>
        <v>0.70000000000000007</v>
      </c>
      <c r="G64" t="s">
        <v>147</v>
      </c>
      <c r="H64" s="39">
        <v>0.7</v>
      </c>
      <c r="I64" s="39">
        <v>0.69</v>
      </c>
      <c r="J64" s="39">
        <v>0.67</v>
      </c>
      <c r="K64" s="39">
        <v>0.71</v>
      </c>
      <c r="L64" s="39">
        <v>0.78</v>
      </c>
      <c r="M64" s="39">
        <v>0.67</v>
      </c>
      <c r="N64" s="39">
        <v>0.65</v>
      </c>
      <c r="O64" s="39">
        <v>0.7</v>
      </c>
      <c r="P64" s="39">
        <v>0.68</v>
      </c>
      <c r="Q64" s="39">
        <v>0.7</v>
      </c>
      <c r="R64" s="39">
        <v>0.73</v>
      </c>
      <c r="S64" s="39">
        <v>0.72</v>
      </c>
      <c r="T64" s="2"/>
    </row>
    <row r="65" spans="2:20" x14ac:dyDescent="0.45">
      <c r="B65" s="1" t="s">
        <v>66</v>
      </c>
      <c r="C65" s="8">
        <f>'COST ANALYSIS'!J39</f>
        <v>1.75</v>
      </c>
      <c r="G65" t="s">
        <v>146</v>
      </c>
      <c r="H65">
        <v>1.75</v>
      </c>
      <c r="I65">
        <v>1.72</v>
      </c>
      <c r="J65">
        <v>1.74</v>
      </c>
      <c r="K65">
        <v>1.77</v>
      </c>
      <c r="L65">
        <v>1.72</v>
      </c>
      <c r="M65">
        <v>1.78</v>
      </c>
      <c r="N65">
        <v>1.75</v>
      </c>
      <c r="O65">
        <v>1.75</v>
      </c>
      <c r="P65">
        <v>1.74</v>
      </c>
      <c r="Q65">
        <v>1.72</v>
      </c>
      <c r="R65">
        <v>1.78</v>
      </c>
      <c r="S65">
        <v>1.72</v>
      </c>
      <c r="T65" s="2"/>
    </row>
    <row r="66" spans="2:20" x14ac:dyDescent="0.45">
      <c r="B66" s="1" t="s">
        <v>148</v>
      </c>
      <c r="C66" s="8">
        <f>'COST ANALYSIS'!J62</f>
        <v>1.0666666666666667</v>
      </c>
      <c r="G66" t="s">
        <v>148</v>
      </c>
      <c r="H66">
        <v>1.08</v>
      </c>
      <c r="I66">
        <v>1.05</v>
      </c>
      <c r="J66">
        <v>1.1100000000000001</v>
      </c>
      <c r="K66">
        <v>1.07</v>
      </c>
      <c r="L66">
        <v>1.06</v>
      </c>
      <c r="M66">
        <v>1.04</v>
      </c>
      <c r="N66">
        <v>1.0900000000000001</v>
      </c>
      <c r="O66">
        <v>1.07</v>
      </c>
      <c r="P66">
        <v>1.07</v>
      </c>
      <c r="Q66">
        <v>1.07</v>
      </c>
      <c r="R66">
        <v>1.0900000000000001</v>
      </c>
      <c r="S66">
        <v>1.06</v>
      </c>
      <c r="T66" s="2"/>
    </row>
    <row r="67" spans="2:20" x14ac:dyDescent="0.45">
      <c r="B67" s="1"/>
      <c r="Q67" s="72" t="s">
        <v>154</v>
      </c>
      <c r="R67" s="72"/>
      <c r="S67" s="72"/>
      <c r="T67" s="73"/>
    </row>
    <row r="68" spans="2:20" x14ac:dyDescent="0.45">
      <c r="B68" s="1"/>
      <c r="Q68" s="72"/>
      <c r="R68" s="72"/>
      <c r="S68" s="72"/>
      <c r="T68" s="73"/>
    </row>
    <row r="69" spans="2:20" x14ac:dyDescent="0.45">
      <c r="B69" s="1" t="s">
        <v>130</v>
      </c>
      <c r="Q69" s="72" t="s">
        <v>155</v>
      </c>
      <c r="R69" s="72"/>
      <c r="S69" s="72"/>
      <c r="T69" s="73"/>
    </row>
    <row r="70" spans="2:20" x14ac:dyDescent="0.45">
      <c r="B70" s="1" t="s">
        <v>57</v>
      </c>
      <c r="C70" s="16">
        <f>AVERAGE(H64:S64)</f>
        <v>0.70000000000000007</v>
      </c>
      <c r="Q70" s="72"/>
      <c r="R70" s="72"/>
      <c r="S70" s="72"/>
      <c r="T70" s="73"/>
    </row>
    <row r="71" spans="2:20" x14ac:dyDescent="0.45">
      <c r="B71" s="1" t="s">
        <v>146</v>
      </c>
      <c r="C71" s="16">
        <f>AVERAGE(H65:S65)</f>
        <v>1.7450000000000001</v>
      </c>
      <c r="Q71" s="72" t="s">
        <v>156</v>
      </c>
      <c r="R71" s="72"/>
      <c r="S71" s="72"/>
      <c r="T71" s="73"/>
    </row>
    <row r="72" spans="2:20" x14ac:dyDescent="0.45">
      <c r="B72" s="1" t="s">
        <v>148</v>
      </c>
      <c r="C72" s="16">
        <f>AVERAGE(H66:S66)</f>
        <v>1.0716666666666668</v>
      </c>
      <c r="Q72" s="72"/>
      <c r="R72" s="72"/>
      <c r="S72" s="72"/>
      <c r="T72" s="73"/>
    </row>
    <row r="73" spans="2:20" x14ac:dyDescent="0.45">
      <c r="B73" s="1"/>
      <c r="T73" s="2"/>
    </row>
    <row r="74" spans="2:20" x14ac:dyDescent="0.45">
      <c r="B74" s="1"/>
      <c r="T74" s="2"/>
    </row>
    <row r="75" spans="2:20" x14ac:dyDescent="0.45">
      <c r="B75" s="1"/>
      <c r="T75" s="2"/>
    </row>
    <row r="76" spans="2:20" x14ac:dyDescent="0.45">
      <c r="B76" s="1"/>
      <c r="T76" s="2"/>
    </row>
    <row r="77" spans="2:20" ht="14.65" thickBot="1" x14ac:dyDescent="0.5">
      <c r="B77" s="6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2"/>
    </row>
    <row r="78" spans="2:20" x14ac:dyDescent="0.45">
      <c r="B78" s="66" t="s">
        <v>157</v>
      </c>
      <c r="C78" s="67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68"/>
    </row>
    <row r="79" spans="2:20" x14ac:dyDescent="0.45">
      <c r="B79" s="1"/>
      <c r="T79" s="2"/>
    </row>
    <row r="80" spans="2:20" x14ac:dyDescent="0.45">
      <c r="B80" s="1" t="s">
        <v>158</v>
      </c>
      <c r="G80" t="s">
        <v>153</v>
      </c>
      <c r="H80">
        <v>1</v>
      </c>
      <c r="I80">
        <v>2</v>
      </c>
      <c r="J80">
        <v>3</v>
      </c>
      <c r="K80">
        <v>4</v>
      </c>
      <c r="L80">
        <v>5</v>
      </c>
      <c r="M80">
        <v>6</v>
      </c>
      <c r="N80">
        <v>7</v>
      </c>
      <c r="O80">
        <v>8</v>
      </c>
      <c r="P80">
        <v>9</v>
      </c>
      <c r="Q80">
        <v>10</v>
      </c>
      <c r="R80">
        <v>11</v>
      </c>
      <c r="S80">
        <v>12</v>
      </c>
      <c r="T80" s="2"/>
    </row>
    <row r="81" spans="2:20" x14ac:dyDescent="0.45">
      <c r="B81" s="1" t="s">
        <v>159</v>
      </c>
      <c r="G81" t="s">
        <v>147</v>
      </c>
      <c r="H81" s="40">
        <v>60261</v>
      </c>
      <c r="I81" s="40">
        <v>57636</v>
      </c>
      <c r="J81" s="40">
        <v>55047</v>
      </c>
      <c r="K81" s="40">
        <v>60636</v>
      </c>
      <c r="L81" s="40">
        <v>45707</v>
      </c>
      <c r="M81" s="40">
        <v>50151</v>
      </c>
      <c r="N81" s="40">
        <v>65675</v>
      </c>
      <c r="O81" s="40">
        <v>40681</v>
      </c>
      <c r="P81" s="40">
        <v>48228</v>
      </c>
      <c r="Q81" s="40">
        <v>58431</v>
      </c>
      <c r="R81" s="40">
        <v>69049</v>
      </c>
      <c r="S81" s="40">
        <v>59813</v>
      </c>
      <c r="T81" s="2"/>
    </row>
    <row r="82" spans="2:20" x14ac:dyDescent="0.45">
      <c r="B82" s="1" t="s">
        <v>57</v>
      </c>
      <c r="C82" s="3">
        <v>60000</v>
      </c>
      <c r="G82" t="s">
        <v>146</v>
      </c>
      <c r="H82" s="40">
        <v>35867</v>
      </c>
      <c r="I82" s="40">
        <v>30056</v>
      </c>
      <c r="J82" s="40">
        <v>30281</v>
      </c>
      <c r="K82" s="40">
        <v>25113</v>
      </c>
      <c r="L82" s="40">
        <v>37613</v>
      </c>
      <c r="M82" s="40">
        <v>25464</v>
      </c>
      <c r="N82" s="40">
        <v>27720</v>
      </c>
      <c r="O82" s="40">
        <v>35730</v>
      </c>
      <c r="P82" s="40">
        <v>34864</v>
      </c>
      <c r="Q82" s="40">
        <v>30969</v>
      </c>
      <c r="R82" s="40">
        <v>29248</v>
      </c>
      <c r="S82" s="40">
        <v>39635</v>
      </c>
      <c r="T82" s="2"/>
    </row>
    <row r="83" spans="2:20" x14ac:dyDescent="0.45">
      <c r="B83" s="1" t="s">
        <v>146</v>
      </c>
      <c r="C83" s="3">
        <v>30000</v>
      </c>
      <c r="G83" t="s">
        <v>148</v>
      </c>
      <c r="H83" s="40">
        <v>41686</v>
      </c>
      <c r="I83" s="40">
        <v>41809</v>
      </c>
      <c r="J83" s="40">
        <v>41001</v>
      </c>
      <c r="K83" s="40">
        <v>38168</v>
      </c>
      <c r="L83" s="40">
        <v>36324</v>
      </c>
      <c r="M83" s="40">
        <v>44083</v>
      </c>
      <c r="N83" s="40">
        <v>37290</v>
      </c>
      <c r="O83" s="40">
        <v>43701</v>
      </c>
      <c r="P83" s="40">
        <v>44935</v>
      </c>
      <c r="Q83" s="40">
        <v>35087</v>
      </c>
      <c r="R83" s="40">
        <v>42660</v>
      </c>
      <c r="S83" s="40">
        <v>40472</v>
      </c>
      <c r="T83" s="2"/>
    </row>
    <row r="84" spans="2:20" x14ac:dyDescent="0.45">
      <c r="B84" s="1" t="s">
        <v>148</v>
      </c>
      <c r="C84" s="3">
        <v>40000</v>
      </c>
      <c r="T84" s="2"/>
    </row>
    <row r="85" spans="2:20" x14ac:dyDescent="0.45">
      <c r="B85" s="1"/>
      <c r="T85" s="2"/>
    </row>
    <row r="86" spans="2:20" x14ac:dyDescent="0.45">
      <c r="B86" s="1" t="s">
        <v>130</v>
      </c>
      <c r="Q86" s="72" t="s">
        <v>160</v>
      </c>
      <c r="R86" s="72"/>
      <c r="S86" s="72"/>
      <c r="T86" s="73"/>
    </row>
    <row r="87" spans="2:20" x14ac:dyDescent="0.45">
      <c r="B87" s="1" t="s">
        <v>57</v>
      </c>
      <c r="C87" s="16">
        <f>AVERAGE(H81:S81)</f>
        <v>55942.916666666664</v>
      </c>
      <c r="Q87" s="72"/>
      <c r="R87" s="72"/>
      <c r="S87" s="72"/>
      <c r="T87" s="73"/>
    </row>
    <row r="88" spans="2:20" x14ac:dyDescent="0.45">
      <c r="B88" s="1" t="s">
        <v>146</v>
      </c>
      <c r="C88" s="16">
        <f>AVERAGE(H82:S82)</f>
        <v>31880</v>
      </c>
      <c r="Q88" s="72" t="s">
        <v>161</v>
      </c>
      <c r="R88" s="72"/>
      <c r="S88" s="72"/>
      <c r="T88" s="73"/>
    </row>
    <row r="89" spans="2:20" x14ac:dyDescent="0.45">
      <c r="B89" s="1" t="s">
        <v>148</v>
      </c>
      <c r="C89" s="16">
        <f>AVERAGE(H83:S83)</f>
        <v>40601.333333333336</v>
      </c>
      <c r="Q89" s="72"/>
      <c r="R89" s="72"/>
      <c r="S89" s="72"/>
      <c r="T89" s="73"/>
    </row>
    <row r="90" spans="2:20" x14ac:dyDescent="0.45">
      <c r="B90" s="1"/>
      <c r="Q90" s="72" t="s">
        <v>162</v>
      </c>
      <c r="R90" s="72"/>
      <c r="S90" s="72"/>
      <c r="T90" s="73"/>
    </row>
    <row r="91" spans="2:20" x14ac:dyDescent="0.45">
      <c r="B91" s="1"/>
      <c r="Q91" s="72"/>
      <c r="R91" s="72"/>
      <c r="S91" s="72"/>
      <c r="T91" s="73"/>
    </row>
    <row r="92" spans="2:20" x14ac:dyDescent="0.45">
      <c r="B92" s="1"/>
      <c r="T92" s="2"/>
    </row>
    <row r="93" spans="2:20" x14ac:dyDescent="0.45">
      <c r="B93" s="1"/>
      <c r="T93" s="2"/>
    </row>
    <row r="94" spans="2:20" ht="14.65" thickBot="1" x14ac:dyDescent="0.5">
      <c r="B94" s="69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2"/>
    </row>
    <row r="95" spans="2:20" x14ac:dyDescent="0.45">
      <c r="B95" s="66" t="s">
        <v>163</v>
      </c>
      <c r="C95" s="67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68"/>
    </row>
    <row r="96" spans="2:20" x14ac:dyDescent="0.45">
      <c r="B96" s="1"/>
      <c r="T96" s="2"/>
    </row>
    <row r="97" spans="2:20" x14ac:dyDescent="0.45">
      <c r="B97" s="1" t="s">
        <v>165</v>
      </c>
      <c r="G97" t="s">
        <v>164</v>
      </c>
      <c r="H97">
        <v>1</v>
      </c>
      <c r="I97">
        <v>2</v>
      </c>
      <c r="J97">
        <v>3</v>
      </c>
      <c r="K97">
        <v>4</v>
      </c>
      <c r="L97">
        <v>5</v>
      </c>
      <c r="M97">
        <v>6</v>
      </c>
      <c r="N97">
        <v>7</v>
      </c>
      <c r="O97">
        <v>8</v>
      </c>
      <c r="P97">
        <v>9</v>
      </c>
      <c r="Q97">
        <v>10</v>
      </c>
      <c r="R97">
        <v>11</v>
      </c>
      <c r="S97">
        <v>12</v>
      </c>
      <c r="T97" s="2"/>
    </row>
    <row r="98" spans="2:20" x14ac:dyDescent="0.45">
      <c r="B98" s="1" t="s">
        <v>166</v>
      </c>
      <c r="G98" t="s">
        <v>147</v>
      </c>
      <c r="H98" s="40">
        <v>1</v>
      </c>
      <c r="I98" s="40">
        <v>1</v>
      </c>
      <c r="J98" s="40">
        <v>1</v>
      </c>
      <c r="K98" s="40">
        <v>2</v>
      </c>
      <c r="L98" s="40">
        <v>2</v>
      </c>
      <c r="M98" s="40">
        <v>2</v>
      </c>
      <c r="N98" s="40">
        <v>3</v>
      </c>
      <c r="O98" s="40">
        <v>3</v>
      </c>
      <c r="P98" s="40">
        <v>2</v>
      </c>
      <c r="Q98" s="40">
        <v>3</v>
      </c>
      <c r="R98" s="40">
        <v>2</v>
      </c>
      <c r="S98" s="40">
        <v>1</v>
      </c>
      <c r="T98" s="2"/>
    </row>
    <row r="99" spans="2:20" x14ac:dyDescent="0.45">
      <c r="B99" s="1" t="s">
        <v>57</v>
      </c>
      <c r="C99" s="3">
        <v>2</v>
      </c>
      <c r="G99" t="s">
        <v>146</v>
      </c>
      <c r="H99" s="40">
        <v>2</v>
      </c>
      <c r="I99" s="40">
        <v>1</v>
      </c>
      <c r="J99" s="40">
        <v>1</v>
      </c>
      <c r="K99" s="40">
        <v>1</v>
      </c>
      <c r="L99" s="40">
        <v>4</v>
      </c>
      <c r="M99" s="40">
        <v>2</v>
      </c>
      <c r="N99" s="40">
        <v>2</v>
      </c>
      <c r="O99" s="40">
        <v>3</v>
      </c>
      <c r="P99" s="40">
        <v>3</v>
      </c>
      <c r="Q99" s="40">
        <v>3</v>
      </c>
      <c r="R99" s="40">
        <v>2</v>
      </c>
      <c r="S99" s="40">
        <v>1</v>
      </c>
      <c r="T99" s="2"/>
    </row>
    <row r="100" spans="2:20" x14ac:dyDescent="0.45">
      <c r="B100" s="1" t="s">
        <v>146</v>
      </c>
      <c r="C100" s="3">
        <v>2</v>
      </c>
      <c r="G100" t="s">
        <v>148</v>
      </c>
      <c r="H100" s="40">
        <v>2</v>
      </c>
      <c r="I100" s="40">
        <v>2</v>
      </c>
      <c r="J100" s="40">
        <v>2</v>
      </c>
      <c r="K100" s="40">
        <v>2</v>
      </c>
      <c r="L100" s="40">
        <v>2</v>
      </c>
      <c r="M100" s="40">
        <v>2</v>
      </c>
      <c r="N100" s="40">
        <v>2</v>
      </c>
      <c r="O100" s="40">
        <v>1</v>
      </c>
      <c r="P100" s="40">
        <v>2</v>
      </c>
      <c r="Q100" s="40">
        <v>2</v>
      </c>
      <c r="R100" s="40">
        <v>2</v>
      </c>
      <c r="S100" s="40">
        <v>1</v>
      </c>
      <c r="T100" s="2"/>
    </row>
    <row r="101" spans="2:20" x14ac:dyDescent="0.45">
      <c r="B101" s="1" t="s">
        <v>148</v>
      </c>
      <c r="C101" s="3">
        <v>2</v>
      </c>
      <c r="T101" s="2"/>
    </row>
    <row r="102" spans="2:20" x14ac:dyDescent="0.45">
      <c r="B102" s="1"/>
      <c r="T102" s="2"/>
    </row>
    <row r="103" spans="2:20" x14ac:dyDescent="0.45">
      <c r="B103" s="1" t="s">
        <v>130</v>
      </c>
      <c r="Q103" s="72" t="s">
        <v>167</v>
      </c>
      <c r="R103" s="72"/>
      <c r="S103" s="72"/>
      <c r="T103" s="73"/>
    </row>
    <row r="104" spans="2:20" x14ac:dyDescent="0.45">
      <c r="B104" s="1" t="s">
        <v>57</v>
      </c>
      <c r="C104" s="16">
        <f>AVERAGE(H98:S98)</f>
        <v>1.9166666666666667</v>
      </c>
      <c r="Q104" s="72"/>
      <c r="R104" s="72"/>
      <c r="S104" s="72"/>
      <c r="T104" s="73"/>
    </row>
    <row r="105" spans="2:20" x14ac:dyDescent="0.45">
      <c r="B105" s="1" t="s">
        <v>146</v>
      </c>
      <c r="C105" s="16">
        <f>AVERAGE(H99:S99)</f>
        <v>2.0833333333333335</v>
      </c>
      <c r="Q105" s="72" t="s">
        <v>168</v>
      </c>
      <c r="R105" s="72"/>
      <c r="S105" s="72"/>
      <c r="T105" s="73"/>
    </row>
    <row r="106" spans="2:20" x14ac:dyDescent="0.45">
      <c r="B106" s="1" t="s">
        <v>148</v>
      </c>
      <c r="C106" s="16">
        <f>AVERAGE(H100:S100)</f>
        <v>1.8333333333333333</v>
      </c>
      <c r="Q106" s="72"/>
      <c r="R106" s="72"/>
      <c r="S106" s="72"/>
      <c r="T106" s="73"/>
    </row>
    <row r="107" spans="2:20" x14ac:dyDescent="0.45">
      <c r="B107" s="1"/>
      <c r="Q107" s="72" t="s">
        <v>169</v>
      </c>
      <c r="R107" s="72"/>
      <c r="S107" s="72"/>
      <c r="T107" s="73"/>
    </row>
    <row r="108" spans="2:20" x14ac:dyDescent="0.45">
      <c r="B108" s="1"/>
      <c r="Q108" s="72"/>
      <c r="R108" s="72"/>
      <c r="S108" s="72"/>
      <c r="T108" s="73"/>
    </row>
    <row r="109" spans="2:20" x14ac:dyDescent="0.45">
      <c r="B109" s="1"/>
      <c r="T109" s="2"/>
    </row>
    <row r="110" spans="2:20" x14ac:dyDescent="0.45">
      <c r="B110" s="1"/>
      <c r="T110" s="2"/>
    </row>
    <row r="111" spans="2:20" ht="14.65" thickBot="1" x14ac:dyDescent="0.5">
      <c r="B111" s="6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2"/>
    </row>
  </sheetData>
  <mergeCells count="18">
    <mergeCell ref="Q107:T108"/>
    <mergeCell ref="Q48:T49"/>
    <mergeCell ref="Q50:T51"/>
    <mergeCell ref="Q52:T53"/>
    <mergeCell ref="Q67:T68"/>
    <mergeCell ref="Q69:T70"/>
    <mergeCell ref="Q71:T72"/>
    <mergeCell ref="Q86:T87"/>
    <mergeCell ref="Q88:T89"/>
    <mergeCell ref="Q90:T91"/>
    <mergeCell ref="Q103:T104"/>
    <mergeCell ref="Q105:T106"/>
    <mergeCell ref="H33:K34"/>
    <mergeCell ref="O11:Q12"/>
    <mergeCell ref="O13:Q14"/>
    <mergeCell ref="O15:Q16"/>
    <mergeCell ref="H29:K30"/>
    <mergeCell ref="H31:K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8B01-04E4-4591-ACFE-5B2498D5C8EC}">
  <dimension ref="D2:L47"/>
  <sheetViews>
    <sheetView showGridLines="0" zoomScale="78" workbookViewId="0"/>
  </sheetViews>
  <sheetFormatPr baseColWidth="10" defaultRowHeight="14.25" x14ac:dyDescent="0.45"/>
  <cols>
    <col min="4" max="4" width="28" bestFit="1" customWidth="1"/>
    <col min="5" max="5" width="12.19921875" bestFit="1" customWidth="1"/>
    <col min="8" max="8" width="16.46484375" customWidth="1"/>
  </cols>
  <sheetData>
    <row r="2" spans="4:12" ht="14.65" thickBot="1" x14ac:dyDescent="0.5"/>
    <row r="3" spans="4:12" ht="21.4" thickBot="1" x14ac:dyDescent="0.7">
      <c r="D3" s="74" t="s">
        <v>54</v>
      </c>
      <c r="E3" s="75"/>
      <c r="F3" s="75"/>
      <c r="G3" s="75"/>
      <c r="H3" s="75"/>
      <c r="I3" s="75"/>
      <c r="J3" s="76"/>
      <c r="L3" t="s">
        <v>61</v>
      </c>
    </row>
    <row r="4" spans="4:12" x14ac:dyDescent="0.45">
      <c r="D4" s="54"/>
      <c r="E4" s="55"/>
      <c r="F4" s="55"/>
      <c r="G4" s="55"/>
      <c r="H4" s="55"/>
      <c r="I4" s="55"/>
      <c r="J4" s="56" t="s">
        <v>55</v>
      </c>
      <c r="L4" s="3" t="s">
        <v>97</v>
      </c>
    </row>
    <row r="5" spans="4:12" x14ac:dyDescent="0.45">
      <c r="D5" s="1" t="s">
        <v>65</v>
      </c>
      <c r="E5" s="3">
        <f>SUM(E6:E8)</f>
        <v>200000</v>
      </c>
      <c r="J5" s="2"/>
      <c r="L5" t="s">
        <v>86</v>
      </c>
    </row>
    <row r="6" spans="4:12" x14ac:dyDescent="0.45">
      <c r="D6" s="50" t="s">
        <v>57</v>
      </c>
      <c r="E6" s="40">
        <f>50000*2</f>
        <v>100000</v>
      </c>
      <c r="J6" s="2"/>
    </row>
    <row r="7" spans="4:12" x14ac:dyDescent="0.45">
      <c r="D7" s="50" t="s">
        <v>66</v>
      </c>
      <c r="E7" s="3">
        <v>40000</v>
      </c>
      <c r="J7" s="2"/>
    </row>
    <row r="8" spans="4:12" x14ac:dyDescent="0.45">
      <c r="D8" s="50" t="s">
        <v>59</v>
      </c>
      <c r="E8" s="3">
        <v>60000</v>
      </c>
      <c r="J8" s="2"/>
    </row>
    <row r="9" spans="4:12" x14ac:dyDescent="0.45">
      <c r="D9" s="1"/>
      <c r="J9" s="2"/>
    </row>
    <row r="10" spans="4:12" x14ac:dyDescent="0.45">
      <c r="D10" s="45" t="s">
        <v>56</v>
      </c>
      <c r="E10" s="46"/>
      <c r="F10" s="46" t="s">
        <v>0</v>
      </c>
      <c r="H10" t="s">
        <v>1</v>
      </c>
      <c r="J10" s="2"/>
    </row>
    <row r="11" spans="4:12" x14ac:dyDescent="0.45">
      <c r="D11" s="1"/>
      <c r="E11" t="s">
        <v>60</v>
      </c>
      <c r="F11" s="7">
        <f>'COST ANALYSIS'!J21</f>
        <v>9</v>
      </c>
      <c r="H11" s="4">
        <f>F11*E6</f>
        <v>900000</v>
      </c>
      <c r="J11" s="2"/>
    </row>
    <row r="12" spans="4:12" x14ac:dyDescent="0.45">
      <c r="D12" s="1"/>
      <c r="E12" t="s">
        <v>62</v>
      </c>
      <c r="F12" s="7">
        <f>'COST ANALYSIS'!J42</f>
        <v>12</v>
      </c>
      <c r="H12" s="4">
        <f>F12*E7</f>
        <v>480000</v>
      </c>
      <c r="J12" s="2"/>
    </row>
    <row r="13" spans="4:12" x14ac:dyDescent="0.45">
      <c r="D13" s="1"/>
      <c r="E13" t="s">
        <v>63</v>
      </c>
      <c r="F13" s="7">
        <f>'COST ANALYSIS'!J65</f>
        <v>2.5</v>
      </c>
      <c r="H13" s="4">
        <f>F13*E8</f>
        <v>150000</v>
      </c>
      <c r="J13" s="5"/>
    </row>
    <row r="14" spans="4:12" x14ac:dyDescent="0.45">
      <c r="D14" s="1"/>
      <c r="J14" s="5"/>
    </row>
    <row r="15" spans="4:12" x14ac:dyDescent="0.45">
      <c r="D15" s="30" t="s">
        <v>64</v>
      </c>
      <c r="E15" s="21"/>
      <c r="F15" s="21"/>
      <c r="G15" s="21"/>
      <c r="H15" s="26">
        <f>SUM(H11:H13)</f>
        <v>1530000</v>
      </c>
      <c r="I15" t="s">
        <v>2</v>
      </c>
      <c r="J15" s="5"/>
    </row>
    <row r="16" spans="4:12" x14ac:dyDescent="0.45">
      <c r="D16" s="1"/>
      <c r="H16" s="8"/>
      <c r="J16" s="5"/>
    </row>
    <row r="17" spans="4:11" x14ac:dyDescent="0.45">
      <c r="D17" s="1" t="s">
        <v>3</v>
      </c>
      <c r="E17" t="s">
        <v>60</v>
      </c>
      <c r="F17" s="7">
        <f>'COST ANALYSIS'!J20</f>
        <v>3.6900000000000008</v>
      </c>
      <c r="H17" s="8">
        <f>F17*E6</f>
        <v>369000.00000000006</v>
      </c>
      <c r="I17" t="s">
        <v>3</v>
      </c>
      <c r="J17" s="5"/>
    </row>
    <row r="18" spans="4:11" x14ac:dyDescent="0.45">
      <c r="D18" s="1"/>
      <c r="E18" t="s">
        <v>62</v>
      </c>
      <c r="F18" s="7">
        <f>'COST ANALYSIS'!J41</f>
        <v>4.7699999999999996</v>
      </c>
      <c r="H18" s="8">
        <f>F18*E7</f>
        <v>190799.99999999997</v>
      </c>
      <c r="I18" t="s">
        <v>3</v>
      </c>
      <c r="J18" s="5"/>
    </row>
    <row r="19" spans="4:11" x14ac:dyDescent="0.45">
      <c r="D19" s="1"/>
      <c r="E19" t="s">
        <v>63</v>
      </c>
      <c r="F19" s="7">
        <f>'COST ANALYSIS'!J64</f>
        <v>2.0074666666666667</v>
      </c>
      <c r="H19" s="8">
        <f>F19*E8</f>
        <v>120448</v>
      </c>
      <c r="I19" t="s">
        <v>3</v>
      </c>
      <c r="J19" s="5"/>
    </row>
    <row r="20" spans="4:11" x14ac:dyDescent="0.45">
      <c r="D20" s="6"/>
      <c r="F20" s="7"/>
      <c r="H20" s="4"/>
      <c r="J20" s="2"/>
    </row>
    <row r="21" spans="4:11" x14ac:dyDescent="0.45">
      <c r="D21" s="30" t="s">
        <v>92</v>
      </c>
      <c r="E21" s="21"/>
      <c r="F21" s="21"/>
      <c r="G21" s="21"/>
      <c r="H21" s="26">
        <f>H15-H17-H18-H19</f>
        <v>849752</v>
      </c>
      <c r="I21" s="51">
        <f>H21/H15</f>
        <v>0.55539346405228762</v>
      </c>
      <c r="J21" s="2"/>
    </row>
    <row r="22" spans="4:11" x14ac:dyDescent="0.45">
      <c r="D22" s="6"/>
      <c r="F22" s="38" t="s">
        <v>94</v>
      </c>
      <c r="H22" s="4"/>
      <c r="J22" s="2"/>
    </row>
    <row r="23" spans="4:11" ht="15.4" customHeight="1" x14ac:dyDescent="0.45">
      <c r="D23" s="49" t="s">
        <v>93</v>
      </c>
      <c r="E23" s="39"/>
      <c r="F23" s="4">
        <f>H23/E5</f>
        <v>1.5</v>
      </c>
      <c r="H23" s="4">
        <f>6000000*0.05</f>
        <v>300000</v>
      </c>
      <c r="I23" t="s">
        <v>4</v>
      </c>
      <c r="J23" s="2"/>
    </row>
    <row r="24" spans="4:11" x14ac:dyDescent="0.45">
      <c r="D24" s="6" t="s">
        <v>5</v>
      </c>
      <c r="F24" s="4">
        <f t="shared" ref="F24:F35" si="0">H24/$E$5</f>
        <v>0.32500000000000001</v>
      </c>
      <c r="H24" s="4">
        <f>65000</f>
        <v>65000</v>
      </c>
      <c r="I24" t="s">
        <v>4</v>
      </c>
      <c r="J24" s="2"/>
    </row>
    <row r="25" spans="4:11" x14ac:dyDescent="0.45">
      <c r="D25" s="6" t="s">
        <v>6</v>
      </c>
      <c r="F25" s="4">
        <f t="shared" si="0"/>
        <v>5.2500000000000003E-3</v>
      </c>
      <c r="H25" s="4">
        <f>175*6</f>
        <v>1050</v>
      </c>
      <c r="I25" t="s">
        <v>3</v>
      </c>
      <c r="J25" s="2"/>
      <c r="K25" t="s">
        <v>95</v>
      </c>
    </row>
    <row r="26" spans="4:11" x14ac:dyDescent="0.45">
      <c r="D26" s="6" t="s">
        <v>7</v>
      </c>
      <c r="F26" s="4">
        <f t="shared" si="0"/>
        <v>0</v>
      </c>
      <c r="H26" s="4">
        <v>0</v>
      </c>
      <c r="J26" s="2"/>
    </row>
    <row r="27" spans="4:11" x14ac:dyDescent="0.45">
      <c r="D27" s="6" t="s">
        <v>8</v>
      </c>
      <c r="F27" s="4">
        <f t="shared" si="0"/>
        <v>0</v>
      </c>
      <c r="H27" s="4">
        <v>0</v>
      </c>
      <c r="J27" s="2"/>
    </row>
    <row r="28" spans="4:11" x14ac:dyDescent="0.45">
      <c r="D28" s="6" t="s">
        <v>9</v>
      </c>
      <c r="F28" s="4">
        <f t="shared" si="0"/>
        <v>0</v>
      </c>
      <c r="H28" s="4">
        <v>0</v>
      </c>
      <c r="J28" s="2"/>
    </row>
    <row r="29" spans="4:11" x14ac:dyDescent="0.45">
      <c r="D29" s="6" t="s">
        <v>10</v>
      </c>
      <c r="F29" s="4">
        <f t="shared" si="0"/>
        <v>2.1499999999999998E-2</v>
      </c>
      <c r="H29" s="4">
        <v>4300</v>
      </c>
      <c r="I29" t="s">
        <v>3</v>
      </c>
      <c r="J29" s="2"/>
    </row>
    <row r="30" spans="4:11" x14ac:dyDescent="0.45">
      <c r="D30" s="6" t="s">
        <v>11</v>
      </c>
      <c r="F30" s="4">
        <f t="shared" si="0"/>
        <v>4.4999999999999997E-3</v>
      </c>
      <c r="H30" s="4">
        <f>150*6</f>
        <v>900</v>
      </c>
      <c r="I30" t="s">
        <v>3</v>
      </c>
      <c r="J30" s="5"/>
    </row>
    <row r="31" spans="4:11" x14ac:dyDescent="0.45">
      <c r="D31" s="6" t="s">
        <v>12</v>
      </c>
      <c r="F31" s="4">
        <f t="shared" si="0"/>
        <v>1.4999999999999999E-2</v>
      </c>
      <c r="H31" s="7">
        <v>3000</v>
      </c>
      <c r="I31" t="s">
        <v>4</v>
      </c>
      <c r="J31" s="2"/>
    </row>
    <row r="32" spans="4:11" x14ac:dyDescent="0.45">
      <c r="D32" s="6" t="s">
        <v>13</v>
      </c>
      <c r="F32" s="4">
        <f t="shared" si="0"/>
        <v>7.4999999999999997E-3</v>
      </c>
      <c r="H32" s="7">
        <v>1500</v>
      </c>
      <c r="I32" t="s">
        <v>4</v>
      </c>
      <c r="J32" s="2"/>
    </row>
    <row r="33" spans="4:10" x14ac:dyDescent="0.45">
      <c r="D33" s="6" t="s">
        <v>14</v>
      </c>
      <c r="F33" s="4">
        <f t="shared" si="0"/>
        <v>2E-3</v>
      </c>
      <c r="H33" s="7">
        <v>400</v>
      </c>
      <c r="I33" t="s">
        <v>4</v>
      </c>
      <c r="J33" s="2"/>
    </row>
    <row r="34" spans="4:10" x14ac:dyDescent="0.45">
      <c r="D34" s="6" t="s">
        <v>15</v>
      </c>
      <c r="F34" s="4">
        <f t="shared" si="0"/>
        <v>1.5E-3</v>
      </c>
      <c r="H34" s="7">
        <v>300</v>
      </c>
      <c r="I34" t="s">
        <v>4</v>
      </c>
      <c r="J34" s="2"/>
    </row>
    <row r="35" spans="4:10" x14ac:dyDescent="0.45">
      <c r="D35" s="6" t="s">
        <v>16</v>
      </c>
      <c r="F35" s="4">
        <f t="shared" si="0"/>
        <v>8.9999999999999993E-3</v>
      </c>
      <c r="H35" s="4">
        <f>300*6</f>
        <v>1800</v>
      </c>
      <c r="J35" s="2"/>
    </row>
    <row r="36" spans="4:10" x14ac:dyDescent="0.45">
      <c r="D36" s="52" t="s">
        <v>98</v>
      </c>
      <c r="E36" s="46"/>
      <c r="F36" s="46"/>
      <c r="G36" s="46"/>
      <c r="H36" s="53">
        <f>SUM(H23:H35)</f>
        <v>378250</v>
      </c>
      <c r="J36" s="2"/>
    </row>
    <row r="37" spans="4:10" x14ac:dyDescent="0.45">
      <c r="D37" s="30" t="s">
        <v>96</v>
      </c>
      <c r="E37" s="21"/>
      <c r="F37" s="21"/>
      <c r="G37" s="21"/>
      <c r="H37" s="26">
        <f>H21-H36</f>
        <v>471502</v>
      </c>
      <c r="I37" s="51">
        <f>H37/H15</f>
        <v>0.30817124183006533</v>
      </c>
      <c r="J37" s="2"/>
    </row>
    <row r="38" spans="4:10" x14ac:dyDescent="0.45">
      <c r="D38" s="1" t="s">
        <v>99</v>
      </c>
      <c r="H38" s="8">
        <f>H37*0.3</f>
        <v>141450.6</v>
      </c>
      <c r="J38" s="2"/>
    </row>
    <row r="39" spans="4:10" x14ac:dyDescent="0.45">
      <c r="D39" s="30" t="s">
        <v>100</v>
      </c>
      <c r="E39" s="21"/>
      <c r="F39" s="21"/>
      <c r="G39" s="21"/>
      <c r="H39" s="26">
        <f>H37-H38</f>
        <v>330051.40000000002</v>
      </c>
      <c r="I39" s="51">
        <f>H39/H15</f>
        <v>0.21571986928104578</v>
      </c>
      <c r="J39" s="2"/>
    </row>
    <row r="40" spans="4:10" x14ac:dyDescent="0.45">
      <c r="D40" s="1"/>
      <c r="J40" s="2"/>
    </row>
    <row r="41" spans="4:10" ht="14.65" thickBot="1" x14ac:dyDescent="0.5">
      <c r="D41" s="9"/>
      <c r="E41" s="10"/>
      <c r="F41" s="10"/>
      <c r="G41" s="10"/>
      <c r="H41" s="11"/>
      <c r="I41" s="10"/>
      <c r="J41" s="12"/>
    </row>
    <row r="43" spans="4:10" x14ac:dyDescent="0.45">
      <c r="D43" s="21" t="s">
        <v>101</v>
      </c>
    </row>
    <row r="44" spans="4:10" x14ac:dyDescent="0.45">
      <c r="D44" t="s">
        <v>102</v>
      </c>
      <c r="E44" s="8">
        <f>SUM(F23:F35)</f>
        <v>1.8912499999999999</v>
      </c>
    </row>
    <row r="45" spans="4:10" x14ac:dyDescent="0.45">
      <c r="D45" t="s">
        <v>103</v>
      </c>
      <c r="E45" s="8">
        <f>$E$44+F17</f>
        <v>5.5812500000000007</v>
      </c>
    </row>
    <row r="46" spans="4:10" x14ac:dyDescent="0.45">
      <c r="D46" t="s">
        <v>104</v>
      </c>
      <c r="E46" s="8">
        <f>$E$44+F18</f>
        <v>6.661249999999999</v>
      </c>
    </row>
    <row r="47" spans="4:10" x14ac:dyDescent="0.45">
      <c r="D47" t="s">
        <v>105</v>
      </c>
      <c r="E47" s="8">
        <f>$E$44+F19</f>
        <v>3.8987166666666666</v>
      </c>
      <c r="F47" t="s">
        <v>106</v>
      </c>
    </row>
  </sheetData>
  <mergeCells count="1">
    <mergeCell ref="D3:J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D166-65EF-41AE-B2AD-E62C512FCDE0}">
  <dimension ref="D2:N88"/>
  <sheetViews>
    <sheetView showGridLines="0" zoomScale="93" workbookViewId="0">
      <selection activeCell="M32" sqref="M32"/>
    </sheetView>
  </sheetViews>
  <sheetFormatPr baseColWidth="10" defaultRowHeight="14.25" x14ac:dyDescent="0.45"/>
  <cols>
    <col min="8" max="8" width="11.06640625" bestFit="1" customWidth="1"/>
    <col min="9" max="9" width="14.265625" bestFit="1" customWidth="1"/>
  </cols>
  <sheetData>
    <row r="2" spans="4:12" ht="14.65" thickBot="1" x14ac:dyDescent="0.5"/>
    <row r="3" spans="4:12" s="15" customFormat="1" ht="31.25" customHeight="1" thickBot="1" x14ac:dyDescent="0.9">
      <c r="D3" s="77" t="s">
        <v>57</v>
      </c>
      <c r="E3" s="78"/>
      <c r="F3" s="78"/>
      <c r="G3" s="78"/>
      <c r="H3" s="78"/>
      <c r="I3" s="78"/>
      <c r="J3" s="79"/>
    </row>
    <row r="4" spans="4:12" x14ac:dyDescent="0.45">
      <c r="D4" s="80" t="s">
        <v>21</v>
      </c>
      <c r="E4" s="81"/>
      <c r="F4" s="81"/>
      <c r="G4" s="81"/>
      <c r="H4" s="81"/>
      <c r="I4" s="81"/>
      <c r="J4" s="82"/>
      <c r="L4" t="s">
        <v>109</v>
      </c>
    </row>
    <row r="5" spans="4:12" x14ac:dyDescent="0.45">
      <c r="D5" s="1"/>
      <c r="H5" s="22" t="s">
        <v>26</v>
      </c>
      <c r="I5" s="22" t="s">
        <v>23</v>
      </c>
      <c r="J5" s="27" t="s">
        <v>24</v>
      </c>
      <c r="L5" s="8">
        <f>J18*0.2</f>
        <v>0.14000000000000001</v>
      </c>
    </row>
    <row r="6" spans="4:12" x14ac:dyDescent="0.45">
      <c r="D6" s="1" t="s">
        <v>22</v>
      </c>
      <c r="H6" s="23" t="s">
        <v>27</v>
      </c>
      <c r="J6" s="28" t="s">
        <v>36</v>
      </c>
    </row>
    <row r="7" spans="4:12" x14ac:dyDescent="0.45">
      <c r="D7" s="1" t="s">
        <v>25</v>
      </c>
      <c r="H7" s="4">
        <v>2.2000000000000002</v>
      </c>
      <c r="I7">
        <v>0.8</v>
      </c>
      <c r="J7" s="29">
        <f>H7*I7</f>
        <v>1.7600000000000002</v>
      </c>
    </row>
    <row r="8" spans="4:12" x14ac:dyDescent="0.45">
      <c r="D8" s="1"/>
      <c r="H8" s="4"/>
      <c r="J8" s="29"/>
    </row>
    <row r="9" spans="4:12" x14ac:dyDescent="0.45">
      <c r="D9" s="1" t="s">
        <v>29</v>
      </c>
      <c r="H9" s="24" t="s">
        <v>30</v>
      </c>
      <c r="J9" s="29"/>
    </row>
    <row r="10" spans="4:12" x14ac:dyDescent="0.45">
      <c r="D10" s="1" t="s">
        <v>31</v>
      </c>
      <c r="H10" s="25">
        <v>0.12</v>
      </c>
      <c r="I10">
        <v>1</v>
      </c>
      <c r="J10" s="29">
        <f>I10*H10</f>
        <v>0.12</v>
      </c>
    </row>
    <row r="11" spans="4:12" x14ac:dyDescent="0.45">
      <c r="D11" s="1" t="s">
        <v>32</v>
      </c>
      <c r="H11" s="25">
        <v>1.8</v>
      </c>
      <c r="I11">
        <v>0.05</v>
      </c>
      <c r="J11" s="29">
        <f>I11*H11</f>
        <v>9.0000000000000011E-2</v>
      </c>
    </row>
    <row r="12" spans="4:12" x14ac:dyDescent="0.45">
      <c r="D12" s="1"/>
      <c r="H12" s="4"/>
      <c r="J12" s="29"/>
    </row>
    <row r="13" spans="4:12" x14ac:dyDescent="0.45">
      <c r="D13" s="1" t="s">
        <v>33</v>
      </c>
      <c r="H13" s="4">
        <v>0.5</v>
      </c>
      <c r="I13">
        <v>1</v>
      </c>
      <c r="J13" s="29">
        <f>I13*H13</f>
        <v>0.5</v>
      </c>
    </row>
    <row r="14" spans="4:12" x14ac:dyDescent="0.45">
      <c r="D14" s="1" t="s">
        <v>46</v>
      </c>
      <c r="H14" s="4">
        <v>0.1</v>
      </c>
      <c r="I14">
        <v>1</v>
      </c>
      <c r="J14" s="29">
        <f>I14*H14</f>
        <v>0.1</v>
      </c>
    </row>
    <row r="15" spans="4:12" x14ac:dyDescent="0.45">
      <c r="D15" s="1" t="s">
        <v>47</v>
      </c>
      <c r="H15" s="4">
        <v>0.42</v>
      </c>
      <c r="I15">
        <v>1</v>
      </c>
      <c r="J15" s="29">
        <f>I15*H15</f>
        <v>0.42</v>
      </c>
    </row>
    <row r="16" spans="4:12" x14ac:dyDescent="0.45">
      <c r="D16" s="30" t="s">
        <v>48</v>
      </c>
      <c r="E16" s="21"/>
      <c r="F16" s="21"/>
      <c r="G16" s="21"/>
      <c r="H16" s="21"/>
      <c r="I16" s="21"/>
      <c r="J16" s="31">
        <f>SUM(J7:J15)</f>
        <v>2.9900000000000007</v>
      </c>
    </row>
    <row r="17" spans="4:12" x14ac:dyDescent="0.45">
      <c r="D17" s="1"/>
      <c r="H17" s="4" t="s">
        <v>52</v>
      </c>
      <c r="J17" s="29"/>
      <c r="K17" s="13"/>
    </row>
    <row r="18" spans="4:12" x14ac:dyDescent="0.45">
      <c r="D18" s="1" t="s">
        <v>51</v>
      </c>
      <c r="H18" s="4">
        <v>35000</v>
      </c>
      <c r="I18">
        <f>1/50000</f>
        <v>2.0000000000000002E-5</v>
      </c>
      <c r="J18" s="32">
        <f>I18*H18</f>
        <v>0.70000000000000007</v>
      </c>
      <c r="K18" t="s">
        <v>53</v>
      </c>
    </row>
    <row r="19" spans="4:12" x14ac:dyDescent="0.45">
      <c r="D19" s="1"/>
      <c r="H19" s="4"/>
      <c r="J19" s="29"/>
    </row>
    <row r="20" spans="4:12" ht="14.65" thickBot="1" x14ac:dyDescent="0.5">
      <c r="D20" s="33" t="s">
        <v>87</v>
      </c>
      <c r="E20" s="34"/>
      <c r="F20" s="34"/>
      <c r="G20" s="34"/>
      <c r="H20" s="35"/>
      <c r="I20" s="34"/>
      <c r="J20" s="36">
        <f>J16+J18</f>
        <v>3.6900000000000008</v>
      </c>
    </row>
    <row r="21" spans="4:12" x14ac:dyDescent="0.45">
      <c r="H21" s="7"/>
      <c r="I21" t="s">
        <v>88</v>
      </c>
      <c r="J21" s="7">
        <v>9</v>
      </c>
    </row>
    <row r="22" spans="4:12" x14ac:dyDescent="0.45">
      <c r="H22" s="7"/>
      <c r="I22" t="s">
        <v>89</v>
      </c>
      <c r="J22" s="48">
        <f>(J21/J20)-1</f>
        <v>1.4390243902439019</v>
      </c>
    </row>
    <row r="23" spans="4:12" ht="14.65" thickBot="1" x14ac:dyDescent="0.5">
      <c r="H23" s="7"/>
      <c r="J23" s="48"/>
    </row>
    <row r="24" spans="4:12" ht="27" thickBot="1" x14ac:dyDescent="0.9">
      <c r="D24" s="77" t="s">
        <v>58</v>
      </c>
      <c r="E24" s="78"/>
      <c r="F24" s="78"/>
      <c r="G24" s="78"/>
      <c r="H24" s="78"/>
      <c r="I24" s="78"/>
      <c r="J24" s="79"/>
    </row>
    <row r="25" spans="4:12" x14ac:dyDescent="0.45">
      <c r="D25" s="80" t="s">
        <v>70</v>
      </c>
      <c r="E25" s="81"/>
      <c r="F25" s="81"/>
      <c r="G25" s="81"/>
      <c r="H25" s="81"/>
      <c r="I25" s="81"/>
      <c r="J25" s="82"/>
      <c r="L25" t="s">
        <v>109</v>
      </c>
    </row>
    <row r="26" spans="4:12" x14ac:dyDescent="0.45">
      <c r="D26" s="1"/>
      <c r="H26" s="22" t="s">
        <v>26</v>
      </c>
      <c r="I26" s="22" t="s">
        <v>23</v>
      </c>
      <c r="J26" s="27" t="s">
        <v>24</v>
      </c>
      <c r="L26" s="8">
        <f>J39*0.2</f>
        <v>0.35000000000000003</v>
      </c>
    </row>
    <row r="27" spans="4:12" x14ac:dyDescent="0.45">
      <c r="D27" s="1" t="s">
        <v>22</v>
      </c>
      <c r="H27" s="23" t="s">
        <v>27</v>
      </c>
      <c r="J27" s="28" t="s">
        <v>36</v>
      </c>
    </row>
    <row r="28" spans="4:12" x14ac:dyDescent="0.45">
      <c r="D28" s="1" t="s">
        <v>71</v>
      </c>
      <c r="H28" s="4">
        <v>0.9</v>
      </c>
      <c r="I28">
        <v>1.8</v>
      </c>
      <c r="J28" s="29">
        <f>H28*I28</f>
        <v>1.62</v>
      </c>
    </row>
    <row r="29" spans="4:12" x14ac:dyDescent="0.45">
      <c r="D29" s="1"/>
      <c r="H29" s="4"/>
      <c r="J29" s="29"/>
    </row>
    <row r="30" spans="4:12" x14ac:dyDescent="0.45">
      <c r="D30" s="1" t="s">
        <v>29</v>
      </c>
      <c r="H30" s="24" t="s">
        <v>30</v>
      </c>
      <c r="J30" s="29"/>
    </row>
    <row r="31" spans="4:12" x14ac:dyDescent="0.45">
      <c r="D31" s="1" t="s">
        <v>75</v>
      </c>
      <c r="H31" s="25">
        <v>0.16</v>
      </c>
      <c r="I31">
        <v>1</v>
      </c>
      <c r="J31" s="29">
        <f>I31*H31</f>
        <v>0.16</v>
      </c>
    </row>
    <row r="32" spans="4:12" x14ac:dyDescent="0.45">
      <c r="D32" s="1" t="s">
        <v>76</v>
      </c>
      <c r="H32" s="25">
        <v>1.6</v>
      </c>
      <c r="I32">
        <v>0.1</v>
      </c>
      <c r="J32" s="29">
        <f>I32*H32</f>
        <v>0.16000000000000003</v>
      </c>
    </row>
    <row r="33" spans="4:12" x14ac:dyDescent="0.45">
      <c r="D33" s="1"/>
      <c r="H33" s="4"/>
      <c r="J33" s="29"/>
    </row>
    <row r="34" spans="4:12" x14ac:dyDescent="0.45">
      <c r="D34" s="1" t="s">
        <v>74</v>
      </c>
      <c r="H34" s="4">
        <v>0.5</v>
      </c>
      <c r="I34">
        <v>1</v>
      </c>
      <c r="J34" s="29">
        <f>I34*H34</f>
        <v>0.5</v>
      </c>
    </row>
    <row r="35" spans="4:12" x14ac:dyDescent="0.45">
      <c r="D35" s="1" t="s">
        <v>46</v>
      </c>
      <c r="H35" s="4">
        <v>0.12</v>
      </c>
      <c r="I35">
        <v>1</v>
      </c>
      <c r="J35" s="29">
        <f>I35*H35</f>
        <v>0.12</v>
      </c>
    </row>
    <row r="36" spans="4:12" x14ac:dyDescent="0.45">
      <c r="D36" s="1" t="s">
        <v>47</v>
      </c>
      <c r="H36" s="4">
        <v>0.46</v>
      </c>
      <c r="I36">
        <v>1</v>
      </c>
      <c r="J36" s="29">
        <f>I36*H36</f>
        <v>0.46</v>
      </c>
    </row>
    <row r="37" spans="4:12" x14ac:dyDescent="0.45">
      <c r="D37" s="30" t="s">
        <v>48</v>
      </c>
      <c r="E37" s="21"/>
      <c r="F37" s="21"/>
      <c r="G37" s="21"/>
      <c r="H37" s="21"/>
      <c r="I37" s="21"/>
      <c r="J37" s="31">
        <f>SUM(J28:J36)</f>
        <v>3.02</v>
      </c>
    </row>
    <row r="38" spans="4:12" x14ac:dyDescent="0.45">
      <c r="D38" s="1"/>
      <c r="H38" s="4" t="s">
        <v>52</v>
      </c>
      <c r="J38" s="29"/>
    </row>
    <row r="39" spans="4:12" x14ac:dyDescent="0.45">
      <c r="D39" s="1" t="s">
        <v>51</v>
      </c>
      <c r="H39" s="4">
        <v>35000</v>
      </c>
      <c r="I39" s="88">
        <f>1/20000</f>
        <v>5.0000000000000002E-5</v>
      </c>
      <c r="J39" s="32">
        <f>I39*H39</f>
        <v>1.75</v>
      </c>
      <c r="K39" t="s">
        <v>77</v>
      </c>
    </row>
    <row r="40" spans="4:12" x14ac:dyDescent="0.45">
      <c r="D40" s="1"/>
      <c r="H40" s="4"/>
      <c r="J40" s="29"/>
    </row>
    <row r="41" spans="4:12" ht="14.65" thickBot="1" x14ac:dyDescent="0.5">
      <c r="D41" s="33" t="s">
        <v>87</v>
      </c>
      <c r="E41" s="34"/>
      <c r="F41" s="34"/>
      <c r="G41" s="34"/>
      <c r="H41" s="35"/>
      <c r="I41" s="34"/>
      <c r="J41" s="36">
        <f>J37+J39</f>
        <v>4.7699999999999996</v>
      </c>
    </row>
    <row r="42" spans="4:12" x14ac:dyDescent="0.45">
      <c r="H42" s="7"/>
      <c r="I42" t="s">
        <v>88</v>
      </c>
      <c r="J42" s="7">
        <v>12</v>
      </c>
    </row>
    <row r="43" spans="4:12" x14ac:dyDescent="0.45">
      <c r="H43" s="7"/>
      <c r="I43" t="s">
        <v>89</v>
      </c>
      <c r="J43" s="48">
        <f>(J42/J41)-1</f>
        <v>1.5157232704402519</v>
      </c>
    </row>
    <row r="44" spans="4:12" ht="14.65" thickBot="1" x14ac:dyDescent="0.5">
      <c r="H44" s="7"/>
      <c r="J44" s="48"/>
    </row>
    <row r="45" spans="4:12" ht="27" thickBot="1" x14ac:dyDescent="0.9">
      <c r="D45" s="77" t="s">
        <v>59</v>
      </c>
      <c r="E45" s="78"/>
      <c r="F45" s="78"/>
      <c r="G45" s="78"/>
      <c r="H45" s="78"/>
      <c r="I45" s="78"/>
      <c r="J45" s="79"/>
    </row>
    <row r="46" spans="4:12" x14ac:dyDescent="0.45">
      <c r="D46" s="80" t="s">
        <v>72</v>
      </c>
      <c r="E46" s="81"/>
      <c r="F46" s="81"/>
      <c r="G46" s="81"/>
      <c r="H46" s="81"/>
      <c r="I46" s="81"/>
      <c r="J46" s="82"/>
      <c r="L46" t="s">
        <v>109</v>
      </c>
    </row>
    <row r="47" spans="4:12" x14ac:dyDescent="0.45">
      <c r="D47" s="1"/>
      <c r="H47" s="22" t="s">
        <v>26</v>
      </c>
      <c r="I47" s="22" t="s">
        <v>23</v>
      </c>
      <c r="J47" s="27" t="s">
        <v>24</v>
      </c>
      <c r="L47" s="8">
        <f>J62*0.2</f>
        <v>0.21333333333333335</v>
      </c>
    </row>
    <row r="48" spans="4:12" x14ac:dyDescent="0.45">
      <c r="D48" s="1" t="s">
        <v>22</v>
      </c>
      <c r="H48" s="23" t="s">
        <v>27</v>
      </c>
      <c r="J48" s="28" t="s">
        <v>36</v>
      </c>
    </row>
    <row r="49" spans="4:11" x14ac:dyDescent="0.45">
      <c r="D49" s="1" t="s">
        <v>79</v>
      </c>
      <c r="H49" s="4">
        <v>0.9</v>
      </c>
      <c r="I49">
        <v>0.112</v>
      </c>
      <c r="J49" s="29">
        <f>H49*I49</f>
        <v>0.1008</v>
      </c>
    </row>
    <row r="50" spans="4:11" x14ac:dyDescent="0.45">
      <c r="D50" s="1" t="s">
        <v>80</v>
      </c>
      <c r="H50" s="4">
        <v>1.2</v>
      </c>
      <c r="I50">
        <v>0.05</v>
      </c>
      <c r="J50" s="29">
        <f>H50*I50</f>
        <v>0.06</v>
      </c>
    </row>
    <row r="51" spans="4:11" x14ac:dyDescent="0.45">
      <c r="D51" s="1"/>
      <c r="H51" s="4"/>
      <c r="J51" s="29"/>
    </row>
    <row r="52" spans="4:11" x14ac:dyDescent="0.45">
      <c r="D52" s="1"/>
      <c r="H52" s="4"/>
      <c r="J52" s="29"/>
    </row>
    <row r="53" spans="4:11" x14ac:dyDescent="0.45">
      <c r="D53" s="1" t="s">
        <v>29</v>
      </c>
      <c r="H53" s="24" t="s">
        <v>30</v>
      </c>
      <c r="J53" s="29"/>
    </row>
    <row r="54" spans="4:11" x14ac:dyDescent="0.45">
      <c r="D54" s="1" t="s">
        <v>81</v>
      </c>
      <c r="H54" s="25">
        <v>0.18</v>
      </c>
      <c r="I54">
        <v>1</v>
      </c>
      <c r="J54" s="29">
        <f>I54*H54</f>
        <v>0.18</v>
      </c>
    </row>
    <row r="55" spans="4:11" x14ac:dyDescent="0.45">
      <c r="D55" s="1" t="s">
        <v>32</v>
      </c>
      <c r="H55" s="25">
        <v>2</v>
      </c>
      <c r="I55">
        <v>0.05</v>
      </c>
      <c r="J55" s="29">
        <f>I55*H55</f>
        <v>0.1</v>
      </c>
    </row>
    <row r="56" spans="4:11" x14ac:dyDescent="0.45">
      <c r="D56" s="1"/>
      <c r="H56" s="4"/>
      <c r="J56" s="29"/>
    </row>
    <row r="57" spans="4:11" x14ac:dyDescent="0.45">
      <c r="D57" s="1" t="s">
        <v>82</v>
      </c>
      <c r="H57" s="4">
        <v>0.3</v>
      </c>
      <c r="I57">
        <v>1</v>
      </c>
      <c r="J57" s="29">
        <f>I57*H57</f>
        <v>0.3</v>
      </c>
    </row>
    <row r="58" spans="4:11" x14ac:dyDescent="0.45">
      <c r="D58" s="1"/>
      <c r="H58" s="4"/>
      <c r="J58" s="29"/>
    </row>
    <row r="59" spans="4:11" x14ac:dyDescent="0.45">
      <c r="D59" s="1" t="s">
        <v>47</v>
      </c>
      <c r="H59" s="4">
        <v>0.2</v>
      </c>
      <c r="I59">
        <v>1</v>
      </c>
      <c r="J59" s="29">
        <f>I59*H59</f>
        <v>0.2</v>
      </c>
    </row>
    <row r="60" spans="4:11" x14ac:dyDescent="0.45">
      <c r="D60" s="30" t="s">
        <v>48</v>
      </c>
      <c r="E60" s="21"/>
      <c r="F60" s="21"/>
      <c r="G60" s="21"/>
      <c r="H60" s="21"/>
      <c r="I60" s="21"/>
      <c r="J60" s="31">
        <f>SUM(J49:J59)</f>
        <v>0.94079999999999986</v>
      </c>
    </row>
    <row r="61" spans="4:11" x14ac:dyDescent="0.45">
      <c r="D61" s="1"/>
      <c r="H61" s="4" t="s">
        <v>52</v>
      </c>
      <c r="J61" s="29"/>
    </row>
    <row r="62" spans="4:11" x14ac:dyDescent="0.45">
      <c r="D62" s="1" t="s">
        <v>51</v>
      </c>
      <c r="H62" s="4">
        <v>32000</v>
      </c>
      <c r="I62" s="47">
        <f>1/30000</f>
        <v>3.3333333333333335E-5</v>
      </c>
      <c r="J62" s="32">
        <f>I62*H62</f>
        <v>1.0666666666666667</v>
      </c>
      <c r="K62" t="s">
        <v>78</v>
      </c>
    </row>
    <row r="63" spans="4:11" x14ac:dyDescent="0.45">
      <c r="D63" s="1"/>
      <c r="H63" s="4"/>
      <c r="J63" s="29"/>
      <c r="K63" t="s">
        <v>91</v>
      </c>
    </row>
    <row r="64" spans="4:11" ht="14.65" thickBot="1" x14ac:dyDescent="0.5">
      <c r="D64" s="33" t="s">
        <v>87</v>
      </c>
      <c r="E64" s="34"/>
      <c r="F64" s="34"/>
      <c r="G64" s="34"/>
      <c r="H64" s="35"/>
      <c r="I64" s="34"/>
      <c r="J64" s="36">
        <f>J60+J62</f>
        <v>2.0074666666666667</v>
      </c>
    </row>
    <row r="65" spans="4:14" x14ac:dyDescent="0.45">
      <c r="H65" s="7"/>
      <c r="I65" t="s">
        <v>88</v>
      </c>
      <c r="J65" s="7">
        <f>2.5</f>
        <v>2.5</v>
      </c>
    </row>
    <row r="66" spans="4:14" x14ac:dyDescent="0.45">
      <c r="I66" t="s">
        <v>89</v>
      </c>
      <c r="J66" s="48">
        <f>(J65/J64)-1</f>
        <v>0.24535069075451643</v>
      </c>
      <c r="K66" t="s">
        <v>90</v>
      </c>
    </row>
    <row r="67" spans="4:14" x14ac:dyDescent="0.45">
      <c r="D67" s="83" t="s">
        <v>28</v>
      </c>
      <c r="E67" s="83"/>
      <c r="F67" s="83"/>
      <c r="G67" s="83"/>
      <c r="H67" s="83"/>
      <c r="I67" s="83"/>
      <c r="J67" s="83"/>
    </row>
    <row r="68" spans="4:14" x14ac:dyDescent="0.45">
      <c r="D68" s="84" t="s">
        <v>17</v>
      </c>
      <c r="E68" s="84"/>
      <c r="F68" s="84"/>
      <c r="G68" s="84"/>
      <c r="H68" s="84"/>
      <c r="I68" s="84"/>
      <c r="J68" s="84"/>
    </row>
    <row r="69" spans="4:14" x14ac:dyDescent="0.45">
      <c r="D69" s="84"/>
      <c r="E69" s="84"/>
      <c r="F69" s="84"/>
      <c r="G69" s="84"/>
      <c r="H69" s="84"/>
      <c r="I69" s="84"/>
      <c r="J69" s="84"/>
    </row>
    <row r="70" spans="4:14" x14ac:dyDescent="0.45">
      <c r="D70" s="84"/>
      <c r="E70" s="84"/>
      <c r="F70" s="84"/>
      <c r="G70" s="84"/>
      <c r="H70" s="84"/>
      <c r="I70" s="84"/>
      <c r="J70" s="84"/>
    </row>
    <row r="71" spans="4:14" x14ac:dyDescent="0.45">
      <c r="D71" s="84" t="s">
        <v>18</v>
      </c>
      <c r="E71" s="84"/>
      <c r="F71" s="84"/>
      <c r="G71" s="84"/>
      <c r="H71" s="84"/>
      <c r="I71" s="84"/>
      <c r="J71" s="84"/>
      <c r="K71" s="14"/>
      <c r="L71" s="14"/>
      <c r="M71" s="14"/>
      <c r="N71" s="14"/>
    </row>
    <row r="72" spans="4:14" x14ac:dyDescent="0.45">
      <c r="D72" s="84"/>
      <c r="E72" s="84"/>
      <c r="F72" s="84"/>
      <c r="G72" s="84"/>
      <c r="H72" s="84"/>
      <c r="I72" s="84"/>
      <c r="J72" s="84"/>
      <c r="K72" s="14"/>
      <c r="L72" s="14"/>
      <c r="M72" s="14"/>
      <c r="N72" s="14"/>
    </row>
    <row r="73" spans="4:14" x14ac:dyDescent="0.45">
      <c r="D73" s="84"/>
      <c r="E73" s="84"/>
      <c r="F73" s="84"/>
      <c r="G73" s="84"/>
      <c r="H73" s="84"/>
      <c r="I73" s="84"/>
      <c r="J73" s="84"/>
      <c r="K73" s="14"/>
      <c r="L73" s="14"/>
      <c r="M73" s="14"/>
      <c r="N73" s="14"/>
    </row>
    <row r="74" spans="4:14" x14ac:dyDescent="0.45">
      <c r="D74" s="84" t="s">
        <v>19</v>
      </c>
      <c r="E74" s="84"/>
      <c r="F74" s="84"/>
      <c r="G74" s="84"/>
      <c r="H74" s="84"/>
      <c r="I74" s="84"/>
      <c r="J74" s="84"/>
    </row>
    <row r="75" spans="4:14" x14ac:dyDescent="0.45">
      <c r="D75" s="84"/>
      <c r="E75" s="84"/>
      <c r="F75" s="84"/>
      <c r="G75" s="84"/>
      <c r="H75" s="84"/>
      <c r="I75" s="84"/>
      <c r="J75" s="84"/>
      <c r="L75" s="13"/>
    </row>
    <row r="76" spans="4:14" x14ac:dyDescent="0.45">
      <c r="D76" s="84"/>
      <c r="E76" s="84"/>
      <c r="F76" s="84"/>
      <c r="G76" s="84"/>
      <c r="H76" s="84"/>
      <c r="I76" s="84"/>
      <c r="J76" s="84"/>
    </row>
    <row r="77" spans="4:14" x14ac:dyDescent="0.45">
      <c r="D77" s="84" t="s">
        <v>20</v>
      </c>
      <c r="E77" s="84"/>
      <c r="F77" s="84"/>
      <c r="G77" s="84"/>
      <c r="H77" s="84"/>
      <c r="I77" s="84"/>
      <c r="J77" s="84"/>
    </row>
    <row r="78" spans="4:14" x14ac:dyDescent="0.45">
      <c r="D78" s="84"/>
      <c r="E78" s="84"/>
      <c r="F78" s="84"/>
      <c r="G78" s="84"/>
      <c r="H78" s="84"/>
      <c r="I78" s="84"/>
      <c r="J78" s="84"/>
    </row>
    <row r="79" spans="4:14" x14ac:dyDescent="0.45">
      <c r="D79" s="84"/>
      <c r="E79" s="84"/>
      <c r="F79" s="84"/>
      <c r="G79" s="84"/>
      <c r="H79" s="84"/>
      <c r="I79" s="84"/>
      <c r="J79" s="84"/>
    </row>
    <row r="80" spans="4:14" x14ac:dyDescent="0.45">
      <c r="D80" s="84" t="s">
        <v>83</v>
      </c>
      <c r="E80" s="84"/>
      <c r="F80" s="84"/>
      <c r="G80" s="84"/>
      <c r="H80" s="84"/>
      <c r="I80" s="84"/>
      <c r="J80" s="84"/>
    </row>
    <row r="81" spans="4:11" x14ac:dyDescent="0.45">
      <c r="D81" s="84"/>
      <c r="E81" s="84"/>
      <c r="F81" s="84"/>
      <c r="G81" s="84"/>
      <c r="H81" s="84"/>
      <c r="I81" s="84"/>
      <c r="J81" s="84"/>
    </row>
    <row r="82" spans="4:11" x14ac:dyDescent="0.45">
      <c r="D82" s="84"/>
      <c r="E82" s="84"/>
      <c r="F82" s="84"/>
      <c r="G82" s="84"/>
      <c r="H82" s="84"/>
      <c r="I82" s="84"/>
      <c r="J82" s="84"/>
      <c r="K82" s="13"/>
    </row>
    <row r="83" spans="4:11" x14ac:dyDescent="0.45">
      <c r="D83" s="84" t="s">
        <v>84</v>
      </c>
      <c r="E83" s="84"/>
      <c r="F83" s="84"/>
      <c r="G83" s="84"/>
      <c r="H83" s="84"/>
      <c r="I83" s="84"/>
      <c r="J83" s="84"/>
      <c r="K83" s="13"/>
    </row>
    <row r="84" spans="4:11" x14ac:dyDescent="0.45">
      <c r="D84" s="84"/>
      <c r="E84" s="84"/>
      <c r="F84" s="84"/>
      <c r="G84" s="84"/>
      <c r="H84" s="84"/>
      <c r="I84" s="84"/>
      <c r="J84" s="84"/>
    </row>
    <row r="85" spans="4:11" x14ac:dyDescent="0.45">
      <c r="D85" s="84"/>
      <c r="E85" s="84"/>
      <c r="F85" s="84"/>
      <c r="G85" s="84"/>
      <c r="H85" s="84"/>
      <c r="I85" s="84"/>
      <c r="J85" s="84"/>
    </row>
    <row r="86" spans="4:11" x14ac:dyDescent="0.45">
      <c r="D86" s="84" t="s">
        <v>85</v>
      </c>
      <c r="E86" s="84"/>
      <c r="F86" s="84"/>
      <c r="G86" s="84"/>
      <c r="H86" s="84"/>
      <c r="I86" s="84"/>
      <c r="J86" s="84"/>
      <c r="K86" s="13"/>
    </row>
    <row r="87" spans="4:11" x14ac:dyDescent="0.45">
      <c r="D87" s="84"/>
      <c r="E87" s="84"/>
      <c r="F87" s="84"/>
      <c r="G87" s="84"/>
      <c r="H87" s="84"/>
      <c r="I87" s="84"/>
      <c r="J87" s="84"/>
    </row>
    <row r="88" spans="4:11" x14ac:dyDescent="0.45">
      <c r="D88" s="84"/>
      <c r="E88" s="84"/>
      <c r="F88" s="84"/>
      <c r="G88" s="84"/>
      <c r="H88" s="84"/>
      <c r="I88" s="84"/>
      <c r="J88" s="84"/>
    </row>
  </sheetData>
  <mergeCells count="14">
    <mergeCell ref="D80:J82"/>
    <mergeCell ref="D83:J85"/>
    <mergeCell ref="D86:J88"/>
    <mergeCell ref="D68:J70"/>
    <mergeCell ref="D71:J73"/>
    <mergeCell ref="D74:J76"/>
    <mergeCell ref="D77:J79"/>
    <mergeCell ref="D3:J3"/>
    <mergeCell ref="D4:J4"/>
    <mergeCell ref="D67:J67"/>
    <mergeCell ref="D24:J24"/>
    <mergeCell ref="D25:J25"/>
    <mergeCell ref="D45:J45"/>
    <mergeCell ref="D46:J46"/>
  </mergeCells>
  <hyperlinks>
    <hyperlink ref="D68" r:id="rId1" display="https://pmc.ncbi.nlm.nih.gov/articles/PMC12377620/?utm_source=chatgpt.com" xr:uid="{C97456A3-8A20-48F7-9998-B3C8AF09F335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1BAD5-8C9B-4DF2-B29A-D6410A1BC037}">
  <dimension ref="D2:R47"/>
  <sheetViews>
    <sheetView showGridLines="0" zoomScale="69" workbookViewId="0">
      <selection activeCell="L19" sqref="L19:P22"/>
    </sheetView>
  </sheetViews>
  <sheetFormatPr baseColWidth="10" defaultRowHeight="14.25" x14ac:dyDescent="0.45"/>
  <cols>
    <col min="4" max="4" width="28" bestFit="1" customWidth="1"/>
    <col min="5" max="5" width="12.19921875" bestFit="1" customWidth="1"/>
    <col min="8" max="8" width="16.46484375" customWidth="1"/>
  </cols>
  <sheetData>
    <row r="2" spans="4:18" ht="14.65" thickBot="1" x14ac:dyDescent="0.5"/>
    <row r="3" spans="4:18" ht="21.4" thickBot="1" x14ac:dyDescent="0.7">
      <c r="D3" s="74" t="s">
        <v>54</v>
      </c>
      <c r="E3" s="75"/>
      <c r="F3" s="75"/>
      <c r="G3" s="75"/>
      <c r="H3" s="75"/>
      <c r="I3" s="75"/>
      <c r="J3" s="76"/>
      <c r="L3" t="s">
        <v>61</v>
      </c>
    </row>
    <row r="4" spans="4:18" x14ac:dyDescent="0.45">
      <c r="D4" s="54"/>
      <c r="E4" s="55"/>
      <c r="F4" s="55"/>
      <c r="G4" s="55"/>
      <c r="H4" s="55"/>
      <c r="I4" s="55"/>
      <c r="J4" s="56" t="s">
        <v>55</v>
      </c>
      <c r="L4" s="3" t="s">
        <v>97</v>
      </c>
    </row>
    <row r="5" spans="4:18" x14ac:dyDescent="0.45">
      <c r="D5" s="1" t="s">
        <v>65</v>
      </c>
      <c r="E5" s="3">
        <f>SUM(E6:E8)</f>
        <v>200000</v>
      </c>
      <c r="J5" s="2"/>
      <c r="L5" t="s">
        <v>86</v>
      </c>
    </row>
    <row r="6" spans="4:18" x14ac:dyDescent="0.45">
      <c r="D6" s="50" t="s">
        <v>57</v>
      </c>
      <c r="E6" s="40">
        <f>50000*2</f>
        <v>100000</v>
      </c>
      <c r="J6" s="2"/>
    </row>
    <row r="7" spans="4:18" x14ac:dyDescent="0.45">
      <c r="D7" s="50" t="s">
        <v>66</v>
      </c>
      <c r="E7" s="3">
        <v>40000</v>
      </c>
      <c r="J7" s="2"/>
    </row>
    <row r="8" spans="4:18" x14ac:dyDescent="0.45">
      <c r="D8" s="50" t="s">
        <v>59</v>
      </c>
      <c r="E8" s="3">
        <v>60000</v>
      </c>
      <c r="J8" s="2"/>
    </row>
    <row r="9" spans="4:18" x14ac:dyDescent="0.45">
      <c r="D9" s="1"/>
      <c r="J9" s="2"/>
      <c r="L9" s="21" t="s">
        <v>107</v>
      </c>
    </row>
    <row r="10" spans="4:18" x14ac:dyDescent="0.45">
      <c r="D10" s="45" t="s">
        <v>56</v>
      </c>
      <c r="E10" s="46"/>
      <c r="F10" s="46" t="s">
        <v>0</v>
      </c>
      <c r="H10" t="s">
        <v>1</v>
      </c>
      <c r="J10" s="2"/>
      <c r="L10" s="57" t="s">
        <v>108</v>
      </c>
      <c r="M10" s="57"/>
      <c r="N10" s="57"/>
      <c r="O10" s="57"/>
      <c r="P10" s="57"/>
    </row>
    <row r="11" spans="4:18" x14ac:dyDescent="0.45">
      <c r="D11" s="1"/>
      <c r="E11" t="s">
        <v>60</v>
      </c>
      <c r="F11" s="7">
        <f>'COST ANALYSIS'!J21</f>
        <v>9</v>
      </c>
      <c r="H11" s="4">
        <f>F11*E6</f>
        <v>900000</v>
      </c>
      <c r="J11" s="2"/>
      <c r="L11" s="20" t="s">
        <v>110</v>
      </c>
      <c r="M11" s="20"/>
      <c r="N11" s="20"/>
      <c r="O11" s="20"/>
      <c r="P11" s="20"/>
      <c r="Q11" s="20"/>
      <c r="R11" s="20"/>
    </row>
    <row r="12" spans="4:18" x14ac:dyDescent="0.45">
      <c r="D12" s="1"/>
      <c r="E12" t="s">
        <v>62</v>
      </c>
      <c r="F12" s="7">
        <f>'COST ANALYSIS'!J42</f>
        <v>12</v>
      </c>
      <c r="H12" s="4">
        <f>F12*E7</f>
        <v>480000</v>
      </c>
      <c r="J12" s="2"/>
      <c r="L12" s="60" t="s">
        <v>111</v>
      </c>
      <c r="M12" s="60"/>
      <c r="N12" s="60"/>
      <c r="O12" s="60"/>
    </row>
    <row r="13" spans="4:18" x14ac:dyDescent="0.45">
      <c r="D13" s="1"/>
      <c r="E13" t="s">
        <v>63</v>
      </c>
      <c r="F13" s="7">
        <f>'COST ANALYSIS'!J65</f>
        <v>2.5</v>
      </c>
      <c r="H13" s="4">
        <f>F13*E8</f>
        <v>150000</v>
      </c>
      <c r="J13" s="5"/>
      <c r="L13" s="62" t="s">
        <v>112</v>
      </c>
      <c r="M13" s="62"/>
      <c r="N13" s="62"/>
    </row>
    <row r="14" spans="4:18" x14ac:dyDescent="0.45">
      <c r="D14" s="1"/>
      <c r="J14" s="5"/>
      <c r="L14" s="64" t="s">
        <v>113</v>
      </c>
      <c r="M14" s="64"/>
      <c r="N14" s="64"/>
    </row>
    <row r="15" spans="4:18" x14ac:dyDescent="0.45">
      <c r="D15" s="30" t="s">
        <v>64</v>
      </c>
      <c r="E15" s="21"/>
      <c r="F15" s="21"/>
      <c r="G15" s="21"/>
      <c r="H15" s="26">
        <f>SUM(H11:H13)</f>
        <v>1530000</v>
      </c>
      <c r="I15" t="s">
        <v>2</v>
      </c>
      <c r="J15" s="5"/>
    </row>
    <row r="16" spans="4:18" x14ac:dyDescent="0.45">
      <c r="D16" s="1"/>
      <c r="H16" s="8"/>
      <c r="J16" s="5"/>
    </row>
    <row r="17" spans="4:16" x14ac:dyDescent="0.45">
      <c r="D17" s="1" t="s">
        <v>3</v>
      </c>
      <c r="E17" t="s">
        <v>60</v>
      </c>
      <c r="F17" s="58">
        <f>'COST ANALYSIS'!J20+'COST ANALYSIS'!L5</f>
        <v>3.830000000000001</v>
      </c>
      <c r="H17" s="8">
        <f>F17*E6</f>
        <v>383000.00000000012</v>
      </c>
      <c r="I17" t="s">
        <v>3</v>
      </c>
      <c r="J17" s="5"/>
      <c r="L17" t="s">
        <v>114</v>
      </c>
    </row>
    <row r="18" spans="4:16" x14ac:dyDescent="0.45">
      <c r="D18" s="1"/>
      <c r="E18" t="s">
        <v>62</v>
      </c>
      <c r="F18" s="58">
        <f>'COST ANALYSIS'!J41+'COST ANALYSIS'!L26</f>
        <v>5.1199999999999992</v>
      </c>
      <c r="H18" s="8">
        <f>F18*E7</f>
        <v>204799.99999999997</v>
      </c>
      <c r="I18" t="s">
        <v>3</v>
      </c>
      <c r="J18" s="5"/>
      <c r="L18" t="s">
        <v>115</v>
      </c>
    </row>
    <row r="19" spans="4:16" x14ac:dyDescent="0.45">
      <c r="D19" s="1"/>
      <c r="E19" t="s">
        <v>63</v>
      </c>
      <c r="F19" s="58">
        <f>'COST ANALYSIS'!J64+'COST ANALYSIS'!L47</f>
        <v>2.2208000000000001</v>
      </c>
      <c r="H19" s="8">
        <f>F19*E8</f>
        <v>133248</v>
      </c>
      <c r="I19" t="s">
        <v>3</v>
      </c>
      <c r="J19" s="5"/>
      <c r="L19" s="85" t="s">
        <v>116</v>
      </c>
      <c r="M19" s="85"/>
      <c r="N19" s="85"/>
      <c r="O19" s="85"/>
      <c r="P19" s="85"/>
    </row>
    <row r="20" spans="4:16" x14ac:dyDescent="0.45">
      <c r="D20" s="6"/>
      <c r="F20" s="7"/>
      <c r="H20" s="4"/>
      <c r="J20" s="2"/>
      <c r="L20" s="85"/>
      <c r="M20" s="85"/>
      <c r="N20" s="85"/>
      <c r="O20" s="85"/>
      <c r="P20" s="85"/>
    </row>
    <row r="21" spans="4:16" x14ac:dyDescent="0.45">
      <c r="D21" s="30" t="s">
        <v>92</v>
      </c>
      <c r="E21" s="21"/>
      <c r="F21" s="21"/>
      <c r="G21" s="21"/>
      <c r="H21" s="26">
        <f>H15-H17-H18-H19</f>
        <v>808952</v>
      </c>
      <c r="I21" s="51">
        <f>H21/H15</f>
        <v>0.52872679738562089</v>
      </c>
      <c r="J21" s="2"/>
      <c r="L21" s="85"/>
      <c r="M21" s="85"/>
      <c r="N21" s="85"/>
      <c r="O21" s="85"/>
      <c r="P21" s="85"/>
    </row>
    <row r="22" spans="4:16" x14ac:dyDescent="0.45">
      <c r="D22" s="6"/>
      <c r="F22" s="38" t="s">
        <v>94</v>
      </c>
      <c r="H22" s="4"/>
      <c r="J22" s="2"/>
      <c r="L22" s="85"/>
      <c r="M22" s="85"/>
      <c r="N22" s="85"/>
      <c r="O22" s="85"/>
      <c r="P22" s="85"/>
    </row>
    <row r="23" spans="4:16" ht="15.4" customHeight="1" x14ac:dyDescent="0.45">
      <c r="D23" s="49" t="s">
        <v>93</v>
      </c>
      <c r="E23" s="39"/>
      <c r="F23" s="4">
        <f>H23/E5</f>
        <v>3</v>
      </c>
      <c r="H23" s="59">
        <f>12000000*0.05</f>
        <v>600000</v>
      </c>
      <c r="I23" t="s">
        <v>4</v>
      </c>
      <c r="J23" s="2"/>
    </row>
    <row r="24" spans="4:16" x14ac:dyDescent="0.45">
      <c r="D24" s="6" t="s">
        <v>5</v>
      </c>
      <c r="F24" s="4">
        <f t="shared" ref="F24:F35" si="0">H24/$E$5</f>
        <v>0.42249999999999999</v>
      </c>
      <c r="H24" s="61">
        <f>65000*1.3</f>
        <v>84500</v>
      </c>
      <c r="I24" t="s">
        <v>4</v>
      </c>
      <c r="J24" s="2"/>
    </row>
    <row r="25" spans="4:16" x14ac:dyDescent="0.45">
      <c r="D25" s="6" t="s">
        <v>6</v>
      </c>
      <c r="F25" s="4">
        <f t="shared" si="0"/>
        <v>5.2500000000000003E-3</v>
      </c>
      <c r="H25" s="4">
        <f>175*6</f>
        <v>1050</v>
      </c>
      <c r="I25" t="s">
        <v>3</v>
      </c>
      <c r="J25" s="2"/>
      <c r="K25" t="s">
        <v>95</v>
      </c>
    </row>
    <row r="26" spans="4:16" x14ac:dyDescent="0.45">
      <c r="D26" s="6" t="s">
        <v>7</v>
      </c>
      <c r="F26" s="4">
        <f t="shared" si="0"/>
        <v>0</v>
      </c>
      <c r="H26" s="4">
        <v>0</v>
      </c>
      <c r="J26" s="2"/>
    </row>
    <row r="27" spans="4:16" x14ac:dyDescent="0.45">
      <c r="D27" s="6" t="s">
        <v>8</v>
      </c>
      <c r="F27" s="4">
        <f t="shared" si="0"/>
        <v>0</v>
      </c>
      <c r="H27" s="4">
        <v>0</v>
      </c>
      <c r="J27" s="2"/>
    </row>
    <row r="28" spans="4:16" x14ac:dyDescent="0.45">
      <c r="D28" s="6" t="s">
        <v>9</v>
      </c>
      <c r="F28" s="4">
        <f t="shared" si="0"/>
        <v>0</v>
      </c>
      <c r="H28" s="4">
        <v>0</v>
      </c>
      <c r="J28" s="2"/>
    </row>
    <row r="29" spans="4:16" x14ac:dyDescent="0.45">
      <c r="D29" s="6" t="s">
        <v>10</v>
      </c>
      <c r="F29" s="4">
        <f t="shared" si="0"/>
        <v>2.1499999999999998E-2</v>
      </c>
      <c r="H29" s="4">
        <v>4300</v>
      </c>
      <c r="I29" t="s">
        <v>3</v>
      </c>
      <c r="J29" s="2"/>
    </row>
    <row r="30" spans="4:16" x14ac:dyDescent="0.45">
      <c r="D30" s="6" t="s">
        <v>11</v>
      </c>
      <c r="F30" s="4">
        <f t="shared" si="0"/>
        <v>4.4999999999999997E-3</v>
      </c>
      <c r="H30" s="4">
        <f>150*6</f>
        <v>900</v>
      </c>
      <c r="I30" t="s">
        <v>3</v>
      </c>
      <c r="J30" s="5"/>
    </row>
    <row r="31" spans="4:16" x14ac:dyDescent="0.45">
      <c r="D31" s="6" t="s">
        <v>12</v>
      </c>
      <c r="F31" s="4">
        <f t="shared" si="0"/>
        <v>1.6500000000000001E-2</v>
      </c>
      <c r="H31" s="65">
        <f>3000*1.1</f>
        <v>3300.0000000000005</v>
      </c>
      <c r="I31" t="s">
        <v>4</v>
      </c>
      <c r="J31" s="2"/>
    </row>
    <row r="32" spans="4:16" x14ac:dyDescent="0.45">
      <c r="D32" s="6" t="s">
        <v>13</v>
      </c>
      <c r="F32" s="4">
        <f t="shared" si="0"/>
        <v>7.4999999999999997E-3</v>
      </c>
      <c r="H32" s="7">
        <v>1500</v>
      </c>
      <c r="I32" t="s">
        <v>4</v>
      </c>
      <c r="J32" s="2"/>
    </row>
    <row r="33" spans="4:10" x14ac:dyDescent="0.45">
      <c r="D33" s="6" t="s">
        <v>14</v>
      </c>
      <c r="F33" s="4">
        <f t="shared" si="0"/>
        <v>2E-3</v>
      </c>
      <c r="H33" s="7">
        <v>400</v>
      </c>
      <c r="I33" t="s">
        <v>4</v>
      </c>
      <c r="J33" s="2"/>
    </row>
    <row r="34" spans="4:10" x14ac:dyDescent="0.45">
      <c r="D34" s="6" t="s">
        <v>15</v>
      </c>
      <c r="F34" s="4">
        <f t="shared" si="0"/>
        <v>1.5E-3</v>
      </c>
      <c r="H34" s="7">
        <v>300</v>
      </c>
      <c r="I34" t="s">
        <v>4</v>
      </c>
      <c r="J34" s="2"/>
    </row>
    <row r="35" spans="4:10" x14ac:dyDescent="0.45">
      <c r="D35" s="6" t="s">
        <v>16</v>
      </c>
      <c r="F35" s="4">
        <f t="shared" si="0"/>
        <v>1.0800000000000001E-2</v>
      </c>
      <c r="H35" s="63">
        <f>300*6*1.2</f>
        <v>2160</v>
      </c>
      <c r="J35" s="2"/>
    </row>
    <row r="36" spans="4:10" x14ac:dyDescent="0.45">
      <c r="D36" s="52" t="s">
        <v>98</v>
      </c>
      <c r="E36" s="46"/>
      <c r="F36" s="46"/>
      <c r="G36" s="46"/>
      <c r="H36" s="53">
        <f>SUM(H23:H35)</f>
        <v>698410</v>
      </c>
      <c r="J36" s="2"/>
    </row>
    <row r="37" spans="4:10" x14ac:dyDescent="0.45">
      <c r="D37" s="30" t="s">
        <v>96</v>
      </c>
      <c r="E37" s="21"/>
      <c r="F37" s="21"/>
      <c r="G37" s="21"/>
      <c r="H37" s="26">
        <f>H21-H36</f>
        <v>110542</v>
      </c>
      <c r="I37" s="51">
        <f>H37/H15</f>
        <v>7.2249673202614384E-2</v>
      </c>
      <c r="J37" s="2"/>
    </row>
    <row r="38" spans="4:10" x14ac:dyDescent="0.45">
      <c r="D38" s="1" t="s">
        <v>99</v>
      </c>
      <c r="H38" s="8">
        <f>H37*0.3</f>
        <v>33162.6</v>
      </c>
      <c r="J38" s="2"/>
    </row>
    <row r="39" spans="4:10" x14ac:dyDescent="0.45">
      <c r="D39" s="30" t="s">
        <v>100</v>
      </c>
      <c r="E39" s="21"/>
      <c r="F39" s="21"/>
      <c r="G39" s="21"/>
      <c r="H39" s="26">
        <f>H37-H38</f>
        <v>77379.399999999994</v>
      </c>
      <c r="I39" s="51">
        <f>H39/H15</f>
        <v>5.057477124183006E-2</v>
      </c>
      <c r="J39" s="2"/>
    </row>
    <row r="40" spans="4:10" x14ac:dyDescent="0.45">
      <c r="D40" s="1"/>
      <c r="J40" s="2"/>
    </row>
    <row r="41" spans="4:10" ht="14.65" thickBot="1" x14ac:dyDescent="0.5">
      <c r="D41" s="9"/>
      <c r="E41" s="10"/>
      <c r="F41" s="10"/>
      <c r="G41" s="10"/>
      <c r="H41" s="11"/>
      <c r="I41" s="10"/>
      <c r="J41" s="12"/>
    </row>
    <row r="43" spans="4:10" x14ac:dyDescent="0.45">
      <c r="D43" s="21" t="s">
        <v>101</v>
      </c>
    </row>
    <row r="44" spans="4:10" x14ac:dyDescent="0.45">
      <c r="D44" t="s">
        <v>102</v>
      </c>
      <c r="E44" s="8">
        <f>SUM(F23:F35)</f>
        <v>3.4920500000000003</v>
      </c>
    </row>
    <row r="45" spans="4:10" x14ac:dyDescent="0.45">
      <c r="D45" t="s">
        <v>103</v>
      </c>
      <c r="E45" s="8">
        <f>$E$44+F17</f>
        <v>7.3220500000000008</v>
      </c>
    </row>
    <row r="46" spans="4:10" x14ac:dyDescent="0.45">
      <c r="D46" t="s">
        <v>104</v>
      </c>
      <c r="E46" s="8">
        <f>$E$44+F18</f>
        <v>8.61205</v>
      </c>
    </row>
    <row r="47" spans="4:10" x14ac:dyDescent="0.45">
      <c r="D47" t="s">
        <v>105</v>
      </c>
      <c r="E47" s="8">
        <f>$E$44+F19</f>
        <v>5.7128500000000004</v>
      </c>
      <c r="F47" t="s">
        <v>106</v>
      </c>
    </row>
  </sheetData>
  <mergeCells count="2">
    <mergeCell ref="D3:J3"/>
    <mergeCell ref="L19:P2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2157-8C94-4246-BB62-D232B00C602F}">
  <dimension ref="D2:Q27"/>
  <sheetViews>
    <sheetView showGridLines="0" zoomScale="106" workbookViewId="0">
      <selection activeCell="P16" sqref="P16"/>
    </sheetView>
  </sheetViews>
  <sheetFormatPr baseColWidth="10" defaultRowHeight="14.25" x14ac:dyDescent="0.45"/>
  <cols>
    <col min="4" max="4" width="14.3984375" customWidth="1"/>
    <col min="5" max="5" width="11.3984375" bestFit="1" customWidth="1"/>
    <col min="11" max="11" width="13.53125" customWidth="1"/>
    <col min="16" max="16" width="14.53125" customWidth="1"/>
  </cols>
  <sheetData>
    <row r="2" spans="4:17" ht="14.25" customHeight="1" x14ac:dyDescent="0.65">
      <c r="F2" s="19"/>
    </row>
    <row r="3" spans="4:17" ht="14.25" customHeight="1" x14ac:dyDescent="0.65">
      <c r="E3" s="42" t="s">
        <v>57</v>
      </c>
      <c r="F3" s="19"/>
      <c r="J3" s="41" t="s">
        <v>58</v>
      </c>
      <c r="K3" s="19"/>
      <c r="O3" s="41" t="s">
        <v>59</v>
      </c>
      <c r="P3" s="19"/>
    </row>
    <row r="4" spans="4:17" ht="21" customHeight="1" x14ac:dyDescent="0.65">
      <c r="D4" s="86" t="s">
        <v>34</v>
      </c>
      <c r="E4" s="86"/>
      <c r="F4" s="86"/>
      <c r="G4" s="19"/>
      <c r="I4" s="86" t="s">
        <v>34</v>
      </c>
      <c r="J4" s="86"/>
      <c r="K4" s="86"/>
      <c r="L4" s="19"/>
      <c r="N4" s="86" t="s">
        <v>34</v>
      </c>
      <c r="O4" s="86"/>
      <c r="P4" s="86"/>
      <c r="Q4" s="19"/>
    </row>
    <row r="5" spans="4:17" ht="21" x14ac:dyDescent="0.65">
      <c r="D5" s="86"/>
      <c r="E5" s="86"/>
      <c r="F5" s="86"/>
      <c r="G5" s="19"/>
      <c r="I5" s="86"/>
      <c r="J5" s="86"/>
      <c r="K5" s="86"/>
      <c r="L5" s="19"/>
      <c r="N5" s="86"/>
      <c r="O5" s="86"/>
      <c r="P5" s="86"/>
      <c r="Q5" s="19"/>
    </row>
    <row r="6" spans="4:17" x14ac:dyDescent="0.45">
      <c r="D6" t="s">
        <v>35</v>
      </c>
      <c r="F6" s="3">
        <v>25000</v>
      </c>
      <c r="G6" t="s">
        <v>27</v>
      </c>
      <c r="I6" t="s">
        <v>35</v>
      </c>
      <c r="K6" s="3">
        <v>25000</v>
      </c>
      <c r="L6" t="s">
        <v>27</v>
      </c>
      <c r="N6" t="s">
        <v>35</v>
      </c>
      <c r="P6" s="3">
        <v>25000</v>
      </c>
      <c r="Q6" t="s">
        <v>27</v>
      </c>
    </row>
    <row r="7" spans="4:17" x14ac:dyDescent="0.45">
      <c r="D7" t="s">
        <v>37</v>
      </c>
      <c r="F7">
        <v>10</v>
      </c>
      <c r="G7" t="s">
        <v>27</v>
      </c>
      <c r="I7" t="s">
        <v>67</v>
      </c>
      <c r="K7">
        <f>1*10</f>
        <v>10</v>
      </c>
      <c r="L7" t="s">
        <v>27</v>
      </c>
      <c r="N7" t="s">
        <v>37</v>
      </c>
      <c r="P7">
        <f>20*0.25</f>
        <v>5</v>
      </c>
      <c r="Q7" t="s">
        <v>27</v>
      </c>
    </row>
    <row r="8" spans="4:17" x14ac:dyDescent="0.45">
      <c r="D8" s="21" t="s">
        <v>38</v>
      </c>
      <c r="E8" s="21"/>
      <c r="F8" s="37">
        <f>F6/F7</f>
        <v>2500</v>
      </c>
      <c r="I8" s="21" t="s">
        <v>38</v>
      </c>
      <c r="J8" s="21"/>
      <c r="K8" s="37">
        <v>2000</v>
      </c>
      <c r="L8" t="s">
        <v>69</v>
      </c>
      <c r="N8" s="21" t="s">
        <v>38</v>
      </c>
      <c r="O8" s="21"/>
      <c r="P8" s="37">
        <v>1500</v>
      </c>
      <c r="Q8" t="s">
        <v>69</v>
      </c>
    </row>
    <row r="10" spans="4:17" x14ac:dyDescent="0.45">
      <c r="D10" t="s">
        <v>39</v>
      </c>
      <c r="E10" t="s">
        <v>40</v>
      </c>
      <c r="F10" s="18">
        <f>0.4*0.25*0.2</f>
        <v>2.0000000000000004E-2</v>
      </c>
      <c r="G10" t="s">
        <v>41</v>
      </c>
      <c r="I10" t="s">
        <v>39</v>
      </c>
      <c r="J10" t="s">
        <v>68</v>
      </c>
      <c r="K10" s="17">
        <f>0.45*0.3*0.25</f>
        <v>3.3750000000000002E-2</v>
      </c>
      <c r="L10" t="s">
        <v>41</v>
      </c>
      <c r="N10" t="s">
        <v>39</v>
      </c>
      <c r="O10" t="s">
        <v>73</v>
      </c>
      <c r="P10" s="18">
        <f>0.4*0.4*0.3</f>
        <v>4.8000000000000008E-2</v>
      </c>
      <c r="Q10" t="s">
        <v>41</v>
      </c>
    </row>
    <row r="11" spans="4:17" x14ac:dyDescent="0.45">
      <c r="D11" t="s">
        <v>42</v>
      </c>
      <c r="F11" s="44">
        <f>F10*F8</f>
        <v>50.000000000000007</v>
      </c>
      <c r="G11" t="s">
        <v>41</v>
      </c>
      <c r="I11" t="s">
        <v>42</v>
      </c>
      <c r="K11" s="43">
        <f>K10*K8</f>
        <v>67.5</v>
      </c>
      <c r="L11" t="s">
        <v>41</v>
      </c>
      <c r="N11" t="s">
        <v>42</v>
      </c>
      <c r="P11" s="44">
        <f>P10*P8</f>
        <v>72.000000000000014</v>
      </c>
      <c r="Q11" t="s">
        <v>41</v>
      </c>
    </row>
    <row r="12" spans="4:17" x14ac:dyDescent="0.45">
      <c r="D12" t="s">
        <v>43</v>
      </c>
      <c r="F12" s="18">
        <v>90</v>
      </c>
      <c r="G12" t="s">
        <v>41</v>
      </c>
      <c r="I12" t="s">
        <v>43</v>
      </c>
      <c r="K12" s="18">
        <v>90</v>
      </c>
      <c r="L12" t="s">
        <v>41</v>
      </c>
      <c r="N12" t="s">
        <v>43</v>
      </c>
      <c r="P12" s="18">
        <v>90</v>
      </c>
      <c r="Q12" t="s">
        <v>41</v>
      </c>
    </row>
    <row r="13" spans="4:17" x14ac:dyDescent="0.45">
      <c r="D13" t="s">
        <v>44</v>
      </c>
      <c r="F13" s="16">
        <f>F12-F11</f>
        <v>39.999999999999993</v>
      </c>
      <c r="G13" t="s">
        <v>41</v>
      </c>
      <c r="I13" t="s">
        <v>44</v>
      </c>
      <c r="K13" s="16">
        <f>K12-K11</f>
        <v>22.5</v>
      </c>
      <c r="L13" t="s">
        <v>41</v>
      </c>
      <c r="N13" t="s">
        <v>44</v>
      </c>
      <c r="P13" s="16">
        <f>P12-P11</f>
        <v>17.999999999999986</v>
      </c>
      <c r="Q13" t="s">
        <v>41</v>
      </c>
    </row>
    <row r="15" spans="4:17" x14ac:dyDescent="0.45">
      <c r="D15" s="87" t="s">
        <v>45</v>
      </c>
      <c r="E15" s="87"/>
      <c r="F15" s="87"/>
      <c r="I15" s="87" t="s">
        <v>45</v>
      </c>
      <c r="J15" s="87"/>
      <c r="K15" s="87"/>
      <c r="N15" s="87" t="s">
        <v>45</v>
      </c>
      <c r="O15" s="87"/>
      <c r="P15" s="87"/>
    </row>
    <row r="16" spans="4:17" x14ac:dyDescent="0.45">
      <c r="D16" t="s">
        <v>170</v>
      </c>
      <c r="F16" s="89">
        <f>F8*20</f>
        <v>50000</v>
      </c>
      <c r="I16" t="s">
        <v>170</v>
      </c>
      <c r="K16" s="89">
        <f>K8*10</f>
        <v>20000</v>
      </c>
      <c r="N16" t="s">
        <v>170</v>
      </c>
      <c r="P16" s="89">
        <f>P8*20</f>
        <v>30000</v>
      </c>
    </row>
    <row r="18" spans="4:16" x14ac:dyDescent="0.45">
      <c r="D18" s="83" t="s">
        <v>28</v>
      </c>
      <c r="E18" s="83"/>
      <c r="F18" s="83"/>
      <c r="G18" s="83"/>
      <c r="H18" s="83"/>
      <c r="I18" s="83"/>
      <c r="J18" s="83"/>
      <c r="P18">
        <f>0.25*30000</f>
        <v>7500</v>
      </c>
    </row>
    <row r="19" spans="4:16" x14ac:dyDescent="0.45">
      <c r="D19" s="84" t="s">
        <v>49</v>
      </c>
      <c r="E19" s="84"/>
      <c r="F19" s="84"/>
      <c r="G19" s="84"/>
      <c r="H19" s="84"/>
      <c r="I19" s="84"/>
      <c r="J19" s="84"/>
    </row>
    <row r="20" spans="4:16" x14ac:dyDescent="0.45">
      <c r="D20" s="84"/>
      <c r="E20" s="84"/>
      <c r="F20" s="84"/>
      <c r="G20" s="84"/>
      <c r="H20" s="84"/>
      <c r="I20" s="84"/>
      <c r="J20" s="84"/>
    </row>
    <row r="21" spans="4:16" x14ac:dyDescent="0.45">
      <c r="D21" s="84"/>
      <c r="E21" s="84"/>
      <c r="F21" s="84"/>
      <c r="G21" s="84"/>
      <c r="H21" s="84"/>
      <c r="I21" s="84"/>
      <c r="J21" s="84"/>
      <c r="K21" s="13"/>
    </row>
    <row r="22" spans="4:16" x14ac:dyDescent="0.45">
      <c r="D22" s="84"/>
      <c r="E22" s="84"/>
      <c r="F22" s="84"/>
      <c r="G22" s="84"/>
      <c r="H22" s="84"/>
      <c r="I22" s="84"/>
      <c r="J22" s="84"/>
    </row>
    <row r="23" spans="4:16" x14ac:dyDescent="0.45">
      <c r="D23" s="84"/>
      <c r="E23" s="84"/>
      <c r="F23" s="84"/>
      <c r="G23" s="84"/>
      <c r="H23" s="84"/>
      <c r="I23" s="84"/>
      <c r="J23" s="84"/>
    </row>
    <row r="24" spans="4:16" x14ac:dyDescent="0.45">
      <c r="D24" s="84"/>
      <c r="E24" s="84"/>
      <c r="F24" s="84"/>
      <c r="G24" s="84"/>
      <c r="H24" s="84"/>
      <c r="I24" s="84"/>
      <c r="J24" s="84"/>
    </row>
    <row r="25" spans="4:16" x14ac:dyDescent="0.45">
      <c r="D25" s="84" t="s">
        <v>50</v>
      </c>
      <c r="E25" s="84"/>
      <c r="F25" s="84"/>
      <c r="G25" s="84"/>
      <c r="H25" s="84"/>
      <c r="I25" s="84"/>
      <c r="J25" s="84"/>
    </row>
    <row r="26" spans="4:16" x14ac:dyDescent="0.45">
      <c r="D26" s="84"/>
      <c r="E26" s="84"/>
      <c r="F26" s="84"/>
      <c r="G26" s="84"/>
      <c r="H26" s="84"/>
      <c r="I26" s="84"/>
      <c r="J26" s="84"/>
    </row>
    <row r="27" spans="4:16" x14ac:dyDescent="0.45">
      <c r="D27" s="84"/>
      <c r="E27" s="84"/>
      <c r="F27" s="84"/>
      <c r="G27" s="84"/>
      <c r="H27" s="84"/>
      <c r="I27" s="84"/>
      <c r="J27" s="84"/>
      <c r="K27" s="13"/>
    </row>
  </sheetData>
  <mergeCells count="9">
    <mergeCell ref="D25:J27"/>
    <mergeCell ref="D19:J24"/>
    <mergeCell ref="I4:K5"/>
    <mergeCell ref="I15:K15"/>
    <mergeCell ref="N4:P5"/>
    <mergeCell ref="N15:P15"/>
    <mergeCell ref="D4:F5"/>
    <mergeCell ref="D15:F15"/>
    <mergeCell ref="D18:J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MENU</vt:lpstr>
      <vt:lpstr>KPI´S</vt:lpstr>
      <vt:lpstr>P&amp;L</vt:lpstr>
      <vt:lpstr>COST ANALYSIS</vt:lpstr>
      <vt:lpstr>IMPACT ANALYSIS</vt:lpstr>
      <vt:lpstr>CUBIC MEASURE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Gutiérrez</dc:creator>
  <cp:lastModifiedBy>Aldo Gutiérrez</cp:lastModifiedBy>
  <dcterms:created xsi:type="dcterms:W3CDTF">2025-11-15T23:25:35Z</dcterms:created>
  <dcterms:modified xsi:type="dcterms:W3CDTF">2025-11-20T01:53:21Z</dcterms:modified>
</cp:coreProperties>
</file>