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1760" activeTab="3"/>
  </bookViews>
  <sheets>
    <sheet name="0816" sheetId="1" r:id="rId1"/>
    <sheet name="钢架汇总" sheetId="3" r:id="rId2"/>
    <sheet name="框架钢材" sheetId="2" r:id="rId3"/>
    <sheet name="皮艇库" sheetId="4" r:id="rId4"/>
    <sheet name="赛艇库" sheetId="6" r:id="rId5"/>
    <sheet name="7×3米引桥" sheetId="5" r:id="rId6"/>
    <sheet name="Sheet1" sheetId="7" r:id="rId7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5B573FE8302D4B19BA5C8CF0BE6F7AF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66790" y="4607560"/>
          <a:ext cx="986155" cy="501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068AD9F173474C82871A82C18E26ADE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737100" y="5853430"/>
          <a:ext cx="680085" cy="2616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B8E2F8439B3440CE9AED95D82742C0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036185" y="4465320"/>
          <a:ext cx="632460" cy="34671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<sst xmlns="http://schemas.openxmlformats.org/spreadsheetml/2006/main" count="368" uniqueCount="119">
  <si>
    <t>无锡体育局水上平台工程量统计表</t>
  </si>
  <si>
    <t>无锡体育局水上平台钢架模块统计表</t>
  </si>
  <si>
    <t>浮筒</t>
  </si>
  <si>
    <t>序号</t>
  </si>
  <si>
    <t>名称</t>
  </si>
  <si>
    <t>规格mm</t>
  </si>
  <si>
    <t>单位</t>
  </si>
  <si>
    <t>数量</t>
  </si>
  <si>
    <t>备注</t>
  </si>
  <si>
    <t>备注（面积）</t>
  </si>
  <si>
    <t>浮箱</t>
  </si>
  <si>
    <t>1200*800*250mm</t>
  </si>
  <si>
    <t>个</t>
  </si>
  <si>
    <t>5米单元框架</t>
  </si>
  <si>
    <t>5000*3000mm</t>
  </si>
  <si>
    <t>件</t>
  </si>
  <si>
    <t>钢架</t>
  </si>
  <si>
    <t>8#槽钢主材</t>
  </si>
  <si>
    <t>平方米</t>
  </si>
  <si>
    <t>水上平台</t>
  </si>
  <si>
    <t>6米单元框架</t>
  </si>
  <si>
    <t>6000*3000mm</t>
  </si>
  <si>
    <t>地板</t>
  </si>
  <si>
    <t>塑木地板</t>
  </si>
  <si>
    <t>3米单元框架</t>
  </si>
  <si>
    <t>3000*3000mm</t>
  </si>
  <si>
    <t>14#+8#+60*40*3.0mm</t>
  </si>
  <si>
    <t>皮艇库</t>
  </si>
  <si>
    <t>接岸踏板</t>
  </si>
  <si>
    <t>20*0.7米，底部添加浮体</t>
  </si>
  <si>
    <t>项</t>
  </si>
  <si>
    <t>8#+60*60*3.0+60*40*3.0mm</t>
  </si>
  <si>
    <t>赛艇库</t>
  </si>
  <si>
    <t>龙舟顶棚</t>
  </si>
  <si>
    <t>10#+50*50*3.0mm</t>
  </si>
  <si>
    <t>11*7*1米</t>
  </si>
  <si>
    <t>护桩器</t>
  </si>
  <si>
    <t>直径100mm</t>
  </si>
  <si>
    <t>套</t>
  </si>
  <si>
    <t>钢管桩</t>
  </si>
  <si>
    <t>直径100mm，兼做顶棚支撑基础</t>
  </si>
  <si>
    <t>根</t>
  </si>
  <si>
    <t>直径165mm</t>
  </si>
  <si>
    <t>引桥</t>
  </si>
  <si>
    <t>7*6米铝引桥</t>
  </si>
  <si>
    <t>座</t>
  </si>
  <si>
    <t>引桥浮体</t>
  </si>
  <si>
    <t>防撞条</t>
  </si>
  <si>
    <t>D105</t>
  </si>
  <si>
    <t>米</t>
  </si>
  <si>
    <t>系船栓</t>
  </si>
  <si>
    <t>浮动平台一期工程量统计表</t>
  </si>
  <si>
    <t>实际长度/m</t>
  </si>
  <si>
    <t>数量（6m/支）</t>
  </si>
  <si>
    <t>米重kg/m</t>
  </si>
  <si>
    <t>实际总重kg/m</t>
  </si>
  <si>
    <t>购买总重kg/m</t>
  </si>
  <si>
    <t>槽钢</t>
  </si>
  <si>
    <t>8#槽钢</t>
  </si>
  <si>
    <t>角钢</t>
  </si>
  <si>
    <t>50*3mm角钢</t>
  </si>
  <si>
    <t>方管</t>
  </si>
  <si>
    <t>60*60*3.5mm</t>
  </si>
  <si>
    <t>60*40*3.0mm</t>
  </si>
  <si>
    <t>小计</t>
  </si>
  <si>
    <t>250浮箱</t>
  </si>
  <si>
    <t>300浮箱</t>
  </si>
  <si>
    <t>单件6米框架工程量统计表（共15件）</t>
  </si>
  <si>
    <t>皮艇库6米框架工程量统计表（共六件）</t>
  </si>
  <si>
    <t>长度/m</t>
  </si>
  <si>
    <t>总长</t>
  </si>
  <si>
    <t>总重kg/m</t>
  </si>
  <si>
    <t>浮箱面积㎡</t>
  </si>
  <si>
    <t>地板+钢架+自重kg</t>
  </si>
  <si>
    <t>吃水mm</t>
  </si>
  <si>
    <t>弦高mm</t>
  </si>
  <si>
    <t>地板+钢架kg</t>
  </si>
  <si>
    <t>单件5米框架工程量统计表（共2件）</t>
  </si>
  <si>
    <t>皮艇库5米框架工程量统计表（共两件）</t>
  </si>
  <si>
    <t>单件3米框架工程量统计表（共1件）</t>
  </si>
  <si>
    <t>皮艇库工程量统计表20*6米</t>
  </si>
  <si>
    <t>总重kg</t>
  </si>
  <si>
    <t>主梁</t>
  </si>
  <si>
    <t>14#</t>
  </si>
  <si>
    <t>次梁</t>
  </si>
  <si>
    <t>8#</t>
  </si>
  <si>
    <t>龙骨</t>
  </si>
  <si>
    <t>60*40*3.0</t>
  </si>
  <si>
    <t>木饰板</t>
  </si>
  <si>
    <t>140*23mm</t>
  </si>
  <si>
    <t>重量小计</t>
  </si>
  <si>
    <t>赛艇库工程量统计表20*6米</t>
  </si>
  <si>
    <t>60*60*3.0mm</t>
  </si>
  <si>
    <t>单座7*3米铝引桥</t>
  </si>
  <si>
    <t>部位</t>
  </si>
  <si>
    <t>长度/mm</t>
  </si>
  <si>
    <t>三座数量</t>
  </si>
  <si>
    <t>三座总长</t>
  </si>
  <si>
    <t>铝方管</t>
  </si>
  <si>
    <t>扶手面管</t>
  </si>
  <si>
    <t>85*45*3.0mm</t>
  </si>
  <si>
    <t>栏杆斜撑</t>
  </si>
  <si>
    <t>40*40*2.0mm</t>
  </si>
  <si>
    <t>框架长边</t>
  </si>
  <si>
    <t>框架短边</t>
  </si>
  <si>
    <t>60*40*2.5mm</t>
  </si>
  <si>
    <t>材料下料清单</t>
  </si>
  <si>
    <t>支</t>
  </si>
  <si>
    <t>框架方管</t>
  </si>
  <si>
    <t>底框龙骨</t>
  </si>
  <si>
    <t>斜坡道材料统计</t>
  </si>
  <si>
    <t>规格</t>
  </si>
  <si>
    <t>长度</t>
  </si>
  <si>
    <t>米重</t>
  </si>
  <si>
    <t>总重</t>
  </si>
  <si>
    <t>40*40*2.5</t>
  </si>
  <si>
    <t>14工字钢</t>
  </si>
  <si>
    <t>10#</t>
  </si>
  <si>
    <t>50方管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</si>
</sst>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7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workbookViewId="0">
      <selection activeCell="L11" sqref="L11"/>
    </sheetView>
  </sheetViews>
  <sheetFormatPr defaultColWidth="9" defaultRowHeight="13.5"/>
  <cols>
    <col min="1" max="1" width="5.125" style="10" customWidth="1"/>
    <col min="2" max="2" width="9" style="10"/>
    <col min="3" max="3" width="30.375" customWidth="1"/>
    <col min="4" max="4" width="7.375" customWidth="1"/>
    <col min="5" max="5" width="9" style="10"/>
    <col min="10" max="11" width="12.625" customWidth="1"/>
    <col min="12" max="12" width="16" customWidth="1"/>
    <col min="13" max="13" width="9" style="10"/>
    <col min="14" max="14" width="13.75" customWidth="1"/>
  </cols>
  <sheetData>
    <row r="1" ht="25" customHeight="1" spans="1:23">
      <c r="A1" s="15" t="s">
        <v>0</v>
      </c>
      <c r="B1" s="15"/>
      <c r="C1" s="15"/>
      <c r="D1" s="15"/>
      <c r="E1" s="15"/>
      <c r="F1" s="15"/>
      <c r="G1" s="37"/>
      <c r="I1" s="15" t="s">
        <v>1</v>
      </c>
      <c r="J1" s="15"/>
      <c r="K1" s="15"/>
      <c r="L1" s="15"/>
      <c r="M1" s="15"/>
      <c r="N1" s="15"/>
      <c r="V1" t="s">
        <v>2</v>
      </c>
      <c r="W1">
        <f>11*8+4+6*8+6+9*8+8+9*8+8+9*8+3+9*8+3+9*8+3+9*8+3+9*8+4+9*8+4+9*8+4+9*8+4+9*8+4+9*8+4+9*8+4+9*8+4+9*8+2+9*8+3+9*8+3+9*8+3+9*8+3+9*8+3+9*8+3+9*8+3+9*8+3+9*8+3+9*8+3+9*8+3+9*8+3+9*8+7+9*8+9+4*8+6+6+10*8</f>
        <v>2472</v>
      </c>
    </row>
    <row r="2" ht="25" customHeight="1" spans="1:23">
      <c r="A2" s="15" t="s">
        <v>3</v>
      </c>
      <c r="B2" s="15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37"/>
      <c r="I2" s="15" t="s">
        <v>3</v>
      </c>
      <c r="J2" s="15" t="s">
        <v>4</v>
      </c>
      <c r="K2" s="15" t="s">
        <v>5</v>
      </c>
      <c r="L2" s="15" t="s">
        <v>7</v>
      </c>
      <c r="M2" s="15" t="s">
        <v>6</v>
      </c>
      <c r="N2" s="15" t="s">
        <v>9</v>
      </c>
      <c r="W2">
        <f>W1/4</f>
        <v>618</v>
      </c>
    </row>
    <row r="3" ht="25" customHeight="1" spans="1:14">
      <c r="A3" s="15">
        <v>1</v>
      </c>
      <c r="B3" s="15" t="s">
        <v>10</v>
      </c>
      <c r="C3" s="25" t="s">
        <v>11</v>
      </c>
      <c r="D3" s="15" t="s">
        <v>12</v>
      </c>
      <c r="E3" s="15">
        <f>15*8+2*6+1*4</f>
        <v>136</v>
      </c>
      <c r="F3" s="25"/>
      <c r="G3" s="37"/>
      <c r="I3" s="15">
        <v>1</v>
      </c>
      <c r="J3" s="15" t="s">
        <v>13</v>
      </c>
      <c r="K3" s="25" t="s">
        <v>14</v>
      </c>
      <c r="L3" s="15">
        <v>2</v>
      </c>
      <c r="M3" s="15" t="s">
        <v>15</v>
      </c>
      <c r="N3" s="15">
        <f>3*5*L3</f>
        <v>30</v>
      </c>
    </row>
    <row r="4" ht="25" customHeight="1" spans="1:14">
      <c r="A4" s="15">
        <v>2</v>
      </c>
      <c r="B4" s="15" t="s">
        <v>16</v>
      </c>
      <c r="C4" s="25" t="s">
        <v>17</v>
      </c>
      <c r="D4" s="15" t="s">
        <v>18</v>
      </c>
      <c r="E4" s="15">
        <f>(15*6*3+2*5*3+3*3)</f>
        <v>309</v>
      </c>
      <c r="F4" s="25" t="s">
        <v>19</v>
      </c>
      <c r="G4" s="37"/>
      <c r="I4" s="15">
        <v>2</v>
      </c>
      <c r="J4" s="15" t="s">
        <v>20</v>
      </c>
      <c r="K4" s="25" t="s">
        <v>21</v>
      </c>
      <c r="L4" s="15">
        <v>15</v>
      </c>
      <c r="M4" s="15" t="s">
        <v>15</v>
      </c>
      <c r="N4" s="15">
        <f>3*6*L4</f>
        <v>270</v>
      </c>
    </row>
    <row r="5" ht="25" customHeight="1" spans="1:14">
      <c r="A5" s="15">
        <v>3</v>
      </c>
      <c r="B5" s="15" t="s">
        <v>22</v>
      </c>
      <c r="C5" s="25" t="s">
        <v>23</v>
      </c>
      <c r="D5" s="15" t="s">
        <v>18</v>
      </c>
      <c r="E5" s="15">
        <f>E4</f>
        <v>309</v>
      </c>
      <c r="F5" s="25" t="s">
        <v>19</v>
      </c>
      <c r="G5" s="37"/>
      <c r="I5" s="15">
        <v>3</v>
      </c>
      <c r="J5" s="15" t="s">
        <v>24</v>
      </c>
      <c r="K5" s="25" t="s">
        <v>25</v>
      </c>
      <c r="L5" s="15">
        <v>1</v>
      </c>
      <c r="M5" s="15" t="s">
        <v>15</v>
      </c>
      <c r="N5" s="15">
        <f>3*3*L5</f>
        <v>9</v>
      </c>
    </row>
    <row r="6" ht="25" customHeight="1" spans="1:14">
      <c r="A6" s="38">
        <v>4</v>
      </c>
      <c r="B6" s="15" t="s">
        <v>16</v>
      </c>
      <c r="C6" s="25" t="s">
        <v>26</v>
      </c>
      <c r="D6" s="15" t="s">
        <v>18</v>
      </c>
      <c r="E6" s="15">
        <f>20*6</f>
        <v>120</v>
      </c>
      <c r="F6" s="38" t="s">
        <v>27</v>
      </c>
      <c r="G6" s="37"/>
      <c r="I6" s="44"/>
      <c r="J6" s="44"/>
      <c r="K6" s="37"/>
      <c r="L6" s="44"/>
      <c r="M6" s="44"/>
      <c r="N6" s="45">
        <f>SUM(N3:N5)</f>
        <v>309</v>
      </c>
    </row>
    <row r="7" ht="25" customHeight="1" spans="1:7">
      <c r="A7" s="39"/>
      <c r="B7" s="15" t="s">
        <v>22</v>
      </c>
      <c r="C7" s="25" t="s">
        <v>23</v>
      </c>
      <c r="D7" s="15" t="s">
        <v>18</v>
      </c>
      <c r="E7" s="15">
        <f>20*6</f>
        <v>120</v>
      </c>
      <c r="F7" s="39"/>
      <c r="G7" s="37"/>
    </row>
    <row r="8" ht="25" customHeight="1" spans="1:7">
      <c r="A8" s="40">
        <v>5</v>
      </c>
      <c r="B8" s="15" t="s">
        <v>28</v>
      </c>
      <c r="C8" s="25" t="s">
        <v>29</v>
      </c>
      <c r="D8" s="15" t="s">
        <v>30</v>
      </c>
      <c r="E8" s="15">
        <v>1</v>
      </c>
      <c r="F8" s="40"/>
      <c r="G8" s="37"/>
    </row>
    <row r="9" ht="25" customHeight="1" spans="1:7">
      <c r="A9" s="38">
        <v>5</v>
      </c>
      <c r="B9" s="15" t="s">
        <v>16</v>
      </c>
      <c r="C9" s="25" t="s">
        <v>31</v>
      </c>
      <c r="D9" s="15" t="s">
        <v>18</v>
      </c>
      <c r="E9" s="15">
        <f>20*5.3</f>
        <v>106</v>
      </c>
      <c r="F9" s="38" t="s">
        <v>32</v>
      </c>
      <c r="G9" s="37"/>
    </row>
    <row r="10" ht="25" customHeight="1" spans="1:7">
      <c r="A10" s="39"/>
      <c r="B10" s="15" t="s">
        <v>22</v>
      </c>
      <c r="C10" s="25" t="s">
        <v>23</v>
      </c>
      <c r="D10" s="15" t="s">
        <v>18</v>
      </c>
      <c r="E10" s="15">
        <f>20*5.3</f>
        <v>106</v>
      </c>
      <c r="F10" s="39"/>
      <c r="G10" s="37"/>
    </row>
    <row r="11" ht="25" customHeight="1" spans="1:7">
      <c r="A11" s="39">
        <v>6</v>
      </c>
      <c r="B11" s="15" t="s">
        <v>33</v>
      </c>
      <c r="C11" s="25" t="s">
        <v>34</v>
      </c>
      <c r="D11" s="15" t="s">
        <v>30</v>
      </c>
      <c r="E11" s="15">
        <v>1</v>
      </c>
      <c r="F11" s="41" t="s">
        <v>35</v>
      </c>
      <c r="G11" s="37"/>
    </row>
    <row r="12" ht="25" customHeight="1" spans="1:7">
      <c r="A12" s="39">
        <v>7</v>
      </c>
      <c r="B12" s="15" t="s">
        <v>36</v>
      </c>
      <c r="C12" s="25" t="s">
        <v>37</v>
      </c>
      <c r="D12" s="15" t="s">
        <v>38</v>
      </c>
      <c r="E12" s="15">
        <v>4</v>
      </c>
      <c r="F12" s="25"/>
      <c r="G12" s="37"/>
    </row>
    <row r="13" ht="25" customHeight="1" spans="1:15">
      <c r="A13" s="39">
        <v>8</v>
      </c>
      <c r="B13" s="15" t="s">
        <v>39</v>
      </c>
      <c r="C13" s="25" t="s">
        <v>40</v>
      </c>
      <c r="D13" s="15" t="s">
        <v>41</v>
      </c>
      <c r="E13" s="15">
        <v>8</v>
      </c>
      <c r="F13" s="25"/>
      <c r="G13" s="37"/>
      <c r="J13" s="44"/>
      <c r="K13" s="44"/>
      <c r="L13" s="37"/>
      <c r="M13" s="44"/>
      <c r="N13" s="44"/>
      <c r="O13" s="37"/>
    </row>
    <row r="14" ht="25" customHeight="1" spans="1:15">
      <c r="A14" s="39">
        <v>9</v>
      </c>
      <c r="B14" s="15" t="s">
        <v>36</v>
      </c>
      <c r="C14" s="25" t="s">
        <v>42</v>
      </c>
      <c r="D14" s="15" t="s">
        <v>38</v>
      </c>
      <c r="E14" s="15">
        <v>4</v>
      </c>
      <c r="F14" s="25"/>
      <c r="G14" s="37"/>
      <c r="J14" s="44"/>
      <c r="K14" s="44"/>
      <c r="L14" s="37"/>
      <c r="M14" s="44"/>
      <c r="N14" s="44"/>
      <c r="O14" s="37"/>
    </row>
    <row r="15" ht="25" customHeight="1" spans="1:15">
      <c r="A15" s="39">
        <v>10</v>
      </c>
      <c r="B15" s="15" t="s">
        <v>39</v>
      </c>
      <c r="C15" s="25" t="s">
        <v>42</v>
      </c>
      <c r="D15" s="15" t="s">
        <v>41</v>
      </c>
      <c r="E15" s="15">
        <v>4</v>
      </c>
      <c r="F15" s="25"/>
      <c r="G15" s="37"/>
      <c r="J15" s="44"/>
      <c r="K15" s="44"/>
      <c r="L15" s="37"/>
      <c r="M15" s="44"/>
      <c r="N15" s="44"/>
      <c r="O15" s="37"/>
    </row>
    <row r="16" ht="25" customHeight="1" spans="1:15">
      <c r="A16" s="39">
        <v>11</v>
      </c>
      <c r="B16" s="15" t="s">
        <v>43</v>
      </c>
      <c r="C16" s="25" t="s">
        <v>44</v>
      </c>
      <c r="D16" s="15" t="s">
        <v>45</v>
      </c>
      <c r="E16" s="15">
        <v>2</v>
      </c>
      <c r="F16" s="25"/>
      <c r="G16" s="37"/>
      <c r="J16" s="44"/>
      <c r="K16" s="44"/>
      <c r="L16" s="37"/>
      <c r="M16" s="44"/>
      <c r="N16" s="44"/>
      <c r="O16" s="37"/>
    </row>
    <row r="17" ht="25" customHeight="1" spans="1:15">
      <c r="A17" s="39">
        <v>12</v>
      </c>
      <c r="B17" s="42" t="s">
        <v>46</v>
      </c>
      <c r="C17" s="43"/>
      <c r="D17" s="42" t="s">
        <v>30</v>
      </c>
      <c r="E17" s="42">
        <f>E16</f>
        <v>2</v>
      </c>
      <c r="F17" s="43"/>
      <c r="G17" s="19"/>
      <c r="J17" s="46"/>
      <c r="K17" s="46"/>
      <c r="L17" s="19"/>
      <c r="M17" s="46"/>
      <c r="N17" s="46"/>
      <c r="O17" s="19"/>
    </row>
    <row r="18" ht="25" customHeight="1" spans="1:15">
      <c r="A18" s="39">
        <v>13</v>
      </c>
      <c r="B18" s="42" t="s">
        <v>47</v>
      </c>
      <c r="C18" s="43" t="s">
        <v>48</v>
      </c>
      <c r="D18" s="42" t="s">
        <v>49</v>
      </c>
      <c r="E18" s="42">
        <v>118</v>
      </c>
      <c r="F18" s="43"/>
      <c r="G18" s="19"/>
      <c r="J18" s="46"/>
      <c r="K18" s="46"/>
      <c r="L18" s="19"/>
      <c r="M18" s="46"/>
      <c r="N18" s="46"/>
      <c r="O18" s="19"/>
    </row>
    <row r="19" ht="25" customHeight="1" spans="1:15">
      <c r="A19" s="39">
        <v>14</v>
      </c>
      <c r="B19" s="42" t="s">
        <v>50</v>
      </c>
      <c r="C19" s="43"/>
      <c r="D19" s="42" t="s">
        <v>15</v>
      </c>
      <c r="E19" s="42">
        <v>3</v>
      </c>
      <c r="F19" s="43"/>
      <c r="J19" s="46"/>
      <c r="K19" s="46"/>
      <c r="L19" s="19"/>
      <c r="M19" s="46"/>
      <c r="N19" s="46"/>
      <c r="O19" s="19"/>
    </row>
  </sheetData>
  <mergeCells count="6">
    <mergeCell ref="A1:F1"/>
    <mergeCell ref="I1:N1"/>
    <mergeCell ref="A6:A7"/>
    <mergeCell ref="A9:A10"/>
    <mergeCell ref="F6:F7"/>
    <mergeCell ref="F9:F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zoomScale="145" zoomScaleNormal="145" workbookViewId="0">
      <selection activeCell="E13" sqref="E13"/>
    </sheetView>
  </sheetViews>
  <sheetFormatPr defaultColWidth="9" defaultRowHeight="13.5" outlineLevelRow="7"/>
  <cols>
    <col min="1" max="2" width="5.375" customWidth="1"/>
    <col min="3" max="3" width="12.625" customWidth="1"/>
    <col min="4" max="4" width="11.5" customWidth="1"/>
    <col min="5" max="5" width="12.625" style="10" customWidth="1"/>
    <col min="6" max="6" width="14.875" style="10" customWidth="1"/>
    <col min="7" max="7" width="5.375" customWidth="1"/>
    <col min="9" max="10" width="13.25" customWidth="1"/>
    <col min="11" max="11" width="5.125" customWidth="1"/>
  </cols>
  <sheetData>
    <row r="1" ht="20" customHeight="1" spans="1:11">
      <c r="A1" s="15" t="s">
        <v>51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ht="20" customHeight="1" spans="1:11">
      <c r="A2" s="15" t="s">
        <v>3</v>
      </c>
      <c r="B2" s="15" t="s">
        <v>4</v>
      </c>
      <c r="C2" s="15" t="s">
        <v>5</v>
      </c>
      <c r="D2" s="15" t="s">
        <v>52</v>
      </c>
      <c r="E2" s="15"/>
      <c r="F2" s="15" t="s">
        <v>53</v>
      </c>
      <c r="G2" s="15" t="s">
        <v>6</v>
      </c>
      <c r="H2" s="17" t="s">
        <v>54</v>
      </c>
      <c r="I2" s="17" t="s">
        <v>55</v>
      </c>
      <c r="J2" s="17" t="s">
        <v>56</v>
      </c>
      <c r="K2" s="17" t="s">
        <v>8</v>
      </c>
    </row>
    <row r="3" ht="20" customHeight="1" spans="1:11">
      <c r="A3" s="15">
        <v>1</v>
      </c>
      <c r="B3" s="15" t="s">
        <v>57</v>
      </c>
      <c r="C3" s="15" t="s">
        <v>58</v>
      </c>
      <c r="D3" s="15">
        <f>(框架钢材!G4+框架钢材!G5)*15+(框架钢材!G13+框架钢材!G14)*2+(框架钢材!G22+框架钢材!G23)*1</f>
        <v>314</v>
      </c>
      <c r="E3" s="32">
        <f>D3/6</f>
        <v>52.3333333333333</v>
      </c>
      <c r="F3" s="18">
        <v>53</v>
      </c>
      <c r="G3" s="15" t="s">
        <v>41</v>
      </c>
      <c r="H3" s="17">
        <v>8.045</v>
      </c>
      <c r="I3" s="17">
        <f>D3*H3</f>
        <v>2526.13</v>
      </c>
      <c r="J3" s="17">
        <f>SUM(F3*6*H3)</f>
        <v>2558.31</v>
      </c>
      <c r="K3" s="17"/>
    </row>
    <row r="4" ht="20" customHeight="1" spans="1:11">
      <c r="A4" s="15">
        <v>2</v>
      </c>
      <c r="B4" s="15" t="s">
        <v>59</v>
      </c>
      <c r="C4" s="15" t="s">
        <v>60</v>
      </c>
      <c r="D4" s="15">
        <f>框架钢材!G6*15+框架钢材!G15*2+框架钢材!G24*1</f>
        <v>408</v>
      </c>
      <c r="E4" s="32">
        <f>D4/6</f>
        <v>68</v>
      </c>
      <c r="F4" s="18">
        <v>68</v>
      </c>
      <c r="G4" s="15" t="s">
        <v>41</v>
      </c>
      <c r="H4" s="17">
        <v>2.332</v>
      </c>
      <c r="I4" s="17">
        <f>D4*H4</f>
        <v>951.456</v>
      </c>
      <c r="J4" s="17">
        <f>SUM(F4*6*H4)</f>
        <v>951.456</v>
      </c>
      <c r="K4" s="17"/>
    </row>
    <row r="5" ht="20" customHeight="1" spans="1:11">
      <c r="A5" s="15">
        <v>3</v>
      </c>
      <c r="B5" s="15" t="s">
        <v>61</v>
      </c>
      <c r="C5" s="15" t="s">
        <v>62</v>
      </c>
      <c r="D5" s="15">
        <f>框架钢材!G7*15</f>
        <v>540</v>
      </c>
      <c r="E5" s="32">
        <f>D5/6</f>
        <v>90</v>
      </c>
      <c r="F5" s="18">
        <f>D5/6</f>
        <v>90</v>
      </c>
      <c r="G5" s="15" t="s">
        <v>41</v>
      </c>
      <c r="H5" s="17">
        <v>6.209</v>
      </c>
      <c r="I5" s="17">
        <f>D5*H5</f>
        <v>3352.86</v>
      </c>
      <c r="J5" s="17">
        <f>SUM(F5*6*H5)</f>
        <v>3352.86</v>
      </c>
      <c r="K5" s="17"/>
    </row>
    <row r="6" ht="20" customHeight="1" spans="1:11">
      <c r="A6" s="15">
        <v>4</v>
      </c>
      <c r="B6" s="15" t="s">
        <v>61</v>
      </c>
      <c r="C6" s="15" t="s">
        <v>63</v>
      </c>
      <c r="D6" s="17">
        <f>框架钢材!G16*2+框架钢材!G25*1</f>
        <v>78</v>
      </c>
      <c r="E6" s="32">
        <f>D6/6</f>
        <v>13</v>
      </c>
      <c r="F6" s="17">
        <v>13</v>
      </c>
      <c r="G6" s="15" t="s">
        <v>41</v>
      </c>
      <c r="H6" s="17">
        <v>4.427</v>
      </c>
      <c r="I6" s="17">
        <f>D6*H6</f>
        <v>345.306</v>
      </c>
      <c r="J6" s="17">
        <f>SUM(F6*6*H6)</f>
        <v>345.306</v>
      </c>
      <c r="K6" s="17"/>
    </row>
    <row r="7" ht="24" customHeight="1" spans="1:11">
      <c r="A7" s="15">
        <v>5</v>
      </c>
      <c r="B7" s="17" t="s">
        <v>64</v>
      </c>
      <c r="C7" s="17"/>
      <c r="D7" s="17"/>
      <c r="E7" s="17"/>
      <c r="F7" s="17"/>
      <c r="G7" s="17"/>
      <c r="H7" s="17"/>
      <c r="I7" s="17">
        <f>SUM(I3:I6)</f>
        <v>7175.752</v>
      </c>
      <c r="J7" s="17">
        <f>SUM(J3:J6)</f>
        <v>7207.932</v>
      </c>
      <c r="K7" s="17"/>
    </row>
    <row r="8" ht="18" customHeight="1" spans="9:9">
      <c r="I8" s="10">
        <f>框架钢材!I8*15+框架钢材!I17*2+框架钢材!I26*1</f>
        <v>7175.752</v>
      </c>
    </row>
  </sheetData>
  <mergeCells count="2">
    <mergeCell ref="A1:K1"/>
    <mergeCell ref="B7:H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zoomScale="85" zoomScaleNormal="85" workbookViewId="0">
      <selection activeCell="C7" sqref="C7"/>
    </sheetView>
  </sheetViews>
  <sheetFormatPr defaultColWidth="9" defaultRowHeight="13.5"/>
  <cols>
    <col min="1" max="1" width="5.375" style="10" customWidth="1"/>
    <col min="2" max="2" width="10.875" style="10" customWidth="1"/>
    <col min="3" max="3" width="12.625" style="10" customWidth="1"/>
    <col min="4" max="4" width="8.375" style="10" customWidth="1"/>
    <col min="5" max="7" width="9" style="10"/>
    <col min="8" max="8" width="12.625" style="10" customWidth="1"/>
    <col min="9" max="9" width="9.125" style="10" customWidth="1"/>
    <col min="10" max="10" width="12.625" style="10"/>
    <col min="11" max="11" width="8.875" customWidth="1"/>
    <col min="12" max="12" width="9" hidden="1" customWidth="1"/>
    <col min="13" max="13" width="10.875" hidden="1" customWidth="1"/>
    <col min="14" max="14" width="12.625" hidden="1" customWidth="1"/>
    <col min="15" max="21" width="9" hidden="1" customWidth="1"/>
    <col min="25" max="25" width="12.625" customWidth="1"/>
    <col min="30" max="30" width="12.625"/>
    <col min="31" max="31" width="9.375"/>
    <col min="32" max="32" width="12.625"/>
  </cols>
  <sheetData>
    <row r="1" ht="24" customHeight="1" spans="1:21">
      <c r="A1" s="10" t="s">
        <v>65</v>
      </c>
      <c r="L1" s="10" t="s">
        <v>66</v>
      </c>
      <c r="M1" s="10"/>
      <c r="N1" s="10"/>
      <c r="O1" s="10"/>
      <c r="P1" s="10"/>
      <c r="Q1" s="10"/>
      <c r="R1" s="10"/>
      <c r="S1" s="10"/>
      <c r="T1" s="10"/>
      <c r="U1" s="10"/>
    </row>
    <row r="2" ht="20" customHeight="1" spans="1:21">
      <c r="A2" s="15" t="s">
        <v>67</v>
      </c>
      <c r="B2" s="15"/>
      <c r="C2" s="15"/>
      <c r="D2" s="15"/>
      <c r="E2" s="15"/>
      <c r="F2" s="15"/>
      <c r="G2" s="15"/>
      <c r="H2" s="15"/>
      <c r="I2" s="15"/>
      <c r="J2" s="15"/>
      <c r="L2" s="15" t="s">
        <v>68</v>
      </c>
      <c r="M2" s="15"/>
      <c r="N2" s="15"/>
      <c r="O2" s="15"/>
      <c r="P2" s="15"/>
      <c r="Q2" s="15"/>
      <c r="R2" s="15"/>
      <c r="S2" s="15"/>
      <c r="T2" s="15"/>
      <c r="U2" s="15"/>
    </row>
    <row r="3" s="10" customFormat="1" ht="20" customHeight="1" spans="1:32">
      <c r="A3" s="15" t="s">
        <v>3</v>
      </c>
      <c r="B3" s="15" t="s">
        <v>4</v>
      </c>
      <c r="C3" s="15" t="s">
        <v>5</v>
      </c>
      <c r="D3" s="15" t="s">
        <v>69</v>
      </c>
      <c r="E3" s="15" t="s">
        <v>7</v>
      </c>
      <c r="F3" s="15" t="s">
        <v>6</v>
      </c>
      <c r="G3" s="15" t="s">
        <v>70</v>
      </c>
      <c r="H3" s="17" t="s">
        <v>54</v>
      </c>
      <c r="I3" s="17" t="s">
        <v>71</v>
      </c>
      <c r="J3" s="17" t="s">
        <v>8</v>
      </c>
      <c r="L3" s="15" t="s">
        <v>3</v>
      </c>
      <c r="M3" s="15" t="s">
        <v>4</v>
      </c>
      <c r="N3" s="15" t="s">
        <v>5</v>
      </c>
      <c r="O3" s="15" t="s">
        <v>69</v>
      </c>
      <c r="P3" s="15" t="s">
        <v>7</v>
      </c>
      <c r="Q3" s="15" t="s">
        <v>6</v>
      </c>
      <c r="R3" s="15" t="s">
        <v>70</v>
      </c>
      <c r="S3" s="17" t="s">
        <v>54</v>
      </c>
      <c r="T3" s="17" t="s">
        <v>71</v>
      </c>
      <c r="U3" s="17" t="s">
        <v>8</v>
      </c>
      <c r="W3"/>
      <c r="X3"/>
      <c r="Y3"/>
      <c r="Z3"/>
      <c r="AA3"/>
      <c r="AB3"/>
      <c r="AC3"/>
      <c r="AD3"/>
      <c r="AE3"/>
      <c r="AF3"/>
    </row>
    <row r="4" ht="20" customHeight="1" spans="1:21">
      <c r="A4" s="15">
        <v>1</v>
      </c>
      <c r="B4" s="15" t="s">
        <v>57</v>
      </c>
      <c r="C4" s="15" t="s">
        <v>58</v>
      </c>
      <c r="D4" s="15">
        <v>6</v>
      </c>
      <c r="E4" s="15">
        <v>2</v>
      </c>
      <c r="F4" s="15" t="s">
        <v>41</v>
      </c>
      <c r="G4" s="15">
        <f>D4*E4</f>
        <v>12</v>
      </c>
      <c r="H4" s="17">
        <v>8.045</v>
      </c>
      <c r="I4" s="17">
        <f>G4*H4+G5*H5</f>
        <v>144.81</v>
      </c>
      <c r="J4" s="17"/>
      <c r="L4" s="15">
        <v>1</v>
      </c>
      <c r="M4" s="15" t="s">
        <v>57</v>
      </c>
      <c r="N4" s="15" t="s">
        <v>58</v>
      </c>
      <c r="O4" s="15">
        <v>6</v>
      </c>
      <c r="P4" s="15">
        <v>2</v>
      </c>
      <c r="Q4" s="15" t="s">
        <v>41</v>
      </c>
      <c r="R4" s="15">
        <f t="shared" ref="R4:R7" si="0">O4*P4</f>
        <v>12</v>
      </c>
      <c r="S4" s="17">
        <v>8.045</v>
      </c>
      <c r="T4" s="17">
        <f>R4*S4+R5*S5</f>
        <v>144.81</v>
      </c>
      <c r="U4" s="17"/>
    </row>
    <row r="5" ht="20" customHeight="1" spans="1:21">
      <c r="A5" s="15"/>
      <c r="B5" s="15"/>
      <c r="C5" s="15"/>
      <c r="D5" s="15">
        <v>3</v>
      </c>
      <c r="E5" s="15">
        <v>2</v>
      </c>
      <c r="F5" s="15" t="s">
        <v>41</v>
      </c>
      <c r="G5" s="15">
        <f>D5*E5</f>
        <v>6</v>
      </c>
      <c r="H5" s="17">
        <v>8.045</v>
      </c>
      <c r="I5" s="17"/>
      <c r="J5" s="17"/>
      <c r="L5" s="15"/>
      <c r="M5" s="15"/>
      <c r="N5" s="15"/>
      <c r="O5" s="15">
        <v>3</v>
      </c>
      <c r="P5" s="15">
        <v>2</v>
      </c>
      <c r="Q5" s="15" t="s">
        <v>41</v>
      </c>
      <c r="R5" s="15">
        <f t="shared" si="0"/>
        <v>6</v>
      </c>
      <c r="S5" s="17">
        <v>8.045</v>
      </c>
      <c r="T5" s="17"/>
      <c r="U5" s="17"/>
    </row>
    <row r="6" ht="20" customHeight="1" spans="1:21">
      <c r="A6" s="15">
        <v>2</v>
      </c>
      <c r="B6" s="15" t="s">
        <v>59</v>
      </c>
      <c r="C6" s="15" t="s">
        <v>60</v>
      </c>
      <c r="D6" s="15">
        <v>3</v>
      </c>
      <c r="E6" s="15">
        <v>8</v>
      </c>
      <c r="F6" s="15" t="s">
        <v>41</v>
      </c>
      <c r="G6" s="15">
        <f>D6*E6</f>
        <v>24</v>
      </c>
      <c r="H6" s="17">
        <v>2.332</v>
      </c>
      <c r="I6" s="17">
        <f>G6*H6</f>
        <v>55.968</v>
      </c>
      <c r="J6" s="17"/>
      <c r="L6" s="15">
        <v>2</v>
      </c>
      <c r="M6" s="15" t="s">
        <v>59</v>
      </c>
      <c r="N6" s="15" t="s">
        <v>60</v>
      </c>
      <c r="O6" s="15">
        <v>3</v>
      </c>
      <c r="P6" s="15">
        <v>8</v>
      </c>
      <c r="Q6" s="15" t="s">
        <v>41</v>
      </c>
      <c r="R6" s="15">
        <f t="shared" si="0"/>
        <v>24</v>
      </c>
      <c r="S6" s="17">
        <v>2.332</v>
      </c>
      <c r="T6" s="17">
        <f>R6*S6</f>
        <v>55.968</v>
      </c>
      <c r="U6" s="17"/>
    </row>
    <row r="7" ht="20" customHeight="1" spans="1:21">
      <c r="A7" s="15">
        <v>3</v>
      </c>
      <c r="B7" s="15" t="s">
        <v>61</v>
      </c>
      <c r="C7" s="15" t="s">
        <v>62</v>
      </c>
      <c r="D7" s="15">
        <v>6</v>
      </c>
      <c r="E7" s="15">
        <v>6</v>
      </c>
      <c r="F7" s="15" t="s">
        <v>41</v>
      </c>
      <c r="G7" s="15">
        <f>D7*E7</f>
        <v>36</v>
      </c>
      <c r="H7" s="17">
        <v>6.209</v>
      </c>
      <c r="I7" s="17">
        <f>G7*H7</f>
        <v>223.524</v>
      </c>
      <c r="J7" s="17"/>
      <c r="L7" s="15">
        <v>3</v>
      </c>
      <c r="M7" s="15" t="s">
        <v>61</v>
      </c>
      <c r="N7" s="15" t="s">
        <v>62</v>
      </c>
      <c r="O7" s="15">
        <v>6</v>
      </c>
      <c r="P7" s="15">
        <v>6</v>
      </c>
      <c r="Q7" s="15" t="s">
        <v>41</v>
      </c>
      <c r="R7" s="15">
        <f t="shared" si="0"/>
        <v>36</v>
      </c>
      <c r="S7" s="17">
        <v>6.209</v>
      </c>
      <c r="T7" s="17">
        <f>R7*S7</f>
        <v>223.524</v>
      </c>
      <c r="U7" s="17"/>
    </row>
    <row r="8" ht="20" customHeight="1" spans="1:21">
      <c r="A8" s="17">
        <v>4</v>
      </c>
      <c r="B8" s="17" t="s">
        <v>64</v>
      </c>
      <c r="C8" s="17"/>
      <c r="D8" s="17"/>
      <c r="E8" s="17"/>
      <c r="F8" s="17"/>
      <c r="G8" s="17"/>
      <c r="H8" s="17"/>
      <c r="I8" s="17">
        <f>SUM(I4:I7)</f>
        <v>424.302</v>
      </c>
      <c r="J8" s="17">
        <f>I8/18</f>
        <v>23.5723333333333</v>
      </c>
      <c r="L8" s="17">
        <v>4</v>
      </c>
      <c r="M8" s="17" t="s">
        <v>64</v>
      </c>
      <c r="N8" s="17"/>
      <c r="O8" s="17"/>
      <c r="P8" s="17"/>
      <c r="Q8" s="17"/>
      <c r="R8" s="17"/>
      <c r="S8" s="17"/>
      <c r="T8" s="17">
        <f>SUM(T4:T7)</f>
        <v>424.302</v>
      </c>
      <c r="U8" s="17"/>
    </row>
    <row r="9" ht="21" customHeight="1" spans="1:21">
      <c r="A9" s="17">
        <v>5</v>
      </c>
      <c r="B9" s="17" t="s">
        <v>72</v>
      </c>
      <c r="C9" s="32">
        <f>1.2*0.8*8</f>
        <v>7.68</v>
      </c>
      <c r="D9" s="17" t="s">
        <v>73</v>
      </c>
      <c r="E9" s="17"/>
      <c r="F9" s="32">
        <f>16*6*3+I8+15*8</f>
        <v>832.302</v>
      </c>
      <c r="G9" s="17" t="s">
        <v>74</v>
      </c>
      <c r="H9" s="32">
        <f>F9/C9</f>
        <v>108.37265625</v>
      </c>
      <c r="I9" s="17" t="s">
        <v>75</v>
      </c>
      <c r="J9" s="32">
        <f>(24+60+250)-H9</f>
        <v>225.62734375</v>
      </c>
      <c r="L9" s="17">
        <v>5</v>
      </c>
      <c r="M9" s="17" t="s">
        <v>72</v>
      </c>
      <c r="N9" s="32">
        <f>1.2*0.8*8</f>
        <v>7.68</v>
      </c>
      <c r="O9" s="17" t="s">
        <v>76</v>
      </c>
      <c r="P9" s="17"/>
      <c r="Q9" s="32">
        <f>16*6*3+T8+15*8</f>
        <v>832.302</v>
      </c>
      <c r="R9" s="17" t="s">
        <v>74</v>
      </c>
      <c r="S9" s="32">
        <f>Q9/N9</f>
        <v>108.37265625</v>
      </c>
      <c r="T9" s="17" t="s">
        <v>75</v>
      </c>
      <c r="U9" s="32">
        <f>(24+60+300)-S9</f>
        <v>275.62734375</v>
      </c>
    </row>
    <row r="10" ht="21" customHeight="1" spans="12:21"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20" customHeight="1" spans="1:21">
      <c r="A11" s="15" t="s">
        <v>77</v>
      </c>
      <c r="B11" s="15"/>
      <c r="C11" s="15"/>
      <c r="D11" s="15"/>
      <c r="E11" s="15"/>
      <c r="F11" s="15"/>
      <c r="G11" s="15"/>
      <c r="H11" s="15"/>
      <c r="I11" s="15"/>
      <c r="J11" s="15"/>
      <c r="L11" s="15" t="s">
        <v>78</v>
      </c>
      <c r="M11" s="15"/>
      <c r="N11" s="15"/>
      <c r="O11" s="15"/>
      <c r="P11" s="15"/>
      <c r="Q11" s="15"/>
      <c r="R11" s="15"/>
      <c r="S11" s="15"/>
      <c r="T11" s="15"/>
      <c r="U11" s="15"/>
    </row>
    <row r="12" ht="20" customHeight="1" spans="1:21">
      <c r="A12" s="15" t="s">
        <v>3</v>
      </c>
      <c r="B12" s="15" t="s">
        <v>4</v>
      </c>
      <c r="C12" s="15" t="s">
        <v>5</v>
      </c>
      <c r="D12" s="15" t="s">
        <v>69</v>
      </c>
      <c r="E12" s="15" t="s">
        <v>7</v>
      </c>
      <c r="F12" s="15" t="s">
        <v>6</v>
      </c>
      <c r="G12" s="15" t="s">
        <v>70</v>
      </c>
      <c r="H12" s="17" t="s">
        <v>54</v>
      </c>
      <c r="I12" s="17" t="s">
        <v>71</v>
      </c>
      <c r="J12" s="17" t="s">
        <v>8</v>
      </c>
      <c r="L12" s="15" t="s">
        <v>3</v>
      </c>
      <c r="M12" s="15" t="s">
        <v>4</v>
      </c>
      <c r="N12" s="15" t="s">
        <v>5</v>
      </c>
      <c r="O12" s="15" t="s">
        <v>69</v>
      </c>
      <c r="P12" s="15" t="s">
        <v>7</v>
      </c>
      <c r="Q12" s="15" t="s">
        <v>6</v>
      </c>
      <c r="R12" s="15" t="s">
        <v>70</v>
      </c>
      <c r="S12" s="17" t="s">
        <v>54</v>
      </c>
      <c r="T12" s="17" t="s">
        <v>71</v>
      </c>
      <c r="U12" s="17" t="s">
        <v>8</v>
      </c>
    </row>
    <row r="13" ht="20" customHeight="1" spans="1:21">
      <c r="A13" s="15">
        <v>1</v>
      </c>
      <c r="B13" s="15" t="s">
        <v>57</v>
      </c>
      <c r="C13" s="15" t="s">
        <v>58</v>
      </c>
      <c r="D13" s="15">
        <v>5</v>
      </c>
      <c r="E13" s="15">
        <v>2</v>
      </c>
      <c r="F13" s="15" t="s">
        <v>41</v>
      </c>
      <c r="G13" s="15">
        <f t="shared" ref="G13:G16" si="1">D13*E13</f>
        <v>10</v>
      </c>
      <c r="H13" s="17">
        <v>8.045</v>
      </c>
      <c r="I13" s="17">
        <f>G13*H13+G14*H14</f>
        <v>128.72</v>
      </c>
      <c r="J13" s="17"/>
      <c r="L13" s="15">
        <v>1</v>
      </c>
      <c r="M13" s="15" t="s">
        <v>57</v>
      </c>
      <c r="N13" s="15" t="s">
        <v>58</v>
      </c>
      <c r="O13" s="15">
        <v>5</v>
      </c>
      <c r="P13" s="15">
        <v>2</v>
      </c>
      <c r="Q13" s="15" t="s">
        <v>41</v>
      </c>
      <c r="R13" s="15">
        <f t="shared" ref="R13:R16" si="2">O13*P13</f>
        <v>10</v>
      </c>
      <c r="S13" s="17">
        <v>8.045</v>
      </c>
      <c r="T13" s="17">
        <f>R13*S13+R14*S14</f>
        <v>128.72</v>
      </c>
      <c r="U13" s="17"/>
    </row>
    <row r="14" ht="20" customHeight="1" spans="1:21">
      <c r="A14" s="15"/>
      <c r="B14" s="15"/>
      <c r="C14" s="15"/>
      <c r="D14" s="15">
        <v>3</v>
      </c>
      <c r="E14" s="15">
        <v>2</v>
      </c>
      <c r="F14" s="15" t="s">
        <v>41</v>
      </c>
      <c r="G14" s="15">
        <f t="shared" si="1"/>
        <v>6</v>
      </c>
      <c r="H14" s="17">
        <v>8.045</v>
      </c>
      <c r="I14" s="17"/>
      <c r="J14" s="17"/>
      <c r="L14" s="15"/>
      <c r="M14" s="15"/>
      <c r="N14" s="15"/>
      <c r="O14" s="15">
        <v>3</v>
      </c>
      <c r="P14" s="15">
        <v>2</v>
      </c>
      <c r="Q14" s="15" t="s">
        <v>41</v>
      </c>
      <c r="R14" s="15">
        <f t="shared" si="2"/>
        <v>6</v>
      </c>
      <c r="S14" s="17">
        <v>8.045</v>
      </c>
      <c r="T14" s="17"/>
      <c r="U14" s="17"/>
    </row>
    <row r="15" ht="20" customHeight="1" spans="1:21">
      <c r="A15" s="15">
        <v>2</v>
      </c>
      <c r="B15" s="15" t="s">
        <v>59</v>
      </c>
      <c r="C15" s="15" t="s">
        <v>60</v>
      </c>
      <c r="D15" s="15">
        <v>3</v>
      </c>
      <c r="E15" s="15">
        <v>6</v>
      </c>
      <c r="F15" s="15" t="s">
        <v>41</v>
      </c>
      <c r="G15" s="15">
        <f t="shared" si="1"/>
        <v>18</v>
      </c>
      <c r="H15" s="17">
        <v>2.332</v>
      </c>
      <c r="I15" s="17">
        <f>G15*H15</f>
        <v>41.976</v>
      </c>
      <c r="J15" s="17"/>
      <c r="L15" s="15">
        <v>2</v>
      </c>
      <c r="M15" s="15" t="s">
        <v>59</v>
      </c>
      <c r="N15" s="15" t="s">
        <v>60</v>
      </c>
      <c r="O15" s="15">
        <v>3</v>
      </c>
      <c r="P15" s="15">
        <v>6</v>
      </c>
      <c r="Q15" s="15" t="s">
        <v>41</v>
      </c>
      <c r="R15" s="15">
        <f t="shared" si="2"/>
        <v>18</v>
      </c>
      <c r="S15" s="17">
        <v>2.332</v>
      </c>
      <c r="T15" s="17">
        <f>R15*S15</f>
        <v>41.976</v>
      </c>
      <c r="U15" s="17"/>
    </row>
    <row r="16" ht="20" customHeight="1" spans="1:21">
      <c r="A16" s="15">
        <v>3</v>
      </c>
      <c r="B16" s="15" t="s">
        <v>61</v>
      </c>
      <c r="C16" s="15" t="s">
        <v>63</v>
      </c>
      <c r="D16" s="15">
        <v>5</v>
      </c>
      <c r="E16" s="15">
        <v>6</v>
      </c>
      <c r="F16" s="15" t="s">
        <v>41</v>
      </c>
      <c r="G16" s="15">
        <f t="shared" si="1"/>
        <v>30</v>
      </c>
      <c r="H16" s="17">
        <v>4.427</v>
      </c>
      <c r="I16" s="17">
        <f>G16*H16</f>
        <v>132.81</v>
      </c>
      <c r="J16" s="17"/>
      <c r="L16" s="15">
        <v>3</v>
      </c>
      <c r="M16" s="15" t="s">
        <v>61</v>
      </c>
      <c r="N16" s="15" t="s">
        <v>63</v>
      </c>
      <c r="O16" s="15">
        <v>5</v>
      </c>
      <c r="P16" s="15">
        <v>6</v>
      </c>
      <c r="Q16" s="15" t="s">
        <v>41</v>
      </c>
      <c r="R16" s="15">
        <f t="shared" si="2"/>
        <v>30</v>
      </c>
      <c r="S16" s="17">
        <v>4.427</v>
      </c>
      <c r="T16" s="17">
        <f>R16*S16</f>
        <v>132.81</v>
      </c>
      <c r="U16" s="17"/>
    </row>
    <row r="17" ht="20" customHeight="1" spans="1:21">
      <c r="A17" s="17">
        <v>4</v>
      </c>
      <c r="B17" s="17" t="s">
        <v>64</v>
      </c>
      <c r="C17" s="17"/>
      <c r="D17" s="17"/>
      <c r="E17" s="17"/>
      <c r="F17" s="17"/>
      <c r="G17" s="17"/>
      <c r="H17" s="17"/>
      <c r="I17" s="17">
        <f>SUM(I13:I16)</f>
        <v>303.506</v>
      </c>
      <c r="J17" s="17">
        <f>I17/15</f>
        <v>20.2337333333333</v>
      </c>
      <c r="L17" s="17">
        <v>4</v>
      </c>
      <c r="M17" s="17" t="s">
        <v>64</v>
      </c>
      <c r="N17" s="17"/>
      <c r="O17" s="17"/>
      <c r="P17" s="17"/>
      <c r="Q17" s="17"/>
      <c r="R17" s="17"/>
      <c r="S17" s="17"/>
      <c r="T17" s="17">
        <f>SUM(T13:T16)</f>
        <v>303.506</v>
      </c>
      <c r="U17" s="17"/>
    </row>
    <row r="18" ht="20" customHeight="1" spans="1:21">
      <c r="A18" s="17">
        <v>5</v>
      </c>
      <c r="B18" s="17" t="s">
        <v>72</v>
      </c>
      <c r="C18" s="32">
        <f>1.2*0.8*6</f>
        <v>5.76</v>
      </c>
      <c r="D18" s="17" t="s">
        <v>73</v>
      </c>
      <c r="E18" s="17"/>
      <c r="F18" s="32">
        <f>16*5*3+I17+15*6</f>
        <v>633.506</v>
      </c>
      <c r="G18" s="17" t="s">
        <v>74</v>
      </c>
      <c r="H18" s="32">
        <f>F18/C18</f>
        <v>109.983680555556</v>
      </c>
      <c r="I18" s="17" t="s">
        <v>75</v>
      </c>
      <c r="J18" s="32">
        <f>(24+60+250)-H18</f>
        <v>224.016319444444</v>
      </c>
      <c r="L18" s="17">
        <v>5</v>
      </c>
      <c r="M18" s="17" t="s">
        <v>72</v>
      </c>
      <c r="N18" s="32">
        <f>1.2*0.8*6</f>
        <v>5.76</v>
      </c>
      <c r="O18" s="17" t="s">
        <v>76</v>
      </c>
      <c r="P18" s="17"/>
      <c r="Q18" s="32">
        <f>16*5*3+T17+15*6</f>
        <v>633.506</v>
      </c>
      <c r="R18" s="17" t="s">
        <v>74</v>
      </c>
      <c r="S18" s="32">
        <f>Q18/N18</f>
        <v>109.983680555556</v>
      </c>
      <c r="T18" s="17" t="s">
        <v>75</v>
      </c>
      <c r="U18" s="32">
        <f>(24+60+300)-S18</f>
        <v>274.016319444444</v>
      </c>
    </row>
    <row r="19" ht="20" customHeight="1"/>
    <row r="20" ht="20" customHeight="1" spans="1:10">
      <c r="A20" s="15" t="s">
        <v>79</v>
      </c>
      <c r="B20" s="15"/>
      <c r="C20" s="15"/>
      <c r="D20" s="15"/>
      <c r="E20" s="15"/>
      <c r="F20" s="15"/>
      <c r="G20" s="15"/>
      <c r="H20" s="15"/>
      <c r="I20" s="15"/>
      <c r="J20" s="15"/>
    </row>
    <row r="21" ht="20" customHeight="1" spans="1:10">
      <c r="A21" s="15" t="s">
        <v>3</v>
      </c>
      <c r="B21" s="15" t="s">
        <v>4</v>
      </c>
      <c r="C21" s="15" t="s">
        <v>5</v>
      </c>
      <c r="D21" s="15" t="s">
        <v>69</v>
      </c>
      <c r="E21" s="15" t="s">
        <v>7</v>
      </c>
      <c r="F21" s="15" t="s">
        <v>6</v>
      </c>
      <c r="G21" s="15" t="s">
        <v>70</v>
      </c>
      <c r="H21" s="17" t="s">
        <v>54</v>
      </c>
      <c r="I21" s="17" t="s">
        <v>71</v>
      </c>
      <c r="J21" s="17" t="s">
        <v>8</v>
      </c>
    </row>
    <row r="22" ht="20" customHeight="1" spans="1:10">
      <c r="A22" s="15">
        <v>1</v>
      </c>
      <c r="B22" s="15" t="s">
        <v>57</v>
      </c>
      <c r="C22" s="15" t="s">
        <v>58</v>
      </c>
      <c r="D22" s="15">
        <v>3</v>
      </c>
      <c r="E22" s="15">
        <v>2</v>
      </c>
      <c r="F22" s="15" t="s">
        <v>41</v>
      </c>
      <c r="G22" s="15">
        <f t="shared" ref="G22:G25" si="3">D22*E22</f>
        <v>6</v>
      </c>
      <c r="H22" s="17">
        <v>8.045</v>
      </c>
      <c r="I22" s="17">
        <f>G22*H22+G23*H23</f>
        <v>96.54</v>
      </c>
      <c r="J22" s="17"/>
    </row>
    <row r="23" ht="20" customHeight="1" spans="1:10">
      <c r="A23" s="15"/>
      <c r="B23" s="15"/>
      <c r="C23" s="15"/>
      <c r="D23" s="15">
        <v>3</v>
      </c>
      <c r="E23" s="15">
        <v>2</v>
      </c>
      <c r="F23" s="15" t="s">
        <v>41</v>
      </c>
      <c r="G23" s="15">
        <f t="shared" si="3"/>
        <v>6</v>
      </c>
      <c r="H23" s="17">
        <v>8.045</v>
      </c>
      <c r="I23" s="17"/>
      <c r="J23" s="17"/>
    </row>
    <row r="24" ht="20" customHeight="1" spans="1:10">
      <c r="A24" s="15">
        <v>2</v>
      </c>
      <c r="B24" s="15" t="s">
        <v>59</v>
      </c>
      <c r="C24" s="15" t="s">
        <v>60</v>
      </c>
      <c r="D24" s="15">
        <v>3</v>
      </c>
      <c r="E24" s="15">
        <v>4</v>
      </c>
      <c r="F24" s="15" t="s">
        <v>41</v>
      </c>
      <c r="G24" s="15">
        <f t="shared" si="3"/>
        <v>12</v>
      </c>
      <c r="H24" s="17">
        <v>2.332</v>
      </c>
      <c r="I24" s="17">
        <f>G24*H24</f>
        <v>27.984</v>
      </c>
      <c r="J24" s="17"/>
    </row>
    <row r="25" ht="20" customHeight="1" spans="1:10">
      <c r="A25" s="15">
        <v>3</v>
      </c>
      <c r="B25" s="15" t="s">
        <v>61</v>
      </c>
      <c r="C25" s="15" t="s">
        <v>63</v>
      </c>
      <c r="D25" s="15">
        <v>3</v>
      </c>
      <c r="E25" s="15">
        <v>6</v>
      </c>
      <c r="F25" s="15" t="s">
        <v>41</v>
      </c>
      <c r="G25" s="15">
        <f t="shared" si="3"/>
        <v>18</v>
      </c>
      <c r="H25" s="17">
        <v>4.427</v>
      </c>
      <c r="I25" s="17">
        <f>G25*H25</f>
        <v>79.686</v>
      </c>
      <c r="J25" s="17"/>
    </row>
    <row r="26" ht="20" customHeight="1" spans="1:10">
      <c r="A26" s="17">
        <v>4</v>
      </c>
      <c r="B26" s="17" t="s">
        <v>64</v>
      </c>
      <c r="C26" s="17"/>
      <c r="D26" s="17"/>
      <c r="E26" s="17"/>
      <c r="F26" s="17"/>
      <c r="G26" s="17"/>
      <c r="H26" s="17"/>
      <c r="I26" s="17">
        <f>SUM(I22:I25)</f>
        <v>204.21</v>
      </c>
      <c r="J26" s="17">
        <f>I26/9</f>
        <v>22.69</v>
      </c>
    </row>
    <row r="27" ht="20" customHeight="1" spans="1:10">
      <c r="A27" s="17">
        <v>5</v>
      </c>
      <c r="B27" s="17" t="s">
        <v>72</v>
      </c>
      <c r="C27" s="32">
        <f>1.2*0.8*4</f>
        <v>3.84</v>
      </c>
      <c r="D27" s="17" t="s">
        <v>73</v>
      </c>
      <c r="E27" s="17"/>
      <c r="F27" s="32">
        <f>16*3*3+I26+15*4</f>
        <v>408.21</v>
      </c>
      <c r="G27" s="17" t="s">
        <v>74</v>
      </c>
      <c r="H27" s="32">
        <f>F27/C27</f>
        <v>106.3046875</v>
      </c>
      <c r="I27" s="17" t="s">
        <v>75</v>
      </c>
      <c r="J27" s="32">
        <f>(24+60+250)-H27</f>
        <v>227.6953125</v>
      </c>
    </row>
    <row r="28" ht="20" customHeight="1"/>
    <row r="29" ht="20" customHeight="1"/>
  </sheetData>
  <mergeCells count="37">
    <mergeCell ref="A1:J1"/>
    <mergeCell ref="L1:U1"/>
    <mergeCell ref="A2:J2"/>
    <mergeCell ref="L2:U2"/>
    <mergeCell ref="B8:H8"/>
    <mergeCell ref="M8:S8"/>
    <mergeCell ref="D9:E9"/>
    <mergeCell ref="O9:P9"/>
    <mergeCell ref="A11:J11"/>
    <mergeCell ref="L11:U11"/>
    <mergeCell ref="B17:H17"/>
    <mergeCell ref="M17:S17"/>
    <mergeCell ref="D18:E18"/>
    <mergeCell ref="O18:P18"/>
    <mergeCell ref="A20:J20"/>
    <mergeCell ref="B26:H26"/>
    <mergeCell ref="D27:E27"/>
    <mergeCell ref="A4:A5"/>
    <mergeCell ref="A13:A14"/>
    <mergeCell ref="A22:A23"/>
    <mergeCell ref="B4:B5"/>
    <mergeCell ref="B13:B14"/>
    <mergeCell ref="B22:B23"/>
    <mergeCell ref="C4:C5"/>
    <mergeCell ref="C13:C14"/>
    <mergeCell ref="C22:C23"/>
    <mergeCell ref="I4:I5"/>
    <mergeCell ref="I13:I14"/>
    <mergeCell ref="I22:I23"/>
    <mergeCell ref="L4:L5"/>
    <mergeCell ref="L13:L14"/>
    <mergeCell ref="M4:M5"/>
    <mergeCell ref="M13:M14"/>
    <mergeCell ref="N4:N5"/>
    <mergeCell ref="N13:N14"/>
    <mergeCell ref="T4:T5"/>
    <mergeCell ref="T13:T1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zoomScale="160" zoomScaleNormal="160" workbookViewId="0">
      <selection activeCell="C12" sqref="C12"/>
    </sheetView>
  </sheetViews>
  <sheetFormatPr defaultColWidth="9" defaultRowHeight="13.5"/>
  <cols>
    <col min="1" max="1" width="5.375" customWidth="1"/>
    <col min="2" max="2" width="7" customWidth="1"/>
    <col min="3" max="3" width="12.625" customWidth="1"/>
    <col min="4" max="4" width="10.4833333333333" customWidth="1"/>
    <col min="5" max="5" width="10.5666666666667" customWidth="1"/>
    <col min="6" max="6" width="12.625"/>
    <col min="7" max="7" width="10.375"/>
    <col min="9" max="9" width="12.75" customWidth="1"/>
    <col min="10" max="10" width="12.625"/>
  </cols>
  <sheetData>
    <row r="1" ht="20" customHeight="1" spans="1:10">
      <c r="A1" s="15" t="s">
        <v>80</v>
      </c>
      <c r="B1" s="15"/>
      <c r="C1" s="15"/>
      <c r="D1" s="15"/>
      <c r="E1" s="15"/>
      <c r="F1" s="15"/>
      <c r="G1" s="15"/>
      <c r="H1" s="15"/>
      <c r="I1" s="15"/>
      <c r="J1" s="15"/>
    </row>
    <row r="2" ht="20" customHeight="1" spans="1:10">
      <c r="A2" s="15" t="s">
        <v>3</v>
      </c>
      <c r="B2" s="15" t="s">
        <v>4</v>
      </c>
      <c r="C2" s="15" t="s">
        <v>5</v>
      </c>
      <c r="D2" s="15" t="s">
        <v>69</v>
      </c>
      <c r="E2" s="15" t="s">
        <v>7</v>
      </c>
      <c r="F2" s="15" t="s">
        <v>6</v>
      </c>
      <c r="G2" s="15" t="s">
        <v>70</v>
      </c>
      <c r="H2" s="17" t="s">
        <v>54</v>
      </c>
      <c r="I2" s="17" t="s">
        <v>81</v>
      </c>
      <c r="J2" s="17" t="s">
        <v>8</v>
      </c>
    </row>
    <row r="3" ht="20" customHeight="1" spans="1:10">
      <c r="A3" s="15">
        <v>1</v>
      </c>
      <c r="B3" s="33" t="s">
        <v>82</v>
      </c>
      <c r="C3" s="34" t="s">
        <v>83</v>
      </c>
      <c r="D3" s="15">
        <v>20</v>
      </c>
      <c r="E3" s="15">
        <v>2</v>
      </c>
      <c r="F3" s="15" t="s">
        <v>41</v>
      </c>
      <c r="G3" s="15">
        <f>D3*E3</f>
        <v>40</v>
      </c>
      <c r="H3" s="17">
        <v>14.535</v>
      </c>
      <c r="I3" s="17">
        <f>G3*H3</f>
        <v>581.4</v>
      </c>
      <c r="J3" s="30"/>
    </row>
    <row r="4" ht="20" customHeight="1" spans="1:10">
      <c r="A4" s="15">
        <v>2</v>
      </c>
      <c r="B4" s="35"/>
      <c r="C4" s="36"/>
      <c r="D4" s="15">
        <v>6</v>
      </c>
      <c r="E4" s="15">
        <v>8</v>
      </c>
      <c r="F4" s="15" t="s">
        <v>41</v>
      </c>
      <c r="G4" s="15">
        <f>D4*E4</f>
        <v>48</v>
      </c>
      <c r="H4" s="17">
        <v>14.535</v>
      </c>
      <c r="I4" s="17">
        <f>G4*H4</f>
        <v>697.68</v>
      </c>
      <c r="J4" s="30"/>
    </row>
    <row r="5" ht="20" customHeight="1" spans="1:10">
      <c r="A5" s="15">
        <v>3</v>
      </c>
      <c r="B5" s="1" t="s">
        <v>84</v>
      </c>
      <c r="C5" s="25" t="s">
        <v>85</v>
      </c>
      <c r="D5" s="15">
        <v>6</v>
      </c>
      <c r="E5" s="15">
        <v>21</v>
      </c>
      <c r="F5" s="15" t="s">
        <v>41</v>
      </c>
      <c r="G5" s="15">
        <f>D5*E5</f>
        <v>126</v>
      </c>
      <c r="H5" s="17">
        <v>8.045</v>
      </c>
      <c r="I5" s="17">
        <f>G5*H5</f>
        <v>1013.67</v>
      </c>
      <c r="J5" s="30"/>
    </row>
    <row r="6" ht="20" customHeight="1" spans="1:10">
      <c r="A6" s="15">
        <v>4</v>
      </c>
      <c r="B6" s="1" t="s">
        <v>86</v>
      </c>
      <c r="C6" s="25" t="s">
        <v>87</v>
      </c>
      <c r="D6" s="15">
        <v>20</v>
      </c>
      <c r="E6" s="15">
        <v>15</v>
      </c>
      <c r="F6" s="15" t="s">
        <v>41</v>
      </c>
      <c r="G6" s="15">
        <f>D6*E6</f>
        <v>300</v>
      </c>
      <c r="H6" s="17">
        <v>4.427</v>
      </c>
      <c r="I6" s="17">
        <f>G6*H6</f>
        <v>1328.1</v>
      </c>
      <c r="J6" s="18"/>
    </row>
    <row r="7" ht="20" customHeight="1" spans="1:10">
      <c r="A7" s="26"/>
      <c r="B7" s="27"/>
      <c r="C7" s="27"/>
      <c r="D7" s="27"/>
      <c r="E7" s="27"/>
      <c r="F7" s="27"/>
      <c r="G7" s="27"/>
      <c r="H7" s="28"/>
      <c r="I7" s="31">
        <f>SUM(I3:I6)</f>
        <v>3620.85</v>
      </c>
      <c r="J7" s="17"/>
    </row>
    <row r="8" ht="20" customHeight="1" spans="1:10">
      <c r="A8" s="15">
        <v>6</v>
      </c>
      <c r="B8" s="17" t="s">
        <v>88</v>
      </c>
      <c r="C8" s="17" t="s">
        <v>89</v>
      </c>
      <c r="D8" s="17">
        <v>6.05</v>
      </c>
      <c r="E8" s="24"/>
      <c r="F8" s="17" t="s">
        <v>18</v>
      </c>
      <c r="G8" s="17">
        <f>20.05*6.05</f>
        <v>121.3025</v>
      </c>
      <c r="H8" s="17">
        <v>16</v>
      </c>
      <c r="I8" s="21">
        <f>G8*H8</f>
        <v>1940.84</v>
      </c>
      <c r="J8" s="17"/>
    </row>
    <row r="9" ht="20" customHeight="1" spans="1:10">
      <c r="A9" s="15">
        <v>7</v>
      </c>
      <c r="B9" s="17" t="s">
        <v>90</v>
      </c>
      <c r="C9" s="17"/>
      <c r="D9" s="17"/>
      <c r="E9" s="17"/>
      <c r="F9" s="17"/>
      <c r="G9" s="17"/>
      <c r="H9" s="17"/>
      <c r="I9" s="32">
        <f>I7+I8</f>
        <v>5561.69</v>
      </c>
      <c r="J9" s="17"/>
    </row>
    <row r="10" ht="20" customHeight="1"/>
    <row r="11" ht="20" customHeight="1"/>
    <row r="12" ht="20" customHeight="1"/>
    <row r="13" ht="20" customHeight="1"/>
  </sheetData>
  <mergeCells count="5">
    <mergeCell ref="A1:J1"/>
    <mergeCell ref="A7:H7"/>
    <mergeCell ref="B9:H9"/>
    <mergeCell ref="B3:B4"/>
    <mergeCell ref="C3:C4"/>
  </mergeCells>
  <pageMargins left="0.75" right="0.75" top="1" bottom="1" header="0.5" footer="0.5"/>
  <pageSetup paperSize="9" orientation="portrait"/>
  <headerFooter/>
  <ignoredErrors>
    <ignoredError sqref="I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zoomScale="175" zoomScaleNormal="175" workbookViewId="0">
      <selection activeCell="E11" sqref="E11"/>
    </sheetView>
  </sheetViews>
  <sheetFormatPr defaultColWidth="9" defaultRowHeight="13.5" outlineLevelRow="7"/>
  <cols>
    <col min="3" max="3" width="12.625" customWidth="1"/>
    <col min="7" max="7" width="9.375"/>
    <col min="9" max="9" width="10.375"/>
    <col min="10" max="10" width="9.375"/>
  </cols>
  <sheetData>
    <row r="1" ht="20" customHeight="1" spans="1:10">
      <c r="A1" s="15" t="s">
        <v>91</v>
      </c>
      <c r="B1" s="15"/>
      <c r="C1" s="15"/>
      <c r="D1" s="15"/>
      <c r="E1" s="15"/>
      <c r="F1" s="15"/>
      <c r="G1" s="15"/>
      <c r="H1" s="15"/>
      <c r="I1" s="15"/>
      <c r="J1" s="15"/>
    </row>
    <row r="2" ht="20" customHeight="1" spans="1:10">
      <c r="A2" s="15" t="s">
        <v>3</v>
      </c>
      <c r="B2" s="15" t="s">
        <v>4</v>
      </c>
      <c r="C2" s="15" t="s">
        <v>5</v>
      </c>
      <c r="D2" s="15" t="s">
        <v>69</v>
      </c>
      <c r="E2" s="15" t="s">
        <v>7</v>
      </c>
      <c r="F2" s="15" t="s">
        <v>6</v>
      </c>
      <c r="G2" s="15" t="s">
        <v>70</v>
      </c>
      <c r="H2" s="17" t="s">
        <v>54</v>
      </c>
      <c r="I2" s="17" t="s">
        <v>81</v>
      </c>
      <c r="J2" s="17" t="s">
        <v>8</v>
      </c>
    </row>
    <row r="3" ht="20" customHeight="1" spans="1:10">
      <c r="A3" s="15">
        <v>1</v>
      </c>
      <c r="B3" s="24" t="s">
        <v>82</v>
      </c>
      <c r="C3" s="25" t="s">
        <v>85</v>
      </c>
      <c r="D3" s="15">
        <v>51</v>
      </c>
      <c r="E3" s="15">
        <v>1</v>
      </c>
      <c r="F3" s="15" t="s">
        <v>41</v>
      </c>
      <c r="G3" s="15">
        <f>D3*E3</f>
        <v>51</v>
      </c>
      <c r="H3" s="17">
        <v>8.045</v>
      </c>
      <c r="I3" s="29">
        <f>G3*H3</f>
        <v>410.295</v>
      </c>
      <c r="J3" s="30"/>
    </row>
    <row r="4" ht="20" customHeight="1" spans="1:10">
      <c r="A4" s="15">
        <v>2</v>
      </c>
      <c r="B4" s="24" t="s">
        <v>84</v>
      </c>
      <c r="C4" s="24" t="s">
        <v>92</v>
      </c>
      <c r="D4" s="15">
        <v>5.3</v>
      </c>
      <c r="E4" s="15">
        <v>21</v>
      </c>
      <c r="F4" s="15" t="s">
        <v>41</v>
      </c>
      <c r="G4" s="15">
        <f>D4*E4</f>
        <v>111.3</v>
      </c>
      <c r="H4" s="17">
        <v>5.369</v>
      </c>
      <c r="I4" s="29">
        <f>G4*H4</f>
        <v>597.5697</v>
      </c>
      <c r="J4" s="30"/>
    </row>
    <row r="5" ht="20" customHeight="1" spans="1:10">
      <c r="A5" s="15">
        <v>3</v>
      </c>
      <c r="B5" s="24" t="s">
        <v>86</v>
      </c>
      <c r="C5" s="24" t="s">
        <v>63</v>
      </c>
      <c r="D5" s="15">
        <v>20</v>
      </c>
      <c r="E5" s="15">
        <v>13</v>
      </c>
      <c r="F5" s="15" t="s">
        <v>41</v>
      </c>
      <c r="G5" s="15">
        <f>D5*E5</f>
        <v>260</v>
      </c>
      <c r="H5" s="17">
        <v>4.427</v>
      </c>
      <c r="I5" s="29">
        <f>G5*H5</f>
        <v>1151.02</v>
      </c>
      <c r="J5" s="18"/>
    </row>
    <row r="6" ht="20" customHeight="1" spans="1:10">
      <c r="A6" s="26"/>
      <c r="B6" s="27"/>
      <c r="C6" s="27"/>
      <c r="D6" s="27"/>
      <c r="E6" s="27"/>
      <c r="F6" s="27"/>
      <c r="G6" s="27"/>
      <c r="H6" s="28"/>
      <c r="I6" s="31">
        <f>SUM(I3:I5)</f>
        <v>2158.8847</v>
      </c>
      <c r="J6" s="17"/>
    </row>
    <row r="7" ht="20" customHeight="1" spans="1:10">
      <c r="A7" s="15">
        <v>1</v>
      </c>
      <c r="B7" s="17" t="s">
        <v>88</v>
      </c>
      <c r="C7" s="17" t="s">
        <v>89</v>
      </c>
      <c r="D7" s="17">
        <v>6.05</v>
      </c>
      <c r="E7" s="24"/>
      <c r="F7" s="17" t="s">
        <v>18</v>
      </c>
      <c r="G7" s="17">
        <f>20.05*5.35</f>
        <v>107.2675</v>
      </c>
      <c r="H7" s="17">
        <v>16</v>
      </c>
      <c r="I7" s="21">
        <f>G7*H7</f>
        <v>1716.28</v>
      </c>
      <c r="J7" s="17"/>
    </row>
    <row r="8" ht="14.25" spans="1:10">
      <c r="A8" s="15">
        <v>2</v>
      </c>
      <c r="B8" s="17" t="s">
        <v>90</v>
      </c>
      <c r="C8" s="17"/>
      <c r="D8" s="17"/>
      <c r="E8" s="17"/>
      <c r="F8" s="17"/>
      <c r="G8" s="17"/>
      <c r="H8" s="17"/>
      <c r="I8" s="32">
        <f>I6+I7</f>
        <v>3875.1647</v>
      </c>
      <c r="J8" s="17"/>
    </row>
  </sheetData>
  <mergeCells count="3">
    <mergeCell ref="A1:J1"/>
    <mergeCell ref="A6:H6"/>
    <mergeCell ref="B8:H8"/>
  </mergeCells>
  <pageMargins left="0.75" right="0.75" top="1" bottom="1" header="0.5" footer="0.5"/>
  <headerFooter/>
  <ignoredErrors>
    <ignoredError sqref="I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zoomScale="85" zoomScaleNormal="85" workbookViewId="0">
      <selection activeCell="M13" sqref="M13"/>
    </sheetView>
  </sheetViews>
  <sheetFormatPr defaultColWidth="9" defaultRowHeight="13.5"/>
  <cols>
    <col min="1" max="1" width="9" style="10"/>
    <col min="2" max="2" width="9.875" customWidth="1"/>
    <col min="3" max="4" width="12.625" customWidth="1"/>
    <col min="5" max="5" width="10.875" customWidth="1"/>
    <col min="6" max="6" width="10.225"/>
    <col min="7" max="7" width="9.375" style="11" customWidth="1"/>
    <col min="10" max="10" width="10.8833333333333" customWidth="1"/>
    <col min="12" max="12" width="11.5"/>
    <col min="13" max="13" width="12.625"/>
  </cols>
  <sheetData>
    <row r="1" ht="25" customHeight="1" spans="1:13">
      <c r="A1" s="12" t="s">
        <v>93</v>
      </c>
      <c r="B1" s="13"/>
      <c r="C1" s="13"/>
      <c r="D1" s="13"/>
      <c r="E1" s="13"/>
      <c r="F1" s="13"/>
      <c r="G1" s="14"/>
      <c r="H1" s="13"/>
      <c r="I1" s="13"/>
      <c r="J1" s="13"/>
      <c r="K1" s="13"/>
      <c r="L1" s="13"/>
      <c r="M1" s="22"/>
    </row>
    <row r="2" ht="20" customHeight="1" spans="1:13">
      <c r="A2" s="15" t="s">
        <v>3</v>
      </c>
      <c r="B2" s="15" t="s">
        <v>4</v>
      </c>
      <c r="C2" s="15" t="s">
        <v>94</v>
      </c>
      <c r="D2" s="15" t="s">
        <v>5</v>
      </c>
      <c r="E2" s="15" t="s">
        <v>95</v>
      </c>
      <c r="F2" s="15" t="s">
        <v>7</v>
      </c>
      <c r="G2" s="16" t="s">
        <v>96</v>
      </c>
      <c r="H2" s="15" t="s">
        <v>6</v>
      </c>
      <c r="I2" s="15" t="s">
        <v>70</v>
      </c>
      <c r="J2" s="16" t="s">
        <v>97</v>
      </c>
      <c r="K2" s="17" t="s">
        <v>54</v>
      </c>
      <c r="L2" s="17" t="s">
        <v>71</v>
      </c>
      <c r="M2" s="17" t="s">
        <v>8</v>
      </c>
    </row>
    <row r="3" ht="20" customHeight="1" spans="1:13">
      <c r="A3" s="15">
        <v>1</v>
      </c>
      <c r="B3" s="15" t="s">
        <v>98</v>
      </c>
      <c r="C3" s="15" t="s">
        <v>99</v>
      </c>
      <c r="D3" s="15" t="s">
        <v>100</v>
      </c>
      <c r="E3" s="15">
        <v>260</v>
      </c>
      <c r="F3" s="15">
        <v>4</v>
      </c>
      <c r="G3" s="16">
        <f>F3*2</f>
        <v>8</v>
      </c>
      <c r="H3" s="15" t="s">
        <v>41</v>
      </c>
      <c r="I3" s="15">
        <f t="shared" ref="I3:I12" si="0">E3*0.001*F3</f>
        <v>1.04</v>
      </c>
      <c r="J3" s="23">
        <f>E3*0.001*G3</f>
        <v>2.08</v>
      </c>
      <c r="K3" s="17">
        <v>2.016</v>
      </c>
      <c r="L3" s="17">
        <f>I3*K3</f>
        <v>2.09664</v>
      </c>
      <c r="M3" s="17"/>
    </row>
    <row r="4" ht="20" customHeight="1" spans="1:13">
      <c r="A4" s="15"/>
      <c r="B4" s="15"/>
      <c r="C4" s="15"/>
      <c r="D4" s="15"/>
      <c r="E4" s="15">
        <v>283</v>
      </c>
      <c r="F4" s="15">
        <v>4</v>
      </c>
      <c r="G4" s="16">
        <f>F4*2</f>
        <v>8</v>
      </c>
      <c r="H4" s="15" t="s">
        <v>41</v>
      </c>
      <c r="I4" s="15">
        <f t="shared" si="0"/>
        <v>1.132</v>
      </c>
      <c r="J4" s="23">
        <f t="shared" ref="J4:J12" si="1">E4*0.001*G4</f>
        <v>2.264</v>
      </c>
      <c r="K4" s="17">
        <v>2.016</v>
      </c>
      <c r="L4" s="17">
        <f t="shared" ref="L4:L12" si="2">I4*K4</f>
        <v>2.282112</v>
      </c>
      <c r="M4" s="17"/>
    </row>
    <row r="5" ht="20" customHeight="1" spans="1:13">
      <c r="A5" s="15"/>
      <c r="B5" s="15"/>
      <c r="C5" s="15"/>
      <c r="D5" s="15"/>
      <c r="E5" s="15">
        <v>6580</v>
      </c>
      <c r="F5" s="15">
        <v>2</v>
      </c>
      <c r="G5" s="16">
        <f>F5*2</f>
        <v>4</v>
      </c>
      <c r="H5" s="15" t="s">
        <v>41</v>
      </c>
      <c r="I5" s="15">
        <f t="shared" si="0"/>
        <v>13.16</v>
      </c>
      <c r="J5" s="23">
        <f t="shared" si="1"/>
        <v>26.32</v>
      </c>
      <c r="K5" s="17">
        <v>2.016</v>
      </c>
      <c r="L5" s="17">
        <f t="shared" si="2"/>
        <v>26.53056</v>
      </c>
      <c r="M5" s="17"/>
    </row>
    <row r="6" ht="20" customHeight="1" spans="1:13">
      <c r="A6" s="15">
        <v>2</v>
      </c>
      <c r="B6" s="15" t="s">
        <v>98</v>
      </c>
      <c r="C6" s="15" t="s">
        <v>101</v>
      </c>
      <c r="D6" s="15" t="s">
        <v>102</v>
      </c>
      <c r="E6" s="15">
        <v>560</v>
      </c>
      <c r="F6" s="15">
        <v>4</v>
      </c>
      <c r="G6" s="16">
        <f>F6*2</f>
        <v>8</v>
      </c>
      <c r="H6" s="15" t="s">
        <v>41</v>
      </c>
      <c r="I6" s="15">
        <f t="shared" si="0"/>
        <v>2.24</v>
      </c>
      <c r="J6" s="23">
        <f t="shared" si="1"/>
        <v>4.48</v>
      </c>
      <c r="K6" s="17">
        <v>0.824</v>
      </c>
      <c r="L6" s="17">
        <f t="shared" si="2"/>
        <v>1.84576</v>
      </c>
      <c r="M6" s="17"/>
    </row>
    <row r="7" ht="20" customHeight="1" spans="1:13">
      <c r="A7" s="15"/>
      <c r="B7" s="15"/>
      <c r="C7" s="15"/>
      <c r="D7" s="15"/>
      <c r="E7" s="15">
        <v>680</v>
      </c>
      <c r="F7" s="15">
        <v>20</v>
      </c>
      <c r="G7" s="16">
        <f>F7*2</f>
        <v>40</v>
      </c>
      <c r="H7" s="15" t="s">
        <v>41</v>
      </c>
      <c r="I7" s="15">
        <f t="shared" si="0"/>
        <v>13.6</v>
      </c>
      <c r="J7" s="23">
        <f t="shared" si="1"/>
        <v>27.2</v>
      </c>
      <c r="K7" s="17">
        <v>0.824</v>
      </c>
      <c r="L7" s="17">
        <f t="shared" si="2"/>
        <v>11.2064</v>
      </c>
      <c r="M7" s="17"/>
    </row>
    <row r="8" ht="20" customHeight="1" spans="1:13">
      <c r="A8" s="15">
        <v>3</v>
      </c>
      <c r="B8" s="15" t="s">
        <v>98</v>
      </c>
      <c r="C8" s="15" t="s">
        <v>103</v>
      </c>
      <c r="D8" s="15" t="s">
        <v>92</v>
      </c>
      <c r="E8" s="15">
        <v>7000</v>
      </c>
      <c r="F8" s="15">
        <v>2</v>
      </c>
      <c r="G8" s="16">
        <f>F8*3</f>
        <v>6</v>
      </c>
      <c r="H8" s="15" t="s">
        <v>41</v>
      </c>
      <c r="I8" s="15">
        <f t="shared" si="0"/>
        <v>14</v>
      </c>
      <c r="J8" s="23">
        <f t="shared" si="1"/>
        <v>42</v>
      </c>
      <c r="K8" s="17">
        <v>1.854</v>
      </c>
      <c r="L8" s="17">
        <f t="shared" si="2"/>
        <v>25.956</v>
      </c>
      <c r="M8" s="17"/>
    </row>
    <row r="9" ht="20" customHeight="1" spans="1:13">
      <c r="A9" s="15"/>
      <c r="B9" s="15"/>
      <c r="C9" s="17" t="s">
        <v>104</v>
      </c>
      <c r="D9" s="15"/>
      <c r="E9" s="17">
        <v>3000</v>
      </c>
      <c r="F9" s="17">
        <v>2</v>
      </c>
      <c r="G9" s="16">
        <f>F9*3</f>
        <v>6</v>
      </c>
      <c r="H9" s="15" t="s">
        <v>41</v>
      </c>
      <c r="I9" s="15">
        <f t="shared" si="0"/>
        <v>6</v>
      </c>
      <c r="J9" s="23">
        <f t="shared" si="1"/>
        <v>18</v>
      </c>
      <c r="K9" s="17">
        <v>1.854</v>
      </c>
      <c r="L9" s="17">
        <f t="shared" si="2"/>
        <v>11.124</v>
      </c>
      <c r="M9" s="17"/>
    </row>
    <row r="10" ht="20" customHeight="1" spans="1:13">
      <c r="A10" s="17">
        <v>4</v>
      </c>
      <c r="B10" s="15" t="s">
        <v>98</v>
      </c>
      <c r="C10" s="17" t="s">
        <v>86</v>
      </c>
      <c r="D10" s="17" t="s">
        <v>105</v>
      </c>
      <c r="E10" s="17">
        <v>2880</v>
      </c>
      <c r="F10" s="17">
        <v>4</v>
      </c>
      <c r="G10" s="16">
        <f>F10*3</f>
        <v>12</v>
      </c>
      <c r="H10" s="15" t="s">
        <v>41</v>
      </c>
      <c r="I10" s="15">
        <f t="shared" si="0"/>
        <v>11.52</v>
      </c>
      <c r="J10" s="23">
        <f t="shared" si="1"/>
        <v>34.56</v>
      </c>
      <c r="K10" s="17">
        <v>1.287</v>
      </c>
      <c r="L10" s="17">
        <f t="shared" si="2"/>
        <v>14.82624</v>
      </c>
      <c r="M10" s="24"/>
    </row>
    <row r="11" ht="20" customHeight="1" spans="1:13">
      <c r="A11" s="17"/>
      <c r="B11" s="15"/>
      <c r="C11" s="17" t="s">
        <v>86</v>
      </c>
      <c r="D11" s="17"/>
      <c r="E11" s="17">
        <v>1460</v>
      </c>
      <c r="F11" s="17">
        <v>21</v>
      </c>
      <c r="G11" s="16">
        <f>F11*3</f>
        <v>63</v>
      </c>
      <c r="H11" s="15" t="s">
        <v>41</v>
      </c>
      <c r="I11" s="15">
        <f t="shared" si="0"/>
        <v>30.66</v>
      </c>
      <c r="J11" s="23">
        <f t="shared" si="1"/>
        <v>91.98</v>
      </c>
      <c r="K11" s="17">
        <v>2.287</v>
      </c>
      <c r="L11" s="17">
        <f t="shared" si="2"/>
        <v>70.11942</v>
      </c>
      <c r="M11" s="24"/>
    </row>
    <row r="12" ht="20" customHeight="1" spans="1:13">
      <c r="A12" s="17"/>
      <c r="B12" s="15"/>
      <c r="C12" s="17" t="s">
        <v>86</v>
      </c>
      <c r="D12" s="17"/>
      <c r="E12" s="17">
        <v>1170</v>
      </c>
      <c r="F12" s="17">
        <v>14</v>
      </c>
      <c r="G12" s="16">
        <f>F12*3</f>
        <v>42</v>
      </c>
      <c r="H12" s="15" t="s">
        <v>41</v>
      </c>
      <c r="I12" s="15">
        <f t="shared" si="0"/>
        <v>16.38</v>
      </c>
      <c r="J12" s="23">
        <f t="shared" si="1"/>
        <v>49.14</v>
      </c>
      <c r="K12" s="17">
        <v>3.287</v>
      </c>
      <c r="L12" s="17">
        <f t="shared" si="2"/>
        <v>53.84106</v>
      </c>
      <c r="M12" s="24"/>
    </row>
    <row r="13" ht="20" customHeight="1" spans="1:13">
      <c r="A13" s="17">
        <v>5</v>
      </c>
      <c r="B13" s="17" t="s">
        <v>64</v>
      </c>
      <c r="C13" s="17"/>
      <c r="D13" s="17"/>
      <c r="E13" s="17"/>
      <c r="F13" s="17"/>
      <c r="G13" s="18"/>
      <c r="H13" s="17"/>
      <c r="I13" s="17"/>
      <c r="J13" s="17"/>
      <c r="K13" s="17"/>
      <c r="L13" s="24">
        <f>SUM(L3:L12)</f>
        <v>219.828192</v>
      </c>
      <c r="M13" s="24">
        <f>(L3+L4+L5+L6+L7)+(L8+L9+L10+L11+L12)*2</f>
        <v>395.694912</v>
      </c>
    </row>
    <row r="14" ht="20" customHeight="1" spans="10:10">
      <c r="J14">
        <f>SUM(J3:J12)</f>
        <v>298.024</v>
      </c>
    </row>
    <row r="15" ht="25" customHeight="1" spans="1:8">
      <c r="A15" s="17" t="s">
        <v>106</v>
      </c>
      <c r="B15" s="17"/>
      <c r="C15" s="17"/>
      <c r="D15" s="17"/>
      <c r="E15" s="17"/>
      <c r="F15" s="17"/>
      <c r="G15" s="18"/>
      <c r="H15" s="19"/>
    </row>
    <row r="16" ht="25" customHeight="1" spans="1:11">
      <c r="A16" s="15" t="s">
        <v>3</v>
      </c>
      <c r="B16" s="15" t="s">
        <v>4</v>
      </c>
      <c r="C16" s="15" t="s">
        <v>5</v>
      </c>
      <c r="D16" s="15" t="s">
        <v>95</v>
      </c>
      <c r="E16" s="15" t="s">
        <v>7</v>
      </c>
      <c r="F16" s="15" t="s">
        <v>6</v>
      </c>
      <c r="G16" s="17" t="s">
        <v>8</v>
      </c>
      <c r="J16">
        <f>SUM(J17:J22)*0.001</f>
        <v>307.4</v>
      </c>
      <c r="K16" t="s">
        <v>49</v>
      </c>
    </row>
    <row r="17" ht="25" customHeight="1" spans="1:10">
      <c r="A17" s="17">
        <v>1</v>
      </c>
      <c r="B17" s="17" t="s">
        <v>99</v>
      </c>
      <c r="C17" s="17" t="s">
        <v>100</v>
      </c>
      <c r="D17" s="17">
        <v>6600</v>
      </c>
      <c r="E17" s="17">
        <v>4</v>
      </c>
      <c r="F17" s="17" t="s">
        <v>107</v>
      </c>
      <c r="G17" s="20" t="str">
        <f>_xlfn.DISPIMG("ID_B8E2F8439B3440CE9AED95D82742C090",1)</f>
        <v>=DISPIMG("ID_B8E2F8439B3440CE9AED95D82742C090",1)</v>
      </c>
      <c r="J17">
        <f>D17*E17</f>
        <v>26400</v>
      </c>
    </row>
    <row r="18" ht="25" customHeight="1" spans="1:10">
      <c r="A18" s="17">
        <v>2</v>
      </c>
      <c r="B18" s="17" t="s">
        <v>99</v>
      </c>
      <c r="C18" s="17" t="s">
        <v>100</v>
      </c>
      <c r="D18" s="17">
        <v>5000</v>
      </c>
      <c r="E18" s="17">
        <v>1</v>
      </c>
      <c r="F18" s="17" t="s">
        <v>107</v>
      </c>
      <c r="G18" s="21"/>
      <c r="J18">
        <f t="shared" ref="J18:J23" si="3">D18*E18</f>
        <v>5000</v>
      </c>
    </row>
    <row r="19" ht="25" customHeight="1" spans="1:10">
      <c r="A19" s="17">
        <v>3</v>
      </c>
      <c r="B19" s="17" t="s">
        <v>101</v>
      </c>
      <c r="C19" s="17" t="s">
        <v>102</v>
      </c>
      <c r="D19" s="17">
        <v>8000</v>
      </c>
      <c r="E19" s="17">
        <v>4</v>
      </c>
      <c r="F19" s="17" t="s">
        <v>107</v>
      </c>
      <c r="G19" s="17" t="str">
        <f>_xlfn.DISPIMG("ID_5B573FE8302D4B19BA5C8CF0BE6F7AF1",1)</f>
        <v>=DISPIMG("ID_5B573FE8302D4B19BA5C8CF0BE6F7AF1",1)</v>
      </c>
      <c r="J19">
        <f t="shared" si="3"/>
        <v>32000</v>
      </c>
    </row>
    <row r="20" ht="25" customHeight="1" spans="1:10">
      <c r="A20" s="17">
        <v>4</v>
      </c>
      <c r="B20" s="17" t="s">
        <v>108</v>
      </c>
      <c r="C20" s="17" t="s">
        <v>92</v>
      </c>
      <c r="D20" s="17">
        <v>7000</v>
      </c>
      <c r="E20" s="17">
        <v>6</v>
      </c>
      <c r="F20" s="17" t="s">
        <v>107</v>
      </c>
      <c r="G20" s="17"/>
      <c r="J20">
        <f t="shared" si="3"/>
        <v>42000</v>
      </c>
    </row>
    <row r="21" ht="25" customHeight="1" spans="1:10">
      <c r="A21" s="17">
        <v>5</v>
      </c>
      <c r="B21" s="17" t="s">
        <v>108</v>
      </c>
      <c r="C21" s="17" t="s">
        <v>92</v>
      </c>
      <c r="D21" s="17">
        <v>6000</v>
      </c>
      <c r="E21" s="17">
        <v>3</v>
      </c>
      <c r="F21" s="17" t="s">
        <v>107</v>
      </c>
      <c r="G21" s="17"/>
      <c r="J21">
        <f t="shared" si="3"/>
        <v>18000</v>
      </c>
    </row>
    <row r="22" ht="25" customHeight="1" spans="1:10">
      <c r="A22" s="17">
        <v>6</v>
      </c>
      <c r="B22" s="17" t="s">
        <v>109</v>
      </c>
      <c r="C22" s="17" t="s">
        <v>105</v>
      </c>
      <c r="D22" s="17">
        <v>8000</v>
      </c>
      <c r="E22" s="17">
        <v>23</v>
      </c>
      <c r="F22" s="17" t="s">
        <v>107</v>
      </c>
      <c r="G22" s="17" t="str">
        <f>_xlfn.DISPIMG("ID_068AD9F173474C82871A82C18E26ADE9",1)</f>
        <v>=DISPIMG("ID_068AD9F173474C82871A82C18E26ADE9",1)</v>
      </c>
      <c r="J22">
        <f t="shared" si="3"/>
        <v>184000</v>
      </c>
    </row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</sheetData>
  <mergeCells count="18">
    <mergeCell ref="A1:M1"/>
    <mergeCell ref="B13:K13"/>
    <mergeCell ref="A15:G15"/>
    <mergeCell ref="A3:A5"/>
    <mergeCell ref="A6:A7"/>
    <mergeCell ref="A8:A9"/>
    <mergeCell ref="A10:A12"/>
    <mergeCell ref="B3:B5"/>
    <mergeCell ref="B6:B7"/>
    <mergeCell ref="B8:B9"/>
    <mergeCell ref="B10:B12"/>
    <mergeCell ref="C3:C5"/>
    <mergeCell ref="C6:C7"/>
    <mergeCell ref="D3:D5"/>
    <mergeCell ref="D6:D7"/>
    <mergeCell ref="D8:D9"/>
    <mergeCell ref="D10:D12"/>
    <mergeCell ref="G17:G1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zoomScale="205" zoomScaleNormal="205" workbookViewId="0">
      <selection activeCell="F15" sqref="F15"/>
    </sheetView>
  </sheetViews>
  <sheetFormatPr defaultColWidth="9" defaultRowHeight="13.5" outlineLevelCol="5"/>
  <cols>
    <col min="5" max="5" width="9.375"/>
    <col min="6" max="6" width="12.625"/>
    <col min="10" max="10" width="9.375"/>
    <col min="11" max="11" width="12.625"/>
  </cols>
  <sheetData>
    <row r="1" spans="1:6">
      <c r="A1" s="1" t="s">
        <v>110</v>
      </c>
      <c r="B1" s="1"/>
      <c r="C1" s="1"/>
      <c r="D1" s="1"/>
      <c r="E1" s="1"/>
      <c r="F1" s="1"/>
    </row>
    <row r="2" spans="1:6">
      <c r="A2" s="2" t="s">
        <v>111</v>
      </c>
      <c r="B2" s="2" t="s">
        <v>112</v>
      </c>
      <c r="C2" s="2" t="s">
        <v>7</v>
      </c>
      <c r="D2" s="2" t="s">
        <v>113</v>
      </c>
      <c r="E2" s="2" t="s">
        <v>114</v>
      </c>
      <c r="F2" s="2" t="s">
        <v>8</v>
      </c>
    </row>
    <row r="3" spans="1:6">
      <c r="A3" s="2" t="s">
        <v>115</v>
      </c>
      <c r="B3" s="2">
        <v>20</v>
      </c>
      <c r="C3" s="2">
        <v>2</v>
      </c>
      <c r="D3" s="2">
        <v>2.944</v>
      </c>
      <c r="E3" s="2">
        <f>B3*C3*D3</f>
        <v>117.76</v>
      </c>
      <c r="F3" s="2"/>
    </row>
    <row r="4" spans="1:6">
      <c r="A4" s="2" t="s">
        <v>115</v>
      </c>
      <c r="B4" s="2">
        <v>0.7</v>
      </c>
      <c r="C4" s="2">
        <v>41</v>
      </c>
      <c r="D4" s="2">
        <v>2.944</v>
      </c>
      <c r="E4" s="2">
        <f>B4*C4*D4</f>
        <v>84.4928</v>
      </c>
      <c r="F4" s="2"/>
    </row>
    <row r="5" spans="1:6">
      <c r="A5" s="2"/>
      <c r="B5" s="2"/>
      <c r="C5" s="2"/>
      <c r="D5" s="2"/>
      <c r="E5" s="2">
        <f>SUM(E3:E4)</f>
        <v>202.2528</v>
      </c>
      <c r="F5" s="2"/>
    </row>
    <row r="7" spans="1:6">
      <c r="A7" s="3" t="s">
        <v>116</v>
      </c>
      <c r="B7" s="3">
        <v>92.3</v>
      </c>
      <c r="C7" s="3">
        <v>1</v>
      </c>
      <c r="D7" s="4">
        <v>16.89</v>
      </c>
      <c r="E7" s="3">
        <f>B7*C7*D7</f>
        <v>1558.947</v>
      </c>
      <c r="F7" s="3"/>
    </row>
    <row r="8" spans="1:6">
      <c r="A8" s="5"/>
      <c r="B8" s="5"/>
      <c r="C8" s="5"/>
      <c r="D8" s="5"/>
      <c r="E8" s="5"/>
      <c r="F8" s="5"/>
    </row>
    <row r="9" spans="1:6">
      <c r="A9" s="6" t="s">
        <v>33</v>
      </c>
      <c r="B9" s="6"/>
      <c r="C9" s="6"/>
      <c r="D9" s="6"/>
      <c r="E9" s="6"/>
      <c r="F9" s="6"/>
    </row>
    <row r="10" spans="1:6">
      <c r="A10" s="7" t="s">
        <v>4</v>
      </c>
      <c r="B10" s="7" t="s">
        <v>69</v>
      </c>
      <c r="C10" s="7" t="s">
        <v>7</v>
      </c>
      <c r="D10" s="7" t="s">
        <v>113</v>
      </c>
      <c r="E10" s="7" t="s">
        <v>114</v>
      </c>
      <c r="F10" s="8"/>
    </row>
    <row r="11" spans="1:6">
      <c r="A11" s="7" t="s">
        <v>117</v>
      </c>
      <c r="B11" s="7">
        <v>11</v>
      </c>
      <c r="C11" s="7">
        <v>1</v>
      </c>
      <c r="D11" s="7">
        <v>10</v>
      </c>
      <c r="E11" s="7">
        <f t="shared" ref="E11:E16" si="0">B11*C11*D11</f>
        <v>110</v>
      </c>
      <c r="F11" s="8"/>
    </row>
    <row r="12" spans="1:6">
      <c r="A12" s="7"/>
      <c r="B12" s="7">
        <v>7</v>
      </c>
      <c r="C12" s="7">
        <v>12</v>
      </c>
      <c r="D12" s="7">
        <v>10</v>
      </c>
      <c r="E12" s="7">
        <f t="shared" si="0"/>
        <v>840</v>
      </c>
      <c r="F12" s="8"/>
    </row>
    <row r="13" spans="1:6">
      <c r="A13" s="7"/>
      <c r="B13" s="7">
        <v>0.8</v>
      </c>
      <c r="C13" s="7">
        <v>12</v>
      </c>
      <c r="D13" s="7">
        <v>10</v>
      </c>
      <c r="E13" s="7">
        <f t="shared" si="0"/>
        <v>96</v>
      </c>
      <c r="F13" s="8"/>
    </row>
    <row r="14" spans="1:6">
      <c r="A14" s="7" t="s">
        <v>118</v>
      </c>
      <c r="B14" s="7">
        <v>1</v>
      </c>
      <c r="C14" s="7">
        <f>6*12</f>
        <v>72</v>
      </c>
      <c r="D14" s="7">
        <v>4.427</v>
      </c>
      <c r="E14" s="7">
        <f t="shared" si="0"/>
        <v>318.744</v>
      </c>
      <c r="F14" s="8"/>
    </row>
    <row r="15" spans="1:6">
      <c r="A15" s="7"/>
      <c r="B15" s="7">
        <v>7</v>
      </c>
      <c r="C15" s="7">
        <f>12*2</f>
        <v>24</v>
      </c>
      <c r="D15" s="7">
        <v>4.427</v>
      </c>
      <c r="E15" s="7">
        <f t="shared" si="0"/>
        <v>743.736</v>
      </c>
      <c r="F15" s="8"/>
    </row>
    <row r="16" spans="1:6">
      <c r="A16" s="7"/>
      <c r="B16" s="7">
        <v>11</v>
      </c>
      <c r="C16" s="7">
        <v>14</v>
      </c>
      <c r="D16" s="7">
        <v>4.427</v>
      </c>
      <c r="E16" s="7">
        <f t="shared" si="0"/>
        <v>681.758</v>
      </c>
      <c r="F16" s="8"/>
    </row>
    <row r="17" spans="1:6">
      <c r="A17" s="8"/>
      <c r="B17" s="8"/>
      <c r="C17" s="8"/>
      <c r="D17" s="8"/>
      <c r="E17" s="9">
        <f>SUM(E11:E16)</f>
        <v>2790.238</v>
      </c>
      <c r="F17" s="8">
        <f>E17/77</f>
        <v>36.2368571428571</v>
      </c>
    </row>
  </sheetData>
  <mergeCells count="4">
    <mergeCell ref="A1:F1"/>
    <mergeCell ref="A9:F9"/>
    <mergeCell ref="A11:A13"/>
    <mergeCell ref="A14:A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0816</vt:lpstr>
      <vt:lpstr>钢架汇总</vt:lpstr>
      <vt:lpstr>框架钢材</vt:lpstr>
      <vt:lpstr>皮艇库</vt:lpstr>
      <vt:lpstr>赛艇库</vt:lpstr>
      <vt:lpstr>7×3米引桥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梁山</cp:lastModifiedBy>
  <dcterms:created xsi:type="dcterms:W3CDTF">2023-02-10T09:01:00Z</dcterms:created>
  <dcterms:modified xsi:type="dcterms:W3CDTF">2023-11-03T08:21:51Z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F54E3AC7CF634C61A3A61C47576D2580</vt:lpwstr>
  </property>
  <property fmtid="{D5CDD505-2E9C-101B-9397-08002B2CF9AE}" pid="3" name="KSOProductBuildVer">
    <vt:lpwstr>2052-12.1.0.15712</vt:lpwstr>
  </property>
</Properties>
</file>